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h0010\Documents\"/>
    </mc:Choice>
  </mc:AlternateContent>
  <xr:revisionPtr revIDLastSave="0" documentId="8_{3E870F13-DCE8-41B7-BF55-4FAEA681A3E5}" xr6:coauthVersionLast="44" xr6:coauthVersionMax="44" xr10:uidLastSave="{00000000-0000-0000-0000-000000000000}"/>
  <bookViews>
    <workbookView xWindow="-120" yWindow="-120" windowWidth="29040" windowHeight="15840"/>
  </bookViews>
  <sheets>
    <sheet name="2021NoAppraisalBLRA" sheetId="1" r:id="rId1"/>
  </sheets>
  <calcPr calcId="0"/>
</workbook>
</file>

<file path=xl/calcChain.xml><?xml version="1.0" encoding="utf-8"?>
<calcChain xmlns="http://schemas.openxmlformats.org/spreadsheetml/2006/main">
  <c r="G249" i="1" l="1"/>
  <c r="G29" i="1"/>
  <c r="G126" i="1"/>
  <c r="G127" i="1"/>
  <c r="G7" i="1"/>
  <c r="G257" i="1"/>
  <c r="G158" i="1"/>
  <c r="G172" i="1"/>
  <c r="G175" i="1"/>
  <c r="G176" i="1"/>
  <c r="G246" i="1"/>
  <c r="G107" i="1"/>
  <c r="G168" i="1"/>
  <c r="G32" i="1"/>
  <c r="G68" i="1"/>
  <c r="G109" i="1"/>
  <c r="G22" i="1"/>
  <c r="G15" i="1"/>
  <c r="G152" i="1"/>
  <c r="G164" i="1"/>
  <c r="G153" i="1"/>
  <c r="G24" i="1"/>
  <c r="G45" i="1"/>
  <c r="G181" i="1"/>
  <c r="G247" i="1"/>
  <c r="G217" i="1"/>
  <c r="G206" i="1"/>
  <c r="G26" i="1"/>
  <c r="G222" i="1"/>
  <c r="G211" i="1"/>
  <c r="G237" i="1"/>
  <c r="G23" i="1"/>
  <c r="G47" i="1"/>
  <c r="G52" i="1"/>
  <c r="G189" i="1"/>
  <c r="G214" i="1"/>
  <c r="G254" i="1"/>
  <c r="G31" i="1"/>
  <c r="G55" i="1"/>
  <c r="G196" i="1"/>
  <c r="G34" i="1"/>
  <c r="G30" i="1"/>
  <c r="G125" i="1"/>
  <c r="G149" i="1"/>
  <c r="G190" i="1"/>
  <c r="G136" i="1"/>
  <c r="G113" i="1"/>
  <c r="G137" i="1"/>
  <c r="G216" i="1"/>
  <c r="G250" i="1"/>
  <c r="G242" i="1"/>
  <c r="G138" i="1"/>
  <c r="G135" i="1"/>
  <c r="G108" i="1"/>
  <c r="G207" i="1"/>
  <c r="G157" i="1"/>
  <c r="G154" i="1"/>
  <c r="G144" i="1"/>
  <c r="G106" i="1"/>
  <c r="G63" i="1"/>
  <c r="G103" i="1"/>
  <c r="G115" i="1"/>
  <c r="G64" i="1"/>
  <c r="G49" i="1"/>
  <c r="G180" i="1"/>
  <c r="G58" i="1"/>
  <c r="G145" i="1"/>
  <c r="G59" i="1"/>
  <c r="G60" i="1"/>
  <c r="G174" i="1"/>
  <c r="G248" i="1"/>
  <c r="G61" i="1"/>
  <c r="G69" i="1"/>
  <c r="G70" i="1"/>
  <c r="G208" i="1"/>
  <c r="G9" i="1"/>
  <c r="G56" i="1"/>
  <c r="G238" i="1"/>
  <c r="G10" i="1"/>
  <c r="G197" i="1"/>
  <c r="G198" i="1"/>
  <c r="G226" i="1"/>
  <c r="G223" i="1"/>
  <c r="G227" i="1"/>
  <c r="G228" i="1"/>
  <c r="G139" i="1"/>
  <c r="G199" i="1"/>
  <c r="G105" i="1"/>
  <c r="G229" i="1"/>
  <c r="G239" i="1"/>
  <c r="G200" i="1"/>
  <c r="G11" i="1"/>
  <c r="G162" i="1"/>
  <c r="G2" i="1"/>
  <c r="G150" i="1"/>
  <c r="G114" i="1"/>
  <c r="G218" i="1"/>
  <c r="G233" i="1"/>
  <c r="G160" i="1"/>
  <c r="G121" i="1"/>
  <c r="G140" i="1"/>
  <c r="G201" i="1"/>
  <c r="G120" i="1"/>
  <c r="G230" i="1"/>
  <c r="G122" i="1"/>
  <c r="G71" i="1"/>
  <c r="G72" i="1"/>
  <c r="G73" i="1"/>
  <c r="G74" i="1"/>
  <c r="G75" i="1"/>
  <c r="G185" i="1"/>
  <c r="G76" i="1"/>
  <c r="G77" i="1"/>
  <c r="G78" i="1"/>
  <c r="G79" i="1"/>
  <c r="G80" i="1"/>
  <c r="G81" i="1"/>
  <c r="G38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42" i="1"/>
  <c r="G219" i="1"/>
  <c r="G169" i="1"/>
  <c r="G101" i="1"/>
  <c r="G102" i="1"/>
  <c r="G141" i="1"/>
  <c r="G203" i="1"/>
  <c r="G104" i="1"/>
  <c r="G48" i="1"/>
  <c r="G128" i="1"/>
  <c r="G66" i="1"/>
  <c r="G133" i="1"/>
  <c r="G232" i="1"/>
  <c r="G130" i="1"/>
  <c r="G191" i="1"/>
  <c r="G46" i="1"/>
  <c r="G163" i="1"/>
  <c r="G3" i="1"/>
  <c r="G251" i="1"/>
  <c r="G67" i="1"/>
  <c r="G177" i="1"/>
  <c r="G234" i="1"/>
  <c r="G62" i="1"/>
  <c r="G161" i="1"/>
  <c r="G235" i="1"/>
  <c r="G212" i="1"/>
  <c r="G166" i="1"/>
  <c r="G111" i="1"/>
  <c r="G8" i="1"/>
  <c r="G178" i="1"/>
  <c r="G209" i="1"/>
  <c r="G193" i="1"/>
  <c r="G51" i="1"/>
  <c r="G210" i="1"/>
  <c r="G194" i="1"/>
  <c r="G252" i="1"/>
  <c r="G37" i="1"/>
  <c r="G19" i="1"/>
  <c r="G18" i="1"/>
  <c r="G20" i="1"/>
  <c r="G17" i="1"/>
  <c r="G240" i="1"/>
  <c r="G39" i="1"/>
  <c r="G241" i="1"/>
  <c r="G4" i="1"/>
  <c r="G142" i="1"/>
  <c r="G5" i="1"/>
  <c r="G143" i="1"/>
  <c r="G182" i="1"/>
  <c r="G159" i="1"/>
  <c r="G131" i="1"/>
  <c r="G170" i="1"/>
  <c r="G151" i="1"/>
  <c r="G43" i="1"/>
  <c r="G54" i="1"/>
  <c r="G236" i="1"/>
  <c r="G184" i="1"/>
  <c r="G13" i="1"/>
  <c r="G220" i="1"/>
  <c r="G244" i="1"/>
  <c r="G147" i="1"/>
  <c r="G192" i="1"/>
  <c r="G187" i="1"/>
  <c r="G188" i="1"/>
  <c r="G173" i="1"/>
  <c r="G195" i="1"/>
  <c r="G119" i="1"/>
  <c r="G156" i="1"/>
  <c r="G179" i="1"/>
  <c r="G148" i="1"/>
  <c r="G258" i="1"/>
  <c r="G50" i="1"/>
  <c r="G112" i="1"/>
  <c r="G171" i="1"/>
  <c r="G204" i="1"/>
  <c r="G132" i="1"/>
  <c r="G259" i="1"/>
  <c r="G205" i="1"/>
  <c r="G35" i="1"/>
  <c r="G40" i="1"/>
  <c r="G25" i="1"/>
  <c r="G12" i="1"/>
  <c r="G36" i="1"/>
  <c r="G53" i="1"/>
  <c r="G110" i="1"/>
  <c r="G21" i="1"/>
  <c r="G6" i="1"/>
  <c r="G41" i="1"/>
  <c r="G27" i="1"/>
  <c r="G65" i="1"/>
  <c r="G28" i="1"/>
  <c r="G243" i="1"/>
  <c r="G202" i="1"/>
  <c r="G57" i="1"/>
  <c r="G33" i="1"/>
  <c r="G167" i="1"/>
  <c r="G165" i="1"/>
  <c r="G186" i="1"/>
  <c r="G224" i="1"/>
  <c r="G256" i="1"/>
  <c r="G44" i="1"/>
  <c r="G118" i="1"/>
  <c r="G16" i="1"/>
  <c r="G124" i="1"/>
  <c r="G146" i="1"/>
  <c r="G183" i="1"/>
  <c r="G260" i="1"/>
  <c r="G261" i="1"/>
  <c r="G253" i="1"/>
  <c r="G262" i="1"/>
  <c r="G221" i="1"/>
  <c r="G215" i="1"/>
  <c r="G155" i="1"/>
  <c r="G255" i="1"/>
  <c r="G213" i="1"/>
  <c r="G134" i="1"/>
  <c r="G231" i="1"/>
  <c r="G245" i="1"/>
  <c r="G116" i="1"/>
  <c r="G117" i="1"/>
  <c r="G129" i="1"/>
  <c r="G225" i="1"/>
  <c r="G123" i="1"/>
  <c r="G263" i="1"/>
  <c r="G14" i="1"/>
  <c r="G264" i="1"/>
  <c r="F249" i="1"/>
  <c r="F29" i="1"/>
  <c r="F126" i="1"/>
  <c r="F127" i="1"/>
  <c r="F7" i="1"/>
  <c r="F257" i="1"/>
  <c r="F158" i="1"/>
  <c r="F172" i="1"/>
  <c r="F175" i="1"/>
  <c r="F176" i="1"/>
  <c r="F246" i="1"/>
  <c r="F107" i="1"/>
  <c r="F168" i="1"/>
  <c r="F32" i="1"/>
  <c r="F68" i="1"/>
  <c r="F109" i="1"/>
  <c r="F22" i="1"/>
  <c r="F15" i="1"/>
  <c r="F152" i="1"/>
  <c r="F164" i="1"/>
  <c r="F153" i="1"/>
  <c r="F24" i="1"/>
  <c r="F45" i="1"/>
  <c r="F181" i="1"/>
  <c r="F247" i="1"/>
  <c r="F217" i="1"/>
  <c r="F206" i="1"/>
  <c r="F26" i="1"/>
  <c r="F222" i="1"/>
  <c r="F211" i="1"/>
  <c r="F237" i="1"/>
  <c r="F23" i="1"/>
  <c r="F47" i="1"/>
  <c r="F52" i="1"/>
  <c r="F189" i="1"/>
  <c r="F214" i="1"/>
  <c r="F254" i="1"/>
  <c r="F31" i="1"/>
  <c r="F55" i="1"/>
  <c r="F196" i="1"/>
  <c r="F34" i="1"/>
  <c r="F30" i="1"/>
  <c r="F125" i="1"/>
  <c r="F149" i="1"/>
  <c r="F190" i="1"/>
  <c r="F136" i="1"/>
  <c r="F113" i="1"/>
  <c r="F137" i="1"/>
  <c r="F216" i="1"/>
  <c r="F250" i="1"/>
  <c r="F242" i="1"/>
  <c r="F138" i="1"/>
  <c r="F135" i="1"/>
  <c r="F108" i="1"/>
  <c r="F207" i="1"/>
  <c r="F157" i="1"/>
  <c r="F154" i="1"/>
  <c r="F144" i="1"/>
  <c r="F106" i="1"/>
  <c r="F63" i="1"/>
  <c r="F103" i="1"/>
  <c r="F115" i="1"/>
  <c r="F64" i="1"/>
  <c r="F49" i="1"/>
  <c r="F180" i="1"/>
  <c r="F58" i="1"/>
  <c r="F145" i="1"/>
  <c r="F59" i="1"/>
  <c r="F60" i="1"/>
  <c r="F174" i="1"/>
  <c r="F248" i="1"/>
  <c r="F61" i="1"/>
  <c r="F69" i="1"/>
  <c r="F70" i="1"/>
  <c r="F208" i="1"/>
  <c r="F9" i="1"/>
  <c r="F56" i="1"/>
  <c r="F238" i="1"/>
  <c r="F10" i="1"/>
  <c r="F197" i="1"/>
  <c r="F198" i="1"/>
  <c r="F226" i="1"/>
  <c r="F223" i="1"/>
  <c r="F227" i="1"/>
  <c r="F228" i="1"/>
  <c r="F139" i="1"/>
  <c r="F199" i="1"/>
  <c r="F105" i="1"/>
  <c r="F229" i="1"/>
  <c r="F239" i="1"/>
  <c r="F200" i="1"/>
  <c r="F11" i="1"/>
  <c r="F162" i="1"/>
  <c r="F2" i="1"/>
  <c r="F150" i="1"/>
  <c r="F114" i="1"/>
  <c r="F218" i="1"/>
  <c r="F233" i="1"/>
  <c r="F160" i="1"/>
  <c r="F121" i="1"/>
  <c r="F140" i="1"/>
  <c r="F201" i="1"/>
  <c r="F120" i="1"/>
  <c r="F230" i="1"/>
  <c r="F122" i="1"/>
  <c r="F71" i="1"/>
  <c r="F72" i="1"/>
  <c r="F73" i="1"/>
  <c r="F74" i="1"/>
  <c r="F75" i="1"/>
  <c r="F185" i="1"/>
  <c r="F76" i="1"/>
  <c r="F77" i="1"/>
  <c r="F78" i="1"/>
  <c r="F79" i="1"/>
  <c r="F80" i="1"/>
  <c r="F81" i="1"/>
  <c r="F38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42" i="1"/>
  <c r="F219" i="1"/>
  <c r="F169" i="1"/>
  <c r="F101" i="1"/>
  <c r="F102" i="1"/>
  <c r="F141" i="1"/>
  <c r="F203" i="1"/>
  <c r="F104" i="1"/>
  <c r="F48" i="1"/>
  <c r="F128" i="1"/>
  <c r="F66" i="1"/>
  <c r="F133" i="1"/>
  <c r="F232" i="1"/>
  <c r="F130" i="1"/>
  <c r="F191" i="1"/>
  <c r="F46" i="1"/>
  <c r="F163" i="1"/>
  <c r="F3" i="1"/>
  <c r="F251" i="1"/>
  <c r="F67" i="1"/>
  <c r="F177" i="1"/>
  <c r="F234" i="1"/>
  <c r="F62" i="1"/>
  <c r="F161" i="1"/>
  <c r="F235" i="1"/>
  <c r="F212" i="1"/>
  <c r="F166" i="1"/>
  <c r="F111" i="1"/>
  <c r="F8" i="1"/>
  <c r="F178" i="1"/>
  <c r="F209" i="1"/>
  <c r="F193" i="1"/>
  <c r="F51" i="1"/>
  <c r="F210" i="1"/>
  <c r="F194" i="1"/>
  <c r="F252" i="1"/>
  <c r="F37" i="1"/>
  <c r="F19" i="1"/>
  <c r="F18" i="1"/>
  <c r="F20" i="1"/>
  <c r="F17" i="1"/>
  <c r="F240" i="1"/>
  <c r="F39" i="1"/>
  <c r="F241" i="1"/>
  <c r="F4" i="1"/>
  <c r="F142" i="1"/>
  <c r="F5" i="1"/>
  <c r="F143" i="1"/>
  <c r="F182" i="1"/>
  <c r="F159" i="1"/>
  <c r="F131" i="1"/>
  <c r="F170" i="1"/>
  <c r="F151" i="1"/>
  <c r="F43" i="1"/>
  <c r="F54" i="1"/>
  <c r="F236" i="1"/>
  <c r="F184" i="1"/>
  <c r="F13" i="1"/>
  <c r="F220" i="1"/>
  <c r="F244" i="1"/>
  <c r="F147" i="1"/>
  <c r="F192" i="1"/>
  <c r="F187" i="1"/>
  <c r="F188" i="1"/>
  <c r="F173" i="1"/>
  <c r="F195" i="1"/>
  <c r="F119" i="1"/>
  <c r="F156" i="1"/>
  <c r="F179" i="1"/>
  <c r="F148" i="1"/>
  <c r="F258" i="1"/>
  <c r="F50" i="1"/>
  <c r="F112" i="1"/>
  <c r="F171" i="1"/>
  <c r="F204" i="1"/>
  <c r="F132" i="1"/>
  <c r="F259" i="1"/>
  <c r="F205" i="1"/>
  <c r="F35" i="1"/>
  <c r="F40" i="1"/>
  <c r="F25" i="1"/>
  <c r="F12" i="1"/>
  <c r="F36" i="1"/>
  <c r="F53" i="1"/>
  <c r="F110" i="1"/>
  <c r="F21" i="1"/>
  <c r="F6" i="1"/>
  <c r="F41" i="1"/>
  <c r="F27" i="1"/>
  <c r="F65" i="1"/>
  <c r="F28" i="1"/>
  <c r="F243" i="1"/>
  <c r="F202" i="1"/>
  <c r="F57" i="1"/>
  <c r="F33" i="1"/>
  <c r="F167" i="1"/>
  <c r="F165" i="1"/>
  <c r="F186" i="1"/>
  <c r="F224" i="1"/>
  <c r="F256" i="1"/>
  <c r="F44" i="1"/>
  <c r="F118" i="1"/>
  <c r="F16" i="1"/>
  <c r="F124" i="1"/>
  <c r="F146" i="1"/>
  <c r="F183" i="1"/>
  <c r="F260" i="1"/>
  <c r="F261" i="1"/>
  <c r="F253" i="1"/>
  <c r="F262" i="1"/>
  <c r="F221" i="1"/>
  <c r="F215" i="1"/>
  <c r="F155" i="1"/>
  <c r="F255" i="1"/>
  <c r="F213" i="1"/>
  <c r="F134" i="1"/>
  <c r="F231" i="1"/>
  <c r="F245" i="1"/>
  <c r="F116" i="1"/>
  <c r="F117" i="1"/>
  <c r="F129" i="1"/>
  <c r="F225" i="1"/>
  <c r="F123" i="1"/>
  <c r="F263" i="1"/>
  <c r="F14" i="1"/>
  <c r="F264" i="1"/>
</calcChain>
</file>

<file path=xl/sharedStrings.xml><?xml version="1.0" encoding="utf-8"?>
<sst xmlns="http://schemas.openxmlformats.org/spreadsheetml/2006/main" count="10967" uniqueCount="1888">
  <si>
    <t>Building_ID_1</t>
  </si>
  <si>
    <t>Building_Type_1</t>
  </si>
  <si>
    <t>Full_E_911_Address</t>
  </si>
  <si>
    <t>GIS_Parcel_ID</t>
  </si>
  <si>
    <t>IAS_ID</t>
  </si>
  <si>
    <t>WV_Flood_Tool_Link</t>
  </si>
  <si>
    <t>WV_Parcel_Assessment_Link</t>
  </si>
  <si>
    <t>CID</t>
  </si>
  <si>
    <t>Community_Name</t>
  </si>
  <si>
    <t>County</t>
  </si>
  <si>
    <t>Incorporated_Unincorporated</t>
  </si>
  <si>
    <t>Stream_Name</t>
  </si>
  <si>
    <t>Watershed_HUC8</t>
  </si>
  <si>
    <t>Flood_Zone_Designation</t>
  </si>
  <si>
    <t>Floodway</t>
  </si>
  <si>
    <t>Non_Regulatory</t>
  </si>
  <si>
    <t>FIRM_Status</t>
  </si>
  <si>
    <t>Flood_Depth_Value</t>
  </si>
  <si>
    <t>Flood_Depth_Source</t>
  </si>
  <si>
    <t>WSEL_Value</t>
  </si>
  <si>
    <t>WSEL_Source</t>
  </si>
  <si>
    <t>Ground_Elevation</t>
  </si>
  <si>
    <t>Ground_Elevation_Source</t>
  </si>
  <si>
    <t>Full_Owner_Address</t>
  </si>
  <si>
    <t>Owner_Name_s</t>
  </si>
  <si>
    <t>Year_Built</t>
  </si>
  <si>
    <t>Grade_1</t>
  </si>
  <si>
    <t>Property_Class_Code</t>
  </si>
  <si>
    <t>Property_Class_Description</t>
  </si>
  <si>
    <t>Tax_Class</t>
  </si>
  <si>
    <t>Land_Use_Code</t>
  </si>
  <si>
    <t>Land_Use_Description</t>
  </si>
  <si>
    <t>Hazard_Occupancy_Code</t>
  </si>
  <si>
    <t>General_Occupancy_Code</t>
  </si>
  <si>
    <t>Stories_1</t>
  </si>
  <si>
    <t>Exterial_Wall_Type</t>
  </si>
  <si>
    <t>Architectural_Style</t>
  </si>
  <si>
    <t>Structure_Area</t>
  </si>
  <si>
    <t>Basement_Type</t>
  </si>
  <si>
    <t>Foundation_Type</t>
  </si>
  <si>
    <t>First_Floor_Height</t>
  </si>
  <si>
    <t>Dwelling_Value</t>
  </si>
  <si>
    <t>Commercial_Value</t>
  </si>
  <si>
    <t>OBY_Value</t>
  </si>
  <si>
    <t>Building_Appraisal</t>
  </si>
  <si>
    <t>Building_Value_Source</t>
  </si>
  <si>
    <t>Total_Structures</t>
  </si>
  <si>
    <t>Accessory_Structures_Count</t>
  </si>
  <si>
    <t>Units_1</t>
  </si>
  <si>
    <t>Critical_Infrasturcture</t>
  </si>
  <si>
    <t>Governmental_Building</t>
  </si>
  <si>
    <t>Historical_Structure</t>
  </si>
  <si>
    <t>Federal_Land</t>
  </si>
  <si>
    <t>Comments_1</t>
  </si>
  <si>
    <t>Data_Issue_1</t>
  </si>
  <si>
    <t>Data_Issue_2</t>
  </si>
  <si>
    <t>Average_Household_Size</t>
  </si>
  <si>
    <t>Residential_Units_FLD</t>
  </si>
  <si>
    <t>Displaced_Population_FLD_BLD</t>
  </si>
  <si>
    <t>Timestamp</t>
  </si>
  <si>
    <t>FloodPlainType_RiskLayer</t>
  </si>
  <si>
    <t>Year_Bulit</t>
  </si>
  <si>
    <t>FIRM_Status_1</t>
  </si>
  <si>
    <t>Occ</t>
  </si>
  <si>
    <t>Cost</t>
  </si>
  <si>
    <t>NumStories</t>
  </si>
  <si>
    <t>FoundationType</t>
  </si>
  <si>
    <t>FirstFloorHt</t>
  </si>
  <si>
    <t>Area</t>
  </si>
  <si>
    <t>UserDefinedFltyId</t>
  </si>
  <si>
    <t>Latitude</t>
  </si>
  <si>
    <t>Longitude</t>
  </si>
  <si>
    <t>Depth_Grid</t>
  </si>
  <si>
    <t>Depth_in_Struc</t>
  </si>
  <si>
    <t>flExp</t>
  </si>
  <si>
    <t>SOID</t>
  </si>
  <si>
    <t>BDDF_ID</t>
  </si>
  <si>
    <t>BldgDmgPct</t>
  </si>
  <si>
    <t>BldgLossUSD</t>
  </si>
  <si>
    <t>ContentCostUSD</t>
  </si>
  <si>
    <t>CDDF_ID</t>
  </si>
  <si>
    <t>ContDmgPct</t>
  </si>
  <si>
    <t>ContentLossUSD</t>
  </si>
  <si>
    <t>InventoryCostUSD</t>
  </si>
  <si>
    <t>IDDF_ID</t>
  </si>
  <si>
    <t>InvDmgPct</t>
  </si>
  <si>
    <t>InventoryLossUSD</t>
  </si>
  <si>
    <t>DebrisID</t>
  </si>
  <si>
    <t>Debris_Fin</t>
  </si>
  <si>
    <t>Debris_Struc</t>
  </si>
  <si>
    <t>Debris_Found</t>
  </si>
  <si>
    <t>Debris_Tot</t>
  </si>
  <si>
    <t>Restor_Days_Min</t>
  </si>
  <si>
    <t>Restor_Days_Max</t>
  </si>
  <si>
    <t>GridName</t>
  </si>
  <si>
    <t>Symbol_FloodRiskZone</t>
  </si>
  <si>
    <t>Symbol_BldgLoss_USD</t>
  </si>
  <si>
    <t>Symbol_Bldg_Exposure_Cost_USD</t>
  </si>
  <si>
    <t>Symbol_Bldg_Damage_Percent</t>
  </si>
  <si>
    <t>WVGISTC_Data_Source</t>
  </si>
  <si>
    <t>WV_RPDC_Region</t>
  </si>
  <si>
    <t>Community_Name_Modified</t>
  </si>
  <si>
    <t>County_Name_Modified</t>
  </si>
  <si>
    <t>GISPID</t>
  </si>
  <si>
    <t>CountyName</t>
  </si>
  <si>
    <t>2021_Appraisal</t>
  </si>
  <si>
    <t>2020_Appraisal</t>
  </si>
  <si>
    <t>46-01-0014-0026-0000_325</t>
  </si>
  <si>
    <t>P</t>
  </si>
  <si>
    <t>325 MAPLE AVE, GRAFTON, WV, 26354</t>
  </si>
  <si>
    <t>46-01-0014-0026-0000</t>
  </si>
  <si>
    <t>City of Grafton</t>
  </si>
  <si>
    <t>TAYLOR COUNTY</t>
  </si>
  <si>
    <t>Incorporated</t>
  </si>
  <si>
    <t>Tygart Valley River</t>
  </si>
  <si>
    <t>Tygart Valley (5020001)</t>
  </si>
  <si>
    <t>Advisory A</t>
  </si>
  <si>
    <t>No</t>
  </si>
  <si>
    <t>Non-Regulatory</t>
  </si>
  <si>
    <t>Pre-FIRM</t>
  </si>
  <si>
    <t>HEC-RAS</t>
  </si>
  <si>
    <t>AFH</t>
  </si>
  <si>
    <t>1 W MAIN ST, GRAFTON, WV 26354</t>
  </si>
  <si>
    <t>CITY OF GRAFTON</t>
  </si>
  <si>
    <t>D-</t>
  </si>
  <si>
    <t>X</t>
  </si>
  <si>
    <t>Exempt</t>
  </si>
  <si>
    <t>Residential 1 Family</t>
  </si>
  <si>
    <t>RES1</t>
  </si>
  <si>
    <t>Residential</t>
  </si>
  <si>
    <t>Conventional</t>
  </si>
  <si>
    <t>Slab-on-Grade</t>
  </si>
  <si>
    <t>Assessment (IAS)</t>
  </si>
  <si>
    <t>Advisory A (HEC-RAS)</t>
  </si>
  <si>
    <t>R11N</t>
  </si>
  <si>
    <t>RES1NBSG1</t>
  </si>
  <si>
    <t>Taylor_HEC_RAS.tif</t>
  </si>
  <si>
    <t>MAPPED IN-Residential</t>
  </si>
  <si>
    <t>$0-$50K</t>
  </si>
  <si>
    <t>0-$50,000</t>
  </si>
  <si>
    <t>10-50% (Moderate Damage)</t>
  </si>
  <si>
    <t>Grafton</t>
  </si>
  <si>
    <t>TAYLOR</t>
  </si>
  <si>
    <t>Taylor</t>
  </si>
  <si>
    <t>46-05-011A-0013-0000_83</t>
  </si>
  <si>
    <t>83 GERARD DR, GRAFTON, WV, 26354</t>
  </si>
  <si>
    <t>46-05-011A-0013-0000</t>
  </si>
  <si>
    <t>Taylor County</t>
  </si>
  <si>
    <t>Unincorporated</t>
  </si>
  <si>
    <t>A</t>
  </si>
  <si>
    <t>Regulatory</t>
  </si>
  <si>
    <t>N/A</t>
  </si>
  <si>
    <t>70 JOHNSON DR, GRAFTON, WV 26354</t>
  </si>
  <si>
    <t>WHITE BARBARA</t>
  </si>
  <si>
    <t>D+</t>
  </si>
  <si>
    <t>R</t>
  </si>
  <si>
    <t>Frame</t>
  </si>
  <si>
    <t>Crawl</t>
  </si>
  <si>
    <t>Crawlspace</t>
  </si>
  <si>
    <t>Effective A (N/A)</t>
  </si>
  <si>
    <t>MAPPED OUT-Residential</t>
  </si>
  <si>
    <t>No Depth Value</t>
  </si>
  <si>
    <t>$50,000-$100,000</t>
  </si>
  <si>
    <t>&lt;1 % or No Depth Value</t>
  </si>
  <si>
    <t>Taylor County*</t>
  </si>
  <si>
    <t>04-06-0001-0036-0000_197</t>
  </si>
  <si>
    <t>197 LITTLE OTTER RD TRLR, GASSAWAY, WV, 26624</t>
  </si>
  <si>
    <t>04-06-0001-0036-0000</t>
  </si>
  <si>
    <t>04-06-0001-0034-0000</t>
  </si>
  <si>
    <t>Braxton County</t>
  </si>
  <si>
    <t>BRAXTON COUNTY</t>
  </si>
  <si>
    <t>Rush Fork</t>
  </si>
  <si>
    <t>Elk (5050007)</t>
  </si>
  <si>
    <t>207 LITTLE OTTER ROAD, GASSAWAY, WV 26624</t>
  </si>
  <si>
    <t>PARKER MARGARET &amp;/OR ERIC S MOLLOHAN ET AL</t>
  </si>
  <si>
    <t>C</t>
  </si>
  <si>
    <t>Mobile Home</t>
  </si>
  <si>
    <t>RES2</t>
  </si>
  <si>
    <t>Assessment (IAS) Modified</t>
  </si>
  <si>
    <t>Used lines 4-6 of OBY on parcel assessment for BV.</t>
  </si>
  <si>
    <t>(PA) Assmt:  Different Assessment Record</t>
  </si>
  <si>
    <t>R21N</t>
  </si>
  <si>
    <t>Braxton_HEC_RAS_HAZUS.tif</t>
  </si>
  <si>
    <t>Remains Same-Residential</t>
  </si>
  <si>
    <t>Braxton County*</t>
  </si>
  <si>
    <t>BRAXTON</t>
  </si>
  <si>
    <t>Braxton</t>
  </si>
  <si>
    <t>04-06-0001-0036-0000_185</t>
  </si>
  <si>
    <t>185 LITTLE OTTER RD, GASSAWAY, WV, 26624</t>
  </si>
  <si>
    <t>180 KENNA DR, CHARLESTON, WV 25309</t>
  </si>
  <si>
    <t>ROSS JERRICE L LIFE ROSS ROBERT M</t>
  </si>
  <si>
    <t>E+</t>
  </si>
  <si>
    <t>11-04-0005-0045-0000_9999</t>
  </si>
  <si>
    <t>9999 POWELL ST, GLENVILLE, WV, 26351</t>
  </si>
  <si>
    <t>11-04-0005-0045-0000</t>
  </si>
  <si>
    <t>City of Glenville</t>
  </si>
  <si>
    <t>GILMER COUNTY</t>
  </si>
  <si>
    <t>Little Kanawha River</t>
  </si>
  <si>
    <t>Little Kanawha (5030203)</t>
  </si>
  <si>
    <t>AE</t>
  </si>
  <si>
    <t>10 HOWARD ST, GLENVILLE, WV 26351</t>
  </si>
  <si>
    <t>GILMER COUNTY ECONOMIC DEVELOPMENT ASSOCIATION</t>
  </si>
  <si>
    <t>C-</t>
  </si>
  <si>
    <t>Other Miscellaneous Exempt</t>
  </si>
  <si>
    <t>GOV1</t>
  </si>
  <si>
    <t>Government</t>
  </si>
  <si>
    <t>None</t>
  </si>
  <si>
    <t>First Basement</t>
  </si>
  <si>
    <t>Basement</t>
  </si>
  <si>
    <t>(AD) Address: None or missing</t>
  </si>
  <si>
    <t>Effective AE + Updated AE (HEC-RAS)</t>
  </si>
  <si>
    <t>G1LB</t>
  </si>
  <si>
    <t>GOV1NBSG1</t>
  </si>
  <si>
    <t>Gilmer_HEC_RAS_HAZUS.tif</t>
  </si>
  <si>
    <t>Remains Same-Other</t>
  </si>
  <si>
    <t>$100,000-$250,000</t>
  </si>
  <si>
    <t>Glenville</t>
  </si>
  <si>
    <t>GILMER</t>
  </si>
  <si>
    <t>Gilmer</t>
  </si>
  <si>
    <t>21-03-002G-0032-0001_12075</t>
  </si>
  <si>
    <t>12075 US HWY 33 W, ALUM BRIDGE, WV, 26321</t>
  </si>
  <si>
    <t>21-03-002G-0032-0001</t>
  </si>
  <si>
    <t>Lewis County</t>
  </si>
  <si>
    <t>LEWIS COUNTY</t>
  </si>
  <si>
    <t>Leading Creek</t>
  </si>
  <si>
    <t>Unknown</t>
  </si>
  <si>
    <t>12151 US HWY 33 W, ALUM BRIDGE, WV 26321</t>
  </si>
  <si>
    <t>BONNETT DAVID &amp; DONNA</t>
  </si>
  <si>
    <t>Single wide Mobile Home</t>
  </si>
  <si>
    <t>Used Lewis co. median single wide mobile home values for building value.</t>
  </si>
  <si>
    <t>(PA) Assmt:  No Assessment Record</t>
  </si>
  <si>
    <t>Lewis_HEC_RAS_HAZUS.tif</t>
  </si>
  <si>
    <t>Lewis County*</t>
  </si>
  <si>
    <t>LEWIS</t>
  </si>
  <si>
    <t>Lewis</t>
  </si>
  <si>
    <t>21-03-002F-0044-0002_561</t>
  </si>
  <si>
    <t>561 ALUM FORK RD, CAMDEN, WV, 26338</t>
  </si>
  <si>
    <t>21-03-002F-0044-0002</t>
  </si>
  <si>
    <t>Alum Fork</t>
  </si>
  <si>
    <t>45 ANTLER RIDGE RD, CAMDEN, WV 26338</t>
  </si>
  <si>
    <t>WILSON LARRY S &amp; PAMELA J</t>
  </si>
  <si>
    <t>D</t>
  </si>
  <si>
    <t>47-01-283A-0017-0000_157</t>
  </si>
  <si>
    <t>157 MISSION LN TRLR, PARSONS, WV, 26287</t>
  </si>
  <si>
    <t>47-01-283A-0017-0000</t>
  </si>
  <si>
    <t>Tucker County</t>
  </si>
  <si>
    <t>TUCKER COUNTY</t>
  </si>
  <si>
    <t>Shavers Fork</t>
  </si>
  <si>
    <t>Cheat (5020004)</t>
  </si>
  <si>
    <t>RR 2 BOX 97, LESAGE, WV 25537</t>
  </si>
  <si>
    <t>CANFIELD KAREN LYNN</t>
  </si>
  <si>
    <t>Tucker_HEC_RAS.tif</t>
  </si>
  <si>
    <t>Tucker County*</t>
  </si>
  <si>
    <t>TUCKER</t>
  </si>
  <si>
    <t>Tucker</t>
  </si>
  <si>
    <t>47-10-0005-0045-0000_314</t>
  </si>
  <si>
    <t>314 PENNSYLVANIA AVE, PARSONS, WV, 26287</t>
  </si>
  <si>
    <t>47-10-0005-0045-0000</t>
  </si>
  <si>
    <t>City of Parsons</t>
  </si>
  <si>
    <t>Black Fork</t>
  </si>
  <si>
    <t>Post-FIRM</t>
  </si>
  <si>
    <t>325 D &amp; W LANE, PARSONS, WV 26287</t>
  </si>
  <si>
    <t>BFONG SOLUTIONS LLC</t>
  </si>
  <si>
    <t>RES2NBFT0</t>
  </si>
  <si>
    <t>Parsons</t>
  </si>
  <si>
    <t>47-10-0005-0045-0000_310</t>
  </si>
  <si>
    <t>310 PENNSYLVANIA AVE, PARSONS, WV, 26287</t>
  </si>
  <si>
    <t>1-10% (Slight Damage)</t>
  </si>
  <si>
    <t>47-10-0005-0034-0002_322</t>
  </si>
  <si>
    <t>322 PENNSYLVANIA AVE, PARSONS, WV, 26287</t>
  </si>
  <si>
    <t>47-10-0005-0034-0002</t>
  </si>
  <si>
    <t>4274 CAMP CREEK RD, EAST LYNN, WV 25512</t>
  </si>
  <si>
    <t>CLAY ROBERT &amp; TERESA</t>
  </si>
  <si>
    <t>RES2NBFT1</t>
  </si>
  <si>
    <t>50-100% (Substantial Damage)</t>
  </si>
  <si>
    <t>47-01-0284-0014-0001_1262</t>
  </si>
  <si>
    <t>1262 BLACKMAN FLATS RD, HAMBLETON, WV, 26269</t>
  </si>
  <si>
    <t>47-01-0284-0014-0001</t>
  </si>
  <si>
    <t>Cheat River</t>
  </si>
  <si>
    <t>132 BILLINGS AVE, PARSONS, WV 26287</t>
  </si>
  <si>
    <t>MCDANIEL KEITH N &amp; AMY S</t>
  </si>
  <si>
    <t>(PG) Parcel:  Geometry Misalignment</t>
  </si>
  <si>
    <t>47-10-0004-0176-0000_313</t>
  </si>
  <si>
    <t>313 FIRST ST, PARSONS, WV, 26287</t>
  </si>
  <si>
    <t>47-10-0004-0176-0000</t>
  </si>
  <si>
    <t>206 JAMESON AVE, PARSONS, WV 26287</t>
  </si>
  <si>
    <t>GRAY CAROLYN</t>
  </si>
  <si>
    <t>E-</t>
  </si>
  <si>
    <t>Commercial</t>
  </si>
  <si>
    <t>Downtown Row Type</t>
  </si>
  <si>
    <t>COM4</t>
  </si>
  <si>
    <t>Concrete Block</t>
  </si>
  <si>
    <t>C4LB</t>
  </si>
  <si>
    <t>COM4NBSG1</t>
  </si>
  <si>
    <t>Remains Same-Commercial</t>
  </si>
  <si>
    <t>49-04-004L-0050-0000_168</t>
  </si>
  <si>
    <t>168 SLAB CAMP RD, FRENCH CREEK, WV, 26218</t>
  </si>
  <si>
    <t>49-04-004L-0050-0000</t>
  </si>
  <si>
    <t>Upshur County</t>
  </si>
  <si>
    <t>UPSHUR COUNTY</t>
  </si>
  <si>
    <t>French Creek</t>
  </si>
  <si>
    <t>72 BLUE VALLEY DRIVE, LINDEN, VA 22642</t>
  </si>
  <si>
    <t>SNYDER MORGAN D</t>
  </si>
  <si>
    <t>F</t>
  </si>
  <si>
    <t>Farm</t>
  </si>
  <si>
    <t>Active Farm</t>
  </si>
  <si>
    <t>R12N</t>
  </si>
  <si>
    <t>Upshur_HEC_RAS_HAZUS.tif</t>
  </si>
  <si>
    <t>Upshur County*</t>
  </si>
  <si>
    <t>UPSHUR</t>
  </si>
  <si>
    <t>Upshur</t>
  </si>
  <si>
    <t>49-05-007E-0005-0000_9999</t>
  </si>
  <si>
    <t>9999 TRAINER RD, BUCKHANNON, WV, 26201</t>
  </si>
  <si>
    <t>49-05-007E-0005-0000</t>
  </si>
  <si>
    <t>Buckhannon River</t>
  </si>
  <si>
    <t>HAZUS</t>
  </si>
  <si>
    <t>314 CHASE LN, ELKINS, WV 26241</t>
  </si>
  <si>
    <t>SUGAR RUN RENTALS LLC</t>
  </si>
  <si>
    <t>E</t>
  </si>
  <si>
    <t>Inactive Farm</t>
  </si>
  <si>
    <t>Cabin</t>
  </si>
  <si>
    <t>Effective A (HAZUS)</t>
  </si>
  <si>
    <t>01-04-0012-0041-0000_142</t>
  </si>
  <si>
    <t>142 ELK CITY RD TRLR, PHILIPPI, WV, 26416</t>
  </si>
  <si>
    <t>01-04-0012-0041-0000</t>
  </si>
  <si>
    <t>Barbour County</t>
  </si>
  <si>
    <t>BARBOUR COUNTY</t>
  </si>
  <si>
    <t>Elk Creek</t>
  </si>
  <si>
    <t>West Fork (5020002)</t>
  </si>
  <si>
    <t>171 ELK CITY RD, PHILIPPI, WV 26416</t>
  </si>
  <si>
    <t>MCGEE HAYWARD JR &amp; PATRICIA YOCUM WS</t>
  </si>
  <si>
    <t>Advisory A + Effective A (HEC-RAS)</t>
  </si>
  <si>
    <t>Barbour_HEC_RAS_HAZUS.tif</t>
  </si>
  <si>
    <t>Barbour County*</t>
  </si>
  <si>
    <t>BARBOUR</t>
  </si>
  <si>
    <t>Barbour</t>
  </si>
  <si>
    <t>01-10-0014-0005-0001_579</t>
  </si>
  <si>
    <t>579 BUCKHANNON RIVER RD, VOLGA, WV, 26238</t>
  </si>
  <si>
    <t>01-10-0014-0005-0001</t>
  </si>
  <si>
    <t>C/O JOSHUA &amp; HEIDI BINEGAR, 336 NEW ST, BRIDGEPORT, WV 26330</t>
  </si>
  <si>
    <t>BULKA SHIRLEY R ET AL</t>
  </si>
  <si>
    <t>Aluminum</t>
  </si>
  <si>
    <t>Ranch</t>
  </si>
  <si>
    <t>RES1NBFT4</t>
  </si>
  <si>
    <t>12-04-0008-0001-0000_498</t>
  </si>
  <si>
    <t>498 PIERPONT ST, PETERSBURG, WV, 26847</t>
  </si>
  <si>
    <t>12-04-0008-0001-0000</t>
  </si>
  <si>
    <t>City of Petersburg</t>
  </si>
  <si>
    <t>GRANT COUNTY</t>
  </si>
  <si>
    <t>Lunice Creek</t>
  </si>
  <si>
    <t>South Branch Potomac (2070001)</t>
  </si>
  <si>
    <t>4705 OCEAN VIEW AVE, VIRGINIA BEACH, VA 23455</t>
  </si>
  <si>
    <t>HARRELL WILBERT &amp; SEAY JO-ANNE H</t>
  </si>
  <si>
    <t>Full</t>
  </si>
  <si>
    <t>R11B</t>
  </si>
  <si>
    <t>Grant_HEC_RAS_HAZUS.tif</t>
  </si>
  <si>
    <t>Petersburg</t>
  </si>
  <si>
    <t>GRANT</t>
  </si>
  <si>
    <t>Grant</t>
  </si>
  <si>
    <t>14-10-018A-0043-0000_1461</t>
  </si>
  <si>
    <t>1461 SPRINGFIELD PIKE, SPRINGFIELD, WV, 26763</t>
  </si>
  <si>
    <t>14-10-018A-0043-0000</t>
  </si>
  <si>
    <t>Hampshire County</t>
  </si>
  <si>
    <t>HAMPSHIRE COUNTY</t>
  </si>
  <si>
    <t>South Branch Potomac River</t>
  </si>
  <si>
    <t>UAE</t>
  </si>
  <si>
    <t>8047 FORT ASHBY RD, KEYSER, WV 26726</t>
  </si>
  <si>
    <t>COSNER GARY W &amp; KIMBERLY S</t>
  </si>
  <si>
    <t>RES1NBFT1</t>
  </si>
  <si>
    <t>Hampshire_HEC_RAS.tif</t>
  </si>
  <si>
    <t>Hampshire County*</t>
  </si>
  <si>
    <t>HAMPSHIRE</t>
  </si>
  <si>
    <t>Hampshire</t>
  </si>
  <si>
    <t>14-10-022B-0029-0000_305</t>
  </si>
  <si>
    <t>305 BELL ST, GREEN SPRING, WV, 26722</t>
  </si>
  <si>
    <t>14-10-022B-0029-0000</t>
  </si>
  <si>
    <t>Green Spring Run</t>
  </si>
  <si>
    <t>North Branch Potomac (2070002)</t>
  </si>
  <si>
    <t>208 DAYTON CIR, GREEN SPRING, WV 26722</t>
  </si>
  <si>
    <t>STEWARD DAVID</t>
  </si>
  <si>
    <t>14-10-022A-0130-0000_193</t>
  </si>
  <si>
    <t>193 OLD COUNTY RD, GREEN SPRING, WV, 26722</t>
  </si>
  <si>
    <t>14-10-022A-0130-0000</t>
  </si>
  <si>
    <t>Yes</t>
  </si>
  <si>
    <t>Effective AE-Floodway + Updated AE (HEC-RAS)</t>
  </si>
  <si>
    <t>Remains Same Floodway-Residential</t>
  </si>
  <si>
    <t>16-01-0309-0025-0000_424</t>
  </si>
  <si>
    <t>424 OLD BAKER RD, BAKER, WV, 26801</t>
  </si>
  <si>
    <t>16-01-0309-0025-0000</t>
  </si>
  <si>
    <t>Hardy County</t>
  </si>
  <si>
    <t>HARDY COUNTY</t>
  </si>
  <si>
    <t>Baker Run</t>
  </si>
  <si>
    <t>Cacapon-Town (2070003)</t>
  </si>
  <si>
    <t>C/O GEORGE P MILLER III, 135 RIVER RUN, ROSWELL, GA 30075</t>
  </si>
  <si>
    <t>SEABRIGHT DEBRA MILLER GEORGE P MILLER III &amp; ETALS</t>
  </si>
  <si>
    <t>Hardy_HEC_RAS.tif</t>
  </si>
  <si>
    <t>Hardy County*</t>
  </si>
  <si>
    <t>HARDY</t>
  </si>
  <si>
    <t>Hardy</t>
  </si>
  <si>
    <t>16-05-0403-0019-0000_9707</t>
  </si>
  <si>
    <t>9707 S FORK RD, MOOREFIELD, WV, 26836</t>
  </si>
  <si>
    <t>16-05-0403-0019-0000</t>
  </si>
  <si>
    <t>South Fork of the South Branch Potomac River</t>
  </si>
  <si>
    <t>C/O CAPON VALLEY BANK LOAN DEPT, PO BOX 119, WARDENSVILLE, WV 26851</t>
  </si>
  <si>
    <t>MCKENZIE VIRGINIA &amp; LILY VIRGINIA MCKENZIE</t>
  </si>
  <si>
    <t>Stucco</t>
  </si>
  <si>
    <t>42-02-0002-0061-0013_6738</t>
  </si>
  <si>
    <t>6738 BEMIS RD, Beverly, WV, 26253</t>
  </si>
  <si>
    <t>42-02-0002-0061-0013</t>
  </si>
  <si>
    <t>Randolph County</t>
  </si>
  <si>
    <t>RANDOLPH COUNTY</t>
  </si>
  <si>
    <t>10702 LEWIS CT, MANASSA, VA 22110</t>
  </si>
  <si>
    <t>OCONNOR PAULETTE</t>
  </si>
  <si>
    <t>Randolph_HEC_RAS_HAZUS.tif</t>
  </si>
  <si>
    <t>Randolph County*</t>
  </si>
  <si>
    <t>RANDOLPH</t>
  </si>
  <si>
    <t>Randolph</t>
  </si>
  <si>
    <t>42-02-0002-0010-0000_64</t>
  </si>
  <si>
    <t>64 CHAPEL ST, Beverly, WV, 26253</t>
  </si>
  <si>
    <t>42-02-0002-0010-0000</t>
  </si>
  <si>
    <t>29821 OAK DR, MECHANICSVILLE, MD 20659</t>
  </si>
  <si>
    <t>SAGE CAROLYN S &amp; EARL A</t>
  </si>
  <si>
    <t>42-02-0005-0046-0000_179</t>
  </si>
  <si>
    <t>179 COVE RD, Glady, WV, 26268</t>
  </si>
  <si>
    <t>42-02-0005-0046-0000</t>
  </si>
  <si>
    <t>PO BOX 312, BARRACKVILLE, WV 26559</t>
  </si>
  <si>
    <t>ELY DAVID B &amp; JOANN</t>
  </si>
  <si>
    <t>42-05-0020-0092-0000_226</t>
  </si>
  <si>
    <t>226 DIAMOND ST, Elkins, WV, 26241</t>
  </si>
  <si>
    <t>42-05-0020-0092-0000</t>
  </si>
  <si>
    <t>City of Elkins</t>
  </si>
  <si>
    <t>Woolwine Run</t>
  </si>
  <si>
    <t>226 DIAMOND ST, ELKINS, WV 26241</t>
  </si>
  <si>
    <t>SLAYTON MELISSA A &amp; SARA E (KIMBERLY JO WOOLDRIDGE LIFE)</t>
  </si>
  <si>
    <t>R12B</t>
  </si>
  <si>
    <t>Elkins</t>
  </si>
  <si>
    <t>42-05-0001-0073-0000_933</t>
  </si>
  <si>
    <t>933 RANDOLPH AVE, Elkins, WV, 26241</t>
  </si>
  <si>
    <t>42-05-0001-0073-0000</t>
  </si>
  <si>
    <t>1003 N RANDOLPH AVE, ELKINS, WV 26241</t>
  </si>
  <si>
    <t>PHILLIPS EUGENIA M</t>
  </si>
  <si>
    <t>Effective AE (N/A)</t>
  </si>
  <si>
    <t>42-10-0017-0019-0000_300</t>
  </si>
  <si>
    <t>300 WEESE ST, ELKINS, WV, 26241</t>
  </si>
  <si>
    <t>42-10-0017-0019-0000</t>
  </si>
  <si>
    <t>Wees Run</t>
  </si>
  <si>
    <t>120 WEESE ST, ELKINS, WV 26241</t>
  </si>
  <si>
    <t>BENNETT BURTON A &amp; LORETTA L</t>
  </si>
  <si>
    <t>Imitation Brick or Stone</t>
  </si>
  <si>
    <t>17-10-1803-0109-0000_72</t>
  </si>
  <si>
    <t>72 2ND ST, LUMBERPORT, WV, 26386</t>
  </si>
  <si>
    <t>17-10-1803-0109-0000</t>
  </si>
  <si>
    <t>Town of Lumberport</t>
  </si>
  <si>
    <t>HARRISON COUNTY</t>
  </si>
  <si>
    <t>Tenmile Creek</t>
  </si>
  <si>
    <t>SMITHFIELD, WV 26437</t>
  </si>
  <si>
    <t>FLUHARTY ELVA</t>
  </si>
  <si>
    <t>Harrison_HEC_RAS.tif</t>
  </si>
  <si>
    <t>Lumberport</t>
  </si>
  <si>
    <t>HARRISON</t>
  </si>
  <si>
    <t>Harrison</t>
  </si>
  <si>
    <t>17-14-2203-0075-0000_82</t>
  </si>
  <si>
    <t>82 PARRISH CIR, WALLACE, WV, 26448</t>
  </si>
  <si>
    <t>17-14-2203-0075-0000</t>
  </si>
  <si>
    <t>Harrison County</t>
  </si>
  <si>
    <t>Little Tenmile Creek</t>
  </si>
  <si>
    <t>82 PARRISH CIR, WALLACE, WV 26448</t>
  </si>
  <si>
    <t>TRUSTEES WALLACE FULL GOSPEL CHAPEL</t>
  </si>
  <si>
    <t>Harrison County*</t>
  </si>
  <si>
    <t>17-15-0289-0024-0014_1009</t>
  </si>
  <si>
    <t>1009 HALL VALLEY DR, BRIDGEPORT, WV, 26330</t>
  </si>
  <si>
    <t>17-15-0289-0024-0014</t>
  </si>
  <si>
    <t>Ann Run</t>
  </si>
  <si>
    <t>%FRESHLEY BUILT PROP LLC*21, 408 SCOTT ST, BRIDGEPORT, WV 26330</t>
  </si>
  <si>
    <t>RHODES DUANE R &amp; DARLENE V</t>
  </si>
  <si>
    <t>17-04-0802-0008-0000_1104</t>
  </si>
  <si>
    <t>1104 BUCKHANNON PKE, NUTTER FORT, WV, 26301</t>
  </si>
  <si>
    <t>17-04-0802-0008-0000</t>
  </si>
  <si>
    <t>Town of Nutter Fort</t>
  </si>
  <si>
    <t>Nutter Run</t>
  </si>
  <si>
    <t>1520 BUCKHANNON PIKE, NUTTER FORT, WV 26301</t>
  </si>
  <si>
    <t>FOWLER LINDA H &amp; PATRICK S HAWKINS</t>
  </si>
  <si>
    <t>Comm Auxiliary Improvement</t>
  </si>
  <si>
    <t>COM1</t>
  </si>
  <si>
    <t>C1LN</t>
  </si>
  <si>
    <t>COM1NBSG1</t>
  </si>
  <si>
    <t>Nutter Fort</t>
  </si>
  <si>
    <t>24-18-0044-0007-0000_9999</t>
  </si>
  <si>
    <t>9999 ROCK LAKE RD, FAIRMONT, WV, 26554</t>
  </si>
  <si>
    <t>24-18-0044-0007-0000</t>
  </si>
  <si>
    <t>Marion County</t>
  </si>
  <si>
    <t>MARION COUNTY</t>
  </si>
  <si>
    <t>Rock Lake</t>
  </si>
  <si>
    <t>108 BONANZA LN, FAIRMONT, WV 26554</t>
  </si>
  <si>
    <t>MARTIN JAMES M &amp; DEBRA D</t>
  </si>
  <si>
    <t>Marion_HEC_RAS.tif</t>
  </si>
  <si>
    <t>Marion County*</t>
  </si>
  <si>
    <t>MARION</t>
  </si>
  <si>
    <t>Marion</t>
  </si>
  <si>
    <t>24-05-0003-0149-0001_1032</t>
  </si>
  <si>
    <t>1032 SPEEDWAY AVE, FAIRMONT, WV, 26554</t>
  </si>
  <si>
    <t>24-05-0003-0149-0001</t>
  </si>
  <si>
    <t>City of Fairmont</t>
  </si>
  <si>
    <t>Hickman Run</t>
  </si>
  <si>
    <t>Upper Monongahela (5020003)</t>
  </si>
  <si>
    <t>3748 DENTS RUN BLVD STE A, MORGANTOWN, WV 26501</t>
  </si>
  <si>
    <t>MERIT DEVELOPMENT INC</t>
  </si>
  <si>
    <t>Warehouse</t>
  </si>
  <si>
    <t>COM2</t>
  </si>
  <si>
    <t>Brick or Concrete Block</t>
  </si>
  <si>
    <t>Effective AE (HEC-RAS)</t>
  </si>
  <si>
    <t>C2LB</t>
  </si>
  <si>
    <t>Fairmont</t>
  </si>
  <si>
    <t>24-11-0033-0006-0000_679</t>
  </si>
  <si>
    <t>679 MILL FALL RUN RD, FAIRMONT, WV, 26554</t>
  </si>
  <si>
    <t>24-11-0033-0006-0000</t>
  </si>
  <si>
    <t>Mill Fall Run</t>
  </si>
  <si>
    <t>257 LYNDON AVE, MONONGAH, WV 26554</t>
  </si>
  <si>
    <t>DEAN SCOTT C &amp; CAROLYN S</t>
  </si>
  <si>
    <t>Part</t>
  </si>
  <si>
    <t>Advisory A + Zone X (0.2 Pct) (HEC-RAS)</t>
  </si>
  <si>
    <t>24-18-0034-0089-0000_9997</t>
  </si>
  <si>
    <t>9997 POPLAR ISLAND RD, FAIRMONT, WV, 26554</t>
  </si>
  <si>
    <t>24-18-0034-0089-0000</t>
  </si>
  <si>
    <t>801 COLEMAN AVE, FAIRMONT, WV 26554</t>
  </si>
  <si>
    <t>HUTCHINSON DOUGLAS A 1/2 INT &amp; DAVID 1/4 INT &amp;</t>
  </si>
  <si>
    <t>06-08-0024-0039-0000_1042</t>
  </si>
  <si>
    <t>1042 RACCOON CREEK RD, Branchland, WV, 25506</t>
  </si>
  <si>
    <t>06-08-0024-0039-0000</t>
  </si>
  <si>
    <t>Cabell County</t>
  </si>
  <si>
    <t>CABELL COUNTY</t>
  </si>
  <si>
    <t>Raccoon Creek Tributary no.1</t>
  </si>
  <si>
    <t>Twelvepole (5090102)</t>
  </si>
  <si>
    <t>1038 RACCOON CREEK RD, BRANCHLAND, WV 25506</t>
  </si>
  <si>
    <t>MAYS PEARL</t>
  </si>
  <si>
    <t>Cabell_HEC_RAS_HAZUS.tif</t>
  </si>
  <si>
    <t>Cabell County*</t>
  </si>
  <si>
    <t>CABELL</t>
  </si>
  <si>
    <t>Cabell</t>
  </si>
  <si>
    <t>06-01-0022-0040-0004_5184</t>
  </si>
  <si>
    <t>5184 HUGHES BRANCH RD, HUNTINGTON, WV, 25701</t>
  </si>
  <si>
    <t>06-01-0022-0040-0004</t>
  </si>
  <si>
    <t>Long Branch</t>
  </si>
  <si>
    <t>C/O JESSE &amp; GERALDINE G LACY, 5205 LONG BRANCH RD, HUNTINGTON, WV 25701</t>
  </si>
  <si>
    <t>FRENCH MARIANNA (PURCHASE AGREEMENT)</t>
  </si>
  <si>
    <t>Cape Cod/Cape Ann</t>
  </si>
  <si>
    <t>06-03-0025-0051-0004_9999</t>
  </si>
  <si>
    <t>9999 E MUD RIVER RD, MILTON, WV, 25541</t>
  </si>
  <si>
    <t>06-03-0025-0051-0004</t>
  </si>
  <si>
    <t>Charley Creek</t>
  </si>
  <si>
    <t>Lower Guyandotte (5070102)</t>
  </si>
  <si>
    <t>C/O WANDA DILLON, 1640 CHARLEYS CREEK RD, CULLODEN, WV 25510</t>
  </si>
  <si>
    <t>DILLON MATT</t>
  </si>
  <si>
    <t>06-09-0005-0249-0000_1023</t>
  </si>
  <si>
    <t>1023 SMITH ST, MILTON, WV, 25541</t>
  </si>
  <si>
    <t>06-09-0005-0249-0000</t>
  </si>
  <si>
    <t>City of Milton</t>
  </si>
  <si>
    <t>Mud River</t>
  </si>
  <si>
    <t>P O BOX 3149, CHARLESTON, WV 25331</t>
  </si>
  <si>
    <t>REALCO LIMITED LIABILITY CO</t>
  </si>
  <si>
    <t>Brick</t>
  </si>
  <si>
    <t>RES1NBFT0</t>
  </si>
  <si>
    <t>Milton</t>
  </si>
  <si>
    <t>06-03-0013-0014-0000_2584</t>
  </si>
  <si>
    <t>2584 YATES CROSSING RD, MILTON, WV, 25541</t>
  </si>
  <si>
    <t>06-03-0013-0014-0000</t>
  </si>
  <si>
    <t>C/O NICHOLAS &amp; KETURAH AMANDUS, 101 WHIPPOORWILL WOODS RD, MILTON, WV 25541</t>
  </si>
  <si>
    <t>THOMPSON LINVILL</t>
  </si>
  <si>
    <t>06-09-0007-0008-0000_1009</t>
  </si>
  <si>
    <t>1009 STEWART ST, MILTON, WV, 25541</t>
  </si>
  <si>
    <t>06-09-0007-0008-0000</t>
  </si>
  <si>
    <t>C/O KENNITH BLACK, 4042 CAVELL CRK, BARBOURSVILLE, WV 25504</t>
  </si>
  <si>
    <t>JACKSON JEFFREY C &amp; PATRICIA</t>
  </si>
  <si>
    <t>06-04-0014-0062-0000_4114</t>
  </si>
  <si>
    <t>4114 GREEN VALLEY RD, HUNTINGTON, WV, 25701</t>
  </si>
  <si>
    <t>06-04-0014-0062-0000</t>
  </si>
  <si>
    <t>Fourpole Creek</t>
  </si>
  <si>
    <t>Raccoon-Symmes (5090101)</t>
  </si>
  <si>
    <t>14 SILVERMINE HOLLOW, BRANCHLAND, WV 25506</t>
  </si>
  <si>
    <t>PARSONS ALLEN D</t>
  </si>
  <si>
    <t xml:space="preserve">address found on google </t>
  </si>
  <si>
    <t>08-05-0013-0009-0002_94</t>
  </si>
  <si>
    <t>94 GLEN RD TRLR, LIZEMORES, WV, 25111</t>
  </si>
  <si>
    <t>08-05-0013-0009-0002</t>
  </si>
  <si>
    <t>Clay County</t>
  </si>
  <si>
    <t>CLAY COUNTY</t>
  </si>
  <si>
    <t>Adonijah Fork</t>
  </si>
  <si>
    <t>108 GLEN RD, INDORE, WV 25111</t>
  </si>
  <si>
    <t>COTTRELL MATTHEW ETAL</t>
  </si>
  <si>
    <t>Clay_HEC_RAS_HAZUS.tif</t>
  </si>
  <si>
    <t>Clay County*</t>
  </si>
  <si>
    <t>CLAY</t>
  </si>
  <si>
    <t>Clay</t>
  </si>
  <si>
    <t>08-03-033A-0061-0000_38</t>
  </si>
  <si>
    <t>38 ELM ST, CLAY, WV, 25043</t>
  </si>
  <si>
    <t>08-03-033A-0061-0000</t>
  </si>
  <si>
    <t>Elk River</t>
  </si>
  <si>
    <t>PO BOX 514, CLAY, WV 25043</t>
  </si>
  <si>
    <t>SCHOONOVER HORTENSE</t>
  </si>
  <si>
    <t>08-06-0006-0049-0001_243</t>
  </si>
  <si>
    <t>243 SCENIC RIVER RD, BOMONT, WV, 25164</t>
  </si>
  <si>
    <t>08-06-0006-0049-0001</t>
  </si>
  <si>
    <t>168 BASIL HIVELY RD, PROCIOUS, WV 25164</t>
  </si>
  <si>
    <t>SAMPLES A RAMONA</t>
  </si>
  <si>
    <t>08-01-0006-0033-0000_152</t>
  </si>
  <si>
    <t>152 SEMINOLE ST, IVYDALE, WV, 25113</t>
  </si>
  <si>
    <t>08-01-0006-0033-0000</t>
  </si>
  <si>
    <t>770 OLD TUPPERS CRK RD, CHARLESTON, WV 25312</t>
  </si>
  <si>
    <t>THAXTON DEBBIE</t>
  </si>
  <si>
    <t>08-06-0006-0048-0000_185</t>
  </si>
  <si>
    <t>185 SCENIC RIVER DR, BOMONT, WV, 25030</t>
  </si>
  <si>
    <t>08-06-0006-0048-0000</t>
  </si>
  <si>
    <t>407 PAXTON RD, PROCIOUS, WV 25164</t>
  </si>
  <si>
    <t>TENNEY GARLAND RAY</t>
  </si>
  <si>
    <t>(AD) Address: Incomplete</t>
  </si>
  <si>
    <t>08-05-0014-0114-0000_7114</t>
  </si>
  <si>
    <t>7114 CLAY HWY TRLR, BICKMORE, WV, 25019</t>
  </si>
  <si>
    <t>08-05-0014-0114-0000</t>
  </si>
  <si>
    <t>08-05-0014-0113-0000</t>
  </si>
  <si>
    <t>Middle Creek</t>
  </si>
  <si>
    <t>P O BOX 136, BICKMORE, WV 25019</t>
  </si>
  <si>
    <t>KING LORETTA LYNN</t>
  </si>
  <si>
    <t>08-06-0014-0035-0000_4932A</t>
  </si>
  <si>
    <t>4932A ELK RIVER RD, PROCIOUS, WV, 25133</t>
  </si>
  <si>
    <t>08-06-0014-0035-0000</t>
  </si>
  <si>
    <t>PO BOX 1027, ELKVIEW, WV 25071</t>
  </si>
  <si>
    <t>PAULEY GARY W II</t>
  </si>
  <si>
    <t>08-01-0006-0033-0000_220</t>
  </si>
  <si>
    <t>220 SEMINOLE ST, IVYDALE, WV, 25113</t>
  </si>
  <si>
    <t>22-06-0005-0007-0001_9999</t>
  </si>
  <si>
    <t>9999 FOUR MILE CRK, Branchland, WV, 25506</t>
  </si>
  <si>
    <t>22-06-0005-0007-0001</t>
  </si>
  <si>
    <t>Lincoln County</t>
  </si>
  <si>
    <t>LINCOLN COUNTY</t>
  </si>
  <si>
    <t>Red River Fork</t>
  </si>
  <si>
    <t>1059 FOUR MILE CREEK, BRANCHLAND, WV 25506</t>
  </si>
  <si>
    <t>TABOR THURSTON &amp; BRENDA SURV</t>
  </si>
  <si>
    <t>Lincoln_HEC_RAS_HAZUS.tif</t>
  </si>
  <si>
    <t>Lincoln County*</t>
  </si>
  <si>
    <t>LINCOLN</t>
  </si>
  <si>
    <t>Lincoln</t>
  </si>
  <si>
    <t>22-02-0020-0087-0002_4716</t>
  </si>
  <si>
    <t>4716 STRAIGHT FRK, Yawkey, WV, 25573</t>
  </si>
  <si>
    <t>22-02-0020-0087-0002</t>
  </si>
  <si>
    <t>Straight Fork</t>
  </si>
  <si>
    <t>TAX BILL PROCESSING, 3100 NEW YORK DRIVE STE 100, PASADENA, CA 91107</t>
  </si>
  <si>
    <t>DUNLAP D CRAIG 0</t>
  </si>
  <si>
    <t>22-01-0026-0014-0001_2</t>
  </si>
  <si>
    <t>2 RUFFIE BR, Hamlin, WV, 25523</t>
  </si>
  <si>
    <t>22-01-0026-0014-0001</t>
  </si>
  <si>
    <t>Scary Creek</t>
  </si>
  <si>
    <t>253 SCARY CREEK RD, HAMLIN, WV 25523</t>
  </si>
  <si>
    <t>ADKINS RICKEY L &amp; CONNIE L SURV</t>
  </si>
  <si>
    <t>Religious</t>
  </si>
  <si>
    <t>REL1</t>
  </si>
  <si>
    <t>Religious Institutions</t>
  </si>
  <si>
    <t>RE1LN</t>
  </si>
  <si>
    <t>MAPPED OUT-Other</t>
  </si>
  <si>
    <t>22-09-0003-0009-0001_4976</t>
  </si>
  <si>
    <t>4976 COAL RIVER RD, Tornado, WV, 25202</t>
  </si>
  <si>
    <t>22-09-0003-0009-0001</t>
  </si>
  <si>
    <t>Coal River</t>
  </si>
  <si>
    <t>Coal (5050009)</t>
  </si>
  <si>
    <t>4980 COAL RIVER RD, TORNADO, WV 25202</t>
  </si>
  <si>
    <t>SMITH NORMA LOVEJOY</t>
  </si>
  <si>
    <t>RES1NBSG4</t>
  </si>
  <si>
    <t>22-07-0015-0029-0003_283</t>
  </si>
  <si>
    <t>283 TWO MILE RD, Branchland, WV, 25506</t>
  </si>
  <si>
    <t>22-07-0015-0029-0003</t>
  </si>
  <si>
    <t>Two Mile Creek</t>
  </si>
  <si>
    <t>465 HARLESS FK, BRANCHLAND, WV 25506</t>
  </si>
  <si>
    <t>ADKINS ALLEN</t>
  </si>
  <si>
    <t>22-01-0025-0009-0000_310</t>
  </si>
  <si>
    <t>310 TRACE CRK, Hamlin, WV, 25523</t>
  </si>
  <si>
    <t>22-01-0025-0009-0000</t>
  </si>
  <si>
    <t>Trace Creek</t>
  </si>
  <si>
    <t>WALNUT GROVE METHODIST CHURCH</t>
  </si>
  <si>
    <t>OBY Section</t>
  </si>
  <si>
    <t>22-01-0035-0018-0000_430</t>
  </si>
  <si>
    <t>430 HICKORY ST, West Hamlin, WV, 25571</t>
  </si>
  <si>
    <t>22-01-0035-0018-0000</t>
  </si>
  <si>
    <t>P O BOX 316, WEST HAMLIN, WV 25571</t>
  </si>
  <si>
    <t>RAKES SHERMAN &amp; ALICE A SURV</t>
  </si>
  <si>
    <t>22-01-0035-0033-0000_10</t>
  </si>
  <si>
    <t>10 CHERRY ST, West Hamlin, WV, 25571</t>
  </si>
  <si>
    <t>22-01-0035-0033-0000</t>
  </si>
  <si>
    <t>550 STATE ST., HAMLIN, WV 25523</t>
  </si>
  <si>
    <t>MAY BERTHA</t>
  </si>
  <si>
    <t>22-03-0002-0103-0000_201</t>
  </si>
  <si>
    <t>201 VINE AVE, Hamlin, WV, 25523</t>
  </si>
  <si>
    <t>22-03-0002-0103-0000</t>
  </si>
  <si>
    <t>Town of Hamlin</t>
  </si>
  <si>
    <t>201 MANSION ST, HAMLIN, WV 25523</t>
  </si>
  <si>
    <t>KITCHEN DANIEL EARL</t>
  </si>
  <si>
    <t>Asbestos</t>
  </si>
  <si>
    <t>Hamlin</t>
  </si>
  <si>
    <t>22-01-0035-0029-0000_9999</t>
  </si>
  <si>
    <t>9999 HICKORY ST, West Hamlin, WV, 25571</t>
  </si>
  <si>
    <t>22-01-0035-0029-0000</t>
  </si>
  <si>
    <t>5115 STRAIGHT FORK, GRIFFITHSVILLE, WV 25521</t>
  </si>
  <si>
    <t>ADKINS TOMMY &amp; DAVID R SURV</t>
  </si>
  <si>
    <t>22-01-0035-0008-0000_485</t>
  </si>
  <si>
    <t>485 HICKORY ST, West Hamlin, WV, 25571</t>
  </si>
  <si>
    <t>22-01-0035-0008-0000</t>
  </si>
  <si>
    <t>Updated AE</t>
  </si>
  <si>
    <t>485 HICKORY ST, HAMLIN, WV 25523</t>
  </si>
  <si>
    <t>ROSS JACKIE &amp; KIMBERLY D</t>
  </si>
  <si>
    <t>Updated AE + Zone X (0.2 Pct) (HEC-RAS)</t>
  </si>
  <si>
    <t>22-01-0035-0009-0001_460</t>
  </si>
  <si>
    <t>460 HICKORY ST, Hamlin, WV, 25523</t>
  </si>
  <si>
    <t>22-01-0035-0009-0001</t>
  </si>
  <si>
    <t>ROSS JACKIE &amp; KIMBERLY SURV</t>
  </si>
  <si>
    <t>22-04-0042-0006-0000_313</t>
  </si>
  <si>
    <t>313 TWELVEPOLE CRK, Wilsondale, WV, 25699</t>
  </si>
  <si>
    <t>22-04-0042-0006-0000</t>
  </si>
  <si>
    <t>East Fork Twelvepole Creek</t>
  </si>
  <si>
    <t>PO BOX 286, WILKINSON, WV 25653</t>
  </si>
  <si>
    <t>MEADE INA JEAN</t>
  </si>
  <si>
    <t>22-04-0033-0038-0004_317</t>
  </si>
  <si>
    <t>317 HARTS CRK, Harts, WV, 25524</t>
  </si>
  <si>
    <t>22-04-0033-0038-0004</t>
  </si>
  <si>
    <t>Big Harts Creek</t>
  </si>
  <si>
    <t>1024 BIG BRANCH, HARTS, WV 25524</t>
  </si>
  <si>
    <t>COAL BRANCH CHURCH OF JESUS CHRIST</t>
  </si>
  <si>
    <t>Auxiliary Improvement</t>
  </si>
  <si>
    <t>Card 2, lines 2-4</t>
  </si>
  <si>
    <t>22-04-0031-0018-0005_1206</t>
  </si>
  <si>
    <t>1206 FRANCES CRK, Harts, WV, 25524</t>
  </si>
  <si>
    <t>22-04-0031-0018-0005</t>
  </si>
  <si>
    <t>Kiah Creek</t>
  </si>
  <si>
    <t>1155 FRANCES CREEK, HARTS, WV 25524</t>
  </si>
  <si>
    <t>WORKMAN ROBERT &amp; JOYCE</t>
  </si>
  <si>
    <t>22-04-0033-0038-0004_319</t>
  </si>
  <si>
    <t>319 HARTS CRK, Harts, WV, 25524</t>
  </si>
  <si>
    <t>Lines 1-3 on card 1 and line 1 on card 2</t>
  </si>
  <si>
    <t>22-04-0033-0038-0004_311</t>
  </si>
  <si>
    <t>311 HARTS CRK, Harts, WV, 25524</t>
  </si>
  <si>
    <t>Card 1, seems to be an old utility building on google street view</t>
  </si>
  <si>
    <t>C4LN</t>
  </si>
  <si>
    <t>22-04-0040-0002-0000_8</t>
  </si>
  <si>
    <t>8 THOMPSON BR, Harts, WV, 25524</t>
  </si>
  <si>
    <t>22-04-0040-0002-0000</t>
  </si>
  <si>
    <t>RT. 1 BOX 270, HARTS, WV 25524</t>
  </si>
  <si>
    <t>CASTO CHARLEY &amp; NANCY SURV</t>
  </si>
  <si>
    <t>22-04-0034-0009-0000_1024</t>
  </si>
  <si>
    <t>1024 LOW GAP BR, Harts, WV, 25524</t>
  </si>
  <si>
    <t>22-04-0034-0009-0000</t>
  </si>
  <si>
    <t>Marsh Fork</t>
  </si>
  <si>
    <t>C/O MERRILL ADKINS, 44 LOW GAP RD, HARTS, WV 25524</t>
  </si>
  <si>
    <t>MULLINS BERNICE</t>
  </si>
  <si>
    <t>Used Lincoln co. median single wide mobile home values for building value.</t>
  </si>
  <si>
    <t>22-04-0033-0038-0004_309</t>
  </si>
  <si>
    <t>309 Harts Crk, Harts, WV, 25524</t>
  </si>
  <si>
    <t>Card 2, Lines 5-7</t>
  </si>
  <si>
    <t>22-04-0005-0007-0000_14</t>
  </si>
  <si>
    <t>14 MOUNTS LN, Ranger, WV, 25557</t>
  </si>
  <si>
    <t>22-04-0005-0007-0000</t>
  </si>
  <si>
    <t>East Fork Fourteenmile Creek</t>
  </si>
  <si>
    <t>2430 MCCLELLAN HWY, BRANCHLAND, WV 25506</t>
  </si>
  <si>
    <t>MOUNTS JACKIE L</t>
  </si>
  <si>
    <t>22-04-0005-0007-0000_18</t>
  </si>
  <si>
    <t>18 MOUNTS LN, Ranger, WV, 25557</t>
  </si>
  <si>
    <t>Double wide Mobile Home</t>
  </si>
  <si>
    <t xml:space="preserve">FIRM unknown </t>
  </si>
  <si>
    <t>22-04-0021-0015-0002_1419</t>
  </si>
  <si>
    <t>1419 BIG UGLY CRK, Harts, WV, 25524</t>
  </si>
  <si>
    <t>22-04-0021-0015-0002</t>
  </si>
  <si>
    <t>Big Ugly Creek</t>
  </si>
  <si>
    <t>LACY WORKMAN, 4 DARLING LANE, KENOVA, WV 25530</t>
  </si>
  <si>
    <t>WORKMAN BRENDA BY WILL</t>
  </si>
  <si>
    <t>50-10-004D-0018-0000_268</t>
  </si>
  <si>
    <t>268 SMITH ST, LAVALETTE, WV, 25535</t>
  </si>
  <si>
    <t>50-10-004D-0018-0000</t>
  </si>
  <si>
    <t>Wayne County</t>
  </si>
  <si>
    <t>WAYNE COUNTY</t>
  </si>
  <si>
    <t>Twelvepole Creek</t>
  </si>
  <si>
    <t>280 SMITH ST UNIT 1, LAVALETTE, WV 25535</t>
  </si>
  <si>
    <t>COLE DANNY AUVIL</t>
  </si>
  <si>
    <t>Stone</t>
  </si>
  <si>
    <t>Wayne_HEC_RAS_HAZUS.tif</t>
  </si>
  <si>
    <t>Wayne County*</t>
  </si>
  <si>
    <t>WAYNE</t>
  </si>
  <si>
    <t>Wayne</t>
  </si>
  <si>
    <t>50-01-0029-0066-0003_88</t>
  </si>
  <si>
    <t>88 PADDLE CREEK RD TRLR, FORT GAY, WV, 25514</t>
  </si>
  <si>
    <t>50-01-0029-0066-0003</t>
  </si>
  <si>
    <t>Paddle Creek</t>
  </si>
  <si>
    <t>Tug (5070201)</t>
  </si>
  <si>
    <t>124 PADDLE CREEK RD, FORT GAY, WV 25514</t>
  </si>
  <si>
    <t>HUFF WILLIAM TORRY</t>
  </si>
  <si>
    <t>50-05-0004-0012-0000_141</t>
  </si>
  <si>
    <t>141 CEDAR HTS, FORT GAY, WV, 25514</t>
  </si>
  <si>
    <t>50-05-0004-0012-0000</t>
  </si>
  <si>
    <t>Mill Creek</t>
  </si>
  <si>
    <t>1031 VIOLET LN, LOUISA, KY 41230</t>
  </si>
  <si>
    <t>PAULEY FAMILY TRUST</t>
  </si>
  <si>
    <t>50-10-004D-0018-0000_260</t>
  </si>
  <si>
    <t>260 SMITH ST, LAVALETTE, WV, 25535</t>
  </si>
  <si>
    <t>50-08-0008-0017-0000_27061</t>
  </si>
  <si>
    <t>27061 ROUTE 152, DUNLOW, WV, 25511</t>
  </si>
  <si>
    <t>50-08-0008-0017-0000</t>
  </si>
  <si>
    <t>West Fork Twelvepole Creek</t>
  </si>
  <si>
    <t>PO BOX 171, KERMIT, WV 25674</t>
  </si>
  <si>
    <t>MARCUM TIMOTHY C</t>
  </si>
  <si>
    <t>50-08-0008-0017-0000_27126</t>
  </si>
  <si>
    <t>27126 ROUTE 152 TRLR, DUNLOW, WV, 25511</t>
  </si>
  <si>
    <t>50-09-0016-0080-0000_21765</t>
  </si>
  <si>
    <t>21765 EAST LYNN RD TRLR, WAYNE, WV, 25570</t>
  </si>
  <si>
    <t>50-09-0016-0080-0000</t>
  </si>
  <si>
    <t>% JAMES A CASTEEL, 21775 EAST LYNN RD, WAYNE, WV 25570</t>
  </si>
  <si>
    <t>CASTEEL NELLIE MARIE</t>
  </si>
  <si>
    <t>RES2NBFT8</t>
  </si>
  <si>
    <t>50-08-0003-0006-0002_193</t>
  </si>
  <si>
    <t>193 LEFT FORK MILL CREEK RD, FORT GAY, WV, 25514</t>
  </si>
  <si>
    <t>50-08-0003-0006-0002</t>
  </si>
  <si>
    <t>Left Fork Mill Creek</t>
  </si>
  <si>
    <t>% JOHN CARPENTER, 4839 MILL CREEK RD, GENOA, WV 25517</t>
  </si>
  <si>
    <t>WHEELER PAULA &amp; RONALD T II</t>
  </si>
  <si>
    <t>50-11-0001-0022-0000_335</t>
  </si>
  <si>
    <t>335 7TH ST, WAYNE, WV, 25570</t>
  </si>
  <si>
    <t>50-11-0001-0022-0000</t>
  </si>
  <si>
    <t>Town of Wayne</t>
  </si>
  <si>
    <t>%LISA J ROSS, 860 BIG BRANCH RD, WAYNE, WV 25570</t>
  </si>
  <si>
    <t>ASBURY ROBERTA JEAN &amp; DARRELL EDWARD &amp; LISA JANE</t>
  </si>
  <si>
    <t>50-09-0016-0080-0000_21761</t>
  </si>
  <si>
    <t>21761 EAST LYNN RD TRLR, WAYNE, WV, 25570</t>
  </si>
  <si>
    <t>RES2NBFT4</t>
  </si>
  <si>
    <t>50-08-0043-0038-0000_638</t>
  </si>
  <si>
    <t>638 STONECOAL RD, KERMIT, WV, 25674</t>
  </si>
  <si>
    <t>50-08-0043-0038-0000</t>
  </si>
  <si>
    <t>Stonecoal Creek</t>
  </si>
  <si>
    <t>PO BOX 161, KERMIT, WV 25674</t>
  </si>
  <si>
    <t>WARD MARCELLA EST</t>
  </si>
  <si>
    <t>50-08-0008-0017-0000_27126A</t>
  </si>
  <si>
    <t>27126A ROUTE 152 TRLR, DUNLOW, WV, 25511</t>
  </si>
  <si>
    <t>50-05-0004-0002-0001_100</t>
  </si>
  <si>
    <t>100 CEDAR HTS TRLR, FORT GAY, WV, 25514</t>
  </si>
  <si>
    <t>50-05-0004-0002-0001</t>
  </si>
  <si>
    <t>Town of Fort Gay</t>
  </si>
  <si>
    <t>100 CEDAR HTS, FORT GAY, WV 25514</t>
  </si>
  <si>
    <t>ZEEK BILLY DARRELL</t>
  </si>
  <si>
    <t>(PG) Parcel:  Site Address Outside Parcel</t>
  </si>
  <si>
    <t>Fort Gay</t>
  </si>
  <si>
    <t>50-11-0001-0022-0000_335A</t>
  </si>
  <si>
    <t>335A 7TH ST, WAYNE, WV, 25570</t>
  </si>
  <si>
    <t>50-09-0021-0066-0000_18814</t>
  </si>
  <si>
    <t>18814 EAST LYNN RD, EAST LYNN, WV, 25512</t>
  </si>
  <si>
    <t>50-09-0021-0066-0000</t>
  </si>
  <si>
    <t>% NAOMI CLARK, P O BOX 402, WAYNE, WV 25570</t>
  </si>
  <si>
    <t>CLARK NILA &amp; LEE</t>
  </si>
  <si>
    <t>RES1NBSG8</t>
  </si>
  <si>
    <t>50-08-0008-0017-0000_27126B</t>
  </si>
  <si>
    <t>27126B ROUTE 152 TRLR, DUNLOW, WV, 25511</t>
  </si>
  <si>
    <t>50-10-004D-0018-0000_280</t>
  </si>
  <si>
    <t>280 SMITH ST, LAVALETTE, WV, 25535</t>
  </si>
  <si>
    <t>50-01-0023-0013-0000_18762</t>
  </si>
  <si>
    <t>18762 ROUTE 152, GENOA, WV, 25517</t>
  </si>
  <si>
    <t>50-01-0023-0013-0000</t>
  </si>
  <si>
    <t>273 PYLES BRANCH RD, WAYNE, WV 25570</t>
  </si>
  <si>
    <t>JACKSON WILLIAM JOSEPH ET ALS</t>
  </si>
  <si>
    <t>31-15-0010-0054-0000_308</t>
  </si>
  <si>
    <t>308 ELMHURST ST, MORGANTOWN, WV, 26505</t>
  </si>
  <si>
    <t>31-15-0010-0054-0000</t>
  </si>
  <si>
    <t>City of Morgantown</t>
  </si>
  <si>
    <t>MONONGALIA COUNTY</t>
  </si>
  <si>
    <t>Popenoe Run</t>
  </si>
  <si>
    <t>BFE (Effective)</t>
  </si>
  <si>
    <t>308 ELMHURST ST, MORGANTOWN, WV 26505</t>
  </si>
  <si>
    <t>CHRISTIAN MISSIONARY ALLIANCE CHURCH</t>
  </si>
  <si>
    <t>CMA Church of Morgantown. Appraisals combined bwtween this parcel and the parcel to the right</t>
  </si>
  <si>
    <t>Effective AE-Floodway (HEC-RAS)</t>
  </si>
  <si>
    <t>Monongalia_HEC_RAS.tif</t>
  </si>
  <si>
    <t>Remains Same Floodway-Other</t>
  </si>
  <si>
    <t>&gt;1M</t>
  </si>
  <si>
    <t>Morgantown</t>
  </si>
  <si>
    <t>MONONGALIA</t>
  </si>
  <si>
    <t>Monongalia</t>
  </si>
  <si>
    <t>31-19-0003-0009-0000_9999</t>
  </si>
  <si>
    <t>9999 PENNSYLVANIA AVE, WESTOVER, WV, 26501</t>
  </si>
  <si>
    <t>31-19-0003-0009-0000</t>
  </si>
  <si>
    <t>City of Westover</t>
  </si>
  <si>
    <t>Dents Run</t>
  </si>
  <si>
    <t>104 HUNTING HILLS RD, GREENSBORO, PA 15338</t>
  </si>
  <si>
    <t>JOHN JOSEPH F</t>
  </si>
  <si>
    <t>Mobile Home Park</t>
  </si>
  <si>
    <t>Westover</t>
  </si>
  <si>
    <t>39-06-0023-0004-0000_1509</t>
  </si>
  <si>
    <t>1509 SAINT JOE RD, ALBRIGHT, WV, 26519</t>
  </si>
  <si>
    <t>39-06-0023-0004-0000</t>
  </si>
  <si>
    <t>Preston County</t>
  </si>
  <si>
    <t>PRESTON COUNTY</t>
  </si>
  <si>
    <t>C/O CALVERT THELMA TRUSTEE, 52 ELSEY CREEK LN, ALBRIGHT, WV 26519</t>
  </si>
  <si>
    <t>CALVERT TRUST</t>
  </si>
  <si>
    <t>Preston_HEC_RAS.tif</t>
  </si>
  <si>
    <t>Preston County*</t>
  </si>
  <si>
    <t>PRESTON</t>
  </si>
  <si>
    <t>Preston</t>
  </si>
  <si>
    <t>39-10-0012-0034-0000_2021</t>
  </si>
  <si>
    <t>2021 BIG SANDY RD, BRUCETON MILLS, WV, 26525</t>
  </si>
  <si>
    <t>39-10-0012-0034-0000</t>
  </si>
  <si>
    <t>Big Sandy Creek</t>
  </si>
  <si>
    <t>2067 BIG SANDY RD, BRUCETON MILLS, WV 26525</t>
  </si>
  <si>
    <t>ROSENBERGER CHARLY, STEPHANIE A,PHILLIP G &amp; ADAMS JEREMIAH J</t>
  </si>
  <si>
    <t>26-09-0001-0048-0000_318</t>
  </si>
  <si>
    <t>318 MAIN ST, LEON, WV, 25123</t>
  </si>
  <si>
    <t>26-09-0001-0048-0000</t>
  </si>
  <si>
    <t>Town of Leon</t>
  </si>
  <si>
    <t>MASON COUNTY</t>
  </si>
  <si>
    <t>Thirteenmile Creek</t>
  </si>
  <si>
    <t>Lower Kanawha (5050008)</t>
  </si>
  <si>
    <t>7466 EVANS RD, LEON, WV 25123</t>
  </si>
  <si>
    <t>TUCKER STEPHEN E</t>
  </si>
  <si>
    <t>Mason_HEC_RAS_HAZUS_20210518.tif</t>
  </si>
  <si>
    <t>Leon</t>
  </si>
  <si>
    <t>MASON</t>
  </si>
  <si>
    <t>Mason</t>
  </si>
  <si>
    <t>26-11-0002-0113-0000_154</t>
  </si>
  <si>
    <t>154 LOCUST LN, MASON, WV, 25260</t>
  </si>
  <si>
    <t>26-11-0002-0113-0000</t>
  </si>
  <si>
    <t>Town of Mason</t>
  </si>
  <si>
    <t>Ohio River</t>
  </si>
  <si>
    <t>Upper Ohio-Shade (5030202)</t>
  </si>
  <si>
    <t>BOX 613, MASON, WV 25260</t>
  </si>
  <si>
    <t>RUSSELL SHERIDAN JR</t>
  </si>
  <si>
    <t>the google earth image matches the structure drawing better</t>
  </si>
  <si>
    <t>26-16-0144-0012-0000_917A</t>
  </si>
  <si>
    <t>917A RIVERCREST LN, WEST COLUMBIA, WV, 25287</t>
  </si>
  <si>
    <t>26-16-0144-0012-0000</t>
  </si>
  <si>
    <t>Mason County</t>
  </si>
  <si>
    <t>917 RIVER CREST LN, WEST COLUMBIA, WV 25287</t>
  </si>
  <si>
    <t>CONGROVE JAMES</t>
  </si>
  <si>
    <t>looks primary from streetview, address based on other</t>
  </si>
  <si>
    <t>Mason County*</t>
  </si>
  <si>
    <t>26-07-0001-0049-0003_102</t>
  </si>
  <si>
    <t>102 MAIN ST, HARTFORD, WV, 25247</t>
  </si>
  <si>
    <t>26-07-0001-0049-0003</t>
  </si>
  <si>
    <t>Town of Hartford</t>
  </si>
  <si>
    <t>P O BOX 273, HARTFORD, WV 25247</t>
  </si>
  <si>
    <t>HOSCHAR JERRY &amp; AMY</t>
  </si>
  <si>
    <t>Hartford</t>
  </si>
  <si>
    <t>26-07-0001-0097-0000_137</t>
  </si>
  <si>
    <t>137 HEALEY ST, HARTFORD, WV, 25247</t>
  </si>
  <si>
    <t>26-07-0001-0097-0000</t>
  </si>
  <si>
    <t>PO BOX 265, HARTFORD, WV 25247</t>
  </si>
  <si>
    <t>TRUSTEES OF THE PENTECOSTAL LIGHTHOUSE CHURCH</t>
  </si>
  <si>
    <t>Belongs to the Trustees of the Pentecostal Lighthouse Church. Exempt.</t>
  </si>
  <si>
    <t>REL1NBSG1</t>
  </si>
  <si>
    <t>26-08-0001-0112-0001_103</t>
  </si>
  <si>
    <t>103 FOREST ST, HENDERSON, WV, 25106</t>
  </si>
  <si>
    <t>26-08-0001-0112-0001</t>
  </si>
  <si>
    <t>Town of Henderson</t>
  </si>
  <si>
    <t>P O BOX 292, HENDERSON, WV 25106</t>
  </si>
  <si>
    <t>LITCHFIELD CHARLES F &amp; STACY L</t>
  </si>
  <si>
    <t>Henderson</t>
  </si>
  <si>
    <t>26-07-0001-0038-0000_9999</t>
  </si>
  <si>
    <t>9999 TRACK ST, HARTFORD, WV, 25247</t>
  </si>
  <si>
    <t>26-07-0001-0038-0000</t>
  </si>
  <si>
    <t>41 CHILLICOTHE RD, GALLIPOLIS, OH 45631</t>
  </si>
  <si>
    <t>CHANDLER ALEXANDER J</t>
  </si>
  <si>
    <t>26-16-0144-0012-0000_917</t>
  </si>
  <si>
    <t>917 RIVERCREST LN, WEST COLUMBIA, WV, 25287</t>
  </si>
  <si>
    <t>23-03-0204-0001-0000_263</t>
  </si>
  <si>
    <t>263 YANKEE RD TRLR, PINE CREEK, WV, 25638</t>
  </si>
  <si>
    <t>23-03-0204-0001-0000</t>
  </si>
  <si>
    <t>Logan County</t>
  </si>
  <si>
    <t>LOGAN COUNTY</t>
  </si>
  <si>
    <t>Pine Creek</t>
  </si>
  <si>
    <t>Upper Guyandotte (5070101)</t>
  </si>
  <si>
    <t>848 4TH AVE STE 303, HUNTINGTON, WV 25701</t>
  </si>
  <si>
    <t>COLE &amp; CRANE REAL ESTATE TRST</t>
  </si>
  <si>
    <t>I</t>
  </si>
  <si>
    <t>Industrial</t>
  </si>
  <si>
    <t>Coal Processing</t>
  </si>
  <si>
    <t>Metal, Light</t>
  </si>
  <si>
    <t>Logan_HEC_RAS.tif</t>
  </si>
  <si>
    <t>Logan County*</t>
  </si>
  <si>
    <t>LOGAN</t>
  </si>
  <si>
    <t>Logan</t>
  </si>
  <si>
    <t>23-03-0204-0001-0000_84</t>
  </si>
  <si>
    <t>84 YANKEE RD TRLR, PINE CREEK, WV, 25638</t>
  </si>
  <si>
    <t>23-03-0204-0001-0000_239</t>
  </si>
  <si>
    <t>239 YANKEE RD TRLR, PINE CREEK, WV, 25638</t>
  </si>
  <si>
    <t>23-03-0204-0001-0000_1893</t>
  </si>
  <si>
    <t>1893 COW CREEK RD, COW CREEK, WV, 25638</t>
  </si>
  <si>
    <t>Cow Creek</t>
  </si>
  <si>
    <t>Area (RS Means)</t>
  </si>
  <si>
    <t>Calculated using RSMSqFt of Manufactured Housing &amp; MeanAdjNonRes of Logan County (from RSmean Table)</t>
  </si>
  <si>
    <t>23-03-0204-0001-0000_1867</t>
  </si>
  <si>
    <t>1867 PINE CREEK RD TRLR, PINE CREEK, WV, 25638</t>
  </si>
  <si>
    <t>23-08-0013-0006-0000_321</t>
  </si>
  <si>
    <t>321 MALLORY HOLLOW RD TRLR, MALLORY, WV, 25634</t>
  </si>
  <si>
    <t>23-08-0013-0006-0000</t>
  </si>
  <si>
    <t>Big Springs Branch</t>
  </si>
  <si>
    <t>73 BILLS  BRANCH, LOGAN, WV 25601</t>
  </si>
  <si>
    <t>HAIRSTON DEBORAH</t>
  </si>
  <si>
    <t>23-03-0204-0001-0000_181</t>
  </si>
  <si>
    <t>181 YANKEE RD TRLR, PINE CREEK, WV, 25638</t>
  </si>
  <si>
    <t>23-03-0204-0001-0000_1162</t>
  </si>
  <si>
    <t>1162 COW CREEK RD TRLR, COW CREEK, WV, 25638</t>
  </si>
  <si>
    <t>23-03-0204-0001-0000_42</t>
  </si>
  <si>
    <t>42 CALVERY RD, PINE CREEK, WV, 25638</t>
  </si>
  <si>
    <t>23-03-0204-0001-0000_33</t>
  </si>
  <si>
    <t>33 NOAHS ARK DR, PINE CREEK, WV, 25638</t>
  </si>
  <si>
    <t>23-03-0204-0001-0000_118</t>
  </si>
  <si>
    <t>118 TWISTED BRANCH RD TRLR, PINE CREEK, WV, 25638</t>
  </si>
  <si>
    <t>23-03-0204-0001-0000_8274</t>
  </si>
  <si>
    <t>8274 JERRY WEST HWY, OMAR, WV, 25638</t>
  </si>
  <si>
    <t>Island Creek</t>
  </si>
  <si>
    <t>Shentel Telecommunications service provider, Different from the building in the assessment, Calculated using RSMSqFt of Manufactured Housing &amp; MeanAdjNonRes of Logan County (from RSmean Table)</t>
  </si>
  <si>
    <t>Remains Same Floodway-Commercial</t>
  </si>
  <si>
    <t>23-03-0082-0096-0000_172</t>
  </si>
  <si>
    <t>172 CHAUNCEY BOTTOM RD, CHAUNCEY, WV, 25612</t>
  </si>
  <si>
    <t>23-03-0082-0096-0000</t>
  </si>
  <si>
    <t>BOX 108, WILKINSON, WV 25653</t>
  </si>
  <si>
    <t>VANCE DAVID N &amp; BRENDA S</t>
  </si>
  <si>
    <t>23-03-0204-0001-0000_246</t>
  </si>
  <si>
    <t>246 YANKEE RD TRLR, PINE CREEK, WV, 25638</t>
  </si>
  <si>
    <t>23-03-0204-0001-0000_2</t>
  </si>
  <si>
    <t>2 DUGOUT RD TRLR, SUPERIOR BTM, WV, 25638</t>
  </si>
  <si>
    <t>23-03-0084-0061-0000</t>
  </si>
  <si>
    <t>PO BOX 347, OMAR, WV 25638</t>
  </si>
  <si>
    <t>HAIRSTON DOROTHY</t>
  </si>
  <si>
    <t>Lines 4 to 8 of the OBY</t>
  </si>
  <si>
    <t>23-03-0204-0001-0000_10</t>
  </si>
  <si>
    <t>10 TWISTED BRANCH RD TRLR, PINE CREEK, WV, 25638</t>
  </si>
  <si>
    <t>23-03-0204-0001-0000_70</t>
  </si>
  <si>
    <t>70 TWISTED BRANCH RD TRLR, PINE CREEK, WV, 25638</t>
  </si>
  <si>
    <t>23-03-0204-0001-0000_202</t>
  </si>
  <si>
    <t>202 YANKEE RD TRLR, PINE CREEK, WV, 25638</t>
  </si>
  <si>
    <t>23-03-0204-0001-0000_156</t>
  </si>
  <si>
    <t>156 YANKEE RD TRLR, PINE CREEK, WV, 25638</t>
  </si>
  <si>
    <t>23-03-0204-0001-0000_1657</t>
  </si>
  <si>
    <t>1657 PINE CREEK RD TRLR, PINE CREEK, WV, 25638</t>
  </si>
  <si>
    <t>23-03-0204-0001-0000_10648</t>
  </si>
  <si>
    <t>10648 JERRY WEST HWY, STIRRAT, WV, 25638</t>
  </si>
  <si>
    <t>Littles Creek</t>
  </si>
  <si>
    <t>Stirrat Community Church, The point represents both buildings, Calculated using RSMSqFt of Manufactured Housing &amp; MeanAdjNonRes of Logan County (from RSmean Table)</t>
  </si>
  <si>
    <t>MAPPED IN-Other</t>
  </si>
  <si>
    <t>$250,000-$1M</t>
  </si>
  <si>
    <t>23-03-0204-0001-0000_22</t>
  </si>
  <si>
    <t>22 CALVERY RD, PINE CREEK, WV, 25638</t>
  </si>
  <si>
    <t>23-03-0204-0001-0000_139</t>
  </si>
  <si>
    <t>139 YANKEE RD TRLR, PINE CREEK, WV, 25638</t>
  </si>
  <si>
    <t>23-03-0204-0001-0000_87</t>
  </si>
  <si>
    <t>87 YANKEE RD TRLR, PINE CREEK, WV, 25638</t>
  </si>
  <si>
    <t>23-03-0204-0001-0000_98</t>
  </si>
  <si>
    <t>98 TWISTED BRANCH RD TRLR, PINE CREEK, WV, 25638</t>
  </si>
  <si>
    <t>23-03-0204-0001-0000_224</t>
  </si>
  <si>
    <t>224 YANKEE RD TRLR, PINE CREEK, WV, 25638</t>
  </si>
  <si>
    <t>23-03-0204-0001-0000_41</t>
  </si>
  <si>
    <t>41 CALVERY RD TRLR, PINE CREEK, WV, 25638</t>
  </si>
  <si>
    <t>23-03-0204-0001-0000_49</t>
  </si>
  <si>
    <t>49 CALVERY RD TRLR, PINE CREEK, WV, 25638</t>
  </si>
  <si>
    <t>23-03-0204-0001-0000_1969</t>
  </si>
  <si>
    <t>1969 PINE CREEK RD TRLR, PINE CREEK, WV, 25638</t>
  </si>
  <si>
    <t>23-03-0204-0001-0000_184</t>
  </si>
  <si>
    <t>184 YANKEE RD TRLR, PINE CREEK, WV, 25638</t>
  </si>
  <si>
    <t>23-03-0204-0001-0000_102</t>
  </si>
  <si>
    <t>102 YANKEE RD TRLR, PINE CREEK, WV, 25638</t>
  </si>
  <si>
    <t>23-03-0204-0001-0000_60</t>
  </si>
  <si>
    <t>60 CALVERY RD, PINE CREEK, WV, 25638</t>
  </si>
  <si>
    <t>23-08-0020-0074-0000_284</t>
  </si>
  <si>
    <t>284 BUFFALO CREEK RD, KISTLER, WV, 25628</t>
  </si>
  <si>
    <t>23-08-0020-0074-0000</t>
  </si>
  <si>
    <t>Buffalo Creek</t>
  </si>
  <si>
    <t>POB OX 626, MAN, WV 25635</t>
  </si>
  <si>
    <t>NESTER ROBERT E</t>
  </si>
  <si>
    <t>23-08-0039-0052-0000_9999</t>
  </si>
  <si>
    <t>9999 AMBER DR TRLR, MALLORY, WV, 25634</t>
  </si>
  <si>
    <t>23-08-0039-0052-0000</t>
  </si>
  <si>
    <t>Huff Creek</t>
  </si>
  <si>
    <t>P O BOX 98, MALLORY, WV 25634</t>
  </si>
  <si>
    <t>CLINE CARLOS L</t>
  </si>
  <si>
    <t>Could not determine year built</t>
  </si>
  <si>
    <t>23-08-0021-0066-0000_49</t>
  </si>
  <si>
    <t>49 ROOSEVELT AVE TRLR, KISTLER, WV, 25628</t>
  </si>
  <si>
    <t>23-08-0021-0066-0000</t>
  </si>
  <si>
    <t>PO BOX 198, VERNER, WV 25650</t>
  </si>
  <si>
    <t>ROBINSON CAROLYN &amp; JORDAN GIBSON</t>
  </si>
  <si>
    <t>Updated AE (HEC-RAS)</t>
  </si>
  <si>
    <t>23-03-0204-0001-0000_11805</t>
  </si>
  <si>
    <t>11805 JERRY WEST HWY, SARAH ANN, WV, 25644</t>
  </si>
  <si>
    <t>23-03-0204-0001-0000_1965</t>
  </si>
  <si>
    <t>1965 COW CREEK RD, COW CREEK, WV, 25638</t>
  </si>
  <si>
    <t>Assessment (IAS) Neighbor</t>
  </si>
  <si>
    <t>Assessed by averaging 4 neighboring buildings, area measured in Pro</t>
  </si>
  <si>
    <t>RES1NBSG0</t>
  </si>
  <si>
    <t>23-08-0011-0051-0000_222</t>
  </si>
  <si>
    <t>222 AMETHYST DR, GILMAN BTM, WV, 25617</t>
  </si>
  <si>
    <t>23-08-0011-0051-0000</t>
  </si>
  <si>
    <t>BOX 134, DAVIN, WV 25617</t>
  </si>
  <si>
    <t>GORDON LOU VIRA</t>
  </si>
  <si>
    <t>23-08-0010-0042-0001_1650</t>
  </si>
  <si>
    <t>1650 AUTUMN LN, GILMAN BTM, WV, 25617</t>
  </si>
  <si>
    <t>23-08-0010-0042-0001</t>
  </si>
  <si>
    <t>PO BOX 963, MAN, WV 25635</t>
  </si>
  <si>
    <t>ELLIOTT ROBERT A &amp; PHYLLIS A</t>
  </si>
  <si>
    <t>23-08-0011-0044-0000_136</t>
  </si>
  <si>
    <t>136 AMETHYST DR, GILMAN BTM, WV, 25617</t>
  </si>
  <si>
    <t>23-08-0011-0044-0000</t>
  </si>
  <si>
    <t>PO BOX 128, MALLORY, WV 25634</t>
  </si>
  <si>
    <t>SCHOOLCRAFT BOBBY &amp; TERESA</t>
  </si>
  <si>
    <t>23-06-0004-0079-0000_527</t>
  </si>
  <si>
    <t>527 MARKET ST, MAN, WV, 25635</t>
  </si>
  <si>
    <t>23-06-0004-0079-0000</t>
  </si>
  <si>
    <t>Town of Man</t>
  </si>
  <si>
    <t>C/O KIMBERLY ROSS,ADMRX, PO BOX 90, ACCOVILLE, WV 25606</t>
  </si>
  <si>
    <t>BROWNING MURIEL J</t>
  </si>
  <si>
    <t>Man</t>
  </si>
  <si>
    <t>23-04-0040-0082-0000_249</t>
  </si>
  <si>
    <t>249 KELLY HOLLOW RD, BLAIR, WV, 25022</t>
  </si>
  <si>
    <t>23-04-0040-0082-0000</t>
  </si>
  <si>
    <t>Spruce Fork</t>
  </si>
  <si>
    <t>CITY PLACE ONE SUITE 300, ST LOUIS, MO 63141</t>
  </si>
  <si>
    <t>ARK LAND COMPANY</t>
  </si>
  <si>
    <t>23-08-0002-0018-0000_121</t>
  </si>
  <si>
    <t>121 DINGESS BRANCH RD, LORADO, WV, 25630</t>
  </si>
  <si>
    <t>23-08-0002-0018-0000</t>
  </si>
  <si>
    <t>Dingess Branch</t>
  </si>
  <si>
    <t>100 BILL BAKER WAY, BECKLEY, WV 25801</t>
  </si>
  <si>
    <t>CORONADO COAL II LLC</t>
  </si>
  <si>
    <t>Advisory A (N/A)</t>
  </si>
  <si>
    <t>23-08-0026-0068-0000_21</t>
  </si>
  <si>
    <t>21 LEISURE TRL, AMHERSTDALE, WV, 25607</t>
  </si>
  <si>
    <t>23-08-0026-0068-0000</t>
  </si>
  <si>
    <t>PO BOX 384, AMHERSTDALE, WV 25607</t>
  </si>
  <si>
    <t>OSBORNE WILLIAM T</t>
  </si>
  <si>
    <t>23-08-0002-0017-0000_131</t>
  </si>
  <si>
    <t>131 DINGESS BRANCH RD TRLR, LORADO, WV, 25630</t>
  </si>
  <si>
    <t>23-08-0002-0017-0000</t>
  </si>
  <si>
    <t>C/O CORONADO COAL II LLC, 100 BILL BARKER WAY, BECKLEY, WV 25801</t>
  </si>
  <si>
    <t>CAIN JOHN W II &amp; JENNIFER LYNN</t>
  </si>
  <si>
    <t>23-08-0027-0025-0000_30</t>
  </si>
  <si>
    <t>30 NIGHTINGALE LN, AMHERSTDALE, WV, 25607</t>
  </si>
  <si>
    <t>23-08-0027-0025-0000</t>
  </si>
  <si>
    <t>1415 4TH AVE, HUNTINGTON, WV 25701</t>
  </si>
  <si>
    <t>HURLEY SUZANNE J</t>
  </si>
  <si>
    <t>23-08-0003-0007-0000_398</t>
  </si>
  <si>
    <t>398 LITTLE ITALY RD TRLR, LORADO, WV, 25630</t>
  </si>
  <si>
    <t>23-08-0003-0007-0000</t>
  </si>
  <si>
    <t>PO BOX 121, LORADO, WV 25630</t>
  </si>
  <si>
    <t>BRUMFIELD JIMMY D ET ALS</t>
  </si>
  <si>
    <t>23-03-0003-0075-0000_211</t>
  </si>
  <si>
    <t>211 FREEMONT LOOP, HOLDEN, WV, 25625</t>
  </si>
  <si>
    <t>23-03-0003-0075-0000</t>
  </si>
  <si>
    <t>Copperas Mine Fork</t>
  </si>
  <si>
    <t>PO BOX 353, HOLDEN, WV 25625</t>
  </si>
  <si>
    <t>DONAHUE DAVID R &amp; TAMMY</t>
  </si>
  <si>
    <t>23-04-0023-0129-0000_18936</t>
  </si>
  <si>
    <t>18936 BLAIR MOUNTAIN HWY, CLOTHIER, WV, 25047</t>
  </si>
  <si>
    <t>23-04-0023-0129-0000</t>
  </si>
  <si>
    <t>PO BOX 1958, LOGAN, WV 25601</t>
  </si>
  <si>
    <t>REAL PROPERTY LLC</t>
  </si>
  <si>
    <t>40-10-0224-0057-0002_6420</t>
  </si>
  <si>
    <t>6420 TEAYS VALLEY RD, SCOTT DEPOT, WV, 25560</t>
  </si>
  <si>
    <t>40-10-0224-0057-0002</t>
  </si>
  <si>
    <t>Putnam County</t>
  </si>
  <si>
    <t>PUTNAM COUNTY</t>
  </si>
  <si>
    <t>Crooked Creek</t>
  </si>
  <si>
    <t>PO BOX 888, SCOTT DEPOT, WV 25560</t>
  </si>
  <si>
    <t>SAHLEY REALTY COMPANY</t>
  </si>
  <si>
    <t>Supermarket</t>
  </si>
  <si>
    <t>Putnam_HEC_RAS_HAZUS.tif</t>
  </si>
  <si>
    <t>MAPPED OUT-Commercial</t>
  </si>
  <si>
    <t>Putnam County*</t>
  </si>
  <si>
    <t>PUTNAM</t>
  </si>
  <si>
    <t>Putnam</t>
  </si>
  <si>
    <t>03-06-0011-0034-0002_415</t>
  </si>
  <si>
    <t>415 Brown Ln, Prenter Hollow, WV, 25181</t>
  </si>
  <si>
    <t>03-06-0011-0034-0002</t>
  </si>
  <si>
    <t>Boone County</t>
  </si>
  <si>
    <t>BOONE COUNTY</t>
  </si>
  <si>
    <t>Big Coal River</t>
  </si>
  <si>
    <t xml:space="preserve">P O BOX 303, </t>
  </si>
  <si>
    <t>HAWKINS SAMUEL BOYD &amp; PATRICIA IRENE</t>
  </si>
  <si>
    <t>Boone_HEC_RAS.tif</t>
  </si>
  <si>
    <t>Boone County*</t>
  </si>
  <si>
    <t>BOONE</t>
  </si>
  <si>
    <t>Boone</t>
  </si>
  <si>
    <t>03-03-0005-0017-0000_389</t>
  </si>
  <si>
    <t>389 Main St, City of Madison, WV, 25130</t>
  </si>
  <si>
    <t>03-03-0005-0017-0000</t>
  </si>
  <si>
    <t>Town of Madison</t>
  </si>
  <si>
    <t>Little Coal River</t>
  </si>
  <si>
    <t>263 OSBORNE AVE, MADISON, WV 25130</t>
  </si>
  <si>
    <t>WILEY BILL</t>
  </si>
  <si>
    <t>Brick or Stone</t>
  </si>
  <si>
    <t>Madison</t>
  </si>
  <si>
    <t>03-03-0004-0136-0003_39</t>
  </si>
  <si>
    <t>39 Price Ln, City of Madison, WV, 25130</t>
  </si>
  <si>
    <t>03-03-0004-0136-0003</t>
  </si>
  <si>
    <t>5850 OAK HILL RD, ORTONVILLE, MI 48462</t>
  </si>
  <si>
    <t>NEUMANN CHERYL &amp; LESLIE A &amp; KENDALL SOPO</t>
  </si>
  <si>
    <t>03-06-007A-0011-0000_141</t>
  </si>
  <si>
    <t>141 River Rd, Racine, WV, 25165</t>
  </si>
  <si>
    <t>03-06-007A-0011-0000</t>
  </si>
  <si>
    <t>177 RIVER RD, RACINE, WV 25165</t>
  </si>
  <si>
    <t>CLENDENEN EURANIA FRANCES HEIRS</t>
  </si>
  <si>
    <t>03-04-0026-0006-0002_76</t>
  </si>
  <si>
    <t>76 Baisden Ln, Andrew, WV, 25154</t>
  </si>
  <si>
    <t>03-04-0026-0006-0002</t>
  </si>
  <si>
    <t>Drawdy Creek</t>
  </si>
  <si>
    <t>518 1ST ST W, MADISON, WV 25130</t>
  </si>
  <si>
    <t>LAWS JAMES</t>
  </si>
  <si>
    <t>03-08-0028-0029-0000_2086</t>
  </si>
  <si>
    <t>2086 Hewett Creek Rd, Stringtown, WV, 25114</t>
  </si>
  <si>
    <t>03-08-0028-0029-0000</t>
  </si>
  <si>
    <t>Hewett Creek</t>
  </si>
  <si>
    <t>69 JUDSON ST, BELINGTON, WV 26250</t>
  </si>
  <si>
    <t>SANSOM JERRY WAYNE &amp; CHRISTINA BETH</t>
  </si>
  <si>
    <t>03-06-007A-0011-0000_155</t>
  </si>
  <si>
    <t>155 River Rd, Racine, WV, 25165</t>
  </si>
  <si>
    <t>RES1BSG0</t>
  </si>
  <si>
    <t>03-05-0025-0070-0005_2306</t>
  </si>
  <si>
    <t>2306 Foster Rd, Foster, WV, 25081</t>
  </si>
  <si>
    <t>03-05-0025-0070-0005</t>
  </si>
  <si>
    <t>RIght Fork Rock Creek</t>
  </si>
  <si>
    <t>152 FAIRWAY DR, CONOVER, NC 28613</t>
  </si>
  <si>
    <t>BRADSHAW DANNYE</t>
  </si>
  <si>
    <t>03-06-011A-0002-0000_281</t>
  </si>
  <si>
    <t>281 High School Ln, Seth, WV, 25181</t>
  </si>
  <si>
    <t>03-06-011A-0002-0000</t>
  </si>
  <si>
    <t>03-06-011A-0003-0000</t>
  </si>
  <si>
    <t>291 HIGH SCHOOL LN, SETH, WV 25181</t>
  </si>
  <si>
    <t>HENSLEY THOMAS &amp; AMY NICHOLE</t>
  </si>
  <si>
    <t>03-06-007F-0007-0000_5451</t>
  </si>
  <si>
    <t>5451 Coal River Rd, Maxine, WV, 25049</t>
  </si>
  <si>
    <t>03-06-007F-0007-0000</t>
  </si>
  <si>
    <t>PO BOX 372, COMFORT, WV 25049</t>
  </si>
  <si>
    <t>MCCORT ASHLEY APRIL &amp; TIMOTHY LEE</t>
  </si>
  <si>
    <t>address on google streetview mailbox</t>
  </si>
  <si>
    <t>03-06-008A-0063-0000_62</t>
  </si>
  <si>
    <t>62 Field Crest Dr, Comfort, WV, 25049</t>
  </si>
  <si>
    <t>03-06-008A-0063-0000</t>
  </si>
  <si>
    <t>398 KILLEN LN, RIPLEY, WV 25271</t>
  </si>
  <si>
    <t>CARNEY MILTON LYNN &amp; KATHY LYNN</t>
  </si>
  <si>
    <t>Residential 4 Family</t>
  </si>
  <si>
    <t>RES3B</t>
  </si>
  <si>
    <t>R3B1B</t>
  </si>
  <si>
    <t>03-08-0020-0059-0008_688</t>
  </si>
  <si>
    <t>688 Lower River Rd, Greenview, WV, 25053</t>
  </si>
  <si>
    <t>03-08-0020-0059-0008</t>
  </si>
  <si>
    <t>Big Branch</t>
  </si>
  <si>
    <t>100 BILL BARKER WAY, BECKLEY, WV 25801</t>
  </si>
  <si>
    <t>B</t>
  </si>
  <si>
    <t>30-05-0181-0018-0003_33</t>
  </si>
  <si>
    <t>33 JOHNSON HOLW TRLR, KERMIT, WV, 25674</t>
  </si>
  <si>
    <t>30-05-0181-0018-0003</t>
  </si>
  <si>
    <t>Mingo County</t>
  </si>
  <si>
    <t>MINGO COUNTY</t>
  </si>
  <si>
    <t>Jennie Creek</t>
  </si>
  <si>
    <t>5538 CHARLES LN, HILLSBORO, OH 45133</t>
  </si>
  <si>
    <t>HORN LINDA M</t>
  </si>
  <si>
    <t>Mingo_HEC_RAS.tif</t>
  </si>
  <si>
    <t>Mingo County*</t>
  </si>
  <si>
    <t>MINGO</t>
  </si>
  <si>
    <t>Mingo</t>
  </si>
  <si>
    <t>30-03-0006-0041-0000_33</t>
  </si>
  <si>
    <t>33 DAVIS BR TRLR, LENORE, WV, 25661</t>
  </si>
  <si>
    <t>30-03-0006-0041-0000</t>
  </si>
  <si>
    <t>Pigeon Creek</t>
  </si>
  <si>
    <t>PO BOX 354, LENORE, WV 25676</t>
  </si>
  <si>
    <t>NEWSOME JOHNNY</t>
  </si>
  <si>
    <t>30-07-0406-0092-0001_509</t>
  </si>
  <si>
    <t>509 BULLDOG BLVD, SPLIT PINE, WV, 25670</t>
  </si>
  <si>
    <t>30-07-0406-0092-0001</t>
  </si>
  <si>
    <t>JOSHUA &amp; RACHEL WILLIAMS, 68 PACIFIC DR, DELBARTON, WV 25670</t>
  </si>
  <si>
    <t>COLANGELO TONY ET AL</t>
  </si>
  <si>
    <t>30-05-0181-0018-0003_31</t>
  </si>
  <si>
    <t>31 JOHNSON HOLLOW , KERMIT, WV, 25674</t>
  </si>
  <si>
    <t>30-03-0006-0041-0000_540</t>
  </si>
  <si>
    <t>540 SR 65 TRLR, LENORE, WV, 25661</t>
  </si>
  <si>
    <t>30-09-0531-0025-0000_74</t>
  </si>
  <si>
    <t>74 BENTON DR, BEN CREEK, WV, 25651</t>
  </si>
  <si>
    <t>30-09-0531-0025-0000</t>
  </si>
  <si>
    <t>Left Fork Ben Creek</t>
  </si>
  <si>
    <t>JOHN E PERRY ADM., 2220 EDISON AVE, ATLANTA, GA 30305</t>
  </si>
  <si>
    <t>PERRY EVA JOAN HATFIELD</t>
  </si>
  <si>
    <t>20-18-0003-0097-0000_5304</t>
  </si>
  <si>
    <t>5304 KENTUCKY ST, South Charleston, WV, 25309</t>
  </si>
  <si>
    <t>20-18-0003-0097-0000</t>
  </si>
  <si>
    <t>City of South Charleston</t>
  </si>
  <si>
    <t>KANAWHA COUNTY</t>
  </si>
  <si>
    <t>Kanawha River</t>
  </si>
  <si>
    <t>C/O SPEEDWAY LLC ATTN: TAX DEPARTMENT, 539 S MAIN ST, FINDLAY, OH 45840</t>
  </si>
  <si>
    <t>SPEEDWAY LLC</t>
  </si>
  <si>
    <t>Kanawha_HEC_RAS_HAZUS.tif</t>
  </si>
  <si>
    <t>South Charleston</t>
  </si>
  <si>
    <t>KANAWHA</t>
  </si>
  <si>
    <t>Kanawha</t>
  </si>
  <si>
    <t>20-18-0003-0096-0000_5308</t>
  </si>
  <si>
    <t>5308 KENTUCKY ST, South Charleston, WV, 25309</t>
  </si>
  <si>
    <t>20-18-0003-0096-0000</t>
  </si>
  <si>
    <t>ATTN: REAL ESTATE, 539 S MAIN ST, FINDLAY, OH 45840</t>
  </si>
  <si>
    <t>Residential 2 Family</t>
  </si>
  <si>
    <t>Card 1</t>
  </si>
  <si>
    <t>20-18-0003-0095-0000_5312</t>
  </si>
  <si>
    <t>5312 KENTUCKY ST, South Charleston, WV, 25309</t>
  </si>
  <si>
    <t>20-18-0003-0095-0000</t>
  </si>
  <si>
    <t>500 SPEEDWAY DR, ENON, OH 45323</t>
  </si>
  <si>
    <t>20-18-0003-0096-0000_5308A</t>
  </si>
  <si>
    <t>5308A 1/2 KENTUCKY ST, South Charleston, WV, 25309</t>
  </si>
  <si>
    <t>Card 2</t>
  </si>
  <si>
    <t>20-23-010A-0029-0000_670</t>
  </si>
  <si>
    <t>670 CAMPBELLS CREEK DR APT 3, Charleston, WV, 25306</t>
  </si>
  <si>
    <t>20-23-010A-0029-0000</t>
  </si>
  <si>
    <t>Kanawha County</t>
  </si>
  <si>
    <t>Campbells Creek</t>
  </si>
  <si>
    <t>Upper Kanawha (5050006)</t>
  </si>
  <si>
    <t>3434 PIEDMONT RD, CHARLESTON, WV 25306</t>
  </si>
  <si>
    <t>WOLFE MARVIN JR</t>
  </si>
  <si>
    <t>RES3BNBSG1</t>
  </si>
  <si>
    <t>Kanawha County*</t>
  </si>
  <si>
    <t>20-23-007A-0008-0000_1988</t>
  </si>
  <si>
    <t>1988 BAKERS FORK RD, Charleston, WV, 25311</t>
  </si>
  <si>
    <t>20-23-007A-0008-0000</t>
  </si>
  <si>
    <t>Baker Fork</t>
  </si>
  <si>
    <t>1998 BAKERS FORK RD, CHARLESTON, WV 25311</t>
  </si>
  <si>
    <t>MILLER RANDY</t>
  </si>
  <si>
    <t>20-23-019F-0006-0000_691</t>
  </si>
  <si>
    <t>691 GEORGES CREEK DR, Charleston, WV, 25306</t>
  </si>
  <si>
    <t>20-23-019F-0006-0000</t>
  </si>
  <si>
    <t>Georges Creek</t>
  </si>
  <si>
    <t>691 GEORGES DR, CHARLESTON, WV 25306</t>
  </si>
  <si>
    <t>MANGUS JANIE LOUISE LIFE &amp; ROBERT A THOMPSON REM</t>
  </si>
  <si>
    <t>Modern/Contemporary</t>
  </si>
  <si>
    <t>20-23-007A-0008-0000_1998</t>
  </si>
  <si>
    <t>1998 BAKERS FORK RD, Charleston, WV, 25311</t>
  </si>
  <si>
    <t>20-23-007A-0007-0000</t>
  </si>
  <si>
    <t>MILLER RANDY S</t>
  </si>
  <si>
    <t>20-11-0001-0006-0000_116</t>
  </si>
  <si>
    <t>116 VIRGINIA ST E, Charleston, WV, 25301</t>
  </si>
  <si>
    <t>20-11-0001-0006-0000</t>
  </si>
  <si>
    <t>City of Charleston</t>
  </si>
  <si>
    <t>116 VIRGINIA ST E, CHARLESTON, WV 25301</t>
  </si>
  <si>
    <t>GOLDFARB ELECTRIC SUPPLY CO</t>
  </si>
  <si>
    <t>Office/Warehouse</t>
  </si>
  <si>
    <t>C2LN</t>
  </si>
  <si>
    <t>Charleston</t>
  </si>
  <si>
    <t>20-23-017L-0029-0001_530</t>
  </si>
  <si>
    <t>530 CAMPBELLS CREEK DR, Charleston, WV, 25306</t>
  </si>
  <si>
    <t>20-23-017L-0029-0001</t>
  </si>
  <si>
    <t>56 RHEIN DR, CHARLESTON, WV 25306</t>
  </si>
  <si>
    <t>WILLS FREDERICK L LOUISE C</t>
  </si>
  <si>
    <t>20-18-0003-0075-0000_5303</t>
  </si>
  <si>
    <t>5303 MACCORKLE AVE SW, South Charleston, WV, 25309</t>
  </si>
  <si>
    <t>20-18-0003-0075-0000</t>
  </si>
  <si>
    <t>Retail-Single Occupancy</t>
  </si>
  <si>
    <t>C1LB</t>
  </si>
  <si>
    <t>20-23-017L-0029-0001_528</t>
  </si>
  <si>
    <t>528 CAMPBELLS CREEK DR, Charleston, WV, 25306</t>
  </si>
  <si>
    <t>20-09-0040-0036-0001_564</t>
  </si>
  <si>
    <t>564 S RUFFNER RD, Charleston, WV, 25314</t>
  </si>
  <si>
    <t>20-09-0040-0036-0001</t>
  </si>
  <si>
    <t>Lick Branch</t>
  </si>
  <si>
    <t>564 SOUTH RUFFNER RD, CHARLESTON, WV 25314</t>
  </si>
  <si>
    <t>STEPHENS NANCY I</t>
  </si>
  <si>
    <t>20-28-0030-0003-0000_2150</t>
  </si>
  <si>
    <t>2150 EMMONS RD, Alum Creek, WV, 25003</t>
  </si>
  <si>
    <t>20-28-0030-0003-0000</t>
  </si>
  <si>
    <t>2185 EMMONS RD, ALUM CREEK, WV 25003</t>
  </si>
  <si>
    <t>GRALEY MICHAEL E &amp; MARLENE</t>
  </si>
  <si>
    <t>20-03-0043-0010-0000_1103</t>
  </si>
  <si>
    <t>1103 CABIN CREEK RD, Cabin Creek, WV, 25035</t>
  </si>
  <si>
    <t>20-03-0043-0010-0000</t>
  </si>
  <si>
    <t>Cabin Creek</t>
  </si>
  <si>
    <t>25609 NW 173 ST, ALACHUA, FL 32615</t>
  </si>
  <si>
    <t>DAVIS C JACQUELINE &amp; BOBBY JOE</t>
  </si>
  <si>
    <t>20-10-0002-0020-0000_3727</t>
  </si>
  <si>
    <t>3727 KELLER DR, Charleston, WV, 25387</t>
  </si>
  <si>
    <t>20-10-0002-0020-0000</t>
  </si>
  <si>
    <t>VICKEY FRAME RAISING, 731 NICHOLSON ST, OSTEGO, MI 49078</t>
  </si>
  <si>
    <t>FRAME MARGARET K &amp; DANA C</t>
  </si>
  <si>
    <t>20-10-0002-0021-0000_3725</t>
  </si>
  <si>
    <t>3725 KELLER DR, Charleston, WV, 25387</t>
  </si>
  <si>
    <t>20-10-0002-0021-0000</t>
  </si>
  <si>
    <t>1520 NORTH DR, SO CHARLESTON, WV 25303</t>
  </si>
  <si>
    <t>PATTERSON MARY K &amp; LLOYD P</t>
  </si>
  <si>
    <t>20-18-0008-0003-0000_4218</t>
  </si>
  <si>
    <t>4218 RIVER AVE, South Charleston, WV, 25309</t>
  </si>
  <si>
    <t>20-18-0008-0003-0000</t>
  </si>
  <si>
    <t>112 ELIZABETH ST, CHARLESTON, WV 25311</t>
  </si>
  <si>
    <t>LILLY MARK V</t>
  </si>
  <si>
    <t>20-10-0004-0027-0000_1039</t>
  </si>
  <si>
    <t>1039 WOODWARD DR, Charleston, WV, 25387</t>
  </si>
  <si>
    <t>20-10-0004-0027-0000</t>
  </si>
  <si>
    <t>Woodward Branch</t>
  </si>
  <si>
    <t>1266 W PACES FERRY RD 517, ATLANTA, GA 30327</t>
  </si>
  <si>
    <t>NR DEED LLC</t>
  </si>
  <si>
    <t>20-12-0009-0052-0000_1907</t>
  </si>
  <si>
    <t>1907 4TH AVE, Charleston, WV, 25387</t>
  </si>
  <si>
    <t>20-12-0009-0052-0000</t>
  </si>
  <si>
    <t>100 WASHINGTON ST E APT 206, CHARLESTON, WV 25301</t>
  </si>
  <si>
    <t>AHANGARDEZFOULI TRUDY</t>
  </si>
  <si>
    <t>20-12-0025-0203-0000_506</t>
  </si>
  <si>
    <t>506 MAIN ST, Charleston, WV, 25302</t>
  </si>
  <si>
    <t>20-12-0025-0203-0000</t>
  </si>
  <si>
    <t>P O BOX 7169, CHARLESTON, WV 25356</t>
  </si>
  <si>
    <t>DAVIS PROPERTIES OF WV LLC</t>
  </si>
  <si>
    <t>20-10-0087-0096-0000_406</t>
  </si>
  <si>
    <t>406 34TH ST W APT 2, Charleston, WV, 25387</t>
  </si>
  <si>
    <t>20-10-0087-0096-0000</t>
  </si>
  <si>
    <t>PO BOX 2074, SAINT ALBANS, WV 25177</t>
  </si>
  <si>
    <t>ROYAL DEVELOPMENT SA LLC</t>
  </si>
  <si>
    <t>Apartment</t>
  </si>
  <si>
    <t>Apartment-Garden (1-3 stories)</t>
  </si>
  <si>
    <t>20-12-0010-0216-0000_501</t>
  </si>
  <si>
    <t>501 PATRICK ST, Charleston, WV, 25387</t>
  </si>
  <si>
    <t>20-12-0010-0216-0000</t>
  </si>
  <si>
    <t>106 MULLINS RD, CHARLESTON, WV 25314</t>
  </si>
  <si>
    <t>COMER ANDREW FRED</t>
  </si>
  <si>
    <t>20-12-0010-0506-0000_9999</t>
  </si>
  <si>
    <t>9999 6TH AVE, Charleston, WV, 25387</t>
  </si>
  <si>
    <t>20-12-0010-0506-0000</t>
  </si>
  <si>
    <t>C/O DOROTHY SPENCER, 5324 EDGEWOOD RD, CROSS LANES, WV 25313</t>
  </si>
  <si>
    <t>WATTS EUGENE W</t>
  </si>
  <si>
    <t>MAPPED IN-Commercial</t>
  </si>
  <si>
    <t>20-12-0025-0174-0000_621</t>
  </si>
  <si>
    <t>621 SIMMS ST, Charleston, WV, 25302</t>
  </si>
  <si>
    <t>20-12-0025-0174-0000</t>
  </si>
  <si>
    <t>4595 UNIVERSITY AVE, RIVERSIDE, CA 92501</t>
  </si>
  <si>
    <t>POPE RONALD M &amp; BARBARA C</t>
  </si>
  <si>
    <t>20-02-0011-0060-0000_511</t>
  </si>
  <si>
    <t>511 KELLY AVE, Clendenin, WV, 25045</t>
  </si>
  <si>
    <t>20-02-0011-0060-0000</t>
  </si>
  <si>
    <t>Town of Clendenin</t>
  </si>
  <si>
    <t>117 KELLYS AVE, CLENDENIN, WV 25045</t>
  </si>
  <si>
    <t>SMITH BILLY J &amp; PATTY L</t>
  </si>
  <si>
    <t>Effective AE + Preliminary AE-Floodway (HEC-RAS)</t>
  </si>
  <si>
    <t>RES1BSG4</t>
  </si>
  <si>
    <t>Clendenin</t>
  </si>
  <si>
    <t>20-01-019E-0056-0000_23</t>
  </si>
  <si>
    <t>23 DUSTY LN, Clendenin, WV, 25045</t>
  </si>
  <si>
    <t>20-01-019E-0056-0000</t>
  </si>
  <si>
    <t>PO BOX 384, CLENDENIN, WV 25045</t>
  </si>
  <si>
    <t>SLOAN KENNETH W</t>
  </si>
  <si>
    <t>RES3A</t>
  </si>
  <si>
    <t>Effective AE + Preliminary AE (HEC-RAS)</t>
  </si>
  <si>
    <t>R3A1B</t>
  </si>
  <si>
    <t>RES3ANBSG0</t>
  </si>
  <si>
    <t>20-01-019E-0056-0000_13</t>
  </si>
  <si>
    <t>13 DUSTY LN, Clendenin, WV, 25045</t>
  </si>
  <si>
    <t>RES3ANBSG1</t>
  </si>
  <si>
    <t>20-15-009B-0024-0000_6298</t>
  </si>
  <si>
    <t>6298 FRAME RD, Elkview, WV, 25071</t>
  </si>
  <si>
    <t>20-15-009B-0024-0000</t>
  </si>
  <si>
    <t>Little Sandy Creek</t>
  </si>
  <si>
    <t>438 AARONS FORK RD, ELKVIEW, WV 25071</t>
  </si>
  <si>
    <t>COPENHAVER GEARY W &amp; GEARY W COPENHAVER II</t>
  </si>
  <si>
    <t>20-02-0006-0136-0000_507</t>
  </si>
  <si>
    <t>507 MAYWOOD AVE W, Clendenin, WV, 25045</t>
  </si>
  <si>
    <t>20-02-0006-0136-0000</t>
  </si>
  <si>
    <t>PO BOX 752, CLENDENIN, WV 25045</t>
  </si>
  <si>
    <t>ULDRICH LARRY C</t>
  </si>
  <si>
    <t>20-02-0006-0001-0000_1</t>
  </si>
  <si>
    <t>1 WALNUT ST, Clendenin, WV, 25045</t>
  </si>
  <si>
    <t>20-02-0006-0001-0000</t>
  </si>
  <si>
    <t>PO BOX 694, CLENDENIN, WV 25045</t>
  </si>
  <si>
    <t>TOWN OF CLENDENIN</t>
  </si>
  <si>
    <t>20-24-0031-0056-0001_2135</t>
  </si>
  <si>
    <t>2135 N GRAPEVINE RD, Charleston, WV, 25320</t>
  </si>
  <si>
    <t>20-24-0031-0056-0001</t>
  </si>
  <si>
    <t>Grapevine Creek</t>
  </si>
  <si>
    <t>1664 NORTH GRAPEVINE ROAD, SISSONVILLE, WV 25320</t>
  </si>
  <si>
    <t>SIGMON GLENNIS D</t>
  </si>
  <si>
    <t>20-02-0006-0133-0000_512</t>
  </si>
  <si>
    <t>512 KANAWHA AVE W, Clendenin, WV, 25045</t>
  </si>
  <si>
    <t>20-02-0006-0133-0000</t>
  </si>
  <si>
    <t>512 A WALNUT ST, CLENDENIN, WV 25045</t>
  </si>
  <si>
    <t>SMITH DEANA</t>
  </si>
  <si>
    <t>20-02-0005-0020-0000_2</t>
  </si>
  <si>
    <t>2 WALNUT ST, Clendenin, WV, 25045</t>
  </si>
  <si>
    <t>20-02-0005-0020-0000</t>
  </si>
  <si>
    <t>P O BOX 694, CLENDENIN, WV 25045</t>
  </si>
  <si>
    <t>20-01-024A-0002-0000_16</t>
  </si>
  <si>
    <t>16 OLDHAM LN, Elkview, WV, 25071</t>
  </si>
  <si>
    <t>20-01-024A-0002-0000</t>
  </si>
  <si>
    <t>73 OLDHAM LN, ELKVIEW, WV 25071</t>
  </si>
  <si>
    <t>NEWHOUSE BENNIE H JR &amp; SHIRLEY A</t>
  </si>
  <si>
    <t>20-02-0008-0020-0000_641</t>
  </si>
  <si>
    <t>641 MAYWOOD AVE E, Clendenin, WV, 25045</t>
  </si>
  <si>
    <t>20-02-0008-0020-0000</t>
  </si>
  <si>
    <t>641 MAYWOOD AVE E, CLENDENIN, WV 25045</t>
  </si>
  <si>
    <t>RUCKER JUDITH A</t>
  </si>
  <si>
    <t>20-02-0011-0103-0000_606</t>
  </si>
  <si>
    <t>606 STACY LYNN DR, Clendenin, WV, 25045</t>
  </si>
  <si>
    <t>20-02-0011-0103-0000</t>
  </si>
  <si>
    <t>20-02-0002-0111-0000_17</t>
  </si>
  <si>
    <t>17 COBB AVE, Clendenin, WV, 25045</t>
  </si>
  <si>
    <t>20-02-0002-0111-0000</t>
  </si>
  <si>
    <t>L</t>
  </si>
  <si>
    <t>R3A1N</t>
  </si>
  <si>
    <t>RES3ANBSG8</t>
  </si>
  <si>
    <t>20-01-019E-0072-0000_100</t>
  </si>
  <si>
    <t>100 MARBURG RD, Clendenin, WV, 25045</t>
  </si>
  <si>
    <t>20-01-019E-0072-0000</t>
  </si>
  <si>
    <t>20-01-023C-0066-0002_534A</t>
  </si>
  <si>
    <t>534A YOUNGS BTM, Elkview, WV, 25071</t>
  </si>
  <si>
    <t>20-01-023C-0066-0002</t>
  </si>
  <si>
    <t>534 A YOUNGS BOTTOM RD, ELKVIEW, WV 25071</t>
  </si>
  <si>
    <t>LARCH JOSEPH C &amp; BAMBI L</t>
  </si>
  <si>
    <t>20-24-0025-0074-0000_691</t>
  </si>
  <si>
    <t>691 SISSON TER, Charleston, WV, 25320</t>
  </si>
  <si>
    <t>20-24-0025-0074-0000</t>
  </si>
  <si>
    <t>Pocatalico River</t>
  </si>
  <si>
    <t>8323 SISSONVILLE DR, SISSONVILLE, WV 25320</t>
  </si>
  <si>
    <t>SISSON S P EST</t>
  </si>
  <si>
    <t>Residential Vacant</t>
  </si>
  <si>
    <t>20-24-025B-0010-0001_8373</t>
  </si>
  <si>
    <t>8373 SISSONVILLE DR, Charleston, WV, 25320</t>
  </si>
  <si>
    <t>20-24-025B-0010-0001</t>
  </si>
  <si>
    <t>PO BOX 13046, CHARLESTON, WV 25360</t>
  </si>
  <si>
    <t>KING ROBERT W</t>
  </si>
  <si>
    <t>20-16-0012-0053-0002_35</t>
  </si>
  <si>
    <t>35 FUNSTON DR, Saint Albans, WV, 25177</t>
  </si>
  <si>
    <t>20-16-0012-0053-0002</t>
  </si>
  <si>
    <t>Browns Creek Tributary No.3</t>
  </si>
  <si>
    <t>47 FUNSTON DR, SAINT ALBANS, WV 25177</t>
  </si>
  <si>
    <t>SLAYTON JO ANN</t>
  </si>
  <si>
    <t>20-15-0029-0110-0000_1</t>
  </si>
  <si>
    <t>1 LAZYRIDGE RD, Elkview, WV, 25071</t>
  </si>
  <si>
    <t>20-15-0029-0110-0000</t>
  </si>
  <si>
    <t>Pinch Creek</t>
  </si>
  <si>
    <t>Preliminary A</t>
  </si>
  <si>
    <t>9105 SPOTTER DR, APEX, NC 27502</t>
  </si>
  <si>
    <t>BOGGS CARMEL L &amp; ANNA M &amp; ETAL</t>
  </si>
  <si>
    <t>Advisory A + Preliminary A (N/A)</t>
  </si>
  <si>
    <t>20-16-008F-0065-0000_6314</t>
  </si>
  <si>
    <t>6314 MACCORKLE AVE SW APT B, Saint Albans, WV, 25177</t>
  </si>
  <si>
    <t>20-16-008F-0065-0000</t>
  </si>
  <si>
    <t>2014 GRANT AVE, ST ALBANS, WV 25177</t>
  </si>
  <si>
    <t>CRAIGO HARVEY D &amp; BETTY J</t>
  </si>
  <si>
    <t>R3B1N</t>
  </si>
  <si>
    <t>20-17-0010-0402-0000_705</t>
  </si>
  <si>
    <t>705 CHESTNUT ST, Saint Albans, WV, 25177</t>
  </si>
  <si>
    <t>20-17-0010-0402-0000</t>
  </si>
  <si>
    <t>City of Saint Albans</t>
  </si>
  <si>
    <t>Tributary2 To Two and Three Quarter Mile Trib No.5</t>
  </si>
  <si>
    <t>705 CHESTNUT ST, ST ALBANS, WV 25177</t>
  </si>
  <si>
    <t>WENDELL ROBIN</t>
  </si>
  <si>
    <t>Colonial</t>
  </si>
  <si>
    <t>St. Albans</t>
  </si>
  <si>
    <t>20-15-0024-0065-0002_156</t>
  </si>
  <si>
    <t>156 BLUE CREEK RD, Elkview, WV, 25071</t>
  </si>
  <si>
    <t>20-15-0024-0065-0002</t>
  </si>
  <si>
    <t>Blue Creek</t>
  </si>
  <si>
    <t>156 BLUE CREEK RD, ELKVIEW, WV 25071</t>
  </si>
  <si>
    <t>TRUMAN LORA ANN</t>
  </si>
  <si>
    <t>20-15-053A-0016-0000_339</t>
  </si>
  <si>
    <t>339 KEYSTONE DR, Charleston, WV, 25311</t>
  </si>
  <si>
    <t>20-15-053A-0016-0000</t>
  </si>
  <si>
    <t>Elk Twomile Creek</t>
  </si>
  <si>
    <t>339 KEYSTONE DR, CHARLESTON, WV 25311</t>
  </si>
  <si>
    <t>JOHNSON MICHAEL W &amp; REBECCA J</t>
  </si>
  <si>
    <t>20-23-0007-0023-0001_2438</t>
  </si>
  <si>
    <t>2438 BAKERS FORK RD, Charleston, WV, 25311</t>
  </si>
  <si>
    <t>20-23-0007-0023-0001</t>
  </si>
  <si>
    <t>486 S RUFFNER RD, CHARLESTON, WV 25314</t>
  </si>
  <si>
    <t>BOYCE ROGER LIFE &amp; DIANA FARMER REM</t>
  </si>
  <si>
    <t>20-15-044J-0025-0001_1301</t>
  </si>
  <si>
    <t>1301 BARLOW DR, Charleston, WV, 25311</t>
  </si>
  <si>
    <t>20-15-044J-0025-0001</t>
  </si>
  <si>
    <t>2471 NUREMBURG BLVD, PUNTA GORDA, FL 33983</t>
  </si>
  <si>
    <t>KAREN L PERRY REVOCABLE LIVING TRUST</t>
  </si>
  <si>
    <t>Masonry and Frame</t>
  </si>
  <si>
    <t>20-27-0010-0220-0000_207</t>
  </si>
  <si>
    <t>207 MAIN AVE, Nitro, WV, 25143</t>
  </si>
  <si>
    <t>20-27-0010-0220-0000</t>
  </si>
  <si>
    <t>City of Nitro</t>
  </si>
  <si>
    <t>124 WATERSIDE CIR, WINFIELD, WV 25213</t>
  </si>
  <si>
    <t>DAWSON LARRY W</t>
  </si>
  <si>
    <t>Savings Institution</t>
  </si>
  <si>
    <t>COM5</t>
  </si>
  <si>
    <t>C5LN</t>
  </si>
  <si>
    <t>Nitro**</t>
  </si>
  <si>
    <t>20-15-0029-0110-0000_2</t>
  </si>
  <si>
    <t>2 LAZYRIDGE RD, Elkview, WV, 25071</t>
  </si>
  <si>
    <t>20-15-0029-0105-0003_71</t>
  </si>
  <si>
    <t>71 STONEGLEN LN, Elkview, WV, 25071</t>
  </si>
  <si>
    <t>20-15-0029-0105-0003</t>
  </si>
  <si>
    <t>Pinch Creek Tributary No.2</t>
  </si>
  <si>
    <t>815 MAPLE RD, CHARLESTON, WV 25302</t>
  </si>
  <si>
    <t>STONE JOHN W</t>
  </si>
  <si>
    <t>20-16-006G-0035-0000_11398</t>
  </si>
  <si>
    <t>11398 COAL RIVER RD, Saint Albans, WV, 25177</t>
  </si>
  <si>
    <t>20-16-006G-0035-0000</t>
  </si>
  <si>
    <t>11398 COAL RIVER RD, ST ALBANS, WV 25177</t>
  </si>
  <si>
    <t>LIVELY DEBORAH FERN GUNNOE</t>
  </si>
  <si>
    <t>RES1BSG6</t>
  </si>
  <si>
    <t>20-15-023B-0059-0000_608</t>
  </si>
  <si>
    <t>608 MELTON ADDITION RD, Elkview, WV, 25071</t>
  </si>
  <si>
    <t>20-15-023B-0059-0000</t>
  </si>
  <si>
    <t>532 MELTON ST, ELKVIEW, WV 25071</t>
  </si>
  <si>
    <t>YOUNG WILLIAM M</t>
  </si>
  <si>
    <t>20-15-0024-0059-0000_190</t>
  </si>
  <si>
    <t>190 BLUE CREEK RD, Elkview, WV, 25071</t>
  </si>
  <si>
    <t>20-15-0024-0059-0000</t>
  </si>
  <si>
    <t>C/O JOAN SHAFER, 3286 AARONS FORK RD, ELKVIEW, WV 25071</t>
  </si>
  <si>
    <t>RUCKER VIOLA</t>
  </si>
  <si>
    <t>Effective AE + Preliminary AE (N/A)</t>
  </si>
  <si>
    <t>20-01-0030-0024-0001_1925</t>
  </si>
  <si>
    <t>1925 MUDLICK RD, Clendenin, WV, 25045</t>
  </si>
  <si>
    <t>20-01-0030-0024-0001</t>
  </si>
  <si>
    <t>Mudlick Fork</t>
  </si>
  <si>
    <t>BOX 129, CLENDENIN, WV 25045</t>
  </si>
  <si>
    <t>MULLINS HARLEY &amp; BRENDA</t>
  </si>
  <si>
    <t>20-17-0007-0058-0000_2608</t>
  </si>
  <si>
    <t>2608 FORRESTAL AVE, Saint Albans, WV, 25177</t>
  </si>
  <si>
    <t>20-17-0007-0058-0000</t>
  </si>
  <si>
    <t>PO BOX 1264, SAINT ALBANS, WV 25177</t>
  </si>
  <si>
    <t>L A PROPERTY INC</t>
  </si>
  <si>
    <t>20-17-0005-0240-0000_2232</t>
  </si>
  <si>
    <t>2232 MCKINLEY AVE, Saint Albans, WV, 25177</t>
  </si>
  <si>
    <t>20-17-0005-0240-0000</t>
  </si>
  <si>
    <t>36 ST ANDREWS, HURRICANE, WV 25526</t>
  </si>
  <si>
    <t>CHAPMAN JERED</t>
  </si>
  <si>
    <t>51-07-0001-0204-0001_227</t>
  </si>
  <si>
    <t>227 Back Fork St, Webster Springs, WV, 26288</t>
  </si>
  <si>
    <t>51-07-0001-0204-0001</t>
  </si>
  <si>
    <t>Town of Webster Springs (Addison)</t>
  </si>
  <si>
    <t>WEBSTER COUNTY</t>
  </si>
  <si>
    <t>Back Fork Elk River</t>
  </si>
  <si>
    <t>PO BOX 284, PROCIOUS, WV 25164</t>
  </si>
  <si>
    <t>CUMMINGS ROBERT</t>
  </si>
  <si>
    <t>Address from physical address</t>
  </si>
  <si>
    <t>Webster_HEC_RAS_HAZUS.tif</t>
  </si>
  <si>
    <t>Addison</t>
  </si>
  <si>
    <t>WEBSTER</t>
  </si>
  <si>
    <t>Webster</t>
  </si>
  <si>
    <t>51-03-0005-0002-0000_118</t>
  </si>
  <si>
    <t>118 RAVEN RD, WEBSTER SPRINGS, WV, 26288</t>
  </si>
  <si>
    <t>51-03-0005-0002-0000</t>
  </si>
  <si>
    <t>Webster County</t>
  </si>
  <si>
    <t>48 RAVEN RD, WEBSTER SPRINGS, WV 26288</t>
  </si>
  <si>
    <t>GROUNDS DENNIS</t>
  </si>
  <si>
    <t>Webster County*</t>
  </si>
  <si>
    <t>38-06-0072-0002-0006_5368</t>
  </si>
  <si>
    <t>5368 ANTHONY CREEK RD, Marlinton, WV, 24954</t>
  </si>
  <si>
    <t>38-06-0072-0002-0006</t>
  </si>
  <si>
    <t>38-06-0072-0003-0000</t>
  </si>
  <si>
    <t>Pocahontas County</t>
  </si>
  <si>
    <t>POCAHONTAS COUNTY</t>
  </si>
  <si>
    <t>Anthony Creek</t>
  </si>
  <si>
    <t>Greenbrier (5050003)</t>
  </si>
  <si>
    <t>JANET ALLIO, 380 LOWELL DR, ELKVIEW, WV 25071</t>
  </si>
  <si>
    <t>HURST E S</t>
  </si>
  <si>
    <t>Pocahontas_HEC_RAS_HAZUS.tif</t>
  </si>
  <si>
    <t>Pocahontas County*</t>
  </si>
  <si>
    <t>POCAHONTAS</t>
  </si>
  <si>
    <t>Pocahontas</t>
  </si>
  <si>
    <t>34-03-0013-0067-0015_16</t>
  </si>
  <si>
    <t>16 HAMMER ST, BIRCH RIVER, WV, 26610</t>
  </si>
  <si>
    <t>34-03-0013-0067-0015</t>
  </si>
  <si>
    <t>Nicholas County</t>
  </si>
  <si>
    <t>NICHOLAS COUNTY</t>
  </si>
  <si>
    <t>Birch River</t>
  </si>
  <si>
    <t>P O BOX 324, BIRCH RIVER, WV 26610</t>
  </si>
  <si>
    <t>COLLINS TAMMY S</t>
  </si>
  <si>
    <t>Assessment is in parcel  _x000D__x000D_
34-03-0013-0067-0015. No building footprint.</t>
  </si>
  <si>
    <t>Nicholas_HEC_RAS_HAZUS.tif</t>
  </si>
  <si>
    <t>Nicholas County*</t>
  </si>
  <si>
    <t>NICHOLAS</t>
  </si>
  <si>
    <t>Nicholas</t>
  </si>
  <si>
    <t>34-03-0036-0034-0000_18</t>
  </si>
  <si>
    <t>18 SHORT RUN RD, BIRCH RIVER, WV, 26610</t>
  </si>
  <si>
    <t>34-03-0036-0034-0000</t>
  </si>
  <si>
    <t>Brushy Fork</t>
  </si>
  <si>
    <t>Gauley (5050005)</t>
  </si>
  <si>
    <t>PO BOX 313, SUMMERSVILLE, WV 26651</t>
  </si>
  <si>
    <t>WOOD BOBBY GENE</t>
  </si>
  <si>
    <t>Recalculated building appraisal based on median double wide mobile home values for Nicholas County</t>
  </si>
  <si>
    <t>34-04-0011-0034-0000_3745</t>
  </si>
  <si>
    <t>3745 DIXIE HWY, DIXIE, WV, 25059</t>
  </si>
  <si>
    <t>34-04-0011-0034-0000</t>
  </si>
  <si>
    <t>Open Fork</t>
  </si>
  <si>
    <t>P O BOX 397, GLENVILLE, WV 26351</t>
  </si>
  <si>
    <t>WE R FARMERS</t>
  </si>
  <si>
    <t>Effective AE-Floodway (N/A)</t>
  </si>
  <si>
    <t>34-09-0036-0024-0000_9999</t>
  </si>
  <si>
    <t>9999 Snowhill Rd, Quinwood, WV, 25981</t>
  </si>
  <si>
    <t>34-09-0036-0024-0000</t>
  </si>
  <si>
    <t>Hominy River</t>
  </si>
  <si>
    <t>796 DORSEY RD, NETTIE, WV 26681</t>
  </si>
  <si>
    <t>GEORGE TROY DONALD &amp; TIMOTHY JONES</t>
  </si>
  <si>
    <t>13-08-003S-0003-0000_277</t>
  </si>
  <si>
    <t>277 JOHN PERRY LN, Ronceverte, WV, 24970</t>
  </si>
  <si>
    <t>13-08-003S-0003-0000</t>
  </si>
  <si>
    <t>13-08-003S-0002-0000</t>
  </si>
  <si>
    <t>Greenbrier County</t>
  </si>
  <si>
    <t>GREENBRIER COUNTY</t>
  </si>
  <si>
    <t>Greenbrier River</t>
  </si>
  <si>
    <t>Draft AE</t>
  </si>
  <si>
    <t>C/O NICHOLAS TODD BROWN, 277 JOHN PERRY LANE, RONCEVERTE, WV 24970</t>
  </si>
  <si>
    <t>MANN GERALD I</t>
  </si>
  <si>
    <t>Draft AE (HEC-RAS)</t>
  </si>
  <si>
    <t>Greenbrier_HEC_RAS.tif</t>
  </si>
  <si>
    <t>Greenbrier County*</t>
  </si>
  <si>
    <t>GREENBRIER</t>
  </si>
  <si>
    <t>Greenbrier</t>
  </si>
  <si>
    <t>10-03-013R-0013-0000_84</t>
  </si>
  <si>
    <t>84 AKERS RD, CANNELTON, WV, 25036</t>
  </si>
  <si>
    <t>10-03-013R-0013-0000</t>
  </si>
  <si>
    <t>Fayette County</t>
  </si>
  <si>
    <t>FAYETTE COUNTY</t>
  </si>
  <si>
    <t>Smithers Creek</t>
  </si>
  <si>
    <t>C/O MICHAEL BOWE, PO BOX 553, SMITHERS, WV 25186</t>
  </si>
  <si>
    <t>HUDNALL MICHAEL SCOTT ET AL</t>
  </si>
  <si>
    <t>calculated building appraisal with avg of three neighbors</t>
  </si>
  <si>
    <t>Advisory A + Effective A (N/A)</t>
  </si>
  <si>
    <t>Fayette_HEC_RAS.tif</t>
  </si>
  <si>
    <t>Fayette County*</t>
  </si>
  <si>
    <t>FAYETTE</t>
  </si>
  <si>
    <t>Fayette</t>
  </si>
  <si>
    <t>10-11-0003-0003-0000_2</t>
  </si>
  <si>
    <t>2 HOWARD AVE, SMITHERS, WV, 25186</t>
  </si>
  <si>
    <t>10-11-0003-0003-0000</t>
  </si>
  <si>
    <t>Town of Smithers</t>
  </si>
  <si>
    <t>144 LOCK LN, ALUM CREEK, WV 25003</t>
  </si>
  <si>
    <t>REYNOLDS REGINA S</t>
  </si>
  <si>
    <t>Modified Building Appraisal to the replace cost of 14560</t>
  </si>
  <si>
    <t>Effective AE-Floodway + Updated AE (Modified)</t>
  </si>
  <si>
    <t>Smithers**</t>
  </si>
  <si>
    <t>10-03-052J-0003-0000_6578</t>
  </si>
  <si>
    <t>6578 ARMSTRONG CREEK RD, POWELLTON, WV, 25161</t>
  </si>
  <si>
    <t>10-03-052J-0003-0000</t>
  </si>
  <si>
    <t>Powellton Fork</t>
  </si>
  <si>
    <t>13247 MIDLAND TRL, GAULEY BRIDGE, WV 25085</t>
  </si>
  <si>
    <t>JARRETT JAMES</t>
  </si>
  <si>
    <t>41-05-0016-0081-0000_1286</t>
  </si>
  <si>
    <t>1286 PEACHTREE RD, Naoma, WV, 25140</t>
  </si>
  <si>
    <t>41-05-0016-0081-0000</t>
  </si>
  <si>
    <t>Raleigh County</t>
  </si>
  <si>
    <t>RALEIGH COUNTY</t>
  </si>
  <si>
    <t>Peachtree Creek</t>
  </si>
  <si>
    <t>P O BOX 746, FAIRFOREST, SC 29336</t>
  </si>
  <si>
    <t>JARRELL RANDALL C</t>
  </si>
  <si>
    <t>Assessed by averaging 4 neighboring buildings, area measured in GIS, Not quite sure if it's a primary building</t>
  </si>
  <si>
    <t>Raleigh_HEC_RAS_.tif</t>
  </si>
  <si>
    <t>Raleigh County*</t>
  </si>
  <si>
    <t>RALEIGH</t>
  </si>
  <si>
    <t>Raleigh</t>
  </si>
  <si>
    <t>41-05-011B-0012-0000_271</t>
  </si>
  <si>
    <t>271 FRIENDLY VIEW, Dry Creek, WV, 25062</t>
  </si>
  <si>
    <t>41-05-011B-0012-0000</t>
  </si>
  <si>
    <t>P O BOX 153, NAOMA, WV 25140</t>
  </si>
  <si>
    <t>REAGON DINA A</t>
  </si>
  <si>
    <t>Recalculated building appraisal based on median single wide mobile homes in Raleigh County</t>
  </si>
  <si>
    <t>41-11-010A-0061-0000_253</t>
  </si>
  <si>
    <t>253 TERRY BEACH RD, Layland, WV, 25864</t>
  </si>
  <si>
    <t>41-11-010A-0061-0000</t>
  </si>
  <si>
    <t>New River</t>
  </si>
  <si>
    <t>Lower New (5050004)</t>
  </si>
  <si>
    <t>152 TONEY FORK RD, SCARBRO, WV 25917</t>
  </si>
  <si>
    <t>PARRISH HUNTER R</t>
  </si>
  <si>
    <t>FED</t>
  </si>
  <si>
    <t>41-05-0001-0048-0000_12084</t>
  </si>
  <si>
    <t>12084 COAL RIVER RD, Whitesville, WV, 25209</t>
  </si>
  <si>
    <t>41-05-0001-0048-0000</t>
  </si>
  <si>
    <t>41-05-0001-0049-0000</t>
  </si>
  <si>
    <t>P O BOX 267, WHITESVILLE, WV 25209</t>
  </si>
  <si>
    <t>MANIOS LOUIS</t>
  </si>
  <si>
    <t>28-11-044B-0006-0000_3316</t>
  </si>
  <si>
    <t>3316 CRANE CREEK RD, ROCK, WV, 24747</t>
  </si>
  <si>
    <t>28-11-044B-0006-0000</t>
  </si>
  <si>
    <t>28-11-044F-0031-0000</t>
  </si>
  <si>
    <t>Mercer County</t>
  </si>
  <si>
    <t>MERCER COUNTY</t>
  </si>
  <si>
    <t>Crane Creek</t>
  </si>
  <si>
    <t>Middle New (5050002)</t>
  </si>
  <si>
    <t>PO BOX 365, MONTCALM, WV 24737</t>
  </si>
  <si>
    <t>GROSE PAUL</t>
  </si>
  <si>
    <t>Mixed Commercial/Residential</t>
  </si>
  <si>
    <t>Parcel assessment is located in 28-11-044F-0031-0000, moved point into floodplain</t>
  </si>
  <si>
    <t>Mercer_HEC_RAS.tif</t>
  </si>
  <si>
    <t>Mercer County*</t>
  </si>
  <si>
    <t>MERCER</t>
  </si>
  <si>
    <t>Mercer</t>
  </si>
  <si>
    <t>27-03-0004-0021-0000_112</t>
  </si>
  <si>
    <t>112 SOUTHCAMP RD, NEWHALL, WV, 24866</t>
  </si>
  <si>
    <t>27-03-0004-0021-0000</t>
  </si>
  <si>
    <t>McDowell County</t>
  </si>
  <si>
    <t>MCDOWELL COUNTY</t>
  </si>
  <si>
    <t>Jacobs Fork</t>
  </si>
  <si>
    <t>PO BOX 58, NEWHALL, WV 24866</t>
  </si>
  <si>
    <t>TESTER JASON DEAN</t>
  </si>
  <si>
    <t>McDowell_HEC_RAS_HAZUS.tif</t>
  </si>
  <si>
    <t>McDowell County*</t>
  </si>
  <si>
    <t>MCDOWELL</t>
  </si>
  <si>
    <t>McDowell</t>
  </si>
  <si>
    <t>27-03-0003-0012-0000_4249</t>
  </si>
  <si>
    <t>4249 RIFT BERWIND RD, BERWIND, WV, 24815</t>
  </si>
  <si>
    <t>27-03-0003-0012-0000</t>
  </si>
  <si>
    <t>Dry Fork</t>
  </si>
  <si>
    <t>PO BOX 42, NEWHALL, WV 24866</t>
  </si>
  <si>
    <t>BANDY JAMES W</t>
  </si>
  <si>
    <t>27-03-0036-0033-0000_383</t>
  </si>
  <si>
    <t>383 YUKON AVE, WAR, WV, 24892</t>
  </si>
  <si>
    <t>27-03-0036-0033-0000</t>
  </si>
  <si>
    <t>27-03-0036-0034-0000</t>
  </si>
  <si>
    <t>HC 32 BOX 383, YUKON, WV 24899</t>
  </si>
  <si>
    <t>WOODY SHIRLEY COLEMAN</t>
  </si>
  <si>
    <t>27-03-0002-0009-0000_3854</t>
  </si>
  <si>
    <t>3854 RIFT BERWIND RD, BERWIND, WV, 24815</t>
  </si>
  <si>
    <t>27-03-0002-0009-0000</t>
  </si>
  <si>
    <t>PO BOX 153, BERWIND, WV 24815</t>
  </si>
  <si>
    <t>RILEY DAN</t>
  </si>
  <si>
    <t>27-03-0047-0001-0000_38</t>
  </si>
  <si>
    <t>38 GASTON CIR, RAYSAL, WV, 24879</t>
  </si>
  <si>
    <t>27-03-0047-0001-0000</t>
  </si>
  <si>
    <t>PO BOX 328, RAYSAL, WV 24879</t>
  </si>
  <si>
    <t>STACY TEDDY SR LE-FREDDIE STACY</t>
  </si>
  <si>
    <t>27-01-0004-0025-0000_3610</t>
  </si>
  <si>
    <t>3610 JENKINJONES MTN RD, JENKINJONES, WV, 24848</t>
  </si>
  <si>
    <t>27-01-0004-0025-0000</t>
  </si>
  <si>
    <t>Tug Fork</t>
  </si>
  <si>
    <t>PO BOX 136, JENKINJONES, WV 24848</t>
  </si>
  <si>
    <t>HUNLEY NANNIE L</t>
  </si>
  <si>
    <t>07-02-0001-0014-0000_107</t>
  </si>
  <si>
    <t>107 RIVER ST TRLR, GRANTSVILLE, WV, 26147</t>
  </si>
  <si>
    <t>07-02-0001-0014-0000</t>
  </si>
  <si>
    <t>Town of Grantsville</t>
  </si>
  <si>
    <t>CALHOUN COUNTY</t>
  </si>
  <si>
    <t>PO BOX 594, GRANTSVILLE, WV 26147</t>
  </si>
  <si>
    <t>LEMLEY BONNIE</t>
  </si>
  <si>
    <t>Calhoun_HEC_RAS_HAZUS.tif</t>
  </si>
  <si>
    <t>Grantsville</t>
  </si>
  <si>
    <t>CALHOUN</t>
  </si>
  <si>
    <t>Calhoun</t>
  </si>
  <si>
    <t>48-05-0010-0050-0000_6344</t>
  </si>
  <si>
    <t>6344 MIDDLE ISLAND RD, ALMA, WV, 26456</t>
  </si>
  <si>
    <t>48-05-0010-0050-0000</t>
  </si>
  <si>
    <t>Tyler County</t>
  </si>
  <si>
    <t>TYLER COUNTY</t>
  </si>
  <si>
    <t>Middle Island Creek</t>
  </si>
  <si>
    <t>Little Musringum-Middle Island (5030201)</t>
  </si>
  <si>
    <t>6473 MIDDLE ISLAND D, MIDDLEBOURNE, WV 26149</t>
  </si>
  <si>
    <t>WEIGLE STEVE</t>
  </si>
  <si>
    <t>Tyler_HEC_RAS.tif</t>
  </si>
  <si>
    <t>Tyler County*</t>
  </si>
  <si>
    <t>TYLER</t>
  </si>
  <si>
    <t>Tyler</t>
  </si>
  <si>
    <t>48-05-0010-0050-0000_6324</t>
  </si>
  <si>
    <t>6324 MIDDLE ISLAND RD, ALMA, WV, 26456</t>
  </si>
  <si>
    <t>48-08-0003-0134-0002_810</t>
  </si>
  <si>
    <t>810 S 3RD AVE, PADEN CITY, WV, 26159</t>
  </si>
  <si>
    <t>48-08-0003-0134-0002</t>
  </si>
  <si>
    <t>City of Paden City</t>
  </si>
  <si>
    <t>810 S THIRD AVE, PADEN CITY, WV 26159</t>
  </si>
  <si>
    <t>CAIN RONALD L &amp; CAIN KAREN KAY</t>
  </si>
  <si>
    <t>Paden City**</t>
  </si>
  <si>
    <t>48-10-0001-0002-0020_272</t>
  </si>
  <si>
    <t>272 FRIENDLY LNDG, FRIENDLY, WV, 26175</t>
  </si>
  <si>
    <t>48-10-0001-0002-0020</t>
  </si>
  <si>
    <t>48-10-0001-0002-0027</t>
  </si>
  <si>
    <t>5232 DEERWALK HWY, WAVERLY, WV 26184</t>
  </si>
  <si>
    <t>LOONEY STEVEN R (LIFE) &amp; LOONEY DEANNA M (LIFE)</t>
  </si>
  <si>
    <t>C+</t>
  </si>
  <si>
    <t>$50-$100K</t>
  </si>
  <si>
    <t>48-07-0003-0176-0000_604</t>
  </si>
  <si>
    <t>604 KIRCHNER ST TRLR, MIDDLEBOURNE, WV, 26149</t>
  </si>
  <si>
    <t>48-07-0003-0176-0000</t>
  </si>
  <si>
    <t>Town of Middlebourne</t>
  </si>
  <si>
    <t>1578 TEN MILE RD, NEW MARTINSVILLE, WV 26155</t>
  </si>
  <si>
    <t>DENNIS BOBBY JOE</t>
  </si>
  <si>
    <t>Middlebourne</t>
  </si>
  <si>
    <t>25-11-0021-0217-0000_1328</t>
  </si>
  <si>
    <t>1328 PEARL ST, Moundsville, WV, 26041</t>
  </si>
  <si>
    <t>25-11-0021-0217-0000</t>
  </si>
  <si>
    <t>City of Moundsville</t>
  </si>
  <si>
    <t>MARSHALL COUNTY</t>
  </si>
  <si>
    <t>Middle Grave Creek</t>
  </si>
  <si>
    <t>Upper Ohio-Wheeling (5030106)</t>
  </si>
  <si>
    <t>1317 SIXTH ST, MOUNDSVILLE, WV 26041</t>
  </si>
  <si>
    <t>BUZZARD DAVID M</t>
  </si>
  <si>
    <t>Marshall_HEC_RAS_HAZUS.tif</t>
  </si>
  <si>
    <t>Moundsville</t>
  </si>
  <si>
    <t>MARSHALL</t>
  </si>
  <si>
    <t>Marshall</t>
  </si>
  <si>
    <t>25-04-0003-0049-0000_67</t>
  </si>
  <si>
    <t>67 DONNIES LN, Moundsville, WV, 26041</t>
  </si>
  <si>
    <t>25-04-0003-0049-0000</t>
  </si>
  <si>
    <t>Marshall County</t>
  </si>
  <si>
    <t>39 DONNIES LN, MOUNDSVILLE, WV 26041</t>
  </si>
  <si>
    <t>THOMAS MATTHEW</t>
  </si>
  <si>
    <t>Marshall County*</t>
  </si>
  <si>
    <t>25-11-0021-0218-0001_1326</t>
  </si>
  <si>
    <t>1326 PEARL ST, Moundsville, WV, 26041</t>
  </si>
  <si>
    <t>25-11-0021-0218-0001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</si>
</sst>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4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264"/>
  <sheetViews>
    <sheetView tabSelected="1" topLeftCell="CS1" workbookViewId="0">
      <selection activeCell="DC1" sqref="DC1:DC1048576"/>
    </sheetView>
  </sheetViews>
  <sheetFormatPr defaultRowHeight="15" x14ac:dyDescent="0.25"/>
  <cols>
    <col min="1" max="1" width="27.7109375" bestFit="1" customWidth="1"/>
    <col min="2" max="2" width="15.7109375" bestFit="1" customWidth="1"/>
    <col min="3" max="3" width="52.42578125" bestFit="1" customWidth="1"/>
    <col min="4" max="5" width="20.42578125" bestFit="1" customWidth="1"/>
    <col min="6" max="6" width="95.42578125" style="3" bestFit="1" customWidth="1"/>
    <col min="7" max="7" width="63.5703125" bestFit="1" customWidth="1"/>
    <col min="8" max="8" width="7" bestFit="1" customWidth="1"/>
    <col min="9" max="9" width="32.85546875" bestFit="1" customWidth="1"/>
    <col min="10" max="10" width="21.85546875" bestFit="1" customWidth="1"/>
    <col min="11" max="11" width="27.85546875" bestFit="1" customWidth="1"/>
    <col min="12" max="12" width="47.42578125" bestFit="1" customWidth="1"/>
    <col min="13" max="13" width="38.5703125" bestFit="1" customWidth="1"/>
    <col min="14" max="14" width="23.42578125" bestFit="1" customWidth="1"/>
    <col min="15" max="15" width="9.5703125" bestFit="1" customWidth="1"/>
    <col min="16" max="16" width="15.42578125" bestFit="1" customWidth="1"/>
    <col min="17" max="17" width="11.85546875" bestFit="1" customWidth="1"/>
    <col min="18" max="18" width="18.85546875" bestFit="1" customWidth="1"/>
    <col min="19" max="19" width="19.7109375" bestFit="1" customWidth="1"/>
    <col min="20" max="20" width="11.85546875" bestFit="1" customWidth="1"/>
    <col min="21" max="21" width="14" bestFit="1" customWidth="1"/>
    <col min="22" max="22" width="17" bestFit="1" customWidth="1"/>
    <col min="23" max="23" width="24.28515625" bestFit="1" customWidth="1"/>
    <col min="24" max="24" width="82.85546875" bestFit="1" customWidth="1"/>
    <col min="25" max="25" width="63" bestFit="1" customWidth="1"/>
    <col min="26" max="26" width="10" bestFit="1" customWidth="1"/>
    <col min="27" max="27" width="8.28515625" bestFit="1" customWidth="1"/>
    <col min="28" max="28" width="20" bestFit="1" customWidth="1"/>
    <col min="29" max="29" width="25.85546875" bestFit="1" customWidth="1"/>
    <col min="30" max="30" width="9.42578125" bestFit="1" customWidth="1"/>
    <col min="31" max="31" width="15.140625" bestFit="1" customWidth="1"/>
    <col min="32" max="32" width="29.28515625" bestFit="1" customWidth="1"/>
    <col min="33" max="33" width="23.42578125" bestFit="1" customWidth="1"/>
    <col min="34" max="34" width="24.42578125" bestFit="1" customWidth="1"/>
    <col min="36" max="36" width="22.140625" bestFit="1" customWidth="1"/>
    <col min="37" max="37" width="22" bestFit="1" customWidth="1"/>
    <col min="38" max="38" width="14.42578125" bestFit="1" customWidth="1"/>
    <col min="39" max="39" width="15.28515625" bestFit="1" customWidth="1"/>
    <col min="40" max="40" width="16.5703125" bestFit="1" customWidth="1"/>
    <col min="41" max="41" width="17.5703125" bestFit="1" customWidth="1"/>
    <col min="42" max="42" width="15.140625" bestFit="1" customWidth="1"/>
    <col min="43" max="43" width="18" bestFit="1" customWidth="1"/>
    <col min="44" max="44" width="10.7109375" bestFit="1" customWidth="1"/>
    <col min="45" max="45" width="17.85546875" bestFit="1" customWidth="1"/>
    <col min="46" max="46" width="25.5703125" bestFit="1" customWidth="1"/>
    <col min="47" max="47" width="15.5703125" bestFit="1" customWidth="1"/>
    <col min="48" max="48" width="26.5703125" bestFit="1" customWidth="1"/>
    <col min="49" max="49" width="7.5703125" bestFit="1" customWidth="1"/>
    <col min="50" max="50" width="20.5703125" bestFit="1" customWidth="1"/>
    <col min="51" max="51" width="22.42578125" bestFit="1" customWidth="1"/>
    <col min="52" max="52" width="18.7109375" bestFit="1" customWidth="1"/>
    <col min="53" max="53" width="12.85546875" bestFit="1" customWidth="1"/>
    <col min="54" max="54" width="185.7109375" bestFit="1" customWidth="1"/>
    <col min="55" max="55" width="38.85546875" bestFit="1" customWidth="1"/>
    <col min="56" max="56" width="33" bestFit="1" customWidth="1"/>
    <col min="57" max="57" width="23.85546875" bestFit="1" customWidth="1"/>
    <col min="58" max="58" width="21" bestFit="1" customWidth="1"/>
    <col min="59" max="59" width="29.28515625" bestFit="1" customWidth="1"/>
    <col min="60" max="60" width="10.85546875" bestFit="1" customWidth="1"/>
    <col min="61" max="61" width="46.42578125" bestFit="1" customWidth="1"/>
    <col min="62" max="62" width="10" bestFit="1" customWidth="1"/>
    <col min="63" max="63" width="14" bestFit="1" customWidth="1"/>
    <col min="64" max="64" width="6.42578125" bestFit="1" customWidth="1"/>
    <col min="65" max="65" width="8" bestFit="1" customWidth="1"/>
    <col min="66" max="66" width="11.42578125" bestFit="1" customWidth="1"/>
    <col min="67" max="67" width="15.5703125" bestFit="1" customWidth="1"/>
    <col min="68" max="68" width="11.42578125" bestFit="1" customWidth="1"/>
    <col min="69" max="69" width="6" bestFit="1" customWidth="1"/>
    <col min="70" max="70" width="17.42578125" bestFit="1" customWidth="1"/>
    <col min="71" max="71" width="12" bestFit="1" customWidth="1"/>
    <col min="72" max="72" width="12.7109375" bestFit="1" customWidth="1"/>
    <col min="73" max="73" width="12" bestFit="1" customWidth="1"/>
    <col min="74" max="74" width="14.7109375" bestFit="1" customWidth="1"/>
    <col min="75" max="75" width="5.42578125" bestFit="1" customWidth="1"/>
    <col min="76" max="76" width="6.85546875" bestFit="1" customWidth="1"/>
    <col min="77" max="77" width="8.5703125" bestFit="1" customWidth="1"/>
    <col min="78" max="78" width="12" bestFit="1" customWidth="1"/>
    <col min="79" max="79" width="12.140625" bestFit="1" customWidth="1"/>
    <col min="80" max="80" width="15.7109375" bestFit="1" customWidth="1"/>
    <col min="81" max="81" width="8.5703125" bestFit="1" customWidth="1"/>
    <col min="82" max="82" width="12" bestFit="1" customWidth="1"/>
    <col min="83" max="83" width="15.5703125" bestFit="1" customWidth="1"/>
    <col min="84" max="84" width="17.28515625" bestFit="1" customWidth="1"/>
    <col min="85" max="85" width="8" bestFit="1" customWidth="1"/>
    <col min="86" max="86" width="12" bestFit="1" customWidth="1"/>
    <col min="87" max="87" width="17" bestFit="1" customWidth="1"/>
    <col min="88" max="88" width="12.28515625" bestFit="1" customWidth="1"/>
    <col min="89" max="89" width="10.42578125" bestFit="1" customWidth="1"/>
    <col min="90" max="90" width="12.140625" bestFit="1" customWidth="1"/>
    <col min="91" max="91" width="13.42578125" bestFit="1" customWidth="1"/>
    <col min="92" max="92" width="10.5703125" bestFit="1" customWidth="1"/>
    <col min="93" max="93" width="16.42578125" bestFit="1" customWidth="1"/>
    <col min="94" max="94" width="16.7109375" bestFit="1" customWidth="1"/>
    <col min="95" max="96" width="35" bestFit="1" customWidth="1"/>
    <col min="97" max="97" width="21" bestFit="1" customWidth="1"/>
    <col min="98" max="98" width="31.7109375" bestFit="1" customWidth="1"/>
    <col min="99" max="99" width="29" bestFit="1" customWidth="1"/>
    <col min="100" max="100" width="21.5703125" bestFit="1" customWidth="1"/>
    <col min="101" max="101" width="17.28515625" bestFit="1" customWidth="1"/>
    <col min="102" max="102" width="27.28515625" bestFit="1" customWidth="1"/>
    <col min="103" max="103" width="23.140625" bestFit="1" customWidth="1"/>
    <col min="104" max="104" width="20.42578125" bestFit="1" customWidth="1"/>
    <col min="105" max="105" width="12.5703125" bestFit="1" customWidth="1"/>
    <col min="106" max="107" width="14.42578125" bestFit="1" customWidth="1"/>
  </cols>
  <sheetData>
    <row r="1" spans="1:10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</row>
    <row r="2" spans="1:107" x14ac:dyDescent="0.25">
      <c r="A2" t="s">
        <v>860</v>
      </c>
      <c r="B2" t="s">
        <v>108</v>
      </c>
      <c r="C2" t="s">
        <v>861</v>
      </c>
      <c r="D2" t="s">
        <v>862</v>
      </c>
      <c r="F2" s="3" t="str">
        <f>HYPERLINK("https://mapwv.gov/flood/map/?wkid=102100&amp;x=-8902681.33480398&amp;y=4815231.03249857&amp;l=13&amp;v=2","FT")</f>
        <v>FT</v>
      </c>
      <c r="G2" s="3" t="str">
        <f>HYPERLINK("https://mapwv.gov/Assessment/Detail/?PID=31150010005400000000","Assessment")</f>
        <v>Assessment</v>
      </c>
      <c r="H2">
        <v>540141</v>
      </c>
      <c r="I2" t="s">
        <v>863</v>
      </c>
      <c r="J2" t="s">
        <v>864</v>
      </c>
      <c r="K2" t="s">
        <v>113</v>
      </c>
      <c r="L2" t="s">
        <v>865</v>
      </c>
      <c r="M2" t="s">
        <v>504</v>
      </c>
      <c r="N2" t="s">
        <v>199</v>
      </c>
      <c r="O2" t="s">
        <v>383</v>
      </c>
      <c r="P2" t="s">
        <v>150</v>
      </c>
      <c r="Q2" t="s">
        <v>225</v>
      </c>
      <c r="R2">
        <v>1</v>
      </c>
      <c r="S2" t="s">
        <v>120</v>
      </c>
      <c r="T2">
        <v>997.9</v>
      </c>
      <c r="U2" t="s">
        <v>866</v>
      </c>
      <c r="V2">
        <v>995.9</v>
      </c>
      <c r="X2" t="s">
        <v>867</v>
      </c>
      <c r="Y2" t="s">
        <v>868</v>
      </c>
      <c r="Z2">
        <v>0</v>
      </c>
      <c r="AB2" t="s">
        <v>125</v>
      </c>
      <c r="AC2" t="s">
        <v>126</v>
      </c>
      <c r="AD2">
        <v>4</v>
      </c>
      <c r="AE2">
        <v>620</v>
      </c>
      <c r="AF2" t="s">
        <v>653</v>
      </c>
      <c r="AG2" t="s">
        <v>654</v>
      </c>
      <c r="AH2" t="s">
        <v>653</v>
      </c>
      <c r="AI2">
        <v>1</v>
      </c>
      <c r="AL2">
        <v>26000</v>
      </c>
      <c r="AN2" t="s">
        <v>131</v>
      </c>
      <c r="AO2">
        <v>1</v>
      </c>
      <c r="AP2">
        <v>0</v>
      </c>
      <c r="AQ2">
        <v>0</v>
      </c>
      <c r="AR2">
        <v>0</v>
      </c>
      <c r="AS2">
        <v>1300000</v>
      </c>
      <c r="AT2" t="s">
        <v>178</v>
      </c>
      <c r="AU2">
        <v>1</v>
      </c>
      <c r="AV2">
        <v>0</v>
      </c>
      <c r="AW2">
        <v>0</v>
      </c>
      <c r="AX2" t="s">
        <v>655</v>
      </c>
      <c r="BB2" t="s">
        <v>869</v>
      </c>
      <c r="BC2" t="s">
        <v>841</v>
      </c>
      <c r="BE2">
        <v>2.4</v>
      </c>
      <c r="BF2">
        <v>0</v>
      </c>
      <c r="BG2">
        <v>0</v>
      </c>
      <c r="BH2" s="1">
        <v>44329</v>
      </c>
      <c r="BI2" t="s">
        <v>870</v>
      </c>
      <c r="BJ2">
        <v>0</v>
      </c>
      <c r="BK2" t="s">
        <v>225</v>
      </c>
      <c r="BL2" t="s">
        <v>654</v>
      </c>
      <c r="BM2">
        <v>1300000</v>
      </c>
      <c r="BN2">
        <v>1</v>
      </c>
      <c r="BO2">
        <v>7</v>
      </c>
      <c r="BP2">
        <v>1</v>
      </c>
      <c r="BQ2">
        <v>26000</v>
      </c>
      <c r="BR2">
        <v>1162</v>
      </c>
      <c r="BS2">
        <v>39.650139758999998</v>
      </c>
      <c r="BT2">
        <v>-79.974147126999895</v>
      </c>
      <c r="BU2">
        <v>0.8</v>
      </c>
      <c r="BV2">
        <v>-0.19999998807907099</v>
      </c>
      <c r="BW2">
        <v>1</v>
      </c>
      <c r="BX2" t="s">
        <v>656</v>
      </c>
      <c r="BY2">
        <v>624</v>
      </c>
      <c r="BZ2">
        <v>0</v>
      </c>
      <c r="CA2">
        <v>0</v>
      </c>
      <c r="CB2">
        <v>1300000</v>
      </c>
      <c r="CC2">
        <v>467</v>
      </c>
      <c r="CD2">
        <v>8.0000001192092896</v>
      </c>
      <c r="CE2">
        <v>104000.00154971999</v>
      </c>
      <c r="CF2">
        <v>0</v>
      </c>
      <c r="CG2">
        <v>0</v>
      </c>
      <c r="CH2">
        <v>0</v>
      </c>
      <c r="CI2">
        <v>0</v>
      </c>
      <c r="CO2">
        <v>0</v>
      </c>
      <c r="CP2">
        <v>0</v>
      </c>
      <c r="CQ2" t="s">
        <v>871</v>
      </c>
      <c r="CR2" t="s">
        <v>872</v>
      </c>
      <c r="CS2" t="s">
        <v>138</v>
      </c>
      <c r="CT2" t="s">
        <v>873</v>
      </c>
      <c r="CU2" t="s">
        <v>163</v>
      </c>
      <c r="CW2">
        <v>6</v>
      </c>
      <c r="CX2" t="s">
        <v>874</v>
      </c>
      <c r="CY2" t="s">
        <v>875</v>
      </c>
      <c r="CZ2" t="s">
        <v>862</v>
      </c>
      <c r="DA2" t="s">
        <v>876</v>
      </c>
      <c r="DB2">
        <v>0</v>
      </c>
      <c r="DC2">
        <v>500000</v>
      </c>
    </row>
    <row r="3" spans="1:107" x14ac:dyDescent="0.25">
      <c r="A3" t="s">
        <v>1153</v>
      </c>
      <c r="B3" t="s">
        <v>108</v>
      </c>
      <c r="C3" t="s">
        <v>1154</v>
      </c>
      <c r="D3" t="s">
        <v>1155</v>
      </c>
      <c r="F3" s="3" t="str">
        <f>HYPERLINK("https://mapwv.gov/flood/map/?wkid=102100&amp;x=-9117639.221988615&amp;y=4642947.752563048&amp;l=13&amp;v=2","FT")</f>
        <v>FT</v>
      </c>
      <c r="G3" s="3" t="str">
        <f>HYPERLINK("https://mapwv.gov/Assessment/Detail/?PID=40100224005700020000","Assessment")</f>
        <v>Assessment</v>
      </c>
      <c r="H3">
        <v>540164</v>
      </c>
      <c r="I3" t="s">
        <v>1156</v>
      </c>
      <c r="J3" t="s">
        <v>1157</v>
      </c>
      <c r="K3" t="s">
        <v>148</v>
      </c>
      <c r="L3" t="s">
        <v>1158</v>
      </c>
      <c r="M3" t="s">
        <v>909</v>
      </c>
      <c r="N3" t="s">
        <v>199</v>
      </c>
      <c r="O3" t="s">
        <v>117</v>
      </c>
      <c r="P3" t="s">
        <v>150</v>
      </c>
      <c r="Q3" t="s">
        <v>119</v>
      </c>
      <c r="R3" t="s">
        <v>151</v>
      </c>
      <c r="S3" t="s">
        <v>151</v>
      </c>
      <c r="T3" t="s">
        <v>151</v>
      </c>
      <c r="U3" t="s">
        <v>151</v>
      </c>
      <c r="V3">
        <v>712.9</v>
      </c>
      <c r="X3" t="s">
        <v>1159</v>
      </c>
      <c r="Y3" t="s">
        <v>1160</v>
      </c>
      <c r="Z3">
        <v>1965</v>
      </c>
      <c r="AA3" t="s">
        <v>241</v>
      </c>
      <c r="AB3" t="s">
        <v>175</v>
      </c>
      <c r="AC3" t="s">
        <v>288</v>
      </c>
      <c r="AD3">
        <v>3</v>
      </c>
      <c r="AE3">
        <v>347</v>
      </c>
      <c r="AF3" t="s">
        <v>1161</v>
      </c>
      <c r="AG3" t="s">
        <v>483</v>
      </c>
      <c r="AH3" t="s">
        <v>288</v>
      </c>
      <c r="AI3">
        <v>1</v>
      </c>
      <c r="AJ3" t="s">
        <v>291</v>
      </c>
      <c r="AL3">
        <v>23138</v>
      </c>
      <c r="AM3" t="s">
        <v>206</v>
      </c>
      <c r="AN3" t="s">
        <v>131</v>
      </c>
      <c r="AO3">
        <v>1</v>
      </c>
      <c r="AP3">
        <v>0</v>
      </c>
      <c r="AQ3">
        <v>286000</v>
      </c>
      <c r="AR3">
        <v>61840</v>
      </c>
      <c r="AS3">
        <v>347800</v>
      </c>
      <c r="AT3" t="s">
        <v>132</v>
      </c>
      <c r="AU3">
        <v>1</v>
      </c>
      <c r="AV3">
        <v>3</v>
      </c>
      <c r="AW3">
        <v>1</v>
      </c>
      <c r="BE3">
        <v>2.6</v>
      </c>
      <c r="BF3">
        <v>0</v>
      </c>
      <c r="BG3">
        <v>0</v>
      </c>
      <c r="BH3" s="1">
        <v>44349</v>
      </c>
      <c r="BI3" t="s">
        <v>441</v>
      </c>
      <c r="BJ3">
        <v>1965</v>
      </c>
      <c r="BK3" t="s">
        <v>119</v>
      </c>
      <c r="BL3" t="s">
        <v>483</v>
      </c>
      <c r="BM3">
        <v>347800</v>
      </c>
      <c r="BN3">
        <v>1</v>
      </c>
      <c r="BO3">
        <v>7</v>
      </c>
      <c r="BP3">
        <v>1</v>
      </c>
      <c r="BQ3">
        <v>23138</v>
      </c>
      <c r="BR3">
        <v>1198</v>
      </c>
      <c r="BS3">
        <v>38.448280113000102</v>
      </c>
      <c r="BT3">
        <v>-81.905146681999895</v>
      </c>
      <c r="BU3">
        <v>0</v>
      </c>
      <c r="BV3">
        <v>-1</v>
      </c>
      <c r="BW3">
        <v>0</v>
      </c>
      <c r="BX3" t="s">
        <v>484</v>
      </c>
      <c r="BY3">
        <v>0</v>
      </c>
      <c r="BZ3">
        <v>0</v>
      </c>
      <c r="CA3">
        <v>0</v>
      </c>
      <c r="CB3">
        <v>347800</v>
      </c>
      <c r="CC3">
        <v>0</v>
      </c>
      <c r="CD3">
        <v>0</v>
      </c>
      <c r="CE3">
        <v>0</v>
      </c>
      <c r="CF3">
        <v>159421</v>
      </c>
      <c r="CG3">
        <v>0</v>
      </c>
      <c r="CH3">
        <v>0</v>
      </c>
      <c r="CI3">
        <v>0</v>
      </c>
      <c r="CO3">
        <v>0</v>
      </c>
      <c r="CP3">
        <v>0</v>
      </c>
      <c r="CQ3" t="s">
        <v>1162</v>
      </c>
      <c r="CR3" t="s">
        <v>1163</v>
      </c>
      <c r="CS3" t="s">
        <v>161</v>
      </c>
      <c r="CT3" t="s">
        <v>1038</v>
      </c>
      <c r="CU3" t="s">
        <v>163</v>
      </c>
      <c r="CW3">
        <v>3</v>
      </c>
      <c r="CX3" t="s">
        <v>1164</v>
      </c>
      <c r="CY3" t="s">
        <v>1165</v>
      </c>
      <c r="CZ3" t="s">
        <v>1155</v>
      </c>
      <c r="DA3" t="s">
        <v>1166</v>
      </c>
      <c r="DB3">
        <v>0</v>
      </c>
      <c r="DC3">
        <v>347800</v>
      </c>
    </row>
    <row r="4" spans="1:107" x14ac:dyDescent="0.25">
      <c r="A4" t="s">
        <v>1330</v>
      </c>
      <c r="B4" t="s">
        <v>108</v>
      </c>
      <c r="C4" t="s">
        <v>1331</v>
      </c>
      <c r="D4" t="s">
        <v>1332</v>
      </c>
      <c r="F4" s="3" t="str">
        <f>HYPERLINK("https://mapwv.gov/flood/map/?wkid=102100&amp;x=-9088332.382769238&amp;y=4629616.225532184&amp;l=13&amp;v=2","FT")</f>
        <v>FT</v>
      </c>
      <c r="G4" s="3" t="str">
        <f>HYPERLINK("https://mapwv.gov/Assessment/Detail/?PID=20110001000600000000","Assessment")</f>
        <v>Assessment</v>
      </c>
      <c r="H4">
        <v>540073</v>
      </c>
      <c r="I4" t="s">
        <v>1333</v>
      </c>
      <c r="J4" t="s">
        <v>1282</v>
      </c>
      <c r="K4" t="s">
        <v>113</v>
      </c>
      <c r="L4" t="s">
        <v>1283</v>
      </c>
      <c r="M4" t="s">
        <v>909</v>
      </c>
      <c r="N4" t="s">
        <v>199</v>
      </c>
      <c r="O4" t="s">
        <v>117</v>
      </c>
      <c r="P4" t="s">
        <v>150</v>
      </c>
      <c r="Q4" t="s">
        <v>119</v>
      </c>
      <c r="R4">
        <v>1.3</v>
      </c>
      <c r="S4" t="s">
        <v>120</v>
      </c>
      <c r="T4" t="s">
        <v>151</v>
      </c>
      <c r="U4" t="s">
        <v>151</v>
      </c>
      <c r="V4">
        <v>592.70000000000005</v>
      </c>
      <c r="X4" t="s">
        <v>1334</v>
      </c>
      <c r="Y4" t="s">
        <v>1335</v>
      </c>
      <c r="Z4">
        <v>1915</v>
      </c>
      <c r="AA4" t="s">
        <v>154</v>
      </c>
      <c r="AB4" t="s">
        <v>175</v>
      </c>
      <c r="AC4" t="s">
        <v>288</v>
      </c>
      <c r="AD4">
        <v>4</v>
      </c>
      <c r="AE4">
        <v>397</v>
      </c>
      <c r="AF4" t="s">
        <v>1336</v>
      </c>
      <c r="AG4" t="s">
        <v>508</v>
      </c>
      <c r="AH4" t="s">
        <v>288</v>
      </c>
      <c r="AI4">
        <v>3</v>
      </c>
      <c r="AJ4" t="s">
        <v>1186</v>
      </c>
      <c r="AL4">
        <v>20641</v>
      </c>
      <c r="AM4" t="s">
        <v>206</v>
      </c>
      <c r="AN4" t="s">
        <v>131</v>
      </c>
      <c r="AO4">
        <v>1</v>
      </c>
      <c r="AP4">
        <v>0</v>
      </c>
      <c r="AQ4">
        <v>313200</v>
      </c>
      <c r="AR4">
        <v>40</v>
      </c>
      <c r="AS4">
        <v>313200</v>
      </c>
      <c r="AT4" t="s">
        <v>132</v>
      </c>
      <c r="AU4">
        <v>1</v>
      </c>
      <c r="AV4">
        <v>1</v>
      </c>
      <c r="AW4">
        <v>0</v>
      </c>
      <c r="BE4">
        <v>2.1</v>
      </c>
      <c r="BF4">
        <v>0</v>
      </c>
      <c r="BG4">
        <v>0</v>
      </c>
      <c r="BH4" s="1">
        <v>44362</v>
      </c>
      <c r="BI4" t="s">
        <v>210</v>
      </c>
      <c r="BJ4">
        <v>1915</v>
      </c>
      <c r="BK4" t="s">
        <v>119</v>
      </c>
      <c r="BL4" t="s">
        <v>508</v>
      </c>
      <c r="BM4">
        <v>313200</v>
      </c>
      <c r="BN4">
        <v>3</v>
      </c>
      <c r="BO4">
        <v>7</v>
      </c>
      <c r="BP4">
        <v>1</v>
      </c>
      <c r="BQ4">
        <v>20641</v>
      </c>
      <c r="BR4">
        <v>9678</v>
      </c>
      <c r="BS4">
        <v>38.354427436000002</v>
      </c>
      <c r="BT4">
        <v>-81.6418788659999</v>
      </c>
      <c r="BU4">
        <v>0.91564939999999995</v>
      </c>
      <c r="BV4">
        <v>-8.43505859375E-2</v>
      </c>
      <c r="BW4">
        <v>1</v>
      </c>
      <c r="BX4" t="s">
        <v>1337</v>
      </c>
      <c r="BY4">
        <v>341</v>
      </c>
      <c r="BZ4">
        <v>0</v>
      </c>
      <c r="CA4">
        <v>0</v>
      </c>
      <c r="CB4">
        <v>313200</v>
      </c>
      <c r="CC4">
        <v>195</v>
      </c>
      <c r="CD4">
        <v>2.7469482421875</v>
      </c>
      <c r="CE4">
        <v>8603.44189453125</v>
      </c>
      <c r="CF4">
        <v>158935.70000000001</v>
      </c>
      <c r="CG4">
        <v>46</v>
      </c>
      <c r="CH4">
        <v>3.66259765625</v>
      </c>
      <c r="CI4">
        <v>5821.1752231445298</v>
      </c>
      <c r="CO4">
        <v>0</v>
      </c>
      <c r="CP4">
        <v>0</v>
      </c>
      <c r="CQ4" t="s">
        <v>1286</v>
      </c>
      <c r="CR4" t="s">
        <v>294</v>
      </c>
      <c r="CS4" t="s">
        <v>138</v>
      </c>
      <c r="CT4" t="s">
        <v>1038</v>
      </c>
      <c r="CU4" t="s">
        <v>163</v>
      </c>
      <c r="CW4">
        <v>3</v>
      </c>
      <c r="CX4" t="s">
        <v>1338</v>
      </c>
      <c r="CY4" t="s">
        <v>1288</v>
      </c>
      <c r="CZ4" t="s">
        <v>1332</v>
      </c>
      <c r="DA4" t="s">
        <v>1289</v>
      </c>
      <c r="DB4">
        <v>0</v>
      </c>
      <c r="DC4">
        <v>313200</v>
      </c>
    </row>
    <row r="5" spans="1:107" x14ac:dyDescent="0.25">
      <c r="A5" t="s">
        <v>1344</v>
      </c>
      <c r="B5" t="s">
        <v>108</v>
      </c>
      <c r="C5" t="s">
        <v>1345</v>
      </c>
      <c r="D5" t="s">
        <v>1346</v>
      </c>
      <c r="F5" s="3" t="str">
        <f>HYPERLINK("https://mapwv.gov/flood/map/?wkid=102100&amp;x=-9099347.39283856&amp;y=4629488.087595103&amp;l=13&amp;v=2","FT")</f>
        <v>FT</v>
      </c>
      <c r="G5" s="3" t="str">
        <f>HYPERLINK("https://mapwv.gov/Assessment/Detail/?PID=20180003007500000000","Assessment")</f>
        <v>Assessment</v>
      </c>
      <c r="H5">
        <v>540223</v>
      </c>
      <c r="I5" t="s">
        <v>1281</v>
      </c>
      <c r="J5" t="s">
        <v>1282</v>
      </c>
      <c r="K5" t="s">
        <v>113</v>
      </c>
      <c r="L5" t="s">
        <v>1283</v>
      </c>
      <c r="M5" t="s">
        <v>909</v>
      </c>
      <c r="N5" t="s">
        <v>199</v>
      </c>
      <c r="O5" t="s">
        <v>117</v>
      </c>
      <c r="P5" t="s">
        <v>150</v>
      </c>
      <c r="Q5" t="s">
        <v>119</v>
      </c>
      <c r="R5">
        <v>1.9</v>
      </c>
      <c r="S5" t="s">
        <v>120</v>
      </c>
      <c r="T5" t="s">
        <v>151</v>
      </c>
      <c r="U5" t="s">
        <v>151</v>
      </c>
      <c r="V5">
        <v>588.70000000000005</v>
      </c>
      <c r="X5" t="s">
        <v>1284</v>
      </c>
      <c r="Y5" t="s">
        <v>1285</v>
      </c>
      <c r="Z5">
        <v>1940</v>
      </c>
      <c r="AA5" t="s">
        <v>202</v>
      </c>
      <c r="AB5" t="s">
        <v>175</v>
      </c>
      <c r="AC5" t="s">
        <v>288</v>
      </c>
      <c r="AD5">
        <v>4</v>
      </c>
      <c r="AE5">
        <v>373</v>
      </c>
      <c r="AF5" t="s">
        <v>1347</v>
      </c>
      <c r="AG5" t="s">
        <v>483</v>
      </c>
      <c r="AH5" t="s">
        <v>288</v>
      </c>
      <c r="AI5">
        <v>1</v>
      </c>
      <c r="AJ5" t="s">
        <v>291</v>
      </c>
      <c r="AL5">
        <v>12304</v>
      </c>
      <c r="AM5" t="s">
        <v>207</v>
      </c>
      <c r="AN5" t="s">
        <v>208</v>
      </c>
      <c r="AO5">
        <v>4</v>
      </c>
      <c r="AP5">
        <v>0</v>
      </c>
      <c r="AQ5">
        <v>272000</v>
      </c>
      <c r="AR5">
        <v>60</v>
      </c>
      <c r="AS5">
        <v>219386</v>
      </c>
      <c r="AT5" t="s">
        <v>132</v>
      </c>
      <c r="AU5">
        <v>1</v>
      </c>
      <c r="AV5">
        <v>1</v>
      </c>
      <c r="AW5">
        <v>0</v>
      </c>
      <c r="BE5">
        <v>2.2000000000000002</v>
      </c>
      <c r="BF5">
        <v>0</v>
      </c>
      <c r="BG5">
        <v>0</v>
      </c>
      <c r="BH5" s="1">
        <v>44362</v>
      </c>
      <c r="BI5" t="s">
        <v>210</v>
      </c>
      <c r="BJ5">
        <v>1940</v>
      </c>
      <c r="BK5" t="s">
        <v>119</v>
      </c>
      <c r="BL5" t="s">
        <v>483</v>
      </c>
      <c r="BM5">
        <v>219386</v>
      </c>
      <c r="BN5">
        <v>1</v>
      </c>
      <c r="BO5">
        <v>4</v>
      </c>
      <c r="BP5">
        <v>4</v>
      </c>
      <c r="BQ5">
        <v>12304</v>
      </c>
      <c r="BR5">
        <v>14646</v>
      </c>
      <c r="BS5">
        <v>38.353524766</v>
      </c>
      <c r="BT5">
        <v>-81.740828385</v>
      </c>
      <c r="BU5">
        <v>1.8605957</v>
      </c>
      <c r="BV5">
        <v>-2.139404296875</v>
      </c>
      <c r="BW5">
        <v>1</v>
      </c>
      <c r="BX5" t="s">
        <v>1348</v>
      </c>
      <c r="BY5">
        <v>217</v>
      </c>
      <c r="BZ5">
        <v>0</v>
      </c>
      <c r="CA5">
        <v>0</v>
      </c>
      <c r="CB5">
        <v>219386</v>
      </c>
      <c r="CC5">
        <v>90</v>
      </c>
      <c r="CD5">
        <v>0</v>
      </c>
      <c r="CE5">
        <v>0</v>
      </c>
      <c r="CF5">
        <v>84774.559999999896</v>
      </c>
      <c r="CG5">
        <v>1</v>
      </c>
      <c r="CH5">
        <v>0</v>
      </c>
      <c r="CI5">
        <v>0</v>
      </c>
      <c r="CO5">
        <v>0</v>
      </c>
      <c r="CP5">
        <v>0</v>
      </c>
      <c r="CQ5" t="s">
        <v>1286</v>
      </c>
      <c r="CR5" t="s">
        <v>294</v>
      </c>
      <c r="CS5" t="s">
        <v>138</v>
      </c>
      <c r="CT5" t="s">
        <v>215</v>
      </c>
      <c r="CU5" t="s">
        <v>163</v>
      </c>
      <c r="CW5">
        <v>3</v>
      </c>
      <c r="CX5" t="s">
        <v>1287</v>
      </c>
      <c r="CY5" t="s">
        <v>1288</v>
      </c>
      <c r="CZ5" t="s">
        <v>1346</v>
      </c>
      <c r="DA5" t="s">
        <v>1289</v>
      </c>
      <c r="DB5">
        <v>0</v>
      </c>
      <c r="DC5">
        <v>219386</v>
      </c>
    </row>
    <row r="6" spans="1:107" x14ac:dyDescent="0.25">
      <c r="A6" t="s">
        <v>1565</v>
      </c>
      <c r="B6" t="s">
        <v>108</v>
      </c>
      <c r="C6" t="s">
        <v>1566</v>
      </c>
      <c r="D6" t="s">
        <v>1567</v>
      </c>
      <c r="F6" s="3" t="str">
        <f>HYPERLINK("https://mapwv.gov/flood/map/?wkid=102100&amp;x=-9110799.227602877&amp;y=4637278.484078732&amp;l=13&amp;v=2","FT")</f>
        <v>FT</v>
      </c>
      <c r="G6" s="3" t="str">
        <f>HYPERLINK("https://mapwv.gov/Assessment/Detail/?PID=20270010022000000000","Assessment")</f>
        <v>Assessment</v>
      </c>
      <c r="H6">
        <v>540081</v>
      </c>
      <c r="I6" t="s">
        <v>1568</v>
      </c>
      <c r="J6" t="s">
        <v>1282</v>
      </c>
      <c r="K6" t="s">
        <v>113</v>
      </c>
      <c r="L6" t="s">
        <v>1283</v>
      </c>
      <c r="M6" t="s">
        <v>909</v>
      </c>
      <c r="N6" t="s">
        <v>199</v>
      </c>
      <c r="O6" t="s">
        <v>117</v>
      </c>
      <c r="P6" t="s">
        <v>150</v>
      </c>
      <c r="Q6" t="s">
        <v>260</v>
      </c>
      <c r="R6">
        <v>0.8</v>
      </c>
      <c r="S6" t="s">
        <v>120</v>
      </c>
      <c r="T6" t="s">
        <v>151</v>
      </c>
      <c r="U6" t="s">
        <v>151</v>
      </c>
      <c r="V6">
        <v>585.6</v>
      </c>
      <c r="X6" t="s">
        <v>1569</v>
      </c>
      <c r="Y6" t="s">
        <v>1570</v>
      </c>
      <c r="Z6">
        <v>1986</v>
      </c>
      <c r="AA6" t="s">
        <v>175</v>
      </c>
      <c r="AB6" t="s">
        <v>175</v>
      </c>
      <c r="AC6" t="s">
        <v>288</v>
      </c>
      <c r="AD6">
        <v>4</v>
      </c>
      <c r="AE6">
        <v>352</v>
      </c>
      <c r="AF6" t="s">
        <v>1571</v>
      </c>
      <c r="AG6" t="s">
        <v>1572</v>
      </c>
      <c r="AH6" t="s">
        <v>288</v>
      </c>
      <c r="AI6">
        <v>1</v>
      </c>
      <c r="AJ6" t="s">
        <v>1186</v>
      </c>
      <c r="AL6">
        <v>6027</v>
      </c>
      <c r="AM6" t="s">
        <v>206</v>
      </c>
      <c r="AN6" t="s">
        <v>131</v>
      </c>
      <c r="AO6">
        <v>1</v>
      </c>
      <c r="AP6">
        <v>0</v>
      </c>
      <c r="AQ6">
        <v>453100</v>
      </c>
      <c r="AR6">
        <v>23420</v>
      </c>
      <c r="AS6">
        <v>216739</v>
      </c>
      <c r="AT6" t="s">
        <v>132</v>
      </c>
      <c r="AU6">
        <v>1</v>
      </c>
      <c r="AV6">
        <v>2</v>
      </c>
      <c r="AW6">
        <v>0</v>
      </c>
      <c r="BE6">
        <v>2.2999999999999998</v>
      </c>
      <c r="BF6">
        <v>0</v>
      </c>
      <c r="BG6">
        <v>0</v>
      </c>
      <c r="BH6" s="1">
        <v>44362</v>
      </c>
      <c r="BI6" t="s">
        <v>210</v>
      </c>
      <c r="BJ6">
        <v>1986</v>
      </c>
      <c r="BK6" t="s">
        <v>260</v>
      </c>
      <c r="BL6" t="s">
        <v>1572</v>
      </c>
      <c r="BM6">
        <v>216739</v>
      </c>
      <c r="BN6">
        <v>1</v>
      </c>
      <c r="BO6">
        <v>7</v>
      </c>
      <c r="BP6">
        <v>1</v>
      </c>
      <c r="BQ6">
        <v>6027</v>
      </c>
      <c r="BR6">
        <v>13471</v>
      </c>
      <c r="BS6">
        <v>38.408383895999897</v>
      </c>
      <c r="BT6">
        <v>-81.843701967000001</v>
      </c>
      <c r="BU6">
        <v>0.78802490000000003</v>
      </c>
      <c r="BV6">
        <v>-0.21197509765625</v>
      </c>
      <c r="BW6">
        <v>1</v>
      </c>
      <c r="BX6" t="s">
        <v>1573</v>
      </c>
      <c r="BY6">
        <v>467</v>
      </c>
      <c r="BZ6">
        <v>0</v>
      </c>
      <c r="CA6">
        <v>0</v>
      </c>
      <c r="CB6">
        <v>216739</v>
      </c>
      <c r="CC6">
        <v>304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O6">
        <v>0</v>
      </c>
      <c r="CP6">
        <v>0</v>
      </c>
      <c r="CQ6" t="s">
        <v>1286</v>
      </c>
      <c r="CR6" t="s">
        <v>294</v>
      </c>
      <c r="CS6" t="s">
        <v>138</v>
      </c>
      <c r="CT6" t="s">
        <v>215</v>
      </c>
      <c r="CU6" t="s">
        <v>163</v>
      </c>
      <c r="CW6">
        <v>3</v>
      </c>
      <c r="CX6" t="s">
        <v>1574</v>
      </c>
      <c r="CY6" t="s">
        <v>1288</v>
      </c>
      <c r="CZ6" t="s">
        <v>1567</v>
      </c>
      <c r="DA6" t="s">
        <v>1289</v>
      </c>
      <c r="DB6">
        <v>0</v>
      </c>
      <c r="DC6">
        <v>216739</v>
      </c>
    </row>
    <row r="7" spans="1:107" x14ac:dyDescent="0.25">
      <c r="A7" t="s">
        <v>192</v>
      </c>
      <c r="B7" t="s">
        <v>108</v>
      </c>
      <c r="C7" t="s">
        <v>193</v>
      </c>
      <c r="D7" t="s">
        <v>194</v>
      </c>
      <c r="F7" s="3" t="str">
        <f>HYPERLINK("https://mapwv.gov/flood/map/?wkid=102100&amp;x=-8998889.4636512&amp;y=4712177.923425156&amp;l=13&amp;v=2","FT")</f>
        <v>FT</v>
      </c>
      <c r="G7" s="3" t="str">
        <f>HYPERLINK("https://mapwv.gov/Assessment/Detail/?PID=11040005004500000000","Assessment")</f>
        <v>Assessment</v>
      </c>
      <c r="H7">
        <v>540036</v>
      </c>
      <c r="I7" t="s">
        <v>195</v>
      </c>
      <c r="J7" t="s">
        <v>196</v>
      </c>
      <c r="K7" t="s">
        <v>113</v>
      </c>
      <c r="L7" t="s">
        <v>197</v>
      </c>
      <c r="M7" t="s">
        <v>198</v>
      </c>
      <c r="N7" t="s">
        <v>199</v>
      </c>
      <c r="O7" t="s">
        <v>117</v>
      </c>
      <c r="P7" t="s">
        <v>150</v>
      </c>
      <c r="Q7" t="s">
        <v>119</v>
      </c>
      <c r="R7">
        <v>7.5</v>
      </c>
      <c r="S7" t="s">
        <v>120</v>
      </c>
      <c r="T7" t="s">
        <v>151</v>
      </c>
      <c r="U7" t="s">
        <v>151</v>
      </c>
      <c r="V7">
        <v>721.9</v>
      </c>
      <c r="X7" t="s">
        <v>200</v>
      </c>
      <c r="Y7" t="s">
        <v>201</v>
      </c>
      <c r="Z7">
        <v>1947</v>
      </c>
      <c r="AA7" t="s">
        <v>202</v>
      </c>
      <c r="AB7" t="s">
        <v>125</v>
      </c>
      <c r="AC7" t="s">
        <v>126</v>
      </c>
      <c r="AD7">
        <v>4</v>
      </c>
      <c r="AE7">
        <v>604</v>
      </c>
      <c r="AF7" t="s">
        <v>203</v>
      </c>
      <c r="AG7" t="s">
        <v>204</v>
      </c>
      <c r="AH7" t="s">
        <v>205</v>
      </c>
      <c r="AI7">
        <v>3</v>
      </c>
      <c r="AJ7" t="s">
        <v>206</v>
      </c>
      <c r="AL7">
        <v>23916</v>
      </c>
      <c r="AM7" t="s">
        <v>207</v>
      </c>
      <c r="AN7" t="s">
        <v>208</v>
      </c>
      <c r="AO7">
        <v>4</v>
      </c>
      <c r="AP7">
        <v>0</v>
      </c>
      <c r="AQ7">
        <v>144200</v>
      </c>
      <c r="AR7">
        <v>40</v>
      </c>
      <c r="AS7">
        <v>144200</v>
      </c>
      <c r="AT7" t="s">
        <v>132</v>
      </c>
      <c r="AU7">
        <v>1</v>
      </c>
      <c r="AV7">
        <v>1</v>
      </c>
      <c r="AW7">
        <v>0</v>
      </c>
      <c r="BC7" t="s">
        <v>209</v>
      </c>
      <c r="BE7">
        <v>2.4</v>
      </c>
      <c r="BF7">
        <v>0</v>
      </c>
      <c r="BG7">
        <v>0</v>
      </c>
      <c r="BH7" s="1">
        <v>44279</v>
      </c>
      <c r="BI7" t="s">
        <v>210</v>
      </c>
      <c r="BJ7">
        <v>1947</v>
      </c>
      <c r="BK7" t="s">
        <v>119</v>
      </c>
      <c r="BL7" t="s">
        <v>204</v>
      </c>
      <c r="BM7">
        <v>144200</v>
      </c>
      <c r="BN7">
        <v>3</v>
      </c>
      <c r="BO7">
        <v>4</v>
      </c>
      <c r="BP7">
        <v>4</v>
      </c>
      <c r="BQ7">
        <v>23916</v>
      </c>
      <c r="BR7">
        <v>410</v>
      </c>
      <c r="BS7">
        <v>38.933691701000001</v>
      </c>
      <c r="BT7">
        <v>-80.838399452999894</v>
      </c>
      <c r="BU7">
        <v>7.4726562000000003</v>
      </c>
      <c r="BV7">
        <v>3.47265625</v>
      </c>
      <c r="BW7">
        <v>1</v>
      </c>
      <c r="BX7" t="s">
        <v>211</v>
      </c>
      <c r="BY7">
        <v>631</v>
      </c>
      <c r="BZ7">
        <v>13.47265625</v>
      </c>
      <c r="CA7">
        <v>19427.5703125</v>
      </c>
      <c r="CB7">
        <v>144200</v>
      </c>
      <c r="CC7">
        <v>472</v>
      </c>
      <c r="CD7">
        <v>78.25390625</v>
      </c>
      <c r="CE7">
        <v>112842.1328125</v>
      </c>
      <c r="CF7">
        <v>0</v>
      </c>
      <c r="CG7">
        <v>0</v>
      </c>
      <c r="CH7">
        <v>0</v>
      </c>
      <c r="CI7">
        <v>0</v>
      </c>
      <c r="CJ7" t="s">
        <v>212</v>
      </c>
      <c r="CK7">
        <v>43.0488</v>
      </c>
      <c r="CL7">
        <v>0</v>
      </c>
      <c r="CM7">
        <v>0</v>
      </c>
      <c r="CN7">
        <v>43.0488</v>
      </c>
      <c r="CO7">
        <v>300</v>
      </c>
      <c r="CP7">
        <v>480</v>
      </c>
      <c r="CQ7" t="s">
        <v>213</v>
      </c>
      <c r="CR7" t="s">
        <v>214</v>
      </c>
      <c r="CS7" t="s">
        <v>138</v>
      </c>
      <c r="CT7" t="s">
        <v>215</v>
      </c>
      <c r="CU7" t="s">
        <v>140</v>
      </c>
      <c r="CW7">
        <v>7</v>
      </c>
      <c r="CX7" t="s">
        <v>216</v>
      </c>
      <c r="CY7" t="s">
        <v>217</v>
      </c>
      <c r="CZ7" t="s">
        <v>194</v>
      </c>
      <c r="DA7" t="s">
        <v>218</v>
      </c>
      <c r="DB7">
        <v>0</v>
      </c>
      <c r="DC7">
        <v>144200</v>
      </c>
    </row>
    <row r="8" spans="1:107" x14ac:dyDescent="0.25">
      <c r="A8" t="s">
        <v>1231</v>
      </c>
      <c r="B8" t="s">
        <v>108</v>
      </c>
      <c r="C8" t="s">
        <v>1232</v>
      </c>
      <c r="D8" t="s">
        <v>1233</v>
      </c>
      <c r="F8" s="3" t="str">
        <f>HYPERLINK("https://mapwv.gov/flood/map/?wkid=102100&amp;x=-9085612.819556648&amp;y=4598096.474275487&amp;l=13&amp;v=2","FT")</f>
        <v>FT</v>
      </c>
      <c r="G8" s="3" t="str">
        <f>HYPERLINK("https://mapwv.gov/Assessment/Detail/?PID=0306008A006300000000","Assessment")</f>
        <v>Assessment</v>
      </c>
      <c r="H8">
        <v>540007</v>
      </c>
      <c r="I8" t="s">
        <v>1170</v>
      </c>
      <c r="J8" t="s">
        <v>1171</v>
      </c>
      <c r="K8" t="s">
        <v>148</v>
      </c>
      <c r="L8" t="s">
        <v>1172</v>
      </c>
      <c r="M8" t="s">
        <v>662</v>
      </c>
      <c r="N8" t="s">
        <v>199</v>
      </c>
      <c r="O8" t="s">
        <v>383</v>
      </c>
      <c r="P8" t="s">
        <v>150</v>
      </c>
      <c r="Q8" t="s">
        <v>260</v>
      </c>
      <c r="R8">
        <v>3.1</v>
      </c>
      <c r="S8" t="s">
        <v>120</v>
      </c>
      <c r="T8" t="s">
        <v>151</v>
      </c>
      <c r="U8" t="s">
        <v>151</v>
      </c>
      <c r="V8">
        <v>688.6</v>
      </c>
      <c r="X8" t="s">
        <v>1234</v>
      </c>
      <c r="Y8" t="s">
        <v>1235</v>
      </c>
      <c r="Z8">
        <v>1994</v>
      </c>
      <c r="AA8" t="s">
        <v>175</v>
      </c>
      <c r="AB8" t="s">
        <v>155</v>
      </c>
      <c r="AC8" t="s">
        <v>129</v>
      </c>
      <c r="AD8">
        <v>3</v>
      </c>
      <c r="AE8">
        <v>104</v>
      </c>
      <c r="AF8" t="s">
        <v>1236</v>
      </c>
      <c r="AG8" t="s">
        <v>1237</v>
      </c>
      <c r="AH8" t="s">
        <v>129</v>
      </c>
      <c r="AI8">
        <v>1</v>
      </c>
      <c r="AJ8" t="s">
        <v>341</v>
      </c>
      <c r="AK8" t="s">
        <v>130</v>
      </c>
      <c r="AL8">
        <v>3304</v>
      </c>
      <c r="AM8" t="s">
        <v>353</v>
      </c>
      <c r="AN8" t="s">
        <v>208</v>
      </c>
      <c r="AO8">
        <v>4</v>
      </c>
      <c r="AP8">
        <v>112500</v>
      </c>
      <c r="AQ8">
        <v>0</v>
      </c>
      <c r="AR8">
        <v>13230</v>
      </c>
      <c r="AS8">
        <v>125700</v>
      </c>
      <c r="AT8" t="s">
        <v>132</v>
      </c>
      <c r="AU8">
        <v>1</v>
      </c>
      <c r="AV8">
        <v>1</v>
      </c>
      <c r="AW8">
        <v>4</v>
      </c>
      <c r="BE8">
        <v>2.5</v>
      </c>
      <c r="BF8">
        <v>4</v>
      </c>
      <c r="BG8">
        <v>10</v>
      </c>
      <c r="BH8" s="1">
        <v>44362</v>
      </c>
      <c r="BI8" t="s">
        <v>384</v>
      </c>
      <c r="BJ8">
        <v>1994</v>
      </c>
      <c r="BK8" t="s">
        <v>260</v>
      </c>
      <c r="BL8" t="s">
        <v>1237</v>
      </c>
      <c r="BM8">
        <v>125700</v>
      </c>
      <c r="BN8">
        <v>1</v>
      </c>
      <c r="BO8">
        <v>4</v>
      </c>
      <c r="BP8">
        <v>4</v>
      </c>
      <c r="BQ8">
        <v>3304</v>
      </c>
      <c r="BR8">
        <v>2903</v>
      </c>
      <c r="BS8">
        <v>38.1320471290001</v>
      </c>
      <c r="BT8">
        <v>-81.617448613999898</v>
      </c>
      <c r="BU8">
        <v>3.1409912000000002</v>
      </c>
      <c r="BV8">
        <v>-0.8590087890625</v>
      </c>
      <c r="BW8">
        <v>1</v>
      </c>
      <c r="BX8" t="s">
        <v>1238</v>
      </c>
      <c r="BY8">
        <v>205</v>
      </c>
      <c r="BZ8">
        <v>8.56396484375</v>
      </c>
      <c r="CA8">
        <v>10764.903808593701</v>
      </c>
      <c r="CB8">
        <v>62850</v>
      </c>
      <c r="CC8">
        <v>82</v>
      </c>
      <c r="CD8">
        <v>8.9869384765625</v>
      </c>
      <c r="CE8">
        <v>5648.2908325195303</v>
      </c>
      <c r="CF8">
        <v>0</v>
      </c>
      <c r="CG8">
        <v>0</v>
      </c>
      <c r="CH8">
        <v>0</v>
      </c>
      <c r="CI8">
        <v>0</v>
      </c>
      <c r="CO8">
        <v>0</v>
      </c>
      <c r="CP8">
        <v>0</v>
      </c>
      <c r="CQ8" t="s">
        <v>1175</v>
      </c>
      <c r="CR8" t="s">
        <v>385</v>
      </c>
      <c r="CS8" t="s">
        <v>138</v>
      </c>
      <c r="CT8" t="s">
        <v>215</v>
      </c>
      <c r="CU8" t="s">
        <v>267</v>
      </c>
      <c r="CW8">
        <v>3</v>
      </c>
      <c r="CX8" t="s">
        <v>1176</v>
      </c>
      <c r="CY8" t="s">
        <v>1177</v>
      </c>
      <c r="CZ8" t="s">
        <v>1233</v>
      </c>
      <c r="DA8" t="s">
        <v>1178</v>
      </c>
      <c r="DB8">
        <v>0</v>
      </c>
      <c r="DC8">
        <v>125700</v>
      </c>
    </row>
    <row r="9" spans="1:107" x14ac:dyDescent="0.25">
      <c r="A9" t="s">
        <v>770</v>
      </c>
      <c r="B9" t="s">
        <v>108</v>
      </c>
      <c r="C9" t="s">
        <v>771</v>
      </c>
      <c r="D9" t="s">
        <v>772</v>
      </c>
      <c r="F9" s="3" t="str">
        <f>HYPERLINK("https://mapwv.gov/flood/map/?wkid=102100&amp;x=-9178186.461094437&amp;y=4624697.064301528&amp;l=13&amp;v=2","FT")</f>
        <v>FT</v>
      </c>
      <c r="G9" s="3" t="str">
        <f>HYPERLINK("https://mapwv.gov/Assessment/Detail/?PID=5010004D001800000000","Assessment")</f>
        <v>Assessment</v>
      </c>
      <c r="H9">
        <v>540200</v>
      </c>
      <c r="I9" t="s">
        <v>773</v>
      </c>
      <c r="J9" t="s">
        <v>774</v>
      </c>
      <c r="K9" t="s">
        <v>148</v>
      </c>
      <c r="L9" t="s">
        <v>775</v>
      </c>
      <c r="M9" t="s">
        <v>532</v>
      </c>
      <c r="N9" t="s">
        <v>199</v>
      </c>
      <c r="O9" t="s">
        <v>117</v>
      </c>
      <c r="P9" t="s">
        <v>150</v>
      </c>
      <c r="Q9" t="s">
        <v>119</v>
      </c>
      <c r="R9">
        <v>1.3</v>
      </c>
      <c r="S9" t="s">
        <v>120</v>
      </c>
      <c r="T9">
        <v>563.9</v>
      </c>
      <c r="U9" t="s">
        <v>365</v>
      </c>
      <c r="V9">
        <v>562.4</v>
      </c>
      <c r="X9" t="s">
        <v>776</v>
      </c>
      <c r="Y9" t="s">
        <v>777</v>
      </c>
      <c r="Z9">
        <v>1111</v>
      </c>
      <c r="AA9" t="s">
        <v>241</v>
      </c>
      <c r="AB9" t="s">
        <v>155</v>
      </c>
      <c r="AC9" t="s">
        <v>129</v>
      </c>
      <c r="AD9">
        <v>3</v>
      </c>
      <c r="AE9">
        <v>101</v>
      </c>
      <c r="AF9" t="s">
        <v>127</v>
      </c>
      <c r="AG9" t="s">
        <v>177</v>
      </c>
      <c r="AH9" t="s">
        <v>129</v>
      </c>
      <c r="AI9">
        <v>1</v>
      </c>
      <c r="AJ9" t="s">
        <v>778</v>
      </c>
      <c r="AK9" t="s">
        <v>130</v>
      </c>
      <c r="AL9">
        <v>2000</v>
      </c>
      <c r="AM9" t="s">
        <v>157</v>
      </c>
      <c r="AN9" t="s">
        <v>158</v>
      </c>
      <c r="AO9">
        <v>3</v>
      </c>
      <c r="AP9">
        <v>89900</v>
      </c>
      <c r="AQ9">
        <v>0</v>
      </c>
      <c r="AR9">
        <v>25680</v>
      </c>
      <c r="AS9">
        <v>24000</v>
      </c>
      <c r="AT9" t="s">
        <v>762</v>
      </c>
      <c r="AU9">
        <v>1</v>
      </c>
      <c r="AV9">
        <v>2</v>
      </c>
      <c r="AW9">
        <v>1</v>
      </c>
      <c r="BC9" t="s">
        <v>230</v>
      </c>
      <c r="BE9">
        <v>2.6</v>
      </c>
      <c r="BF9">
        <v>1</v>
      </c>
      <c r="BG9">
        <v>2.6</v>
      </c>
      <c r="BH9" s="1">
        <v>44319</v>
      </c>
      <c r="BI9" t="s">
        <v>210</v>
      </c>
      <c r="BJ9">
        <v>1111</v>
      </c>
      <c r="BK9" t="s">
        <v>119</v>
      </c>
      <c r="BL9" t="s">
        <v>177</v>
      </c>
      <c r="BM9">
        <v>24000</v>
      </c>
      <c r="BN9">
        <v>1</v>
      </c>
      <c r="BO9">
        <v>5</v>
      </c>
      <c r="BP9">
        <v>3</v>
      </c>
      <c r="BQ9">
        <v>2000</v>
      </c>
      <c r="BR9">
        <v>1644</v>
      </c>
      <c r="BS9">
        <v>38.319766241000004</v>
      </c>
      <c r="BT9">
        <v>-82.449051784999796</v>
      </c>
      <c r="BU9">
        <v>1.1652222000000001</v>
      </c>
      <c r="BV9">
        <v>-1.83477783203125</v>
      </c>
      <c r="BW9">
        <v>1</v>
      </c>
      <c r="BX9" t="s">
        <v>181</v>
      </c>
      <c r="BY9">
        <v>189</v>
      </c>
      <c r="BZ9">
        <v>0</v>
      </c>
      <c r="CA9">
        <v>0</v>
      </c>
      <c r="CB9">
        <v>12000</v>
      </c>
      <c r="CC9">
        <v>74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O9">
        <v>0</v>
      </c>
      <c r="CP9">
        <v>0</v>
      </c>
      <c r="CQ9" t="s">
        <v>779</v>
      </c>
      <c r="CR9" t="s">
        <v>183</v>
      </c>
      <c r="CS9" t="s">
        <v>138</v>
      </c>
      <c r="CT9" t="s">
        <v>139</v>
      </c>
      <c r="CU9" t="s">
        <v>163</v>
      </c>
      <c r="CW9">
        <v>2</v>
      </c>
      <c r="CX9" t="s">
        <v>780</v>
      </c>
      <c r="CY9" t="s">
        <v>781</v>
      </c>
      <c r="CZ9" t="s">
        <v>772</v>
      </c>
      <c r="DA9" t="s">
        <v>782</v>
      </c>
      <c r="DB9">
        <v>0</v>
      </c>
      <c r="DC9">
        <v>115600</v>
      </c>
    </row>
    <row r="10" spans="1:107" x14ac:dyDescent="0.25">
      <c r="A10" t="s">
        <v>796</v>
      </c>
      <c r="B10" t="s">
        <v>108</v>
      </c>
      <c r="C10" t="s">
        <v>797</v>
      </c>
      <c r="D10" t="s">
        <v>772</v>
      </c>
      <c r="F10" s="3" t="str">
        <f>HYPERLINK("https://mapwv.gov/flood/map/?wkid=102100&amp;x=-9178134.283088755&amp;y=4624683.448517209&amp;l=13&amp;v=2","FT")</f>
        <v>FT</v>
      </c>
      <c r="G10" s="3" t="str">
        <f>HYPERLINK("https://mapwv.gov/Assessment/Detail/?PID=5010004D001800000000","Assessment")</f>
        <v>Assessment</v>
      </c>
      <c r="H10">
        <v>540200</v>
      </c>
      <c r="I10" t="s">
        <v>773</v>
      </c>
      <c r="J10" t="s">
        <v>774</v>
      </c>
      <c r="K10" t="s">
        <v>148</v>
      </c>
      <c r="L10" t="s">
        <v>775</v>
      </c>
      <c r="M10" t="s">
        <v>532</v>
      </c>
      <c r="N10" t="s">
        <v>199</v>
      </c>
      <c r="O10" t="s">
        <v>117</v>
      </c>
      <c r="P10" t="s">
        <v>150</v>
      </c>
      <c r="Q10" t="s">
        <v>260</v>
      </c>
      <c r="R10">
        <v>1</v>
      </c>
      <c r="S10" t="s">
        <v>120</v>
      </c>
      <c r="T10">
        <v>564</v>
      </c>
      <c r="U10" t="s">
        <v>365</v>
      </c>
      <c r="V10">
        <v>564.70000000000005</v>
      </c>
      <c r="X10" t="s">
        <v>776</v>
      </c>
      <c r="Y10" t="s">
        <v>777</v>
      </c>
      <c r="Z10">
        <v>9999</v>
      </c>
      <c r="AA10" t="s">
        <v>241</v>
      </c>
      <c r="AB10" t="s">
        <v>155</v>
      </c>
      <c r="AC10" t="s">
        <v>129</v>
      </c>
      <c r="AD10">
        <v>3</v>
      </c>
      <c r="AE10">
        <v>101</v>
      </c>
      <c r="AF10" t="s">
        <v>127</v>
      </c>
      <c r="AG10" t="s">
        <v>177</v>
      </c>
      <c r="AH10" t="s">
        <v>129</v>
      </c>
      <c r="AI10">
        <v>1</v>
      </c>
      <c r="AJ10" t="s">
        <v>778</v>
      </c>
      <c r="AK10" t="s">
        <v>130</v>
      </c>
      <c r="AL10">
        <v>2000</v>
      </c>
      <c r="AM10" t="s">
        <v>157</v>
      </c>
      <c r="AN10" t="s">
        <v>158</v>
      </c>
      <c r="AO10">
        <v>4</v>
      </c>
      <c r="AP10">
        <v>89900</v>
      </c>
      <c r="AQ10">
        <v>0</v>
      </c>
      <c r="AR10">
        <v>25680</v>
      </c>
      <c r="AS10">
        <v>24000</v>
      </c>
      <c r="AT10" t="s">
        <v>762</v>
      </c>
      <c r="AU10">
        <v>1</v>
      </c>
      <c r="AV10">
        <v>2</v>
      </c>
      <c r="AW10">
        <v>1</v>
      </c>
      <c r="BC10" t="s">
        <v>230</v>
      </c>
      <c r="BE10">
        <v>2.6</v>
      </c>
      <c r="BF10">
        <v>1</v>
      </c>
      <c r="BG10">
        <v>2.6</v>
      </c>
      <c r="BH10" s="1">
        <v>44319</v>
      </c>
      <c r="BI10" t="s">
        <v>210</v>
      </c>
      <c r="BJ10">
        <v>9999</v>
      </c>
      <c r="BK10" t="s">
        <v>260</v>
      </c>
      <c r="BL10" t="s">
        <v>177</v>
      </c>
      <c r="BM10">
        <v>24000</v>
      </c>
      <c r="BN10">
        <v>1</v>
      </c>
      <c r="BO10">
        <v>5</v>
      </c>
      <c r="BP10">
        <v>4</v>
      </c>
      <c r="BQ10">
        <v>2000</v>
      </c>
      <c r="BR10">
        <v>1650</v>
      </c>
      <c r="BS10">
        <v>38.319670279</v>
      </c>
      <c r="BT10">
        <v>-82.448583061999898</v>
      </c>
      <c r="BU10">
        <v>1</v>
      </c>
      <c r="BV10">
        <v>-3</v>
      </c>
      <c r="BW10">
        <v>1</v>
      </c>
      <c r="BX10" t="s">
        <v>181</v>
      </c>
      <c r="BY10">
        <v>189</v>
      </c>
      <c r="BZ10">
        <v>0</v>
      </c>
      <c r="CA10">
        <v>0</v>
      </c>
      <c r="CB10">
        <v>12000</v>
      </c>
      <c r="CC10">
        <v>74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O10">
        <v>0</v>
      </c>
      <c r="CP10">
        <v>0</v>
      </c>
      <c r="CQ10" t="s">
        <v>779</v>
      </c>
      <c r="CR10" t="s">
        <v>160</v>
      </c>
      <c r="CS10" t="s">
        <v>138</v>
      </c>
      <c r="CT10" t="s">
        <v>139</v>
      </c>
      <c r="CU10" t="s">
        <v>163</v>
      </c>
      <c r="CW10">
        <v>2</v>
      </c>
      <c r="CX10" t="s">
        <v>780</v>
      </c>
      <c r="CY10" t="s">
        <v>781</v>
      </c>
      <c r="CZ10" t="s">
        <v>772</v>
      </c>
      <c r="DA10" t="s">
        <v>782</v>
      </c>
      <c r="DB10">
        <v>0</v>
      </c>
      <c r="DC10">
        <v>115600</v>
      </c>
    </row>
    <row r="11" spans="1:107" x14ac:dyDescent="0.25">
      <c r="A11" t="s">
        <v>853</v>
      </c>
      <c r="B11" t="s">
        <v>108</v>
      </c>
      <c r="C11" t="s">
        <v>854</v>
      </c>
      <c r="D11" t="s">
        <v>772</v>
      </c>
      <c r="F11" s="3" t="str">
        <f>HYPERLINK("https://mapwv.gov/flood/map/?wkid=102100&amp;x=-9178189.426423034&amp;y=4624652.785471411&amp;l=13&amp;v=2","FT")</f>
        <v>FT</v>
      </c>
      <c r="G11" s="3" t="str">
        <f>HYPERLINK("https://mapwv.gov/Assessment/Detail/?PID=5010004D001800000000","Assessment")</f>
        <v>Assessment</v>
      </c>
      <c r="H11">
        <v>540200</v>
      </c>
      <c r="I11" t="s">
        <v>773</v>
      </c>
      <c r="J11" t="s">
        <v>774</v>
      </c>
      <c r="K11" t="s">
        <v>148</v>
      </c>
      <c r="L11" t="s">
        <v>775</v>
      </c>
      <c r="M11" t="s">
        <v>532</v>
      </c>
      <c r="N11" t="s">
        <v>704</v>
      </c>
      <c r="O11" t="s">
        <v>117</v>
      </c>
      <c r="P11" t="s">
        <v>118</v>
      </c>
      <c r="Q11" t="s">
        <v>119</v>
      </c>
      <c r="R11">
        <v>1</v>
      </c>
      <c r="S11" t="s">
        <v>120</v>
      </c>
      <c r="T11">
        <v>564</v>
      </c>
      <c r="U11" t="s">
        <v>365</v>
      </c>
      <c r="V11">
        <v>564.29999999999995</v>
      </c>
      <c r="X11" t="s">
        <v>776</v>
      </c>
      <c r="Y11" t="s">
        <v>777</v>
      </c>
      <c r="Z11">
        <v>1950</v>
      </c>
      <c r="AA11" t="s">
        <v>241</v>
      </c>
      <c r="AB11" t="s">
        <v>155</v>
      </c>
      <c r="AC11" t="s">
        <v>129</v>
      </c>
      <c r="AD11">
        <v>3</v>
      </c>
      <c r="AE11">
        <v>101</v>
      </c>
      <c r="AF11" t="s">
        <v>127</v>
      </c>
      <c r="AG11" t="s">
        <v>128</v>
      </c>
      <c r="AH11" t="s">
        <v>129</v>
      </c>
      <c r="AI11">
        <v>2</v>
      </c>
      <c r="AJ11" t="s">
        <v>778</v>
      </c>
      <c r="AK11" t="s">
        <v>130</v>
      </c>
      <c r="AL11">
        <v>3660</v>
      </c>
      <c r="AM11" t="s">
        <v>157</v>
      </c>
      <c r="AN11" t="s">
        <v>158</v>
      </c>
      <c r="AO11">
        <v>3</v>
      </c>
      <c r="AP11">
        <v>89900</v>
      </c>
      <c r="AQ11">
        <v>0</v>
      </c>
      <c r="AR11">
        <v>25680</v>
      </c>
      <c r="AS11">
        <v>115600</v>
      </c>
      <c r="AT11" t="s">
        <v>132</v>
      </c>
      <c r="AU11">
        <v>1</v>
      </c>
      <c r="AV11">
        <v>2</v>
      </c>
      <c r="AW11">
        <v>1</v>
      </c>
      <c r="BE11">
        <v>2.6</v>
      </c>
      <c r="BF11">
        <v>1</v>
      </c>
      <c r="BG11">
        <v>2.6</v>
      </c>
      <c r="BH11" s="1">
        <v>44319</v>
      </c>
      <c r="BI11" t="s">
        <v>707</v>
      </c>
      <c r="BJ11">
        <v>1950</v>
      </c>
      <c r="BK11" t="s">
        <v>119</v>
      </c>
      <c r="BL11" t="s">
        <v>128</v>
      </c>
      <c r="BM11">
        <v>115600</v>
      </c>
      <c r="BN11">
        <v>2</v>
      </c>
      <c r="BO11">
        <v>5</v>
      </c>
      <c r="BP11">
        <v>3</v>
      </c>
      <c r="BQ11">
        <v>3660</v>
      </c>
      <c r="BR11">
        <v>1702</v>
      </c>
      <c r="BS11">
        <v>38.31945417</v>
      </c>
      <c r="BT11">
        <v>-82.449078422999904</v>
      </c>
      <c r="BU11">
        <v>1</v>
      </c>
      <c r="BV11">
        <v>-2</v>
      </c>
      <c r="BW11">
        <v>1</v>
      </c>
      <c r="BX11" t="s">
        <v>306</v>
      </c>
      <c r="BY11">
        <v>107</v>
      </c>
      <c r="BZ11">
        <v>0</v>
      </c>
      <c r="CA11">
        <v>0</v>
      </c>
      <c r="CB11">
        <v>57800</v>
      </c>
      <c r="CC11">
        <v>23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O11">
        <v>0</v>
      </c>
      <c r="CP11">
        <v>0</v>
      </c>
      <c r="CQ11" t="s">
        <v>779</v>
      </c>
      <c r="CR11" t="s">
        <v>160</v>
      </c>
      <c r="CS11" t="s">
        <v>138</v>
      </c>
      <c r="CT11" t="s">
        <v>215</v>
      </c>
      <c r="CU11" t="s">
        <v>163</v>
      </c>
      <c r="CW11">
        <v>2</v>
      </c>
      <c r="CX11" t="s">
        <v>780</v>
      </c>
      <c r="CY11" t="s">
        <v>781</v>
      </c>
      <c r="CZ11" t="s">
        <v>772</v>
      </c>
      <c r="DA11" t="s">
        <v>782</v>
      </c>
      <c r="DB11">
        <v>0</v>
      </c>
      <c r="DC11">
        <v>115600</v>
      </c>
    </row>
    <row r="12" spans="1:107" x14ac:dyDescent="0.25">
      <c r="A12" t="s">
        <v>1533</v>
      </c>
      <c r="B12" t="s">
        <v>108</v>
      </c>
      <c r="C12" t="s">
        <v>1534</v>
      </c>
      <c r="D12" t="s">
        <v>1535</v>
      </c>
      <c r="F12" s="3" t="str">
        <f>HYPERLINK("https://mapwv.gov/flood/map/?wkid=102100&amp;x=-9106570.489466997&amp;y=4632864.7554128505&amp;l=13&amp;v=2","FT")</f>
        <v>FT</v>
      </c>
      <c r="G12" s="3" t="str">
        <f>HYPERLINK("https://mapwv.gov/Assessment/Detail/?PID=20170010040200000000","Assessment")</f>
        <v>Assessment</v>
      </c>
      <c r="H12">
        <v>540083</v>
      </c>
      <c r="I12" t="s">
        <v>1536</v>
      </c>
      <c r="J12" t="s">
        <v>1282</v>
      </c>
      <c r="K12" t="s">
        <v>113</v>
      </c>
      <c r="L12" t="s">
        <v>1537</v>
      </c>
      <c r="M12" t="s">
        <v>909</v>
      </c>
      <c r="N12" t="s">
        <v>149</v>
      </c>
      <c r="O12" t="s">
        <v>117</v>
      </c>
      <c r="P12" t="s">
        <v>150</v>
      </c>
      <c r="Q12" t="s">
        <v>119</v>
      </c>
      <c r="R12" t="s">
        <v>151</v>
      </c>
      <c r="S12" t="s">
        <v>151</v>
      </c>
      <c r="T12" t="s">
        <v>151</v>
      </c>
      <c r="U12" t="s">
        <v>151</v>
      </c>
      <c r="V12">
        <v>593.6</v>
      </c>
      <c r="X12" t="s">
        <v>1538</v>
      </c>
      <c r="Y12" t="s">
        <v>1539</v>
      </c>
      <c r="Z12">
        <v>1926</v>
      </c>
      <c r="AA12" t="s">
        <v>175</v>
      </c>
      <c r="AB12" t="s">
        <v>155</v>
      </c>
      <c r="AC12" t="s">
        <v>129</v>
      </c>
      <c r="AD12">
        <v>2</v>
      </c>
      <c r="AE12">
        <v>101</v>
      </c>
      <c r="AF12" t="s">
        <v>127</v>
      </c>
      <c r="AG12" t="s">
        <v>128</v>
      </c>
      <c r="AH12" t="s">
        <v>129</v>
      </c>
      <c r="AI12">
        <v>2</v>
      </c>
      <c r="AJ12" t="s">
        <v>341</v>
      </c>
      <c r="AK12" t="s">
        <v>1540</v>
      </c>
      <c r="AL12">
        <v>1664</v>
      </c>
      <c r="AM12" t="s">
        <v>353</v>
      </c>
      <c r="AN12" t="s">
        <v>208</v>
      </c>
      <c r="AO12">
        <v>4</v>
      </c>
      <c r="AP12">
        <v>95200</v>
      </c>
      <c r="AQ12">
        <v>0</v>
      </c>
      <c r="AR12">
        <v>0</v>
      </c>
      <c r="AS12">
        <v>95200</v>
      </c>
      <c r="AT12" t="s">
        <v>132</v>
      </c>
      <c r="AU12">
        <v>1</v>
      </c>
      <c r="AV12">
        <v>0</v>
      </c>
      <c r="AW12">
        <v>1</v>
      </c>
      <c r="BE12">
        <v>2.2999999999999998</v>
      </c>
      <c r="BF12">
        <v>0</v>
      </c>
      <c r="BG12">
        <v>0</v>
      </c>
      <c r="BH12" s="1">
        <v>44362</v>
      </c>
      <c r="BI12" t="s">
        <v>159</v>
      </c>
      <c r="BJ12">
        <v>1926</v>
      </c>
      <c r="BK12" t="s">
        <v>119</v>
      </c>
      <c r="BL12" t="s">
        <v>128</v>
      </c>
      <c r="BM12">
        <v>95200</v>
      </c>
      <c r="BN12">
        <v>2</v>
      </c>
      <c r="BO12">
        <v>4</v>
      </c>
      <c r="BP12">
        <v>4</v>
      </c>
      <c r="BQ12">
        <v>1664</v>
      </c>
      <c r="BR12">
        <v>13820</v>
      </c>
      <c r="BS12">
        <v>38.377308004</v>
      </c>
      <c r="BT12">
        <v>-81.805714565999907</v>
      </c>
      <c r="BU12">
        <v>0</v>
      </c>
      <c r="BV12">
        <v>-4</v>
      </c>
      <c r="BW12">
        <v>0</v>
      </c>
      <c r="BX12" t="s">
        <v>434</v>
      </c>
      <c r="BY12">
        <v>0</v>
      </c>
      <c r="BZ12">
        <v>0</v>
      </c>
      <c r="CA12">
        <v>0</v>
      </c>
      <c r="CB12">
        <v>47600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O12">
        <v>0</v>
      </c>
      <c r="CP12">
        <v>0</v>
      </c>
      <c r="CQ12" t="s">
        <v>1286</v>
      </c>
      <c r="CR12" t="s">
        <v>183</v>
      </c>
      <c r="CS12" t="s">
        <v>161</v>
      </c>
      <c r="CT12" t="s">
        <v>162</v>
      </c>
      <c r="CU12" t="s">
        <v>163</v>
      </c>
      <c r="CW12">
        <v>3</v>
      </c>
      <c r="CX12" t="s">
        <v>1541</v>
      </c>
      <c r="CY12" t="s">
        <v>1288</v>
      </c>
      <c r="CZ12" t="s">
        <v>1535</v>
      </c>
      <c r="DA12" t="s">
        <v>1289</v>
      </c>
      <c r="DB12">
        <v>0</v>
      </c>
      <c r="DC12">
        <v>95200</v>
      </c>
    </row>
    <row r="13" spans="1:107" x14ac:dyDescent="0.25">
      <c r="A13" t="s">
        <v>1399</v>
      </c>
      <c r="B13" t="s">
        <v>108</v>
      </c>
      <c r="C13" t="s">
        <v>1400</v>
      </c>
      <c r="D13" t="s">
        <v>1401</v>
      </c>
      <c r="F13" s="3" t="str">
        <f>HYPERLINK("https://mapwv.gov/flood/map/?wkid=102100&amp;x=-9093230.11564519&amp;y=4632698.118200905&amp;l=13&amp;v=2","FT")</f>
        <v>FT</v>
      </c>
      <c r="G13" s="3" t="str">
        <f>HYPERLINK("https://mapwv.gov/Assessment/Detail/?PID=20100087009600000000","Assessment")</f>
        <v>Assessment</v>
      </c>
      <c r="H13">
        <v>540073</v>
      </c>
      <c r="I13" t="s">
        <v>1333</v>
      </c>
      <c r="J13" t="s">
        <v>1282</v>
      </c>
      <c r="K13" t="s">
        <v>113</v>
      </c>
      <c r="L13" t="s">
        <v>1283</v>
      </c>
      <c r="M13" t="s">
        <v>909</v>
      </c>
      <c r="N13" t="s">
        <v>199</v>
      </c>
      <c r="O13" t="s">
        <v>117</v>
      </c>
      <c r="P13" t="s">
        <v>150</v>
      </c>
      <c r="Q13" t="s">
        <v>119</v>
      </c>
      <c r="R13">
        <v>1</v>
      </c>
      <c r="S13" t="s">
        <v>120</v>
      </c>
      <c r="T13" t="s">
        <v>151</v>
      </c>
      <c r="U13" t="s">
        <v>151</v>
      </c>
      <c r="V13">
        <v>592.9</v>
      </c>
      <c r="X13" t="s">
        <v>1402</v>
      </c>
      <c r="Y13" t="s">
        <v>1403</v>
      </c>
      <c r="Z13">
        <v>1940</v>
      </c>
      <c r="AA13" t="s">
        <v>175</v>
      </c>
      <c r="AB13" t="s">
        <v>149</v>
      </c>
      <c r="AC13" t="s">
        <v>1404</v>
      </c>
      <c r="AD13">
        <v>4</v>
      </c>
      <c r="AE13">
        <v>211</v>
      </c>
      <c r="AF13" t="s">
        <v>1405</v>
      </c>
      <c r="AG13" t="s">
        <v>1237</v>
      </c>
      <c r="AH13" t="s">
        <v>129</v>
      </c>
      <c r="AI13">
        <v>1</v>
      </c>
      <c r="AJ13" t="s">
        <v>156</v>
      </c>
      <c r="AL13">
        <v>2016</v>
      </c>
      <c r="AM13" t="s">
        <v>207</v>
      </c>
      <c r="AN13" t="s">
        <v>208</v>
      </c>
      <c r="AO13">
        <v>4</v>
      </c>
      <c r="AP13">
        <v>0</v>
      </c>
      <c r="AQ13">
        <v>58200</v>
      </c>
      <c r="AR13">
        <v>640</v>
      </c>
      <c r="AS13">
        <v>86457</v>
      </c>
      <c r="AT13" t="s">
        <v>132</v>
      </c>
      <c r="AU13">
        <v>1</v>
      </c>
      <c r="AV13">
        <v>1</v>
      </c>
      <c r="AW13">
        <v>4</v>
      </c>
      <c r="BE13">
        <v>2.1</v>
      </c>
      <c r="BF13">
        <v>4</v>
      </c>
      <c r="BG13">
        <v>8.4</v>
      </c>
      <c r="BH13" s="1">
        <v>44362</v>
      </c>
      <c r="BI13" t="s">
        <v>210</v>
      </c>
      <c r="BJ13">
        <v>1940</v>
      </c>
      <c r="BK13" t="s">
        <v>119</v>
      </c>
      <c r="BL13" t="s">
        <v>1237</v>
      </c>
      <c r="BM13">
        <v>86457</v>
      </c>
      <c r="BN13">
        <v>1</v>
      </c>
      <c r="BO13">
        <v>4</v>
      </c>
      <c r="BP13">
        <v>4</v>
      </c>
      <c r="BQ13">
        <v>2016</v>
      </c>
      <c r="BR13">
        <v>9994</v>
      </c>
      <c r="BS13">
        <v>38.376134493999899</v>
      </c>
      <c r="BT13">
        <v>-81.685875949000007</v>
      </c>
      <c r="BU13">
        <v>1</v>
      </c>
      <c r="BV13">
        <v>-3</v>
      </c>
      <c r="BW13">
        <v>1</v>
      </c>
      <c r="BX13" t="s">
        <v>1238</v>
      </c>
      <c r="BY13">
        <v>205</v>
      </c>
      <c r="BZ13">
        <v>0</v>
      </c>
      <c r="CA13">
        <v>0</v>
      </c>
      <c r="CB13">
        <v>43228.5</v>
      </c>
      <c r="CC13">
        <v>82</v>
      </c>
      <c r="CD13">
        <v>6</v>
      </c>
      <c r="CE13">
        <v>2593.71</v>
      </c>
      <c r="CF13">
        <v>0</v>
      </c>
      <c r="CG13">
        <v>0</v>
      </c>
      <c r="CH13">
        <v>0</v>
      </c>
      <c r="CI13">
        <v>0</v>
      </c>
      <c r="CO13">
        <v>0</v>
      </c>
      <c r="CP13">
        <v>0</v>
      </c>
      <c r="CQ13" t="s">
        <v>1286</v>
      </c>
      <c r="CR13" t="s">
        <v>183</v>
      </c>
      <c r="CS13" t="s">
        <v>138</v>
      </c>
      <c r="CT13" t="s">
        <v>162</v>
      </c>
      <c r="CU13" t="s">
        <v>163</v>
      </c>
      <c r="CW13">
        <v>3</v>
      </c>
      <c r="CX13" t="s">
        <v>1338</v>
      </c>
      <c r="CY13" t="s">
        <v>1288</v>
      </c>
      <c r="CZ13" t="s">
        <v>1401</v>
      </c>
      <c r="DA13" t="s">
        <v>1289</v>
      </c>
      <c r="DB13">
        <v>0</v>
      </c>
      <c r="DC13">
        <v>86457</v>
      </c>
    </row>
    <row r="14" spans="1:107" x14ac:dyDescent="0.25">
      <c r="A14" t="s">
        <v>1878</v>
      </c>
      <c r="B14" t="s">
        <v>108</v>
      </c>
      <c r="C14" t="s">
        <v>1879</v>
      </c>
      <c r="D14" t="s">
        <v>1880</v>
      </c>
      <c r="F14" s="3" t="str">
        <f>HYPERLINK("https://mapwv.gov/flood/map/?wkid=102100&amp;x=-8984941.576621449&amp;y=4852460.484780022&amp;l=13&amp;v=2","FT")</f>
        <v>FT</v>
      </c>
      <c r="G14" s="3" t="str">
        <f>HYPERLINK("https://mapwv.gov/Assessment/Detail/?PID=25040003004900000000","Assessment")</f>
        <v>Assessment</v>
      </c>
      <c r="H14">
        <v>540107</v>
      </c>
      <c r="I14" t="s">
        <v>1881</v>
      </c>
      <c r="J14" t="s">
        <v>1869</v>
      </c>
      <c r="K14" t="s">
        <v>148</v>
      </c>
      <c r="L14" t="s">
        <v>1870</v>
      </c>
      <c r="M14" t="s">
        <v>1871</v>
      </c>
      <c r="N14" t="s">
        <v>199</v>
      </c>
      <c r="O14" t="s">
        <v>117</v>
      </c>
      <c r="P14" t="s">
        <v>150</v>
      </c>
      <c r="Q14" t="s">
        <v>225</v>
      </c>
      <c r="R14">
        <v>0.5</v>
      </c>
      <c r="S14" t="s">
        <v>120</v>
      </c>
      <c r="T14">
        <v>685.9</v>
      </c>
      <c r="U14" t="s">
        <v>365</v>
      </c>
      <c r="V14">
        <v>684.8</v>
      </c>
      <c r="X14" t="s">
        <v>1882</v>
      </c>
      <c r="Y14" t="s">
        <v>1883</v>
      </c>
      <c r="Z14">
        <v>0</v>
      </c>
      <c r="AB14" t="s">
        <v>303</v>
      </c>
      <c r="AC14" t="s">
        <v>304</v>
      </c>
      <c r="AD14">
        <v>2</v>
      </c>
      <c r="AE14">
        <v>100</v>
      </c>
      <c r="AF14" t="s">
        <v>1507</v>
      </c>
      <c r="AG14" t="s">
        <v>177</v>
      </c>
      <c r="AH14" t="s">
        <v>129</v>
      </c>
      <c r="AI14">
        <v>1</v>
      </c>
      <c r="AL14">
        <v>1000</v>
      </c>
      <c r="AN14" t="s">
        <v>158</v>
      </c>
      <c r="AO14">
        <v>3.5</v>
      </c>
      <c r="AP14">
        <v>0</v>
      </c>
      <c r="AQ14">
        <v>0</v>
      </c>
      <c r="AR14">
        <v>0</v>
      </c>
      <c r="AS14">
        <v>12000</v>
      </c>
      <c r="AT14" t="s">
        <v>228</v>
      </c>
      <c r="AU14">
        <v>1</v>
      </c>
      <c r="AV14">
        <v>0</v>
      </c>
      <c r="AW14">
        <v>1</v>
      </c>
      <c r="BC14" t="s">
        <v>230</v>
      </c>
      <c r="BE14">
        <v>2.6</v>
      </c>
      <c r="BF14">
        <v>0</v>
      </c>
      <c r="BG14">
        <v>0</v>
      </c>
      <c r="BH14" s="1">
        <v>44405</v>
      </c>
      <c r="BI14" t="s">
        <v>210</v>
      </c>
      <c r="BJ14">
        <v>0</v>
      </c>
      <c r="BK14" t="s">
        <v>225</v>
      </c>
      <c r="BL14" t="s">
        <v>177</v>
      </c>
      <c r="BM14">
        <v>12000</v>
      </c>
      <c r="BN14">
        <v>1</v>
      </c>
      <c r="BO14">
        <v>5</v>
      </c>
      <c r="BP14">
        <v>3.5</v>
      </c>
      <c r="BQ14">
        <v>1000</v>
      </c>
      <c r="BR14">
        <v>413</v>
      </c>
      <c r="BS14">
        <v>39.9071620920001</v>
      </c>
      <c r="BT14">
        <v>-80.713103451999899</v>
      </c>
      <c r="BU14">
        <v>0.51452637000000001</v>
      </c>
      <c r="BV14">
        <v>-2.9854736328125</v>
      </c>
      <c r="BW14">
        <v>1</v>
      </c>
      <c r="BX14" t="s">
        <v>181</v>
      </c>
      <c r="BY14">
        <v>189</v>
      </c>
      <c r="BZ14">
        <v>0</v>
      </c>
      <c r="CA14">
        <v>0</v>
      </c>
      <c r="CB14">
        <v>6000</v>
      </c>
      <c r="CC14">
        <v>74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O14">
        <v>0</v>
      </c>
      <c r="CP14">
        <v>0</v>
      </c>
      <c r="CQ14" t="s">
        <v>1874</v>
      </c>
      <c r="CR14" t="s">
        <v>183</v>
      </c>
      <c r="CS14" t="s">
        <v>138</v>
      </c>
      <c r="CT14" t="s">
        <v>139</v>
      </c>
      <c r="CU14" t="s">
        <v>163</v>
      </c>
      <c r="CW14">
        <v>10</v>
      </c>
      <c r="CX14" t="s">
        <v>1884</v>
      </c>
      <c r="CY14" t="s">
        <v>1876</v>
      </c>
      <c r="CZ14" t="s">
        <v>1880</v>
      </c>
      <c r="DA14" t="s">
        <v>1877</v>
      </c>
      <c r="DB14">
        <v>0</v>
      </c>
      <c r="DC14">
        <v>83200</v>
      </c>
    </row>
    <row r="15" spans="1:107" x14ac:dyDescent="0.25">
      <c r="A15" t="s">
        <v>344</v>
      </c>
      <c r="B15" t="s">
        <v>108</v>
      </c>
      <c r="C15" t="s">
        <v>345</v>
      </c>
      <c r="D15" t="s">
        <v>346</v>
      </c>
      <c r="F15" s="3" t="str">
        <f>HYPERLINK("https://mapwv.gov/flood/map/?wkid=102100&amp;x=-8807457.93683648&amp;y=4722039.623193713&amp;l=13&amp;v=2","FT")</f>
        <v>FT</v>
      </c>
      <c r="G15" s="3" t="str">
        <f>HYPERLINK("https://mapwv.gov/Assessment/Detail/?PID=12040008000100000000","Assessment")</f>
        <v>Assessment</v>
      </c>
      <c r="H15">
        <v>540039</v>
      </c>
      <c r="I15" t="s">
        <v>347</v>
      </c>
      <c r="J15" t="s">
        <v>348</v>
      </c>
      <c r="K15" t="s">
        <v>113</v>
      </c>
      <c r="L15" t="s">
        <v>349</v>
      </c>
      <c r="M15" t="s">
        <v>350</v>
      </c>
      <c r="N15" t="s">
        <v>149</v>
      </c>
      <c r="O15" t="s">
        <v>117</v>
      </c>
      <c r="P15" t="s">
        <v>150</v>
      </c>
      <c r="Q15" t="s">
        <v>119</v>
      </c>
      <c r="R15" t="s">
        <v>151</v>
      </c>
      <c r="S15" t="s">
        <v>151</v>
      </c>
      <c r="T15" t="s">
        <v>151</v>
      </c>
      <c r="U15" t="s">
        <v>151</v>
      </c>
      <c r="V15">
        <v>951.5</v>
      </c>
      <c r="X15" t="s">
        <v>351</v>
      </c>
      <c r="Y15" t="s">
        <v>352</v>
      </c>
      <c r="Z15">
        <v>1930</v>
      </c>
      <c r="AA15" t="s">
        <v>175</v>
      </c>
      <c r="AB15" t="s">
        <v>303</v>
      </c>
      <c r="AC15" t="s">
        <v>304</v>
      </c>
      <c r="AD15">
        <v>2</v>
      </c>
      <c r="AE15">
        <v>112</v>
      </c>
      <c r="AF15" t="s">
        <v>305</v>
      </c>
      <c r="AG15" t="s">
        <v>128</v>
      </c>
      <c r="AH15" t="s">
        <v>129</v>
      </c>
      <c r="AI15">
        <v>1</v>
      </c>
      <c r="AJ15" t="s">
        <v>341</v>
      </c>
      <c r="AK15" t="s">
        <v>130</v>
      </c>
      <c r="AL15">
        <v>1818</v>
      </c>
      <c r="AM15" t="s">
        <v>353</v>
      </c>
      <c r="AN15" t="s">
        <v>208</v>
      </c>
      <c r="AO15">
        <v>4</v>
      </c>
      <c r="AP15">
        <v>74500</v>
      </c>
      <c r="AQ15">
        <v>0</v>
      </c>
      <c r="AR15">
        <v>2560</v>
      </c>
      <c r="AS15">
        <v>77100</v>
      </c>
      <c r="AT15" t="s">
        <v>132</v>
      </c>
      <c r="AU15">
        <v>1</v>
      </c>
      <c r="AV15">
        <v>2</v>
      </c>
      <c r="AW15">
        <v>1</v>
      </c>
      <c r="BE15">
        <v>2</v>
      </c>
      <c r="BF15">
        <v>0</v>
      </c>
      <c r="BG15">
        <v>0</v>
      </c>
      <c r="BH15" s="1">
        <v>44272</v>
      </c>
      <c r="BI15" t="s">
        <v>159</v>
      </c>
      <c r="BJ15">
        <v>1930</v>
      </c>
      <c r="BK15" t="s">
        <v>119</v>
      </c>
      <c r="BL15" t="s">
        <v>128</v>
      </c>
      <c r="BM15">
        <v>77100</v>
      </c>
      <c r="BN15">
        <v>1</v>
      </c>
      <c r="BO15">
        <v>4</v>
      </c>
      <c r="BP15">
        <v>4</v>
      </c>
      <c r="BQ15">
        <v>1818</v>
      </c>
      <c r="BR15">
        <v>275</v>
      </c>
      <c r="BS15">
        <v>39.002569395999998</v>
      </c>
      <c r="BT15">
        <v>-79.118740789</v>
      </c>
      <c r="BU15">
        <v>0</v>
      </c>
      <c r="BV15">
        <v>-4</v>
      </c>
      <c r="BW15">
        <v>0</v>
      </c>
      <c r="BX15" t="s">
        <v>354</v>
      </c>
      <c r="BY15">
        <v>0</v>
      </c>
      <c r="BZ15">
        <v>0</v>
      </c>
      <c r="CA15">
        <v>0</v>
      </c>
      <c r="CB15">
        <v>38550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O15">
        <v>0</v>
      </c>
      <c r="CP15">
        <v>0</v>
      </c>
      <c r="CQ15" t="s">
        <v>355</v>
      </c>
      <c r="CR15" t="s">
        <v>183</v>
      </c>
      <c r="CS15" t="s">
        <v>161</v>
      </c>
      <c r="CT15" t="s">
        <v>162</v>
      </c>
      <c r="CU15" t="s">
        <v>163</v>
      </c>
      <c r="CW15">
        <v>8</v>
      </c>
      <c r="CX15" t="s">
        <v>356</v>
      </c>
      <c r="CY15" t="s">
        <v>357</v>
      </c>
      <c r="CZ15" t="s">
        <v>346</v>
      </c>
      <c r="DA15" t="s">
        <v>358</v>
      </c>
      <c r="DB15">
        <v>0</v>
      </c>
      <c r="DC15">
        <v>77100</v>
      </c>
    </row>
    <row r="16" spans="1:107" x14ac:dyDescent="0.25">
      <c r="A16" t="s">
        <v>1684</v>
      </c>
      <c r="B16" t="s">
        <v>108</v>
      </c>
      <c r="C16" t="s">
        <v>1685</v>
      </c>
      <c r="D16" t="s">
        <v>1686</v>
      </c>
      <c r="E16" t="s">
        <v>1687</v>
      </c>
      <c r="F16" s="3" t="str">
        <f>HYPERLINK("https://mapwv.gov/flood/map/?wkid=102100&amp;x=-8965400.849317444&amp;y=4543733.001328669&amp;l=13&amp;v=2","FT")</f>
        <v>FT</v>
      </c>
      <c r="G16" s="3" t="str">
        <f>HYPERLINK("https://mapwv.gov/Assessment/Detail/?PID=1308003S000200000000","Assessment")</f>
        <v>Assessment</v>
      </c>
      <c r="H16">
        <v>540040</v>
      </c>
      <c r="I16" t="s">
        <v>1688</v>
      </c>
      <c r="J16" t="s">
        <v>1689</v>
      </c>
      <c r="K16" t="s">
        <v>148</v>
      </c>
      <c r="L16" t="s">
        <v>1690</v>
      </c>
      <c r="M16" t="s">
        <v>1643</v>
      </c>
      <c r="N16" t="s">
        <v>1691</v>
      </c>
      <c r="O16" t="s">
        <v>117</v>
      </c>
      <c r="P16" t="s">
        <v>118</v>
      </c>
      <c r="Q16" t="s">
        <v>260</v>
      </c>
      <c r="R16">
        <v>1.3</v>
      </c>
      <c r="S16" t="s">
        <v>120</v>
      </c>
      <c r="T16">
        <v>1619.5</v>
      </c>
      <c r="U16" t="s">
        <v>365</v>
      </c>
      <c r="V16">
        <v>1617</v>
      </c>
      <c r="X16" t="s">
        <v>1692</v>
      </c>
      <c r="Y16" t="s">
        <v>1693</v>
      </c>
      <c r="Z16">
        <v>2014</v>
      </c>
      <c r="AA16" t="s">
        <v>1244</v>
      </c>
      <c r="AB16" t="s">
        <v>155</v>
      </c>
      <c r="AC16" t="s">
        <v>129</v>
      </c>
      <c r="AD16">
        <v>2</v>
      </c>
      <c r="AE16">
        <v>108</v>
      </c>
      <c r="AF16" t="s">
        <v>176</v>
      </c>
      <c r="AG16" t="s">
        <v>177</v>
      </c>
      <c r="AH16" t="s">
        <v>129</v>
      </c>
      <c r="AI16">
        <v>1</v>
      </c>
      <c r="AL16">
        <v>3200</v>
      </c>
      <c r="AN16" t="s">
        <v>158</v>
      </c>
      <c r="AO16">
        <v>4</v>
      </c>
      <c r="AP16">
        <v>0</v>
      </c>
      <c r="AQ16">
        <v>0</v>
      </c>
      <c r="AR16">
        <v>80190</v>
      </c>
      <c r="AS16">
        <v>80200</v>
      </c>
      <c r="AT16" t="s">
        <v>132</v>
      </c>
      <c r="AU16">
        <v>1</v>
      </c>
      <c r="AV16">
        <v>6</v>
      </c>
      <c r="AW16">
        <v>1</v>
      </c>
      <c r="BC16" t="s">
        <v>180</v>
      </c>
      <c r="BE16">
        <v>2.4</v>
      </c>
      <c r="BF16">
        <v>1</v>
      </c>
      <c r="BG16">
        <v>2.4</v>
      </c>
      <c r="BH16" s="1">
        <v>44398</v>
      </c>
      <c r="BI16" t="s">
        <v>1694</v>
      </c>
      <c r="BJ16">
        <v>2014</v>
      </c>
      <c r="BK16" t="s">
        <v>260</v>
      </c>
      <c r="BL16" t="s">
        <v>177</v>
      </c>
      <c r="BM16">
        <v>80200</v>
      </c>
      <c r="BN16">
        <v>1</v>
      </c>
      <c r="BO16">
        <v>5</v>
      </c>
      <c r="BP16">
        <v>4</v>
      </c>
      <c r="BQ16">
        <v>3200</v>
      </c>
      <c r="BR16">
        <v>140</v>
      </c>
      <c r="BS16">
        <v>37.746902044999999</v>
      </c>
      <c r="BT16">
        <v>-80.537566111999894</v>
      </c>
      <c r="BU16">
        <v>1.2828368999999999</v>
      </c>
      <c r="BV16">
        <v>-2.7171630859375</v>
      </c>
      <c r="BW16">
        <v>1</v>
      </c>
      <c r="BX16" t="s">
        <v>181</v>
      </c>
      <c r="BY16">
        <v>189</v>
      </c>
      <c r="BZ16">
        <v>0</v>
      </c>
      <c r="CA16">
        <v>0</v>
      </c>
      <c r="CB16">
        <v>40100</v>
      </c>
      <c r="CC16">
        <v>74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O16">
        <v>0</v>
      </c>
      <c r="CP16">
        <v>0</v>
      </c>
      <c r="CQ16" t="s">
        <v>1695</v>
      </c>
      <c r="CR16" t="s">
        <v>137</v>
      </c>
      <c r="CS16" t="s">
        <v>138</v>
      </c>
      <c r="CT16" t="s">
        <v>162</v>
      </c>
      <c r="CU16" t="s">
        <v>163</v>
      </c>
      <c r="CW16">
        <v>4</v>
      </c>
      <c r="CX16" t="s">
        <v>1696</v>
      </c>
      <c r="CY16" t="s">
        <v>1697</v>
      </c>
      <c r="CZ16" t="s">
        <v>1686</v>
      </c>
      <c r="DA16" t="s">
        <v>1698</v>
      </c>
      <c r="DB16">
        <v>0</v>
      </c>
      <c r="DC16">
        <v>75700</v>
      </c>
    </row>
    <row r="17" spans="1:107" x14ac:dyDescent="0.25">
      <c r="A17" t="s">
        <v>1303</v>
      </c>
      <c r="B17" t="s">
        <v>108</v>
      </c>
      <c r="C17" t="s">
        <v>1304</v>
      </c>
      <c r="D17" t="s">
        <v>1305</v>
      </c>
      <c r="F17" s="3" t="str">
        <f>HYPERLINK("https://mapwv.gov/flood/map/?wkid=102100&amp;x=-9073703.213442702&amp;y=4625150.311415973&amp;l=13&amp;v=2","FT")</f>
        <v>FT</v>
      </c>
      <c r="G17" s="3" t="str">
        <f>HYPERLINK("https://mapwv.gov/Assessment/Detail/?PID=2023010A002900000000","Assessment")</f>
        <v>Assessment</v>
      </c>
      <c r="H17">
        <v>540070</v>
      </c>
      <c r="I17" t="s">
        <v>1306</v>
      </c>
      <c r="J17" t="s">
        <v>1282</v>
      </c>
      <c r="K17" t="s">
        <v>148</v>
      </c>
      <c r="L17" t="s">
        <v>1307</v>
      </c>
      <c r="M17" t="s">
        <v>1308</v>
      </c>
      <c r="N17" t="s">
        <v>199</v>
      </c>
      <c r="O17" t="s">
        <v>383</v>
      </c>
      <c r="P17" t="s">
        <v>150</v>
      </c>
      <c r="Q17" t="s">
        <v>119</v>
      </c>
      <c r="R17">
        <v>6.8</v>
      </c>
      <c r="S17" t="s">
        <v>120</v>
      </c>
      <c r="T17" t="s">
        <v>151</v>
      </c>
      <c r="U17" t="s">
        <v>151</v>
      </c>
      <c r="V17">
        <v>629</v>
      </c>
      <c r="X17" t="s">
        <v>1309</v>
      </c>
      <c r="Y17" t="s">
        <v>1310</v>
      </c>
      <c r="Z17">
        <v>1955</v>
      </c>
      <c r="AA17" t="s">
        <v>241</v>
      </c>
      <c r="AB17" t="s">
        <v>155</v>
      </c>
      <c r="AC17" t="s">
        <v>129</v>
      </c>
      <c r="AD17">
        <v>3</v>
      </c>
      <c r="AE17">
        <v>104</v>
      </c>
      <c r="AF17" t="s">
        <v>1236</v>
      </c>
      <c r="AG17" t="s">
        <v>1237</v>
      </c>
      <c r="AH17" t="s">
        <v>129</v>
      </c>
      <c r="AI17">
        <v>2</v>
      </c>
      <c r="AJ17" t="s">
        <v>291</v>
      </c>
      <c r="AK17" t="s">
        <v>130</v>
      </c>
      <c r="AL17">
        <v>2688</v>
      </c>
      <c r="AM17" t="s">
        <v>353</v>
      </c>
      <c r="AN17" t="s">
        <v>208</v>
      </c>
      <c r="AO17">
        <v>4</v>
      </c>
      <c r="AP17">
        <v>74500</v>
      </c>
      <c r="AQ17">
        <v>0</v>
      </c>
      <c r="AR17">
        <v>0</v>
      </c>
      <c r="AS17">
        <v>74500</v>
      </c>
      <c r="AT17" t="s">
        <v>132</v>
      </c>
      <c r="AU17">
        <v>1</v>
      </c>
      <c r="AV17">
        <v>0</v>
      </c>
      <c r="AW17">
        <v>4</v>
      </c>
      <c r="BE17">
        <v>2.4</v>
      </c>
      <c r="BF17">
        <v>4</v>
      </c>
      <c r="BG17">
        <v>9.6</v>
      </c>
      <c r="BH17" s="1">
        <v>44362</v>
      </c>
      <c r="BI17" t="s">
        <v>384</v>
      </c>
      <c r="BJ17">
        <v>1955</v>
      </c>
      <c r="BK17" t="s">
        <v>119</v>
      </c>
      <c r="BL17" t="s">
        <v>1237</v>
      </c>
      <c r="BM17">
        <v>74500</v>
      </c>
      <c r="BN17">
        <v>2</v>
      </c>
      <c r="BO17">
        <v>4</v>
      </c>
      <c r="BP17">
        <v>4</v>
      </c>
      <c r="BQ17">
        <v>2688</v>
      </c>
      <c r="BR17">
        <v>3392</v>
      </c>
      <c r="BS17">
        <v>38.3229605860001</v>
      </c>
      <c r="BT17">
        <v>-81.510462801999907</v>
      </c>
      <c r="BU17">
        <v>6.7512207000000002</v>
      </c>
      <c r="BV17">
        <v>2.751220703125</v>
      </c>
      <c r="BW17">
        <v>1</v>
      </c>
      <c r="BX17" t="s">
        <v>1238</v>
      </c>
      <c r="BY17">
        <v>205</v>
      </c>
      <c r="BZ17">
        <v>22.253662109375</v>
      </c>
      <c r="CA17">
        <v>16578.978271484299</v>
      </c>
      <c r="CB17">
        <v>37250</v>
      </c>
      <c r="CC17">
        <v>82</v>
      </c>
      <c r="CD17">
        <v>26.50732421875</v>
      </c>
      <c r="CE17">
        <v>9873.9782714843695</v>
      </c>
      <c r="CF17">
        <v>0</v>
      </c>
      <c r="CG17">
        <v>0</v>
      </c>
      <c r="CH17">
        <v>0</v>
      </c>
      <c r="CI17">
        <v>0</v>
      </c>
      <c r="CJ17" t="s">
        <v>1311</v>
      </c>
      <c r="CK17">
        <v>11.0207999999999</v>
      </c>
      <c r="CL17">
        <v>0</v>
      </c>
      <c r="CM17">
        <v>0</v>
      </c>
      <c r="CN17">
        <v>11.0207999999999</v>
      </c>
      <c r="CO17">
        <v>180</v>
      </c>
      <c r="CP17">
        <v>360</v>
      </c>
      <c r="CQ17" t="s">
        <v>1286</v>
      </c>
      <c r="CR17" t="s">
        <v>385</v>
      </c>
      <c r="CS17" t="s">
        <v>138</v>
      </c>
      <c r="CT17" t="s">
        <v>162</v>
      </c>
      <c r="CU17" t="s">
        <v>140</v>
      </c>
      <c r="CW17">
        <v>3</v>
      </c>
      <c r="CX17" t="s">
        <v>1312</v>
      </c>
      <c r="CY17" t="s">
        <v>1288</v>
      </c>
      <c r="CZ17" t="s">
        <v>1305</v>
      </c>
      <c r="DA17" t="s">
        <v>1289</v>
      </c>
      <c r="DB17">
        <v>0</v>
      </c>
      <c r="DC17">
        <v>74500</v>
      </c>
    </row>
    <row r="18" spans="1:107" x14ac:dyDescent="0.25">
      <c r="A18" t="s">
        <v>1296</v>
      </c>
      <c r="B18" t="s">
        <v>108</v>
      </c>
      <c r="C18" t="s">
        <v>1297</v>
      </c>
      <c r="D18" t="s">
        <v>1298</v>
      </c>
      <c r="F18" s="3" t="str">
        <f>HYPERLINK("https://mapwv.gov/flood/map/?wkid=102100&amp;x=-9099385.055339241&amp;y=4629435.056754731&amp;l=13&amp;v=2","FT")</f>
        <v>FT</v>
      </c>
      <c r="G18" s="3" t="str">
        <f>HYPERLINK("https://mapwv.gov/Assessment/Detail/?PID=20180003009500000000","Assessment")</f>
        <v>Assessment</v>
      </c>
      <c r="H18">
        <v>540223</v>
      </c>
      <c r="I18" t="s">
        <v>1281</v>
      </c>
      <c r="J18" t="s">
        <v>1282</v>
      </c>
      <c r="K18" t="s">
        <v>113</v>
      </c>
      <c r="L18" t="s">
        <v>1283</v>
      </c>
      <c r="M18" t="s">
        <v>909</v>
      </c>
      <c r="N18" t="s">
        <v>199</v>
      </c>
      <c r="O18" t="s">
        <v>117</v>
      </c>
      <c r="P18" t="s">
        <v>150</v>
      </c>
      <c r="Q18" t="s">
        <v>119</v>
      </c>
      <c r="R18">
        <v>3.3</v>
      </c>
      <c r="S18" t="s">
        <v>120</v>
      </c>
      <c r="T18" t="s">
        <v>151</v>
      </c>
      <c r="U18" t="s">
        <v>151</v>
      </c>
      <c r="V18">
        <v>587.29999999999995</v>
      </c>
      <c r="X18" t="s">
        <v>1299</v>
      </c>
      <c r="Y18" t="s">
        <v>1285</v>
      </c>
      <c r="Z18">
        <v>1958</v>
      </c>
      <c r="AA18" t="s">
        <v>241</v>
      </c>
      <c r="AB18" t="s">
        <v>155</v>
      </c>
      <c r="AC18" t="s">
        <v>129</v>
      </c>
      <c r="AD18">
        <v>4</v>
      </c>
      <c r="AE18">
        <v>101</v>
      </c>
      <c r="AF18" t="s">
        <v>127</v>
      </c>
      <c r="AG18" t="s">
        <v>128</v>
      </c>
      <c r="AH18" t="s">
        <v>129</v>
      </c>
      <c r="AI18">
        <v>1</v>
      </c>
      <c r="AJ18" t="s">
        <v>341</v>
      </c>
      <c r="AK18" t="s">
        <v>342</v>
      </c>
      <c r="AL18">
        <v>1564</v>
      </c>
      <c r="AM18" t="s">
        <v>157</v>
      </c>
      <c r="AN18" t="s">
        <v>158</v>
      </c>
      <c r="AO18">
        <v>3</v>
      </c>
      <c r="AP18">
        <v>70100</v>
      </c>
      <c r="AQ18">
        <v>0</v>
      </c>
      <c r="AR18">
        <v>0</v>
      </c>
      <c r="AS18">
        <v>70100</v>
      </c>
      <c r="AT18" t="s">
        <v>132</v>
      </c>
      <c r="AU18">
        <v>1</v>
      </c>
      <c r="AV18">
        <v>0</v>
      </c>
      <c r="AW18">
        <v>2</v>
      </c>
      <c r="BE18">
        <v>2.2000000000000002</v>
      </c>
      <c r="BF18">
        <v>1</v>
      </c>
      <c r="BG18">
        <v>2.2000000000000002</v>
      </c>
      <c r="BH18" s="1">
        <v>44362</v>
      </c>
      <c r="BI18" t="s">
        <v>210</v>
      </c>
      <c r="BJ18">
        <v>1958</v>
      </c>
      <c r="BK18" t="s">
        <v>119</v>
      </c>
      <c r="BL18" t="s">
        <v>128</v>
      </c>
      <c r="BM18">
        <v>70100</v>
      </c>
      <c r="BN18">
        <v>1</v>
      </c>
      <c r="BO18">
        <v>5</v>
      </c>
      <c r="BP18">
        <v>3</v>
      </c>
      <c r="BQ18">
        <v>1564</v>
      </c>
      <c r="BR18">
        <v>14517</v>
      </c>
      <c r="BS18">
        <v>38.353151185999899</v>
      </c>
      <c r="BT18">
        <v>-81.741166712999899</v>
      </c>
      <c r="BU18">
        <v>3.2608031999999998</v>
      </c>
      <c r="BV18">
        <v>0.26080322265625</v>
      </c>
      <c r="BW18">
        <v>1</v>
      </c>
      <c r="BX18" t="s">
        <v>134</v>
      </c>
      <c r="BY18">
        <v>129</v>
      </c>
      <c r="BZ18">
        <v>15.608032226562401</v>
      </c>
      <c r="CA18">
        <v>10941.2305908203</v>
      </c>
      <c r="CB18">
        <v>35050</v>
      </c>
      <c r="CC18">
        <v>45</v>
      </c>
      <c r="CD18">
        <v>18.6080322265625</v>
      </c>
      <c r="CE18">
        <v>6522.1152954101499</v>
      </c>
      <c r="CF18">
        <v>0</v>
      </c>
      <c r="CG18">
        <v>0</v>
      </c>
      <c r="CH18">
        <v>0</v>
      </c>
      <c r="CI18">
        <v>0</v>
      </c>
      <c r="CJ18" t="s">
        <v>561</v>
      </c>
      <c r="CK18">
        <v>6.4123999999999999</v>
      </c>
      <c r="CL18">
        <v>0</v>
      </c>
      <c r="CM18">
        <v>0</v>
      </c>
      <c r="CN18">
        <v>6.4123999999999999</v>
      </c>
      <c r="CO18">
        <v>180</v>
      </c>
      <c r="CP18">
        <v>360</v>
      </c>
      <c r="CQ18" t="s">
        <v>1286</v>
      </c>
      <c r="CR18" t="s">
        <v>183</v>
      </c>
      <c r="CS18" t="s">
        <v>138</v>
      </c>
      <c r="CT18" t="s">
        <v>162</v>
      </c>
      <c r="CU18" t="s">
        <v>140</v>
      </c>
      <c r="CW18">
        <v>3</v>
      </c>
      <c r="CX18" t="s">
        <v>1287</v>
      </c>
      <c r="CY18" t="s">
        <v>1288</v>
      </c>
      <c r="CZ18" t="s">
        <v>1298</v>
      </c>
      <c r="DA18" t="s">
        <v>1289</v>
      </c>
      <c r="DB18">
        <v>0</v>
      </c>
      <c r="DC18">
        <v>70100</v>
      </c>
    </row>
    <row r="19" spans="1:107" x14ac:dyDescent="0.25">
      <c r="A19" t="s">
        <v>1290</v>
      </c>
      <c r="B19" t="s">
        <v>108</v>
      </c>
      <c r="C19" t="s">
        <v>1291</v>
      </c>
      <c r="D19" t="s">
        <v>1292</v>
      </c>
      <c r="F19" s="3" t="str">
        <f>HYPERLINK("https://mapwv.gov/flood/map/?wkid=102100&amp;x=-9099368.606214684&amp;y=4629435.283737162&amp;l=13&amp;v=2","FT")</f>
        <v>FT</v>
      </c>
      <c r="G19" s="3" t="str">
        <f>HYPERLINK("https://mapwv.gov/Assessment/Detail/?PID=20180003009600000000","Assessment")</f>
        <v>Assessment</v>
      </c>
      <c r="H19">
        <v>540223</v>
      </c>
      <c r="I19" t="s">
        <v>1281</v>
      </c>
      <c r="J19" t="s">
        <v>1282</v>
      </c>
      <c r="K19" t="s">
        <v>113</v>
      </c>
      <c r="L19" t="s">
        <v>1283</v>
      </c>
      <c r="M19" t="s">
        <v>909</v>
      </c>
      <c r="N19" t="s">
        <v>199</v>
      </c>
      <c r="O19" t="s">
        <v>117</v>
      </c>
      <c r="P19" t="s">
        <v>150</v>
      </c>
      <c r="Q19" t="s">
        <v>119</v>
      </c>
      <c r="R19">
        <v>4.3</v>
      </c>
      <c r="S19" t="s">
        <v>120</v>
      </c>
      <c r="T19" t="s">
        <v>151</v>
      </c>
      <c r="U19" t="s">
        <v>151</v>
      </c>
      <c r="V19">
        <v>586.29999999999995</v>
      </c>
      <c r="X19" t="s">
        <v>1293</v>
      </c>
      <c r="Y19" t="s">
        <v>1285</v>
      </c>
      <c r="Z19">
        <v>1950</v>
      </c>
      <c r="AA19" t="s">
        <v>241</v>
      </c>
      <c r="AB19" t="s">
        <v>155</v>
      </c>
      <c r="AC19" t="s">
        <v>129</v>
      </c>
      <c r="AD19">
        <v>4</v>
      </c>
      <c r="AE19">
        <v>102</v>
      </c>
      <c r="AF19" t="s">
        <v>1294</v>
      </c>
      <c r="AG19" t="s">
        <v>128</v>
      </c>
      <c r="AH19" t="s">
        <v>129</v>
      </c>
      <c r="AI19">
        <v>1</v>
      </c>
      <c r="AJ19" t="s">
        <v>291</v>
      </c>
      <c r="AK19" t="s">
        <v>130</v>
      </c>
      <c r="AL19">
        <v>784</v>
      </c>
      <c r="AM19" t="s">
        <v>157</v>
      </c>
      <c r="AN19" t="s">
        <v>158</v>
      </c>
      <c r="AO19">
        <v>3</v>
      </c>
      <c r="AP19">
        <v>69800</v>
      </c>
      <c r="AQ19">
        <v>0</v>
      </c>
      <c r="AR19">
        <v>0</v>
      </c>
      <c r="AS19">
        <v>37900</v>
      </c>
      <c r="AT19" t="s">
        <v>178</v>
      </c>
      <c r="AU19">
        <v>2</v>
      </c>
      <c r="AV19">
        <v>0</v>
      </c>
      <c r="AW19">
        <v>2</v>
      </c>
      <c r="BB19" t="s">
        <v>1295</v>
      </c>
      <c r="BE19">
        <v>2.2000000000000002</v>
      </c>
      <c r="BF19">
        <v>1</v>
      </c>
      <c r="BG19">
        <v>2.2000000000000002</v>
      </c>
      <c r="BH19" s="1">
        <v>44362</v>
      </c>
      <c r="BI19" t="s">
        <v>210</v>
      </c>
      <c r="BJ19">
        <v>1950</v>
      </c>
      <c r="BK19" t="s">
        <v>119</v>
      </c>
      <c r="BL19" t="s">
        <v>128</v>
      </c>
      <c r="BM19">
        <v>37900</v>
      </c>
      <c r="BN19">
        <v>1</v>
      </c>
      <c r="BO19">
        <v>5</v>
      </c>
      <c r="BP19">
        <v>3</v>
      </c>
      <c r="BQ19">
        <v>784</v>
      </c>
      <c r="BR19">
        <v>14510</v>
      </c>
      <c r="BS19">
        <v>38.353152784999999</v>
      </c>
      <c r="BT19">
        <v>-81.741018948000004</v>
      </c>
      <c r="BU19">
        <v>4.1244506999999997</v>
      </c>
      <c r="BV19">
        <v>1.12445068359375</v>
      </c>
      <c r="BW19">
        <v>1</v>
      </c>
      <c r="BX19" t="s">
        <v>134</v>
      </c>
      <c r="BY19">
        <v>129</v>
      </c>
      <c r="BZ19">
        <v>24.1200561523437</v>
      </c>
      <c r="CA19">
        <v>9141.5012817382794</v>
      </c>
      <c r="CB19">
        <v>18950</v>
      </c>
      <c r="CC19">
        <v>45</v>
      </c>
      <c r="CD19">
        <v>27.2445068359375</v>
      </c>
      <c r="CE19">
        <v>5162.8340454101499</v>
      </c>
      <c r="CF19">
        <v>0</v>
      </c>
      <c r="CG19">
        <v>0</v>
      </c>
      <c r="CH19">
        <v>0</v>
      </c>
      <c r="CI19">
        <v>0</v>
      </c>
      <c r="CJ19" t="s">
        <v>368</v>
      </c>
      <c r="CK19">
        <v>3.2143999999999902</v>
      </c>
      <c r="CL19">
        <v>0</v>
      </c>
      <c r="CM19">
        <v>0</v>
      </c>
      <c r="CN19">
        <v>3.2143999999999902</v>
      </c>
      <c r="CO19">
        <v>180</v>
      </c>
      <c r="CP19">
        <v>360</v>
      </c>
      <c r="CQ19" t="s">
        <v>1286</v>
      </c>
      <c r="CR19" t="s">
        <v>183</v>
      </c>
      <c r="CS19" t="s">
        <v>138</v>
      </c>
      <c r="CT19" t="s">
        <v>139</v>
      </c>
      <c r="CU19" t="s">
        <v>140</v>
      </c>
      <c r="CW19">
        <v>3</v>
      </c>
      <c r="CX19" t="s">
        <v>1287</v>
      </c>
      <c r="CY19" t="s">
        <v>1288</v>
      </c>
      <c r="CZ19" t="s">
        <v>1292</v>
      </c>
      <c r="DA19" t="s">
        <v>1289</v>
      </c>
      <c r="DB19">
        <v>0</v>
      </c>
      <c r="DC19">
        <v>69800</v>
      </c>
    </row>
    <row r="20" spans="1:107" x14ac:dyDescent="0.25">
      <c r="A20" t="s">
        <v>1300</v>
      </c>
      <c r="B20" t="s">
        <v>108</v>
      </c>
      <c r="C20" t="s">
        <v>1301</v>
      </c>
      <c r="D20" t="s">
        <v>1292</v>
      </c>
      <c r="F20" s="3" t="str">
        <f>HYPERLINK("https://mapwv.gov/flood/map/?wkid=102100&amp;x=-9099368.013994992&amp;y=4629454.979130937&amp;l=13&amp;v=2","FT")</f>
        <v>FT</v>
      </c>
      <c r="G20" s="3" t="str">
        <f>HYPERLINK("https://mapwv.gov/Assessment/Detail/?PID=20180003009600000000","Assessment")</f>
        <v>Assessment</v>
      </c>
      <c r="H20">
        <v>540223</v>
      </c>
      <c r="I20" t="s">
        <v>1281</v>
      </c>
      <c r="J20" t="s">
        <v>1282</v>
      </c>
      <c r="K20" t="s">
        <v>113</v>
      </c>
      <c r="L20" t="s">
        <v>1283</v>
      </c>
      <c r="M20" t="s">
        <v>909</v>
      </c>
      <c r="N20" t="s">
        <v>199</v>
      </c>
      <c r="O20" t="s">
        <v>117</v>
      </c>
      <c r="P20" t="s">
        <v>150</v>
      </c>
      <c r="Q20" t="s">
        <v>119</v>
      </c>
      <c r="R20">
        <v>3.3</v>
      </c>
      <c r="S20" t="s">
        <v>120</v>
      </c>
      <c r="T20" t="s">
        <v>151</v>
      </c>
      <c r="U20" t="s">
        <v>151</v>
      </c>
      <c r="V20">
        <v>587.29999999999995</v>
      </c>
      <c r="X20" t="s">
        <v>1293</v>
      </c>
      <c r="Y20" t="s">
        <v>1285</v>
      </c>
      <c r="Z20">
        <v>1948</v>
      </c>
      <c r="AA20" t="s">
        <v>241</v>
      </c>
      <c r="AB20" t="s">
        <v>155</v>
      </c>
      <c r="AC20" t="s">
        <v>129</v>
      </c>
      <c r="AD20">
        <v>4</v>
      </c>
      <c r="AE20">
        <v>102</v>
      </c>
      <c r="AF20" t="s">
        <v>1294</v>
      </c>
      <c r="AG20" t="s">
        <v>128</v>
      </c>
      <c r="AH20" t="s">
        <v>129</v>
      </c>
      <c r="AI20">
        <v>1</v>
      </c>
      <c r="AJ20" t="s">
        <v>291</v>
      </c>
      <c r="AK20" t="s">
        <v>130</v>
      </c>
      <c r="AL20">
        <v>576</v>
      </c>
      <c r="AM20" t="s">
        <v>157</v>
      </c>
      <c r="AN20" t="s">
        <v>158</v>
      </c>
      <c r="AO20">
        <v>3</v>
      </c>
      <c r="AP20">
        <v>69800</v>
      </c>
      <c r="AQ20">
        <v>0</v>
      </c>
      <c r="AR20">
        <v>0</v>
      </c>
      <c r="AS20">
        <v>32000</v>
      </c>
      <c r="AT20" t="s">
        <v>178</v>
      </c>
      <c r="AU20">
        <v>2</v>
      </c>
      <c r="AV20">
        <v>0</v>
      </c>
      <c r="AW20">
        <v>2</v>
      </c>
      <c r="BB20" t="s">
        <v>1302</v>
      </c>
      <c r="BE20">
        <v>2.2000000000000002</v>
      </c>
      <c r="BF20">
        <v>1</v>
      </c>
      <c r="BG20">
        <v>2.2000000000000002</v>
      </c>
      <c r="BH20" s="1">
        <v>44362</v>
      </c>
      <c r="BI20" t="s">
        <v>210</v>
      </c>
      <c r="BJ20">
        <v>1948</v>
      </c>
      <c r="BK20" t="s">
        <v>119</v>
      </c>
      <c r="BL20" t="s">
        <v>128</v>
      </c>
      <c r="BM20">
        <v>32000</v>
      </c>
      <c r="BN20">
        <v>1</v>
      </c>
      <c r="BO20">
        <v>5</v>
      </c>
      <c r="BP20">
        <v>3</v>
      </c>
      <c r="BQ20">
        <v>576</v>
      </c>
      <c r="BR20">
        <v>14547</v>
      </c>
      <c r="BS20">
        <v>38.353291531000004</v>
      </c>
      <c r="BT20">
        <v>-81.741013628000005</v>
      </c>
      <c r="BU20">
        <v>3.2649536000000001</v>
      </c>
      <c r="BV20">
        <v>0.26495361328125</v>
      </c>
      <c r="BW20">
        <v>1</v>
      </c>
      <c r="BX20" t="s">
        <v>134</v>
      </c>
      <c r="BY20">
        <v>129</v>
      </c>
      <c r="BZ20">
        <v>15.6495361328125</v>
      </c>
      <c r="CA20">
        <v>5007.8515625</v>
      </c>
      <c r="CB20">
        <v>16000</v>
      </c>
      <c r="CC20">
        <v>45</v>
      </c>
      <c r="CD20">
        <v>18.6495361328125</v>
      </c>
      <c r="CE20">
        <v>2983.92578125</v>
      </c>
      <c r="CF20">
        <v>0</v>
      </c>
      <c r="CG20">
        <v>0</v>
      </c>
      <c r="CH20">
        <v>0</v>
      </c>
      <c r="CI20">
        <v>0</v>
      </c>
      <c r="CJ20" t="s">
        <v>561</v>
      </c>
      <c r="CK20">
        <v>2.3616000000000001</v>
      </c>
      <c r="CL20">
        <v>0</v>
      </c>
      <c r="CM20">
        <v>0</v>
      </c>
      <c r="CN20">
        <v>2.3616000000000001</v>
      </c>
      <c r="CO20">
        <v>180</v>
      </c>
      <c r="CP20">
        <v>360</v>
      </c>
      <c r="CQ20" t="s">
        <v>1286</v>
      </c>
      <c r="CR20" t="s">
        <v>183</v>
      </c>
      <c r="CS20" t="s">
        <v>138</v>
      </c>
      <c r="CT20" t="s">
        <v>139</v>
      </c>
      <c r="CU20" t="s">
        <v>140</v>
      </c>
      <c r="CW20">
        <v>3</v>
      </c>
      <c r="CX20" t="s">
        <v>1287</v>
      </c>
      <c r="CY20" t="s">
        <v>1288</v>
      </c>
      <c r="CZ20" t="s">
        <v>1292</v>
      </c>
      <c r="DA20" t="s">
        <v>1289</v>
      </c>
      <c r="DB20">
        <v>0</v>
      </c>
      <c r="DC20">
        <v>69800</v>
      </c>
    </row>
    <row r="21" spans="1:107" x14ac:dyDescent="0.25">
      <c r="A21" t="s">
        <v>1559</v>
      </c>
      <c r="B21" t="s">
        <v>108</v>
      </c>
      <c r="C21" t="s">
        <v>1560</v>
      </c>
      <c r="D21" t="s">
        <v>1561</v>
      </c>
      <c r="F21" s="3" t="str">
        <f>HYPERLINK("https://mapwv.gov/flood/map/?wkid=102100&amp;x=-9083394.336541573&amp;y=4633194.245568105&amp;l=13&amp;v=2","FT")</f>
        <v>FT</v>
      </c>
      <c r="G21" s="3" t="str">
        <f>HYPERLINK("https://mapwv.gov/Assessment/Detail/?PID=2015044J002500010000","Assessment")</f>
        <v>Assessment</v>
      </c>
      <c r="H21">
        <v>540070</v>
      </c>
      <c r="I21" t="s">
        <v>1306</v>
      </c>
      <c r="J21" t="s">
        <v>1282</v>
      </c>
      <c r="K21" t="s">
        <v>148</v>
      </c>
      <c r="L21" t="s">
        <v>596</v>
      </c>
      <c r="M21" t="s">
        <v>172</v>
      </c>
      <c r="N21" t="s">
        <v>199</v>
      </c>
      <c r="O21" t="s">
        <v>117</v>
      </c>
      <c r="P21" t="s">
        <v>150</v>
      </c>
      <c r="Q21" t="s">
        <v>119</v>
      </c>
      <c r="R21" t="s">
        <v>151</v>
      </c>
      <c r="S21" t="s">
        <v>151</v>
      </c>
      <c r="T21" t="s">
        <v>151</v>
      </c>
      <c r="U21" t="s">
        <v>151</v>
      </c>
      <c r="V21">
        <v>609.5</v>
      </c>
      <c r="X21" t="s">
        <v>1562</v>
      </c>
      <c r="Y21" t="s">
        <v>1563</v>
      </c>
      <c r="Z21">
        <v>1969</v>
      </c>
      <c r="AA21" t="s">
        <v>241</v>
      </c>
      <c r="AB21" t="s">
        <v>155</v>
      </c>
      <c r="AC21" t="s">
        <v>129</v>
      </c>
      <c r="AD21">
        <v>2</v>
      </c>
      <c r="AE21">
        <v>101</v>
      </c>
      <c r="AF21" t="s">
        <v>127</v>
      </c>
      <c r="AG21" t="s">
        <v>128</v>
      </c>
      <c r="AH21" t="s">
        <v>129</v>
      </c>
      <c r="AI21">
        <v>1</v>
      </c>
      <c r="AJ21" t="s">
        <v>1564</v>
      </c>
      <c r="AK21" t="s">
        <v>342</v>
      </c>
      <c r="AL21">
        <v>1248</v>
      </c>
      <c r="AM21" t="s">
        <v>353</v>
      </c>
      <c r="AN21" t="s">
        <v>208</v>
      </c>
      <c r="AO21">
        <v>4</v>
      </c>
      <c r="AP21">
        <v>68900</v>
      </c>
      <c r="AQ21">
        <v>0</v>
      </c>
      <c r="AR21">
        <v>0</v>
      </c>
      <c r="AS21">
        <v>68900</v>
      </c>
      <c r="AT21" t="s">
        <v>132</v>
      </c>
      <c r="AU21">
        <v>1</v>
      </c>
      <c r="AV21">
        <v>0</v>
      </c>
      <c r="AW21">
        <v>1</v>
      </c>
      <c r="BE21">
        <v>2.4</v>
      </c>
      <c r="BF21">
        <v>0</v>
      </c>
      <c r="BG21">
        <v>0</v>
      </c>
      <c r="BH21" s="1">
        <v>44362</v>
      </c>
      <c r="BI21" t="s">
        <v>441</v>
      </c>
      <c r="BJ21">
        <v>1969</v>
      </c>
      <c r="BK21" t="s">
        <v>119</v>
      </c>
      <c r="BL21" t="s">
        <v>128</v>
      </c>
      <c r="BM21">
        <v>68900</v>
      </c>
      <c r="BN21">
        <v>1</v>
      </c>
      <c r="BO21">
        <v>4</v>
      </c>
      <c r="BP21">
        <v>4</v>
      </c>
      <c r="BQ21">
        <v>1248</v>
      </c>
      <c r="BR21">
        <v>5579</v>
      </c>
      <c r="BS21">
        <v>38.379628318000101</v>
      </c>
      <c r="BT21">
        <v>-81.597519641999895</v>
      </c>
      <c r="BU21">
        <v>0</v>
      </c>
      <c r="BV21">
        <v>-4</v>
      </c>
      <c r="BW21">
        <v>0</v>
      </c>
      <c r="BX21" t="s">
        <v>354</v>
      </c>
      <c r="BY21">
        <v>0</v>
      </c>
      <c r="BZ21">
        <v>0</v>
      </c>
      <c r="CA21">
        <v>0</v>
      </c>
      <c r="CB21">
        <v>34450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O21">
        <v>0</v>
      </c>
      <c r="CP21">
        <v>0</v>
      </c>
      <c r="CQ21" t="s">
        <v>1286</v>
      </c>
      <c r="CR21" t="s">
        <v>160</v>
      </c>
      <c r="CS21" t="s">
        <v>161</v>
      </c>
      <c r="CT21" t="s">
        <v>162</v>
      </c>
      <c r="CU21" t="s">
        <v>163</v>
      </c>
      <c r="CW21">
        <v>3</v>
      </c>
      <c r="CX21" t="s">
        <v>1312</v>
      </c>
      <c r="CY21" t="s">
        <v>1288</v>
      </c>
      <c r="CZ21" t="s">
        <v>1561</v>
      </c>
      <c r="DA21" t="s">
        <v>1289</v>
      </c>
      <c r="DB21">
        <v>0</v>
      </c>
      <c r="DC21">
        <v>68900</v>
      </c>
    </row>
    <row r="22" spans="1:107" x14ac:dyDescent="0.25">
      <c r="A22" t="s">
        <v>336</v>
      </c>
      <c r="B22" t="s">
        <v>108</v>
      </c>
      <c r="C22" t="s">
        <v>337</v>
      </c>
      <c r="D22" t="s">
        <v>338</v>
      </c>
      <c r="F22" s="3" t="str">
        <f>HYPERLINK("https://mapwv.gov/flood/map/?wkid=102100&amp;x=-8918786.877430005&amp;y=4733055.243868316&amp;l=13&amp;v=2","FT")</f>
        <v>FT</v>
      </c>
      <c r="G22" s="3" t="str">
        <f>HYPERLINK("https://mapwv.gov/Assessment/Detail/?PID=01100014000500010000","Assessment")</f>
        <v>Assessment</v>
      </c>
      <c r="H22">
        <v>540001</v>
      </c>
      <c r="I22" t="s">
        <v>325</v>
      </c>
      <c r="J22" t="s">
        <v>326</v>
      </c>
      <c r="K22" t="s">
        <v>148</v>
      </c>
      <c r="L22" t="s">
        <v>314</v>
      </c>
      <c r="M22" t="s">
        <v>115</v>
      </c>
      <c r="N22" t="s">
        <v>149</v>
      </c>
      <c r="O22" t="s">
        <v>117</v>
      </c>
      <c r="P22" t="s">
        <v>150</v>
      </c>
      <c r="Q22" t="s">
        <v>260</v>
      </c>
      <c r="R22">
        <v>8.6999999999999993</v>
      </c>
      <c r="S22" t="s">
        <v>120</v>
      </c>
      <c r="T22">
        <v>1376.2</v>
      </c>
      <c r="U22" t="s">
        <v>121</v>
      </c>
      <c r="V22">
        <v>1367.8</v>
      </c>
      <c r="X22" t="s">
        <v>339</v>
      </c>
      <c r="Y22" t="s">
        <v>340</v>
      </c>
      <c r="Z22">
        <v>2009</v>
      </c>
      <c r="AA22" t="s">
        <v>175</v>
      </c>
      <c r="AB22" t="s">
        <v>155</v>
      </c>
      <c r="AC22" t="s">
        <v>129</v>
      </c>
      <c r="AD22">
        <v>2</v>
      </c>
      <c r="AE22">
        <v>101</v>
      </c>
      <c r="AF22" t="s">
        <v>127</v>
      </c>
      <c r="AG22" t="s">
        <v>128</v>
      </c>
      <c r="AH22" t="s">
        <v>129</v>
      </c>
      <c r="AI22">
        <v>1</v>
      </c>
      <c r="AJ22" t="s">
        <v>341</v>
      </c>
      <c r="AK22" t="s">
        <v>342</v>
      </c>
      <c r="AL22">
        <v>896</v>
      </c>
      <c r="AM22" t="s">
        <v>157</v>
      </c>
      <c r="AN22" t="s">
        <v>158</v>
      </c>
      <c r="AO22">
        <v>4</v>
      </c>
      <c r="AP22">
        <v>65600</v>
      </c>
      <c r="AQ22">
        <v>0</v>
      </c>
      <c r="AR22">
        <v>0</v>
      </c>
      <c r="AS22">
        <v>65600</v>
      </c>
      <c r="AT22" t="s">
        <v>132</v>
      </c>
      <c r="AU22">
        <v>1</v>
      </c>
      <c r="AV22">
        <v>0</v>
      </c>
      <c r="AW22">
        <v>1</v>
      </c>
      <c r="BE22">
        <v>2.7</v>
      </c>
      <c r="BF22">
        <v>1</v>
      </c>
      <c r="BG22">
        <v>2.7</v>
      </c>
      <c r="BH22" s="1">
        <v>44277</v>
      </c>
      <c r="BI22" t="s">
        <v>331</v>
      </c>
      <c r="BJ22">
        <v>2009</v>
      </c>
      <c r="BK22" t="s">
        <v>260</v>
      </c>
      <c r="BL22" t="s">
        <v>128</v>
      </c>
      <c r="BM22">
        <v>65600</v>
      </c>
      <c r="BN22">
        <v>1</v>
      </c>
      <c r="BO22">
        <v>5</v>
      </c>
      <c r="BP22">
        <v>4</v>
      </c>
      <c r="BQ22">
        <v>896</v>
      </c>
      <c r="BR22">
        <v>306</v>
      </c>
      <c r="BS22">
        <v>39.079427283999998</v>
      </c>
      <c r="BT22">
        <v>-80.118825677999894</v>
      </c>
      <c r="BU22">
        <v>8.6536869999999997</v>
      </c>
      <c r="BV22">
        <v>4.6536865234375</v>
      </c>
      <c r="BW22">
        <v>1</v>
      </c>
      <c r="BX22" t="s">
        <v>134</v>
      </c>
      <c r="BY22">
        <v>129</v>
      </c>
      <c r="BZ22">
        <v>50.922119140625</v>
      </c>
      <c r="CA22">
        <v>33404.91015625</v>
      </c>
      <c r="CB22">
        <v>32800</v>
      </c>
      <c r="CC22">
        <v>45</v>
      </c>
      <c r="CD22">
        <v>55.922119140625</v>
      </c>
      <c r="CE22">
        <v>18342.455078125</v>
      </c>
      <c r="CF22">
        <v>0</v>
      </c>
      <c r="CG22">
        <v>0</v>
      </c>
      <c r="CH22">
        <v>0</v>
      </c>
      <c r="CI22">
        <v>0</v>
      </c>
      <c r="CJ22" t="s">
        <v>343</v>
      </c>
      <c r="CK22">
        <v>6.0928000000000004</v>
      </c>
      <c r="CL22">
        <v>0</v>
      </c>
      <c r="CM22">
        <v>0</v>
      </c>
      <c r="CN22">
        <v>6.0928000000000004</v>
      </c>
      <c r="CO22">
        <v>270</v>
      </c>
      <c r="CP22">
        <v>450</v>
      </c>
      <c r="CQ22" t="s">
        <v>332</v>
      </c>
      <c r="CR22" t="s">
        <v>183</v>
      </c>
      <c r="CS22" t="s">
        <v>138</v>
      </c>
      <c r="CT22" t="s">
        <v>162</v>
      </c>
      <c r="CU22" t="s">
        <v>274</v>
      </c>
      <c r="CW22">
        <v>7</v>
      </c>
      <c r="CX22" t="s">
        <v>333</v>
      </c>
      <c r="CY22" t="s">
        <v>334</v>
      </c>
      <c r="CZ22" t="s">
        <v>338</v>
      </c>
      <c r="DA22" t="s">
        <v>335</v>
      </c>
      <c r="DB22">
        <v>0</v>
      </c>
      <c r="DC22">
        <v>65600</v>
      </c>
    </row>
    <row r="23" spans="1:107" x14ac:dyDescent="0.25">
      <c r="A23" t="s">
        <v>469</v>
      </c>
      <c r="B23" t="s">
        <v>108</v>
      </c>
      <c r="C23" t="s">
        <v>470</v>
      </c>
      <c r="D23" t="s">
        <v>471</v>
      </c>
      <c r="F23" s="3" t="str">
        <f>HYPERLINK("https://mapwv.gov/flood/map/?wkid=102100&amp;x=-8932662.409128457&amp;y=4764281.71331256&amp;l=13&amp;v=2","FT")</f>
        <v>FT</v>
      </c>
      <c r="G23" s="3" t="str">
        <f>HYPERLINK("https://mapwv.gov/Assessment/Detail/?PID=17150289002400140000","Assessment")</f>
        <v>Assessment</v>
      </c>
      <c r="H23">
        <v>540053</v>
      </c>
      <c r="I23" t="s">
        <v>464</v>
      </c>
      <c r="J23" t="s">
        <v>453</v>
      </c>
      <c r="K23" t="s">
        <v>148</v>
      </c>
      <c r="L23" t="s">
        <v>472</v>
      </c>
      <c r="M23" t="s">
        <v>328</v>
      </c>
      <c r="N23" t="s">
        <v>149</v>
      </c>
      <c r="O23" t="s">
        <v>117</v>
      </c>
      <c r="P23" t="s">
        <v>150</v>
      </c>
      <c r="Q23" t="s">
        <v>119</v>
      </c>
      <c r="R23">
        <v>0.6</v>
      </c>
      <c r="S23" t="s">
        <v>120</v>
      </c>
      <c r="T23">
        <v>1002.9</v>
      </c>
      <c r="U23" t="s">
        <v>121</v>
      </c>
      <c r="V23">
        <v>1002.2</v>
      </c>
      <c r="X23" t="s">
        <v>473</v>
      </c>
      <c r="Y23" t="s">
        <v>474</v>
      </c>
      <c r="Z23">
        <v>1910</v>
      </c>
      <c r="AA23" t="s">
        <v>154</v>
      </c>
      <c r="AB23" t="s">
        <v>155</v>
      </c>
      <c r="AC23" t="s">
        <v>129</v>
      </c>
      <c r="AD23">
        <v>2</v>
      </c>
      <c r="AE23">
        <v>101</v>
      </c>
      <c r="AF23" t="s">
        <v>127</v>
      </c>
      <c r="AG23" t="s">
        <v>128</v>
      </c>
      <c r="AH23" t="s">
        <v>129</v>
      </c>
      <c r="AI23">
        <v>1</v>
      </c>
      <c r="AJ23" t="s">
        <v>156</v>
      </c>
      <c r="AK23" t="s">
        <v>130</v>
      </c>
      <c r="AL23">
        <v>1372</v>
      </c>
      <c r="AM23" t="s">
        <v>157</v>
      </c>
      <c r="AN23" t="s">
        <v>158</v>
      </c>
      <c r="AO23">
        <v>3</v>
      </c>
      <c r="AP23">
        <v>59900</v>
      </c>
      <c r="AQ23">
        <v>0</v>
      </c>
      <c r="AR23">
        <v>3660</v>
      </c>
      <c r="AS23">
        <v>63600</v>
      </c>
      <c r="AT23" t="s">
        <v>132</v>
      </c>
      <c r="AU23">
        <v>1</v>
      </c>
      <c r="AV23">
        <v>1</v>
      </c>
      <c r="AW23">
        <v>1</v>
      </c>
      <c r="BE23">
        <v>2.5</v>
      </c>
      <c r="BF23">
        <v>0</v>
      </c>
      <c r="BG23">
        <v>0</v>
      </c>
      <c r="BH23" s="1">
        <v>44291</v>
      </c>
      <c r="BI23" t="s">
        <v>331</v>
      </c>
      <c r="BJ23">
        <v>1910</v>
      </c>
      <c r="BK23" t="s">
        <v>119</v>
      </c>
      <c r="BL23" t="s">
        <v>128</v>
      </c>
      <c r="BM23">
        <v>63600</v>
      </c>
      <c r="BN23">
        <v>1</v>
      </c>
      <c r="BO23">
        <v>5</v>
      </c>
      <c r="BP23">
        <v>3</v>
      </c>
      <c r="BQ23">
        <v>1372</v>
      </c>
      <c r="BR23">
        <v>542</v>
      </c>
      <c r="BS23">
        <v>39.296845029000103</v>
      </c>
      <c r="BT23">
        <v>-80.243471700000001</v>
      </c>
      <c r="BU23">
        <v>0.63242169999999998</v>
      </c>
      <c r="BV23">
        <v>-2.36757832765579</v>
      </c>
      <c r="BW23">
        <v>1</v>
      </c>
      <c r="BX23" t="s">
        <v>134</v>
      </c>
      <c r="BY23">
        <v>129</v>
      </c>
      <c r="BZ23">
        <v>0</v>
      </c>
      <c r="CA23">
        <v>0</v>
      </c>
      <c r="CB23">
        <v>31800</v>
      </c>
      <c r="CC23">
        <v>45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O23">
        <v>0</v>
      </c>
      <c r="CP23">
        <v>0</v>
      </c>
      <c r="CQ23" t="s">
        <v>457</v>
      </c>
      <c r="CR23" t="s">
        <v>183</v>
      </c>
      <c r="CS23" t="s">
        <v>138</v>
      </c>
      <c r="CT23" t="s">
        <v>162</v>
      </c>
      <c r="CU23" t="s">
        <v>163</v>
      </c>
      <c r="CW23">
        <v>6</v>
      </c>
      <c r="CX23" t="s">
        <v>468</v>
      </c>
      <c r="CY23" t="s">
        <v>459</v>
      </c>
      <c r="CZ23" t="s">
        <v>471</v>
      </c>
      <c r="DA23" t="s">
        <v>460</v>
      </c>
      <c r="DB23">
        <v>0</v>
      </c>
      <c r="DC23">
        <v>63600</v>
      </c>
    </row>
    <row r="24" spans="1:107" x14ac:dyDescent="0.25">
      <c r="A24" t="s">
        <v>386</v>
      </c>
      <c r="B24" t="s">
        <v>108</v>
      </c>
      <c r="C24" t="s">
        <v>387</v>
      </c>
      <c r="D24" t="s">
        <v>388</v>
      </c>
      <c r="F24" s="3" t="str">
        <f>HYPERLINK("https://mapwv.gov/flood/map/?wkid=102100&amp;x=-8766807.163499372&amp;y=4727936.213463715&amp;l=13&amp;v=2","FT")</f>
        <v>FT</v>
      </c>
      <c r="G24" s="3" t="str">
        <f>HYPERLINK("https://mapwv.gov/Assessment/Detail/?PID=16010309002500000000","Assessment")</f>
        <v>Assessment</v>
      </c>
      <c r="H24">
        <v>540051</v>
      </c>
      <c r="I24" t="s">
        <v>389</v>
      </c>
      <c r="J24" t="s">
        <v>390</v>
      </c>
      <c r="K24" t="s">
        <v>148</v>
      </c>
      <c r="L24" t="s">
        <v>391</v>
      </c>
      <c r="M24" t="s">
        <v>392</v>
      </c>
      <c r="N24" t="s">
        <v>149</v>
      </c>
      <c r="O24" t="s">
        <v>117</v>
      </c>
      <c r="P24" t="s">
        <v>150</v>
      </c>
      <c r="Q24" t="s">
        <v>260</v>
      </c>
      <c r="R24">
        <v>0.2</v>
      </c>
      <c r="S24" t="s">
        <v>120</v>
      </c>
      <c r="T24">
        <v>1327.9</v>
      </c>
      <c r="U24" t="s">
        <v>121</v>
      </c>
      <c r="V24">
        <v>1327.8</v>
      </c>
      <c r="X24" t="s">
        <v>393</v>
      </c>
      <c r="Y24" t="s">
        <v>394</v>
      </c>
      <c r="Z24">
        <v>2005</v>
      </c>
      <c r="AA24" t="s">
        <v>241</v>
      </c>
      <c r="AB24" t="s">
        <v>303</v>
      </c>
      <c r="AC24" t="s">
        <v>304</v>
      </c>
      <c r="AD24">
        <v>3</v>
      </c>
      <c r="AE24">
        <v>101</v>
      </c>
      <c r="AF24" t="s">
        <v>127</v>
      </c>
      <c r="AG24" t="s">
        <v>128</v>
      </c>
      <c r="AH24" t="s">
        <v>129</v>
      </c>
      <c r="AI24">
        <v>1</v>
      </c>
      <c r="AJ24" t="s">
        <v>341</v>
      </c>
      <c r="AK24" t="s">
        <v>342</v>
      </c>
      <c r="AL24">
        <v>1350</v>
      </c>
      <c r="AM24" t="s">
        <v>157</v>
      </c>
      <c r="AN24" t="s">
        <v>158</v>
      </c>
      <c r="AO24">
        <v>4</v>
      </c>
      <c r="AP24">
        <v>59600</v>
      </c>
      <c r="AQ24">
        <v>0</v>
      </c>
      <c r="AR24">
        <v>550</v>
      </c>
      <c r="AS24">
        <v>60200</v>
      </c>
      <c r="AT24" t="s">
        <v>132</v>
      </c>
      <c r="AU24">
        <v>1</v>
      </c>
      <c r="AV24">
        <v>1</v>
      </c>
      <c r="AW24">
        <v>1</v>
      </c>
      <c r="BE24">
        <v>2</v>
      </c>
      <c r="BF24">
        <v>0</v>
      </c>
      <c r="BG24">
        <v>0</v>
      </c>
      <c r="BH24" s="1">
        <v>44272</v>
      </c>
      <c r="BI24" t="s">
        <v>331</v>
      </c>
      <c r="BJ24">
        <v>2005</v>
      </c>
      <c r="BK24" t="s">
        <v>260</v>
      </c>
      <c r="BL24" t="s">
        <v>128</v>
      </c>
      <c r="BM24">
        <v>60200</v>
      </c>
      <c r="BN24">
        <v>1</v>
      </c>
      <c r="BO24">
        <v>5</v>
      </c>
      <c r="BP24">
        <v>4</v>
      </c>
      <c r="BQ24">
        <v>1350</v>
      </c>
      <c r="BR24">
        <v>112</v>
      </c>
      <c r="BS24">
        <v>39.043721324000003</v>
      </c>
      <c r="BT24">
        <v>-78.753568678999898</v>
      </c>
      <c r="BU24">
        <v>0.12905593000000001</v>
      </c>
      <c r="BV24">
        <v>-3.8709440678357998</v>
      </c>
      <c r="BW24">
        <v>1</v>
      </c>
      <c r="BX24" t="s">
        <v>134</v>
      </c>
      <c r="BY24">
        <v>129</v>
      </c>
      <c r="BZ24">
        <v>0</v>
      </c>
      <c r="CA24">
        <v>0</v>
      </c>
      <c r="CB24">
        <v>30100</v>
      </c>
      <c r="CC24">
        <v>45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O24">
        <v>0</v>
      </c>
      <c r="CP24">
        <v>0</v>
      </c>
      <c r="CQ24" t="s">
        <v>395</v>
      </c>
      <c r="CR24" t="s">
        <v>183</v>
      </c>
      <c r="CS24" t="s">
        <v>138</v>
      </c>
      <c r="CT24" t="s">
        <v>162</v>
      </c>
      <c r="CU24" t="s">
        <v>163</v>
      </c>
      <c r="CW24">
        <v>8</v>
      </c>
      <c r="CX24" t="s">
        <v>396</v>
      </c>
      <c r="CY24" t="s">
        <v>397</v>
      </c>
      <c r="CZ24" t="s">
        <v>388</v>
      </c>
      <c r="DA24" t="s">
        <v>398</v>
      </c>
      <c r="DB24">
        <v>0</v>
      </c>
      <c r="DC24">
        <v>60200</v>
      </c>
    </row>
    <row r="25" spans="1:107" x14ac:dyDescent="0.25">
      <c r="A25" t="s">
        <v>1527</v>
      </c>
      <c r="B25" t="s">
        <v>108</v>
      </c>
      <c r="C25" t="s">
        <v>1528</v>
      </c>
      <c r="D25" t="s">
        <v>1529</v>
      </c>
      <c r="F25" s="3" t="str">
        <f>HYPERLINK("https://mapwv.gov/flood/map/?wkid=102100&amp;x=-9102023.900343778&amp;y=4631494.796487264&amp;l=13&amp;v=2","FT")</f>
        <v>FT</v>
      </c>
      <c r="G25" s="3" t="str">
        <f>HYPERLINK("https://mapwv.gov/Assessment/Detail/?PID=2016008F006500000000","Assessment")</f>
        <v>Assessment</v>
      </c>
      <c r="H25">
        <v>540070</v>
      </c>
      <c r="I25" t="s">
        <v>1306</v>
      </c>
      <c r="J25" t="s">
        <v>1282</v>
      </c>
      <c r="K25" t="s">
        <v>148</v>
      </c>
      <c r="L25" t="s">
        <v>1283</v>
      </c>
      <c r="M25" t="s">
        <v>909</v>
      </c>
      <c r="N25" t="s">
        <v>199</v>
      </c>
      <c r="O25" t="s">
        <v>117</v>
      </c>
      <c r="P25" t="s">
        <v>150</v>
      </c>
      <c r="Q25" t="s">
        <v>119</v>
      </c>
      <c r="R25">
        <v>3.4</v>
      </c>
      <c r="S25" t="s">
        <v>120</v>
      </c>
      <c r="T25" t="s">
        <v>151</v>
      </c>
      <c r="U25" t="s">
        <v>151</v>
      </c>
      <c r="V25">
        <v>585.9</v>
      </c>
      <c r="X25" t="s">
        <v>1530</v>
      </c>
      <c r="Y25" t="s">
        <v>1531</v>
      </c>
      <c r="Z25">
        <v>1950</v>
      </c>
      <c r="AA25" t="s">
        <v>241</v>
      </c>
      <c r="AB25" t="s">
        <v>149</v>
      </c>
      <c r="AC25" t="s">
        <v>1404</v>
      </c>
      <c r="AD25">
        <v>3</v>
      </c>
      <c r="AE25">
        <v>211</v>
      </c>
      <c r="AF25" t="s">
        <v>1405</v>
      </c>
      <c r="AG25" t="s">
        <v>1237</v>
      </c>
      <c r="AH25" t="s">
        <v>129</v>
      </c>
      <c r="AI25">
        <v>2</v>
      </c>
      <c r="AJ25" t="s">
        <v>291</v>
      </c>
      <c r="AL25">
        <v>3724</v>
      </c>
      <c r="AM25" t="s">
        <v>206</v>
      </c>
      <c r="AN25" t="s">
        <v>131</v>
      </c>
      <c r="AO25">
        <v>1</v>
      </c>
      <c r="AP25">
        <v>0</v>
      </c>
      <c r="AQ25">
        <v>59000</v>
      </c>
      <c r="AR25">
        <v>0</v>
      </c>
      <c r="AS25">
        <v>59000</v>
      </c>
      <c r="AT25" t="s">
        <v>132</v>
      </c>
      <c r="AU25">
        <v>1</v>
      </c>
      <c r="AV25">
        <v>0</v>
      </c>
      <c r="AW25">
        <v>4</v>
      </c>
      <c r="BE25">
        <v>2.4</v>
      </c>
      <c r="BF25">
        <v>4</v>
      </c>
      <c r="BG25">
        <v>9.6</v>
      </c>
      <c r="BH25" s="1">
        <v>44362</v>
      </c>
      <c r="BI25" t="s">
        <v>210</v>
      </c>
      <c r="BJ25">
        <v>1950</v>
      </c>
      <c r="BK25" t="s">
        <v>119</v>
      </c>
      <c r="BL25" t="s">
        <v>1237</v>
      </c>
      <c r="BM25">
        <v>59000</v>
      </c>
      <c r="BN25">
        <v>2</v>
      </c>
      <c r="BO25">
        <v>7</v>
      </c>
      <c r="BP25">
        <v>1</v>
      </c>
      <c r="BQ25">
        <v>3724</v>
      </c>
      <c r="BR25">
        <v>5006</v>
      </c>
      <c r="BS25">
        <v>38.367659771</v>
      </c>
      <c r="BT25">
        <v>-81.764871861000003</v>
      </c>
      <c r="BU25">
        <v>3.3599853999999998</v>
      </c>
      <c r="BV25">
        <v>2.3599853515625</v>
      </c>
      <c r="BW25">
        <v>1</v>
      </c>
      <c r="BX25" t="s">
        <v>1532</v>
      </c>
      <c r="BY25">
        <v>204</v>
      </c>
      <c r="BZ25">
        <v>26.079956054687401</v>
      </c>
      <c r="CA25">
        <v>15387.1740722656</v>
      </c>
      <c r="CB25">
        <v>29500</v>
      </c>
      <c r="CC25">
        <v>81</v>
      </c>
      <c r="CD25">
        <v>33.719970703125</v>
      </c>
      <c r="CE25">
        <v>9947.3913574218695</v>
      </c>
      <c r="CF25">
        <v>0</v>
      </c>
      <c r="CG25">
        <v>0</v>
      </c>
      <c r="CH25">
        <v>0</v>
      </c>
      <c r="CI25">
        <v>0</v>
      </c>
      <c r="CJ25" t="s">
        <v>1311</v>
      </c>
      <c r="CK25">
        <v>15.2683999999999</v>
      </c>
      <c r="CL25">
        <v>0</v>
      </c>
      <c r="CM25">
        <v>0</v>
      </c>
      <c r="CN25">
        <v>15.2683999999999</v>
      </c>
      <c r="CO25">
        <v>180</v>
      </c>
      <c r="CP25">
        <v>360</v>
      </c>
      <c r="CQ25" t="s">
        <v>1286</v>
      </c>
      <c r="CR25" t="s">
        <v>183</v>
      </c>
      <c r="CS25" t="s">
        <v>138</v>
      </c>
      <c r="CT25" t="s">
        <v>162</v>
      </c>
      <c r="CU25" t="s">
        <v>140</v>
      </c>
      <c r="CW25">
        <v>3</v>
      </c>
      <c r="CX25" t="s">
        <v>1312</v>
      </c>
      <c r="CY25" t="s">
        <v>1288</v>
      </c>
      <c r="CZ25" t="s">
        <v>1529</v>
      </c>
      <c r="DA25" t="s">
        <v>1289</v>
      </c>
      <c r="DB25">
        <v>0</v>
      </c>
      <c r="DC25">
        <v>59000</v>
      </c>
    </row>
    <row r="26" spans="1:107" x14ac:dyDescent="0.25">
      <c r="A26" t="s">
        <v>436</v>
      </c>
      <c r="B26" t="s">
        <v>108</v>
      </c>
      <c r="C26" t="s">
        <v>437</v>
      </c>
      <c r="D26" t="s">
        <v>438</v>
      </c>
      <c r="F26" s="3" t="str">
        <f>HYPERLINK("https://mapwv.gov/flood/map/?wkid=102100&amp;x=-8889322.763028413&amp;y=4712662.047845655&amp;l=13&amp;v=2","FT")</f>
        <v>FT</v>
      </c>
      <c r="G26" s="3" t="str">
        <f>HYPERLINK("https://mapwv.gov/Assessment/Detail/?PID=42050001007300000000","Assessment")</f>
        <v>Assessment</v>
      </c>
      <c r="H26">
        <v>540177</v>
      </c>
      <c r="I26" t="s">
        <v>430</v>
      </c>
      <c r="J26" t="s">
        <v>410</v>
      </c>
      <c r="K26" t="s">
        <v>113</v>
      </c>
      <c r="L26" t="s">
        <v>224</v>
      </c>
      <c r="M26" t="s">
        <v>115</v>
      </c>
      <c r="N26" t="s">
        <v>199</v>
      </c>
      <c r="O26" t="s">
        <v>117</v>
      </c>
      <c r="P26" t="s">
        <v>150</v>
      </c>
      <c r="Q26" t="s">
        <v>119</v>
      </c>
      <c r="R26" t="s">
        <v>151</v>
      </c>
      <c r="S26" t="s">
        <v>151</v>
      </c>
      <c r="T26" t="s">
        <v>151</v>
      </c>
      <c r="U26" t="s">
        <v>151</v>
      </c>
      <c r="V26">
        <v>1914.8</v>
      </c>
      <c r="X26" t="s">
        <v>439</v>
      </c>
      <c r="Y26" t="s">
        <v>440</v>
      </c>
      <c r="Z26">
        <v>1920</v>
      </c>
      <c r="AA26" t="s">
        <v>175</v>
      </c>
      <c r="AB26" t="s">
        <v>155</v>
      </c>
      <c r="AC26" t="s">
        <v>129</v>
      </c>
      <c r="AD26">
        <v>2</v>
      </c>
      <c r="AE26">
        <v>101</v>
      </c>
      <c r="AF26" t="s">
        <v>127</v>
      </c>
      <c r="AG26" t="s">
        <v>128</v>
      </c>
      <c r="AH26" t="s">
        <v>129</v>
      </c>
      <c r="AI26">
        <v>2</v>
      </c>
      <c r="AJ26" t="s">
        <v>341</v>
      </c>
      <c r="AK26" t="s">
        <v>130</v>
      </c>
      <c r="AL26">
        <v>1472</v>
      </c>
      <c r="AM26" t="s">
        <v>157</v>
      </c>
      <c r="AN26" t="s">
        <v>158</v>
      </c>
      <c r="AO26">
        <v>3</v>
      </c>
      <c r="AP26">
        <v>49700</v>
      </c>
      <c r="AQ26">
        <v>0</v>
      </c>
      <c r="AR26">
        <v>6640</v>
      </c>
      <c r="AS26">
        <v>56300</v>
      </c>
      <c r="AT26" t="s">
        <v>132</v>
      </c>
      <c r="AU26">
        <v>1</v>
      </c>
      <c r="AV26">
        <v>2</v>
      </c>
      <c r="AW26">
        <v>1</v>
      </c>
      <c r="BE26">
        <v>2.2000000000000002</v>
      </c>
      <c r="BF26">
        <v>0</v>
      </c>
      <c r="BG26">
        <v>0</v>
      </c>
      <c r="BH26" s="1">
        <v>44291</v>
      </c>
      <c r="BI26" t="s">
        <v>441</v>
      </c>
      <c r="BJ26">
        <v>1920</v>
      </c>
      <c r="BK26" t="s">
        <v>119</v>
      </c>
      <c r="BL26" t="s">
        <v>128</v>
      </c>
      <c r="BM26">
        <v>56300</v>
      </c>
      <c r="BN26">
        <v>2</v>
      </c>
      <c r="BO26">
        <v>5</v>
      </c>
      <c r="BP26">
        <v>3</v>
      </c>
      <c r="BQ26">
        <v>1472</v>
      </c>
      <c r="BR26">
        <v>339</v>
      </c>
      <c r="BS26">
        <v>38.937074565000003</v>
      </c>
      <c r="BT26">
        <v>-79.854145035000002</v>
      </c>
      <c r="BU26">
        <v>0</v>
      </c>
      <c r="BV26">
        <v>-3</v>
      </c>
      <c r="BW26">
        <v>0</v>
      </c>
      <c r="BX26" t="s">
        <v>306</v>
      </c>
      <c r="BY26">
        <v>0</v>
      </c>
      <c r="BZ26">
        <v>0</v>
      </c>
      <c r="CA26">
        <v>0</v>
      </c>
      <c r="CB26">
        <v>28150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O26">
        <v>0</v>
      </c>
      <c r="CP26">
        <v>0</v>
      </c>
      <c r="CQ26" t="s">
        <v>413</v>
      </c>
      <c r="CR26" t="s">
        <v>160</v>
      </c>
      <c r="CS26" t="s">
        <v>161</v>
      </c>
      <c r="CT26" t="s">
        <v>162</v>
      </c>
      <c r="CU26" t="s">
        <v>163</v>
      </c>
      <c r="CW26">
        <v>7</v>
      </c>
      <c r="CX26" t="s">
        <v>435</v>
      </c>
      <c r="CY26" t="s">
        <v>415</v>
      </c>
      <c r="CZ26" t="s">
        <v>438</v>
      </c>
      <c r="DA26" t="s">
        <v>416</v>
      </c>
      <c r="DB26">
        <v>0</v>
      </c>
      <c r="DC26">
        <v>56300</v>
      </c>
    </row>
    <row r="27" spans="1:107" x14ac:dyDescent="0.25">
      <c r="A27" t="s">
        <v>1577</v>
      </c>
      <c r="B27" t="s">
        <v>108</v>
      </c>
      <c r="C27" t="s">
        <v>1578</v>
      </c>
      <c r="D27" t="s">
        <v>1579</v>
      </c>
      <c r="F27" s="3" t="str">
        <f>HYPERLINK("https://mapwv.gov/flood/map/?wkid=102100&amp;x=-9071252.972264677&amp;y=4638218.411432123&amp;l=13&amp;v=2","FT")</f>
        <v>FT</v>
      </c>
      <c r="G27" s="3" t="str">
        <f>HYPERLINK("https://mapwv.gov/Assessment/Detail/?PID=20150029010500030000","Assessment")</f>
        <v>Assessment</v>
      </c>
      <c r="H27">
        <v>540070</v>
      </c>
      <c r="I27" t="s">
        <v>1306</v>
      </c>
      <c r="J27" t="s">
        <v>1282</v>
      </c>
      <c r="K27" t="s">
        <v>148</v>
      </c>
      <c r="L27" t="s">
        <v>1580</v>
      </c>
      <c r="M27" t="s">
        <v>172</v>
      </c>
      <c r="N27" t="s">
        <v>116</v>
      </c>
      <c r="O27" t="s">
        <v>117</v>
      </c>
      <c r="P27" t="s">
        <v>118</v>
      </c>
      <c r="Q27" t="s">
        <v>119</v>
      </c>
      <c r="R27" t="s">
        <v>151</v>
      </c>
      <c r="S27" t="s">
        <v>151</v>
      </c>
      <c r="T27" t="s">
        <v>151</v>
      </c>
      <c r="U27" t="s">
        <v>151</v>
      </c>
      <c r="V27">
        <v>612.9</v>
      </c>
      <c r="X27" t="s">
        <v>1581</v>
      </c>
      <c r="Y27" t="s">
        <v>1582</v>
      </c>
      <c r="Z27">
        <v>1904</v>
      </c>
      <c r="AA27" t="s">
        <v>241</v>
      </c>
      <c r="AB27" t="s">
        <v>155</v>
      </c>
      <c r="AC27" t="s">
        <v>129</v>
      </c>
      <c r="AD27">
        <v>3</v>
      </c>
      <c r="AE27">
        <v>101</v>
      </c>
      <c r="AF27" t="s">
        <v>127</v>
      </c>
      <c r="AG27" t="s">
        <v>128</v>
      </c>
      <c r="AH27" t="s">
        <v>129</v>
      </c>
      <c r="AI27">
        <v>2</v>
      </c>
      <c r="AJ27" t="s">
        <v>156</v>
      </c>
      <c r="AK27" t="s">
        <v>130</v>
      </c>
      <c r="AL27">
        <v>2264</v>
      </c>
      <c r="AM27" t="s">
        <v>157</v>
      </c>
      <c r="AN27" t="s">
        <v>158</v>
      </c>
      <c r="AO27">
        <v>3</v>
      </c>
      <c r="AP27">
        <v>55300</v>
      </c>
      <c r="AQ27">
        <v>0</v>
      </c>
      <c r="AR27">
        <v>300</v>
      </c>
      <c r="AS27">
        <v>55600</v>
      </c>
      <c r="AT27" t="s">
        <v>132</v>
      </c>
      <c r="AU27">
        <v>1</v>
      </c>
      <c r="AV27">
        <v>1</v>
      </c>
      <c r="AW27">
        <v>1</v>
      </c>
      <c r="BE27">
        <v>2.4</v>
      </c>
      <c r="BF27">
        <v>0</v>
      </c>
      <c r="BG27">
        <v>0</v>
      </c>
      <c r="BH27" s="1">
        <v>44362</v>
      </c>
      <c r="BI27" t="s">
        <v>1121</v>
      </c>
      <c r="BJ27">
        <v>1904</v>
      </c>
      <c r="BK27" t="s">
        <v>119</v>
      </c>
      <c r="BL27" t="s">
        <v>128</v>
      </c>
      <c r="BM27">
        <v>55600</v>
      </c>
      <c r="BN27">
        <v>2</v>
      </c>
      <c r="BO27">
        <v>5</v>
      </c>
      <c r="BP27">
        <v>3</v>
      </c>
      <c r="BQ27">
        <v>2264</v>
      </c>
      <c r="BR27">
        <v>6277</v>
      </c>
      <c r="BS27">
        <v>38.414999950000002</v>
      </c>
      <c r="BT27">
        <v>-81.488451910999899</v>
      </c>
      <c r="BU27">
        <v>0</v>
      </c>
      <c r="BV27">
        <v>-3</v>
      </c>
      <c r="BW27">
        <v>0</v>
      </c>
      <c r="BX27" t="s">
        <v>306</v>
      </c>
      <c r="BY27">
        <v>0</v>
      </c>
      <c r="BZ27">
        <v>0</v>
      </c>
      <c r="CA27">
        <v>0</v>
      </c>
      <c r="CB27">
        <v>27800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O27">
        <v>0</v>
      </c>
      <c r="CP27">
        <v>0</v>
      </c>
      <c r="CQ27" t="s">
        <v>1286</v>
      </c>
      <c r="CR27" t="s">
        <v>137</v>
      </c>
      <c r="CS27" t="s">
        <v>161</v>
      </c>
      <c r="CT27" t="s">
        <v>162</v>
      </c>
      <c r="CU27" t="s">
        <v>163</v>
      </c>
      <c r="CW27">
        <v>3</v>
      </c>
      <c r="CX27" t="s">
        <v>1312</v>
      </c>
      <c r="CY27" t="s">
        <v>1288</v>
      </c>
      <c r="CZ27" t="s">
        <v>1579</v>
      </c>
      <c r="DA27" t="s">
        <v>1289</v>
      </c>
      <c r="DB27">
        <v>0</v>
      </c>
      <c r="DC27">
        <v>55600</v>
      </c>
    </row>
    <row r="28" spans="1:107" x14ac:dyDescent="0.25">
      <c r="A28" t="s">
        <v>1589</v>
      </c>
      <c r="B28" t="s">
        <v>108</v>
      </c>
      <c r="C28" t="s">
        <v>1590</v>
      </c>
      <c r="D28" t="s">
        <v>1591</v>
      </c>
      <c r="F28" s="3" t="str">
        <f>HYPERLINK("https://mapwv.gov/flood/map/?wkid=102100&amp;x=-9069541.826493058&amp;y=4642305.980912407&amp;l=13&amp;v=2","FT")</f>
        <v>FT</v>
      </c>
      <c r="G28" s="3" t="str">
        <f>HYPERLINK("https://mapwv.gov/Assessment/Detail/?PID=2015023B005900000000","Assessment")</f>
        <v>Assessment</v>
      </c>
      <c r="H28">
        <v>540070</v>
      </c>
      <c r="I28" t="s">
        <v>1306</v>
      </c>
      <c r="J28" t="s">
        <v>1282</v>
      </c>
      <c r="K28" t="s">
        <v>148</v>
      </c>
      <c r="L28" t="s">
        <v>596</v>
      </c>
      <c r="M28" t="s">
        <v>172</v>
      </c>
      <c r="N28" t="s">
        <v>199</v>
      </c>
      <c r="O28" t="s">
        <v>117</v>
      </c>
      <c r="P28" t="s">
        <v>150</v>
      </c>
      <c r="Q28" t="s">
        <v>119</v>
      </c>
      <c r="R28">
        <v>0.1</v>
      </c>
      <c r="S28" t="s">
        <v>120</v>
      </c>
      <c r="T28" t="s">
        <v>151</v>
      </c>
      <c r="U28" t="s">
        <v>151</v>
      </c>
      <c r="V28">
        <v>615.20000000000005</v>
      </c>
      <c r="X28" t="s">
        <v>1592</v>
      </c>
      <c r="Y28" t="s">
        <v>1593</v>
      </c>
      <c r="Z28">
        <v>1935</v>
      </c>
      <c r="AA28" t="s">
        <v>241</v>
      </c>
      <c r="AB28" t="s">
        <v>155</v>
      </c>
      <c r="AC28" t="s">
        <v>129</v>
      </c>
      <c r="AD28">
        <v>3</v>
      </c>
      <c r="AE28">
        <v>101</v>
      </c>
      <c r="AF28" t="s">
        <v>127</v>
      </c>
      <c r="AG28" t="s">
        <v>128</v>
      </c>
      <c r="AH28" t="s">
        <v>129</v>
      </c>
      <c r="AI28">
        <v>2</v>
      </c>
      <c r="AJ28" t="s">
        <v>156</v>
      </c>
      <c r="AK28" t="s">
        <v>130</v>
      </c>
      <c r="AL28">
        <v>2064</v>
      </c>
      <c r="AM28" t="s">
        <v>157</v>
      </c>
      <c r="AN28" t="s">
        <v>158</v>
      </c>
      <c r="AO28">
        <v>3</v>
      </c>
      <c r="AP28">
        <v>54100</v>
      </c>
      <c r="AQ28">
        <v>0</v>
      </c>
      <c r="AR28">
        <v>0</v>
      </c>
      <c r="AS28">
        <v>54100</v>
      </c>
      <c r="AT28" t="s">
        <v>132</v>
      </c>
      <c r="AU28">
        <v>1</v>
      </c>
      <c r="AV28">
        <v>0</v>
      </c>
      <c r="AW28">
        <v>1</v>
      </c>
      <c r="BE28">
        <v>2.4</v>
      </c>
      <c r="BF28">
        <v>0</v>
      </c>
      <c r="BG28">
        <v>0</v>
      </c>
      <c r="BH28" s="1">
        <v>44362</v>
      </c>
      <c r="BI28" t="s">
        <v>1437</v>
      </c>
      <c r="BJ28">
        <v>1935</v>
      </c>
      <c r="BK28" t="s">
        <v>119</v>
      </c>
      <c r="BL28" t="s">
        <v>128</v>
      </c>
      <c r="BM28">
        <v>54100</v>
      </c>
      <c r="BN28">
        <v>2</v>
      </c>
      <c r="BO28">
        <v>5</v>
      </c>
      <c r="BP28">
        <v>3</v>
      </c>
      <c r="BQ28">
        <v>2064</v>
      </c>
      <c r="BR28">
        <v>7186</v>
      </c>
      <c r="BS28">
        <v>38.443764893999898</v>
      </c>
      <c r="BT28">
        <v>-81.4730804269999</v>
      </c>
      <c r="BU28">
        <v>0.1</v>
      </c>
      <c r="BV28">
        <v>-2.8999999985098799</v>
      </c>
      <c r="BW28">
        <v>1</v>
      </c>
      <c r="BX28" t="s">
        <v>306</v>
      </c>
      <c r="BY28">
        <v>107</v>
      </c>
      <c r="BZ28">
        <v>0</v>
      </c>
      <c r="CA28">
        <v>0</v>
      </c>
      <c r="CB28">
        <v>27050</v>
      </c>
      <c r="CC28">
        <v>23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O28">
        <v>0</v>
      </c>
      <c r="CP28">
        <v>0</v>
      </c>
      <c r="CQ28" t="s">
        <v>1286</v>
      </c>
      <c r="CR28" t="s">
        <v>183</v>
      </c>
      <c r="CS28" t="s">
        <v>138</v>
      </c>
      <c r="CT28" t="s">
        <v>162</v>
      </c>
      <c r="CU28" t="s">
        <v>163</v>
      </c>
      <c r="CW28">
        <v>3</v>
      </c>
      <c r="CX28" t="s">
        <v>1312</v>
      </c>
      <c r="CY28" t="s">
        <v>1288</v>
      </c>
      <c r="CZ28" t="s">
        <v>1591</v>
      </c>
      <c r="DA28" t="s">
        <v>1289</v>
      </c>
      <c r="DB28">
        <v>0</v>
      </c>
      <c r="DC28">
        <v>54100</v>
      </c>
    </row>
    <row r="29" spans="1:107" x14ac:dyDescent="0.25">
      <c r="A29" t="s">
        <v>144</v>
      </c>
      <c r="B29" t="s">
        <v>108</v>
      </c>
      <c r="C29" t="s">
        <v>145</v>
      </c>
      <c r="D29" t="s">
        <v>146</v>
      </c>
      <c r="F29" s="3" t="str">
        <f>HYPERLINK("https://mapwv.gov/flood/map/?wkid=102100&amp;x=-8907727.79007435&amp;y=4762252.113958002&amp;l=13&amp;v=2","FT")</f>
        <v>FT</v>
      </c>
      <c r="G29" s="3" t="str">
        <f>HYPERLINK("https://mapwv.gov/Assessment/Detail/?PID=4605011A001300000000","Assessment")</f>
        <v>Assessment</v>
      </c>
      <c r="H29">
        <v>540188</v>
      </c>
      <c r="I29" t="s">
        <v>147</v>
      </c>
      <c r="J29" t="s">
        <v>112</v>
      </c>
      <c r="K29" t="s">
        <v>148</v>
      </c>
      <c r="L29" t="s">
        <v>114</v>
      </c>
      <c r="M29" t="s">
        <v>115</v>
      </c>
      <c r="N29" t="s">
        <v>149</v>
      </c>
      <c r="O29" t="s">
        <v>117</v>
      </c>
      <c r="P29" t="s">
        <v>150</v>
      </c>
      <c r="Q29" t="s">
        <v>119</v>
      </c>
      <c r="R29" t="s">
        <v>151</v>
      </c>
      <c r="S29" t="s">
        <v>151</v>
      </c>
      <c r="T29" t="s">
        <v>151</v>
      </c>
      <c r="U29" t="s">
        <v>151</v>
      </c>
      <c r="V29">
        <v>1183.4000000000001</v>
      </c>
      <c r="X29" t="s">
        <v>152</v>
      </c>
      <c r="Y29" t="s">
        <v>153</v>
      </c>
      <c r="Z29">
        <v>1960</v>
      </c>
      <c r="AA29" t="s">
        <v>154</v>
      </c>
      <c r="AB29" t="s">
        <v>155</v>
      </c>
      <c r="AC29" t="s">
        <v>129</v>
      </c>
      <c r="AD29">
        <v>2</v>
      </c>
      <c r="AE29">
        <v>101</v>
      </c>
      <c r="AF29" t="s">
        <v>127</v>
      </c>
      <c r="AG29" t="s">
        <v>128</v>
      </c>
      <c r="AH29" t="s">
        <v>129</v>
      </c>
      <c r="AI29">
        <v>1</v>
      </c>
      <c r="AJ29" t="s">
        <v>156</v>
      </c>
      <c r="AK29" t="s">
        <v>130</v>
      </c>
      <c r="AL29">
        <v>1252</v>
      </c>
      <c r="AM29" t="s">
        <v>157</v>
      </c>
      <c r="AN29" t="s">
        <v>158</v>
      </c>
      <c r="AO29">
        <v>3</v>
      </c>
      <c r="AP29">
        <v>50500</v>
      </c>
      <c r="AQ29">
        <v>0</v>
      </c>
      <c r="AR29">
        <v>0</v>
      </c>
      <c r="AS29">
        <v>50500</v>
      </c>
      <c r="AT29" t="s">
        <v>132</v>
      </c>
      <c r="AU29">
        <v>1</v>
      </c>
      <c r="AV29">
        <v>0</v>
      </c>
      <c r="AW29">
        <v>1</v>
      </c>
      <c r="BE29">
        <v>2.6</v>
      </c>
      <c r="BF29">
        <v>0</v>
      </c>
      <c r="BG29">
        <v>0</v>
      </c>
      <c r="BH29" s="1">
        <v>44286</v>
      </c>
      <c r="BI29" t="s">
        <v>159</v>
      </c>
      <c r="BJ29">
        <v>1960</v>
      </c>
      <c r="BK29" t="s">
        <v>119</v>
      </c>
      <c r="BL29" t="s">
        <v>128</v>
      </c>
      <c r="BM29">
        <v>50500</v>
      </c>
      <c r="BN29">
        <v>1</v>
      </c>
      <c r="BO29">
        <v>5</v>
      </c>
      <c r="BP29">
        <v>3</v>
      </c>
      <c r="BQ29">
        <v>1252</v>
      </c>
      <c r="BR29">
        <v>198</v>
      </c>
      <c r="BS29">
        <v>39.2827341610001</v>
      </c>
      <c r="BT29">
        <v>-80.019480205999898</v>
      </c>
      <c r="BU29">
        <v>0</v>
      </c>
      <c r="BV29">
        <v>-3</v>
      </c>
      <c r="BW29">
        <v>0</v>
      </c>
      <c r="BX29" t="s">
        <v>134</v>
      </c>
      <c r="BY29">
        <v>0</v>
      </c>
      <c r="BZ29">
        <v>0</v>
      </c>
      <c r="CA29">
        <v>0</v>
      </c>
      <c r="CB29">
        <v>25250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O29">
        <v>0</v>
      </c>
      <c r="CP29">
        <v>0</v>
      </c>
      <c r="CQ29" t="s">
        <v>136</v>
      </c>
      <c r="CR29" t="s">
        <v>160</v>
      </c>
      <c r="CS29" t="s">
        <v>161</v>
      </c>
      <c r="CT29" t="s">
        <v>162</v>
      </c>
      <c r="CU29" t="s">
        <v>163</v>
      </c>
      <c r="CW29">
        <v>6</v>
      </c>
      <c r="CX29" t="s">
        <v>164</v>
      </c>
      <c r="CY29" t="s">
        <v>142</v>
      </c>
      <c r="CZ29" t="s">
        <v>146</v>
      </c>
      <c r="DA29" t="s">
        <v>143</v>
      </c>
      <c r="DB29">
        <v>0</v>
      </c>
      <c r="DC29">
        <v>50500</v>
      </c>
    </row>
    <row r="30" spans="1:107" x14ac:dyDescent="0.25">
      <c r="A30" t="s">
        <v>563</v>
      </c>
      <c r="B30" t="s">
        <v>108</v>
      </c>
      <c r="C30" t="s">
        <v>564</v>
      </c>
      <c r="D30" t="s">
        <v>565</v>
      </c>
      <c r="F30" s="3" t="str">
        <f>HYPERLINK("https://mapwv.gov/flood/map/?wkid=102100&amp;x=-9149272.888589146&amp;y=4641713.5966618275&amp;l=13&amp;v=2","FT")</f>
        <v>FT</v>
      </c>
      <c r="G30" s="3" t="str">
        <f>HYPERLINK("https://mapwv.gov/Assessment/Detail/?PID=06030013001400000000","Assessment")</f>
        <v>Assessment</v>
      </c>
      <c r="H30">
        <v>540016</v>
      </c>
      <c r="I30" t="s">
        <v>529</v>
      </c>
      <c r="J30" t="s">
        <v>530</v>
      </c>
      <c r="K30" t="s">
        <v>148</v>
      </c>
      <c r="L30" t="s">
        <v>557</v>
      </c>
      <c r="M30" t="s">
        <v>550</v>
      </c>
      <c r="N30" t="s">
        <v>199</v>
      </c>
      <c r="O30" t="s">
        <v>117</v>
      </c>
      <c r="P30" t="s">
        <v>150</v>
      </c>
      <c r="Q30" t="s">
        <v>119</v>
      </c>
      <c r="R30">
        <v>1</v>
      </c>
      <c r="S30" t="s">
        <v>120</v>
      </c>
      <c r="T30" t="s">
        <v>151</v>
      </c>
      <c r="U30" t="s">
        <v>151</v>
      </c>
      <c r="V30">
        <v>579.29999999999995</v>
      </c>
      <c r="X30" t="s">
        <v>566</v>
      </c>
      <c r="Y30" t="s">
        <v>567</v>
      </c>
      <c r="Z30">
        <v>1949</v>
      </c>
      <c r="AA30" t="s">
        <v>175</v>
      </c>
      <c r="AB30" t="s">
        <v>303</v>
      </c>
      <c r="AC30" t="s">
        <v>304</v>
      </c>
      <c r="AD30">
        <v>3</v>
      </c>
      <c r="AE30">
        <v>113</v>
      </c>
      <c r="AF30" t="s">
        <v>319</v>
      </c>
      <c r="AG30" t="s">
        <v>128</v>
      </c>
      <c r="AH30" t="s">
        <v>129</v>
      </c>
      <c r="AI30">
        <v>1</v>
      </c>
      <c r="AJ30" t="s">
        <v>560</v>
      </c>
      <c r="AK30" t="s">
        <v>545</v>
      </c>
      <c r="AL30">
        <v>1364</v>
      </c>
      <c r="AM30" t="s">
        <v>157</v>
      </c>
      <c r="AN30" t="s">
        <v>158</v>
      </c>
      <c r="AO30">
        <v>3</v>
      </c>
      <c r="AP30">
        <v>47700</v>
      </c>
      <c r="AQ30">
        <v>0</v>
      </c>
      <c r="AR30">
        <v>2260</v>
      </c>
      <c r="AS30">
        <v>50000</v>
      </c>
      <c r="AT30" t="s">
        <v>132</v>
      </c>
      <c r="AU30">
        <v>1</v>
      </c>
      <c r="AV30">
        <v>2</v>
      </c>
      <c r="AW30">
        <v>1</v>
      </c>
      <c r="BE30">
        <v>2.4</v>
      </c>
      <c r="BF30">
        <v>1</v>
      </c>
      <c r="BG30">
        <v>2.4</v>
      </c>
      <c r="BH30" s="1">
        <v>44319</v>
      </c>
      <c r="BI30" t="s">
        <v>210</v>
      </c>
      <c r="BJ30">
        <v>1949</v>
      </c>
      <c r="BK30" t="s">
        <v>119</v>
      </c>
      <c r="BL30" t="s">
        <v>128</v>
      </c>
      <c r="BM30">
        <v>50000</v>
      </c>
      <c r="BN30">
        <v>1</v>
      </c>
      <c r="BO30">
        <v>5</v>
      </c>
      <c r="BP30">
        <v>3</v>
      </c>
      <c r="BQ30">
        <v>1364</v>
      </c>
      <c r="BR30">
        <v>1402</v>
      </c>
      <c r="BS30">
        <v>38.439596891999997</v>
      </c>
      <c r="BT30">
        <v>-82.189316743999797</v>
      </c>
      <c r="BU30">
        <v>1.2040405000000001</v>
      </c>
      <c r="BV30">
        <v>-1.79595947265625</v>
      </c>
      <c r="BW30">
        <v>1</v>
      </c>
      <c r="BX30" t="s">
        <v>134</v>
      </c>
      <c r="BY30">
        <v>129</v>
      </c>
      <c r="BZ30">
        <v>0.61212158203125</v>
      </c>
      <c r="CA30">
        <v>306.060791015625</v>
      </c>
      <c r="CB30">
        <v>25000</v>
      </c>
      <c r="CC30">
        <v>45</v>
      </c>
      <c r="CD30">
        <v>0.816162109375</v>
      </c>
      <c r="CE30">
        <v>204.04052734375</v>
      </c>
      <c r="CF30">
        <v>0</v>
      </c>
      <c r="CG30">
        <v>0</v>
      </c>
      <c r="CH30">
        <v>0</v>
      </c>
      <c r="CI30">
        <v>0</v>
      </c>
      <c r="CO30">
        <v>0</v>
      </c>
      <c r="CP30">
        <v>0</v>
      </c>
      <c r="CQ30" t="s">
        <v>535</v>
      </c>
      <c r="CR30" t="s">
        <v>183</v>
      </c>
      <c r="CS30" t="s">
        <v>138</v>
      </c>
      <c r="CT30" t="s">
        <v>162</v>
      </c>
      <c r="CU30" t="s">
        <v>163</v>
      </c>
      <c r="CW30">
        <v>2</v>
      </c>
      <c r="CX30" t="s">
        <v>536</v>
      </c>
      <c r="CY30" t="s">
        <v>537</v>
      </c>
      <c r="CZ30" t="s">
        <v>565</v>
      </c>
      <c r="DA30" t="s">
        <v>538</v>
      </c>
      <c r="DB30">
        <v>0</v>
      </c>
      <c r="DC30">
        <v>50000</v>
      </c>
    </row>
    <row r="31" spans="1:107" x14ac:dyDescent="0.25">
      <c r="A31" t="s">
        <v>526</v>
      </c>
      <c r="B31" t="s">
        <v>108</v>
      </c>
      <c r="C31" t="s">
        <v>527</v>
      </c>
      <c r="D31" t="s">
        <v>528</v>
      </c>
      <c r="F31" s="3" t="str">
        <f>HYPERLINK("https://mapwv.gov/flood/map/?wkid=102100&amp;x=-9161593.57787904&amp;y=4617320.231960483&amp;l=13&amp;v=2","FT")</f>
        <v>FT</v>
      </c>
      <c r="G31" s="3" t="str">
        <f>HYPERLINK("https://mapwv.gov/Assessment/Detail/?PID=06080024003900000000","Assessment")</f>
        <v>Assessment</v>
      </c>
      <c r="H31">
        <v>540016</v>
      </c>
      <c r="I31" t="s">
        <v>529</v>
      </c>
      <c r="J31" t="s">
        <v>530</v>
      </c>
      <c r="K31" t="s">
        <v>148</v>
      </c>
      <c r="L31" t="s">
        <v>531</v>
      </c>
      <c r="M31" t="s">
        <v>532</v>
      </c>
      <c r="N31" t="s">
        <v>149</v>
      </c>
      <c r="O31" t="s">
        <v>117</v>
      </c>
      <c r="P31" t="s">
        <v>150</v>
      </c>
      <c r="Q31" t="s">
        <v>119</v>
      </c>
      <c r="R31" t="s">
        <v>151</v>
      </c>
      <c r="S31" t="s">
        <v>151</v>
      </c>
      <c r="T31" t="s">
        <v>151</v>
      </c>
      <c r="U31" t="s">
        <v>151</v>
      </c>
      <c r="V31">
        <v>646.70000000000005</v>
      </c>
      <c r="X31" t="s">
        <v>533</v>
      </c>
      <c r="Y31" t="s">
        <v>534</v>
      </c>
      <c r="Z31">
        <v>1979</v>
      </c>
      <c r="AA31" t="s">
        <v>175</v>
      </c>
      <c r="AB31" t="s">
        <v>303</v>
      </c>
      <c r="AC31" t="s">
        <v>304</v>
      </c>
      <c r="AD31">
        <v>2</v>
      </c>
      <c r="AE31">
        <v>101</v>
      </c>
      <c r="AF31" t="s">
        <v>127</v>
      </c>
      <c r="AG31" t="s">
        <v>128</v>
      </c>
      <c r="AH31" t="s">
        <v>129</v>
      </c>
      <c r="AI31">
        <v>1</v>
      </c>
      <c r="AJ31" t="s">
        <v>341</v>
      </c>
      <c r="AK31" t="s">
        <v>342</v>
      </c>
      <c r="AL31">
        <v>1672</v>
      </c>
      <c r="AM31" t="s">
        <v>157</v>
      </c>
      <c r="AN31" t="s">
        <v>158</v>
      </c>
      <c r="AO31">
        <v>3</v>
      </c>
      <c r="AP31">
        <v>46400</v>
      </c>
      <c r="AQ31">
        <v>0</v>
      </c>
      <c r="AR31">
        <v>2910</v>
      </c>
      <c r="AS31">
        <v>49300</v>
      </c>
      <c r="AT31" t="s">
        <v>132</v>
      </c>
      <c r="AU31">
        <v>1</v>
      </c>
      <c r="AV31">
        <v>1</v>
      </c>
      <c r="AW31">
        <v>1</v>
      </c>
      <c r="BE31">
        <v>2.4</v>
      </c>
      <c r="BF31">
        <v>0</v>
      </c>
      <c r="BG31">
        <v>0</v>
      </c>
      <c r="BH31" s="1">
        <v>44319</v>
      </c>
      <c r="BI31" t="s">
        <v>159</v>
      </c>
      <c r="BJ31">
        <v>1979</v>
      </c>
      <c r="BK31" t="s">
        <v>119</v>
      </c>
      <c r="BL31" t="s">
        <v>128</v>
      </c>
      <c r="BM31">
        <v>49300</v>
      </c>
      <c r="BN31">
        <v>1</v>
      </c>
      <c r="BO31">
        <v>5</v>
      </c>
      <c r="BP31">
        <v>3</v>
      </c>
      <c r="BQ31">
        <v>1672</v>
      </c>
      <c r="BR31">
        <v>30</v>
      </c>
      <c r="BS31">
        <v>38.267756831</v>
      </c>
      <c r="BT31">
        <v>-82.299995378999796</v>
      </c>
      <c r="BU31">
        <v>0</v>
      </c>
      <c r="BV31">
        <v>-3</v>
      </c>
      <c r="BW31">
        <v>0</v>
      </c>
      <c r="BX31" t="s">
        <v>134</v>
      </c>
      <c r="BY31">
        <v>0</v>
      </c>
      <c r="BZ31">
        <v>0</v>
      </c>
      <c r="CA31">
        <v>0</v>
      </c>
      <c r="CB31">
        <v>24650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O31">
        <v>0</v>
      </c>
      <c r="CP31">
        <v>0</v>
      </c>
      <c r="CQ31" t="s">
        <v>535</v>
      </c>
      <c r="CR31" t="s">
        <v>160</v>
      </c>
      <c r="CS31" t="s">
        <v>161</v>
      </c>
      <c r="CT31" t="s">
        <v>139</v>
      </c>
      <c r="CU31" t="s">
        <v>163</v>
      </c>
      <c r="CW31">
        <v>2</v>
      </c>
      <c r="CX31" t="s">
        <v>536</v>
      </c>
      <c r="CY31" t="s">
        <v>537</v>
      </c>
      <c r="CZ31" t="s">
        <v>528</v>
      </c>
      <c r="DA31" t="s">
        <v>538</v>
      </c>
      <c r="DB31">
        <v>0</v>
      </c>
      <c r="DC31">
        <v>49300</v>
      </c>
    </row>
    <row r="32" spans="1:107" x14ac:dyDescent="0.25">
      <c r="A32" t="s">
        <v>295</v>
      </c>
      <c r="B32" t="s">
        <v>108</v>
      </c>
      <c r="C32" t="s">
        <v>296</v>
      </c>
      <c r="D32" t="s">
        <v>297</v>
      </c>
      <c r="F32" s="3" t="str">
        <f>HYPERLINK("https://mapwv.gov/flood/map/?wkid=102100&amp;x=-8938748.803957371&amp;y=4705655.74624774&amp;l=13&amp;v=2","FT")</f>
        <v>FT</v>
      </c>
      <c r="G32" s="3" t="str">
        <f>HYPERLINK("https://mapwv.gov/Assessment/Detail/?PID=4904004L005000000000","Assessment")</f>
        <v>Assessment</v>
      </c>
      <c r="H32">
        <v>540198</v>
      </c>
      <c r="I32" t="s">
        <v>298</v>
      </c>
      <c r="J32" t="s">
        <v>299</v>
      </c>
      <c r="K32" t="s">
        <v>148</v>
      </c>
      <c r="L32" t="s">
        <v>300</v>
      </c>
      <c r="M32" t="s">
        <v>115</v>
      </c>
      <c r="N32" t="s">
        <v>149</v>
      </c>
      <c r="O32" t="s">
        <v>117</v>
      </c>
      <c r="P32" t="s">
        <v>150</v>
      </c>
      <c r="Q32" t="s">
        <v>119</v>
      </c>
      <c r="R32" t="s">
        <v>151</v>
      </c>
      <c r="S32" t="s">
        <v>151</v>
      </c>
      <c r="T32" t="s">
        <v>151</v>
      </c>
      <c r="U32" t="s">
        <v>151</v>
      </c>
      <c r="V32">
        <v>1451.1</v>
      </c>
      <c r="X32" t="s">
        <v>301</v>
      </c>
      <c r="Y32" t="s">
        <v>302</v>
      </c>
      <c r="Z32">
        <v>1892</v>
      </c>
      <c r="AA32" t="s">
        <v>241</v>
      </c>
      <c r="AB32" t="s">
        <v>303</v>
      </c>
      <c r="AC32" t="s">
        <v>304</v>
      </c>
      <c r="AD32">
        <v>2</v>
      </c>
      <c r="AE32">
        <v>112</v>
      </c>
      <c r="AF32" t="s">
        <v>305</v>
      </c>
      <c r="AG32" t="s">
        <v>128</v>
      </c>
      <c r="AH32" t="s">
        <v>129</v>
      </c>
      <c r="AI32">
        <v>2</v>
      </c>
      <c r="AJ32" t="s">
        <v>156</v>
      </c>
      <c r="AK32" t="s">
        <v>130</v>
      </c>
      <c r="AL32">
        <v>1606</v>
      </c>
      <c r="AM32" t="s">
        <v>157</v>
      </c>
      <c r="AN32" t="s">
        <v>158</v>
      </c>
      <c r="AO32">
        <v>3</v>
      </c>
      <c r="AP32">
        <v>49000</v>
      </c>
      <c r="AQ32">
        <v>0</v>
      </c>
      <c r="AR32">
        <v>200</v>
      </c>
      <c r="AS32">
        <v>49200</v>
      </c>
      <c r="AT32" t="s">
        <v>132</v>
      </c>
      <c r="AU32">
        <v>1</v>
      </c>
      <c r="AV32">
        <v>0</v>
      </c>
      <c r="AW32">
        <v>1</v>
      </c>
      <c r="BE32">
        <v>2.6</v>
      </c>
      <c r="BF32">
        <v>0</v>
      </c>
      <c r="BG32">
        <v>0</v>
      </c>
      <c r="BH32" s="1">
        <v>44284</v>
      </c>
      <c r="BI32" t="s">
        <v>159</v>
      </c>
      <c r="BJ32">
        <v>1892</v>
      </c>
      <c r="BK32" t="s">
        <v>119</v>
      </c>
      <c r="BL32" t="s">
        <v>128</v>
      </c>
      <c r="BM32">
        <v>49200</v>
      </c>
      <c r="BN32">
        <v>2</v>
      </c>
      <c r="BO32">
        <v>5</v>
      </c>
      <c r="BP32">
        <v>3</v>
      </c>
      <c r="BQ32">
        <v>1606</v>
      </c>
      <c r="BR32">
        <v>114</v>
      </c>
      <c r="BS32">
        <v>38.888101657999897</v>
      </c>
      <c r="BT32">
        <v>-80.298146715000001</v>
      </c>
      <c r="BU32">
        <v>0</v>
      </c>
      <c r="BV32">
        <v>-3</v>
      </c>
      <c r="BW32">
        <v>0</v>
      </c>
      <c r="BX32" t="s">
        <v>306</v>
      </c>
      <c r="BY32">
        <v>0</v>
      </c>
      <c r="BZ32">
        <v>0</v>
      </c>
      <c r="CA32">
        <v>0</v>
      </c>
      <c r="CB32">
        <v>24600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O32">
        <v>0</v>
      </c>
      <c r="CP32">
        <v>0</v>
      </c>
      <c r="CQ32" t="s">
        <v>307</v>
      </c>
      <c r="CR32" t="s">
        <v>183</v>
      </c>
      <c r="CS32" t="s">
        <v>161</v>
      </c>
      <c r="CT32" t="s">
        <v>139</v>
      </c>
      <c r="CU32" t="s">
        <v>163</v>
      </c>
      <c r="CW32">
        <v>7</v>
      </c>
      <c r="CX32" t="s">
        <v>308</v>
      </c>
      <c r="CY32" t="s">
        <v>309</v>
      </c>
      <c r="CZ32" t="s">
        <v>297</v>
      </c>
      <c r="DA32" t="s">
        <v>310</v>
      </c>
      <c r="DB32">
        <v>0</v>
      </c>
      <c r="DC32">
        <v>49200</v>
      </c>
    </row>
    <row r="33" spans="1:107" x14ac:dyDescent="0.25">
      <c r="A33" t="s">
        <v>1611</v>
      </c>
      <c r="B33" t="s">
        <v>108</v>
      </c>
      <c r="C33" t="s">
        <v>1612</v>
      </c>
      <c r="D33" t="s">
        <v>1613</v>
      </c>
      <c r="F33" s="3" t="str">
        <f>HYPERLINK("https://mapwv.gov/flood/map/?wkid=102100&amp;x=-9106962.385392874&amp;y=4633679.514984609&amp;l=13&amp;v=2","FT")</f>
        <v>FT</v>
      </c>
      <c r="G33" s="3" t="str">
        <f>HYPERLINK("https://mapwv.gov/Assessment/Detail/?PID=20170005024000000000","Assessment")</f>
        <v>Assessment</v>
      </c>
      <c r="H33">
        <v>540083</v>
      </c>
      <c r="I33" t="s">
        <v>1536</v>
      </c>
      <c r="J33" t="s">
        <v>1282</v>
      </c>
      <c r="K33" t="s">
        <v>113</v>
      </c>
      <c r="L33" t="s">
        <v>1283</v>
      </c>
      <c r="M33" t="s">
        <v>909</v>
      </c>
      <c r="N33" t="s">
        <v>704</v>
      </c>
      <c r="O33" t="s">
        <v>117</v>
      </c>
      <c r="P33" t="s">
        <v>118</v>
      </c>
      <c r="Q33" t="s">
        <v>119</v>
      </c>
      <c r="R33">
        <v>0.6</v>
      </c>
      <c r="S33" t="s">
        <v>120</v>
      </c>
      <c r="T33" t="s">
        <v>151</v>
      </c>
      <c r="U33" t="s">
        <v>151</v>
      </c>
      <c r="V33">
        <v>587.6</v>
      </c>
      <c r="X33" t="s">
        <v>1614</v>
      </c>
      <c r="Y33" t="s">
        <v>1615</v>
      </c>
      <c r="Z33">
        <v>1952</v>
      </c>
      <c r="AA33" t="s">
        <v>175</v>
      </c>
      <c r="AB33" t="s">
        <v>155</v>
      </c>
      <c r="AC33" t="s">
        <v>129</v>
      </c>
      <c r="AD33">
        <v>4</v>
      </c>
      <c r="AE33">
        <v>101</v>
      </c>
      <c r="AF33" t="s">
        <v>127</v>
      </c>
      <c r="AG33" t="s">
        <v>128</v>
      </c>
      <c r="AH33" t="s">
        <v>129</v>
      </c>
      <c r="AI33">
        <v>1</v>
      </c>
      <c r="AJ33" t="s">
        <v>560</v>
      </c>
      <c r="AK33" t="s">
        <v>545</v>
      </c>
      <c r="AL33">
        <v>1549</v>
      </c>
      <c r="AM33" t="s">
        <v>157</v>
      </c>
      <c r="AN33" t="s">
        <v>158</v>
      </c>
      <c r="AO33">
        <v>3</v>
      </c>
      <c r="AP33">
        <v>47900</v>
      </c>
      <c r="AQ33">
        <v>0</v>
      </c>
      <c r="AR33">
        <v>0</v>
      </c>
      <c r="AS33">
        <v>48200</v>
      </c>
      <c r="AT33" t="s">
        <v>132</v>
      </c>
      <c r="AU33">
        <v>1</v>
      </c>
      <c r="AV33">
        <v>0</v>
      </c>
      <c r="AW33">
        <v>1</v>
      </c>
      <c r="BE33">
        <v>2.2999999999999998</v>
      </c>
      <c r="BF33">
        <v>0</v>
      </c>
      <c r="BG33">
        <v>0</v>
      </c>
      <c r="BH33" s="1">
        <v>44362</v>
      </c>
      <c r="BI33" t="s">
        <v>707</v>
      </c>
      <c r="BJ33">
        <v>1952</v>
      </c>
      <c r="BK33" t="s">
        <v>119</v>
      </c>
      <c r="BL33" t="s">
        <v>128</v>
      </c>
      <c r="BM33">
        <v>48200</v>
      </c>
      <c r="BN33">
        <v>1</v>
      </c>
      <c r="BO33">
        <v>5</v>
      </c>
      <c r="BP33">
        <v>3</v>
      </c>
      <c r="BQ33">
        <v>1549</v>
      </c>
      <c r="BR33">
        <v>14273</v>
      </c>
      <c r="BS33">
        <v>38.3830455149999</v>
      </c>
      <c r="BT33">
        <v>-81.8092350269999</v>
      </c>
      <c r="BU33">
        <v>0.81353759999999997</v>
      </c>
      <c r="BV33">
        <v>-2.18646240234375</v>
      </c>
      <c r="BW33">
        <v>1</v>
      </c>
      <c r="BX33" t="s">
        <v>134</v>
      </c>
      <c r="BY33">
        <v>129</v>
      </c>
      <c r="BZ33">
        <v>0</v>
      </c>
      <c r="CA33">
        <v>0</v>
      </c>
      <c r="CB33">
        <v>24100</v>
      </c>
      <c r="CC33">
        <v>45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O33">
        <v>0</v>
      </c>
      <c r="CP33">
        <v>0</v>
      </c>
      <c r="CQ33" t="s">
        <v>1286</v>
      </c>
      <c r="CR33" t="s">
        <v>137</v>
      </c>
      <c r="CS33" t="s">
        <v>138</v>
      </c>
      <c r="CT33" t="s">
        <v>139</v>
      </c>
      <c r="CU33" t="s">
        <v>163</v>
      </c>
      <c r="CW33">
        <v>3</v>
      </c>
      <c r="CX33" t="s">
        <v>1541</v>
      </c>
      <c r="CY33" t="s">
        <v>1288</v>
      </c>
      <c r="CZ33" t="s">
        <v>1613</v>
      </c>
      <c r="DA33" t="s">
        <v>1289</v>
      </c>
      <c r="DB33">
        <v>0</v>
      </c>
      <c r="DC33">
        <v>48200</v>
      </c>
    </row>
    <row r="34" spans="1:107" x14ac:dyDescent="0.25">
      <c r="A34" t="s">
        <v>553</v>
      </c>
      <c r="B34" t="s">
        <v>108</v>
      </c>
      <c r="C34" t="s">
        <v>554</v>
      </c>
      <c r="D34" t="s">
        <v>555</v>
      </c>
      <c r="F34" s="3" t="str">
        <f>HYPERLINK("https://mapwv.gov/flood/map/?wkid=102100&amp;x=-9142941.064116659&amp;y=4641076.219908656&amp;l=13&amp;v=2","FT")</f>
        <v>FT</v>
      </c>
      <c r="G34" s="3" t="str">
        <f>HYPERLINK("https://mapwv.gov/Assessment/Detail/?PID=06090005024900000000","Assessment")</f>
        <v>Assessment</v>
      </c>
      <c r="H34">
        <v>540019</v>
      </c>
      <c r="I34" t="s">
        <v>556</v>
      </c>
      <c r="J34" t="s">
        <v>530</v>
      </c>
      <c r="K34" t="s">
        <v>113</v>
      </c>
      <c r="L34" t="s">
        <v>557</v>
      </c>
      <c r="M34" t="s">
        <v>550</v>
      </c>
      <c r="N34" t="s">
        <v>199</v>
      </c>
      <c r="O34" t="s">
        <v>117</v>
      </c>
      <c r="P34" t="s">
        <v>150</v>
      </c>
      <c r="Q34" t="s">
        <v>119</v>
      </c>
      <c r="R34">
        <v>3.1</v>
      </c>
      <c r="S34" t="s">
        <v>120</v>
      </c>
      <c r="T34" t="s">
        <v>151</v>
      </c>
      <c r="U34" t="s">
        <v>151</v>
      </c>
      <c r="V34">
        <v>583.20000000000005</v>
      </c>
      <c r="X34" t="s">
        <v>558</v>
      </c>
      <c r="Y34" t="s">
        <v>559</v>
      </c>
      <c r="Z34">
        <v>1925</v>
      </c>
      <c r="AA34" t="s">
        <v>202</v>
      </c>
      <c r="AB34" t="s">
        <v>155</v>
      </c>
      <c r="AC34" t="s">
        <v>129</v>
      </c>
      <c r="AD34">
        <v>4</v>
      </c>
      <c r="AE34">
        <v>101</v>
      </c>
      <c r="AF34" t="s">
        <v>127</v>
      </c>
      <c r="AG34" t="s">
        <v>128</v>
      </c>
      <c r="AH34" t="s">
        <v>129</v>
      </c>
      <c r="AI34">
        <v>1</v>
      </c>
      <c r="AJ34" t="s">
        <v>560</v>
      </c>
      <c r="AK34" t="s">
        <v>545</v>
      </c>
      <c r="AL34">
        <v>1327</v>
      </c>
      <c r="AM34" t="s">
        <v>157</v>
      </c>
      <c r="AN34" t="s">
        <v>158</v>
      </c>
      <c r="AO34">
        <v>3</v>
      </c>
      <c r="AP34">
        <v>46400</v>
      </c>
      <c r="AQ34">
        <v>0</v>
      </c>
      <c r="AR34">
        <v>0</v>
      </c>
      <c r="AS34">
        <v>46400</v>
      </c>
      <c r="AT34" t="s">
        <v>132</v>
      </c>
      <c r="AU34">
        <v>1</v>
      </c>
      <c r="AV34">
        <v>0</v>
      </c>
      <c r="AW34">
        <v>1</v>
      </c>
      <c r="BE34">
        <v>2.2000000000000002</v>
      </c>
      <c r="BF34">
        <v>1</v>
      </c>
      <c r="BG34">
        <v>2.2000000000000002</v>
      </c>
      <c r="BH34" s="1">
        <v>44319</v>
      </c>
      <c r="BI34" t="s">
        <v>210</v>
      </c>
      <c r="BJ34">
        <v>1925</v>
      </c>
      <c r="BK34" t="s">
        <v>119</v>
      </c>
      <c r="BL34" t="s">
        <v>128</v>
      </c>
      <c r="BM34">
        <v>46400</v>
      </c>
      <c r="BN34">
        <v>1</v>
      </c>
      <c r="BO34">
        <v>5</v>
      </c>
      <c r="BP34">
        <v>3</v>
      </c>
      <c r="BQ34">
        <v>1327</v>
      </c>
      <c r="BR34">
        <v>2993</v>
      </c>
      <c r="BS34">
        <v>38.435112054999898</v>
      </c>
      <c r="BT34">
        <v>-82.1324369969999</v>
      </c>
      <c r="BU34">
        <v>3.1126098999999998</v>
      </c>
      <c r="BV34">
        <v>0.11260986328125</v>
      </c>
      <c r="BW34">
        <v>1</v>
      </c>
      <c r="BX34" t="s">
        <v>134</v>
      </c>
      <c r="BY34">
        <v>129</v>
      </c>
      <c r="BZ34">
        <v>14.1260986328125</v>
      </c>
      <c r="CA34">
        <v>6554.509765625</v>
      </c>
      <c r="CB34">
        <v>23200</v>
      </c>
      <c r="CC34">
        <v>45</v>
      </c>
      <c r="CD34">
        <v>17.1260986328125</v>
      </c>
      <c r="CE34">
        <v>3973.2548828125</v>
      </c>
      <c r="CF34">
        <v>0</v>
      </c>
      <c r="CG34">
        <v>0</v>
      </c>
      <c r="CH34">
        <v>0</v>
      </c>
      <c r="CI34">
        <v>0</v>
      </c>
      <c r="CJ34" t="s">
        <v>561</v>
      </c>
      <c r="CK34">
        <v>5.4406999999999996</v>
      </c>
      <c r="CL34">
        <v>0</v>
      </c>
      <c r="CM34">
        <v>0</v>
      </c>
      <c r="CN34">
        <v>5.4406999999999996</v>
      </c>
      <c r="CO34">
        <v>180</v>
      </c>
      <c r="CP34">
        <v>360</v>
      </c>
      <c r="CQ34" t="s">
        <v>535</v>
      </c>
      <c r="CR34" t="s">
        <v>183</v>
      </c>
      <c r="CS34" t="s">
        <v>138</v>
      </c>
      <c r="CT34" t="s">
        <v>139</v>
      </c>
      <c r="CU34" t="s">
        <v>140</v>
      </c>
      <c r="CW34">
        <v>2</v>
      </c>
      <c r="CX34" t="s">
        <v>562</v>
      </c>
      <c r="CY34" t="s">
        <v>537</v>
      </c>
      <c r="CZ34" t="s">
        <v>555</v>
      </c>
      <c r="DA34" t="s">
        <v>538</v>
      </c>
      <c r="DB34">
        <v>0</v>
      </c>
      <c r="DC34">
        <v>46400</v>
      </c>
    </row>
    <row r="35" spans="1:107" x14ac:dyDescent="0.25">
      <c r="A35" t="s">
        <v>1513</v>
      </c>
      <c r="B35" t="s">
        <v>108</v>
      </c>
      <c r="C35" t="s">
        <v>1514</v>
      </c>
      <c r="D35" t="s">
        <v>1515</v>
      </c>
      <c r="F35" s="3" t="str">
        <f>HYPERLINK("https://mapwv.gov/flood/map/?wkid=102100&amp;x=-9113534.939600041&amp;y=4630364.992449647&amp;l=13&amp;v=2","FT")</f>
        <v>FT</v>
      </c>
      <c r="G35" s="3" t="str">
        <f>HYPERLINK("https://mapwv.gov/Assessment/Detail/?PID=20160012005300020000","Assessment")</f>
        <v>Assessment</v>
      </c>
      <c r="H35">
        <v>540070</v>
      </c>
      <c r="I35" t="s">
        <v>1306</v>
      </c>
      <c r="J35" t="s">
        <v>1282</v>
      </c>
      <c r="K35" t="s">
        <v>148</v>
      </c>
      <c r="L35" t="s">
        <v>1516</v>
      </c>
      <c r="M35" t="s">
        <v>662</v>
      </c>
      <c r="N35" t="s">
        <v>116</v>
      </c>
      <c r="O35" t="s">
        <v>117</v>
      </c>
      <c r="P35" t="s">
        <v>118</v>
      </c>
      <c r="Q35" t="s">
        <v>260</v>
      </c>
      <c r="R35">
        <v>11.8</v>
      </c>
      <c r="S35" t="s">
        <v>120</v>
      </c>
      <c r="T35">
        <v>603</v>
      </c>
      <c r="U35" t="s">
        <v>121</v>
      </c>
      <c r="V35">
        <v>591</v>
      </c>
      <c r="X35" t="s">
        <v>1517</v>
      </c>
      <c r="Y35" t="s">
        <v>1518</v>
      </c>
      <c r="Z35">
        <v>2010</v>
      </c>
      <c r="AA35" t="s">
        <v>175</v>
      </c>
      <c r="AB35" t="s">
        <v>155</v>
      </c>
      <c r="AC35" t="s">
        <v>129</v>
      </c>
      <c r="AD35">
        <v>2</v>
      </c>
      <c r="AE35">
        <v>108</v>
      </c>
      <c r="AF35" t="s">
        <v>176</v>
      </c>
      <c r="AG35" t="s">
        <v>177</v>
      </c>
      <c r="AH35" t="s">
        <v>129</v>
      </c>
      <c r="AI35">
        <v>1</v>
      </c>
      <c r="AL35">
        <v>988</v>
      </c>
      <c r="AN35" t="s">
        <v>158</v>
      </c>
      <c r="AO35">
        <v>4</v>
      </c>
      <c r="AP35">
        <v>0</v>
      </c>
      <c r="AQ35">
        <v>0</v>
      </c>
      <c r="AR35">
        <v>45960</v>
      </c>
      <c r="AS35">
        <v>46000</v>
      </c>
      <c r="AT35" t="s">
        <v>132</v>
      </c>
      <c r="AU35">
        <v>1</v>
      </c>
      <c r="AV35">
        <v>6</v>
      </c>
      <c r="AW35">
        <v>1</v>
      </c>
      <c r="BE35">
        <v>2.4</v>
      </c>
      <c r="BF35">
        <v>1</v>
      </c>
      <c r="BG35">
        <v>2.4</v>
      </c>
      <c r="BH35" s="1">
        <v>44362</v>
      </c>
      <c r="BI35" t="s">
        <v>133</v>
      </c>
      <c r="BJ35">
        <v>2010</v>
      </c>
      <c r="BK35" t="s">
        <v>260</v>
      </c>
      <c r="BL35" t="s">
        <v>177</v>
      </c>
      <c r="BM35">
        <v>46000</v>
      </c>
      <c r="BN35">
        <v>1</v>
      </c>
      <c r="BO35">
        <v>5</v>
      </c>
      <c r="BP35">
        <v>4</v>
      </c>
      <c r="BQ35">
        <v>988</v>
      </c>
      <c r="BR35">
        <v>4260</v>
      </c>
      <c r="BS35">
        <v>38.359701913000002</v>
      </c>
      <c r="BT35">
        <v>-81.868277285999895</v>
      </c>
      <c r="BU35">
        <v>11.763165000000001</v>
      </c>
      <c r="BV35">
        <v>7.7631654739379803</v>
      </c>
      <c r="BW35">
        <v>1</v>
      </c>
      <c r="BX35" t="s">
        <v>181</v>
      </c>
      <c r="BY35">
        <v>189</v>
      </c>
      <c r="BZ35">
        <v>82.763165473937903</v>
      </c>
      <c r="CA35">
        <v>38071.056118011402</v>
      </c>
      <c r="CB35">
        <v>23000</v>
      </c>
      <c r="CC35">
        <v>74</v>
      </c>
      <c r="CD35">
        <v>80.526330947875906</v>
      </c>
      <c r="CE35">
        <v>18521.056118011398</v>
      </c>
      <c r="CF35">
        <v>0</v>
      </c>
      <c r="CG35">
        <v>0</v>
      </c>
      <c r="CH35">
        <v>0</v>
      </c>
      <c r="CI35">
        <v>0</v>
      </c>
      <c r="CJ35" t="s">
        <v>826</v>
      </c>
      <c r="CK35">
        <v>6.4219999999999997</v>
      </c>
      <c r="CL35">
        <v>9.8800000000000008</v>
      </c>
      <c r="CM35">
        <v>11.856</v>
      </c>
      <c r="CN35">
        <v>28.158000000000001</v>
      </c>
      <c r="CO35">
        <v>360</v>
      </c>
      <c r="CP35">
        <v>720</v>
      </c>
      <c r="CQ35" t="s">
        <v>1286</v>
      </c>
      <c r="CR35" t="s">
        <v>137</v>
      </c>
      <c r="CS35" t="s">
        <v>138</v>
      </c>
      <c r="CT35" t="s">
        <v>139</v>
      </c>
      <c r="CU35" t="s">
        <v>274</v>
      </c>
      <c r="CW35">
        <v>3</v>
      </c>
      <c r="CX35" t="s">
        <v>1312</v>
      </c>
      <c r="CY35" t="s">
        <v>1288</v>
      </c>
      <c r="CZ35" t="s">
        <v>1515</v>
      </c>
      <c r="DA35" t="s">
        <v>1289</v>
      </c>
      <c r="DB35">
        <v>0</v>
      </c>
      <c r="DC35">
        <v>46000</v>
      </c>
    </row>
    <row r="36" spans="1:107" x14ac:dyDescent="0.25">
      <c r="A36" t="s">
        <v>1542</v>
      </c>
      <c r="B36" t="s">
        <v>108</v>
      </c>
      <c r="C36" t="s">
        <v>1543</v>
      </c>
      <c r="D36" t="s">
        <v>1544</v>
      </c>
      <c r="F36" s="3" t="str">
        <f>HYPERLINK("https://mapwv.gov/flood/map/?wkid=102100&amp;x=-9066907.208957503&amp;y=4641726.34008981&amp;l=13&amp;v=2","FT")</f>
        <v>FT</v>
      </c>
      <c r="G36" s="3" t="str">
        <f>HYPERLINK("https://mapwv.gov/Assessment/Detail/?PID=20150024006500020000","Assessment")</f>
        <v>Assessment</v>
      </c>
      <c r="H36">
        <v>540070</v>
      </c>
      <c r="I36" t="s">
        <v>1306</v>
      </c>
      <c r="J36" t="s">
        <v>1282</v>
      </c>
      <c r="K36" t="s">
        <v>148</v>
      </c>
      <c r="L36" t="s">
        <v>1545</v>
      </c>
      <c r="M36" t="s">
        <v>172</v>
      </c>
      <c r="N36" t="s">
        <v>199</v>
      </c>
      <c r="O36" t="s">
        <v>117</v>
      </c>
      <c r="P36" t="s">
        <v>150</v>
      </c>
      <c r="Q36" t="s">
        <v>119</v>
      </c>
      <c r="R36">
        <v>7</v>
      </c>
      <c r="S36" t="s">
        <v>120</v>
      </c>
      <c r="T36" t="s">
        <v>151</v>
      </c>
      <c r="U36" t="s">
        <v>151</v>
      </c>
      <c r="V36">
        <v>610.6</v>
      </c>
      <c r="X36" t="s">
        <v>1546</v>
      </c>
      <c r="Y36" t="s">
        <v>1547</v>
      </c>
      <c r="Z36">
        <v>1963</v>
      </c>
      <c r="AA36" t="s">
        <v>154</v>
      </c>
      <c r="AB36" t="s">
        <v>155</v>
      </c>
      <c r="AC36" t="s">
        <v>129</v>
      </c>
      <c r="AD36">
        <v>2</v>
      </c>
      <c r="AE36">
        <v>101</v>
      </c>
      <c r="AF36" t="s">
        <v>127</v>
      </c>
      <c r="AG36" t="s">
        <v>128</v>
      </c>
      <c r="AH36" t="s">
        <v>129</v>
      </c>
      <c r="AI36">
        <v>1</v>
      </c>
      <c r="AJ36" t="s">
        <v>156</v>
      </c>
      <c r="AK36" t="s">
        <v>342</v>
      </c>
      <c r="AL36">
        <v>881</v>
      </c>
      <c r="AM36" t="s">
        <v>353</v>
      </c>
      <c r="AN36" t="s">
        <v>208</v>
      </c>
      <c r="AO36">
        <v>4</v>
      </c>
      <c r="AP36">
        <v>45300</v>
      </c>
      <c r="AQ36">
        <v>0</v>
      </c>
      <c r="AR36">
        <v>0</v>
      </c>
      <c r="AS36">
        <v>45300</v>
      </c>
      <c r="AT36" t="s">
        <v>132</v>
      </c>
      <c r="AU36">
        <v>1</v>
      </c>
      <c r="AV36">
        <v>0</v>
      </c>
      <c r="AW36">
        <v>1</v>
      </c>
      <c r="BE36">
        <v>2.4</v>
      </c>
      <c r="BF36">
        <v>1</v>
      </c>
      <c r="BG36">
        <v>2.4</v>
      </c>
      <c r="BH36" s="1">
        <v>44362</v>
      </c>
      <c r="BI36" t="s">
        <v>1437</v>
      </c>
      <c r="BJ36">
        <v>1963</v>
      </c>
      <c r="BK36" t="s">
        <v>119</v>
      </c>
      <c r="BL36" t="s">
        <v>128</v>
      </c>
      <c r="BM36">
        <v>45300</v>
      </c>
      <c r="BN36">
        <v>1</v>
      </c>
      <c r="BO36">
        <v>4</v>
      </c>
      <c r="BP36">
        <v>4</v>
      </c>
      <c r="BQ36">
        <v>881</v>
      </c>
      <c r="BR36">
        <v>7286</v>
      </c>
      <c r="BS36">
        <v>38.439686557000101</v>
      </c>
      <c r="BT36">
        <v>-81.449413254999897</v>
      </c>
      <c r="BU36">
        <v>6.9000244000000004</v>
      </c>
      <c r="BV36">
        <v>2.9000244140625</v>
      </c>
      <c r="BW36">
        <v>1</v>
      </c>
      <c r="BX36" t="s">
        <v>354</v>
      </c>
      <c r="BY36">
        <v>704</v>
      </c>
      <c r="BZ36">
        <v>45.3001708984375</v>
      </c>
      <c r="CA36">
        <v>20520.9774169921</v>
      </c>
      <c r="CB36">
        <v>22650</v>
      </c>
      <c r="CC36">
        <v>535</v>
      </c>
      <c r="CD36">
        <v>24.7000732421875</v>
      </c>
      <c r="CE36">
        <v>5594.5665893554597</v>
      </c>
      <c r="CF36">
        <v>0</v>
      </c>
      <c r="CG36">
        <v>0</v>
      </c>
      <c r="CH36">
        <v>0</v>
      </c>
      <c r="CI36">
        <v>0</v>
      </c>
      <c r="CJ36" t="s">
        <v>1212</v>
      </c>
      <c r="CK36">
        <v>7.7527999999999997</v>
      </c>
      <c r="CL36">
        <v>0</v>
      </c>
      <c r="CM36">
        <v>0</v>
      </c>
      <c r="CN36">
        <v>7.7527999999999997</v>
      </c>
      <c r="CO36">
        <v>180</v>
      </c>
      <c r="CP36">
        <v>360</v>
      </c>
      <c r="CQ36" t="s">
        <v>1286</v>
      </c>
      <c r="CR36" t="s">
        <v>183</v>
      </c>
      <c r="CS36" t="s">
        <v>138</v>
      </c>
      <c r="CT36" t="s">
        <v>139</v>
      </c>
      <c r="CU36" t="s">
        <v>140</v>
      </c>
      <c r="CW36">
        <v>3</v>
      </c>
      <c r="CX36" t="s">
        <v>1312</v>
      </c>
      <c r="CY36" t="s">
        <v>1288</v>
      </c>
      <c r="CZ36" t="s">
        <v>1544</v>
      </c>
      <c r="DA36" t="s">
        <v>1289</v>
      </c>
      <c r="DB36">
        <v>0</v>
      </c>
      <c r="DC36">
        <v>45300</v>
      </c>
    </row>
    <row r="37" spans="1:107" x14ac:dyDescent="0.25">
      <c r="A37" t="s">
        <v>1278</v>
      </c>
      <c r="B37" t="s">
        <v>108</v>
      </c>
      <c r="C37" t="s">
        <v>1279</v>
      </c>
      <c r="D37" t="s">
        <v>1280</v>
      </c>
      <c r="F37" s="3" t="str">
        <f>HYPERLINK("https://mapwv.gov/flood/map/?wkid=102100&amp;x=-9099353.474333657&amp;y=4629440.458909516&amp;l=13&amp;v=2","FT")</f>
        <v>FT</v>
      </c>
      <c r="G37" s="3" t="str">
        <f>HYPERLINK("https://mapwv.gov/Assessment/Detail/?PID=20180003009700000000","Assessment")</f>
        <v>Assessment</v>
      </c>
      <c r="H37">
        <v>540223</v>
      </c>
      <c r="I37" t="s">
        <v>1281</v>
      </c>
      <c r="J37" t="s">
        <v>1282</v>
      </c>
      <c r="K37" t="s">
        <v>113</v>
      </c>
      <c r="L37" t="s">
        <v>1283</v>
      </c>
      <c r="M37" t="s">
        <v>909</v>
      </c>
      <c r="N37" t="s">
        <v>199</v>
      </c>
      <c r="O37" t="s">
        <v>117</v>
      </c>
      <c r="P37" t="s">
        <v>150</v>
      </c>
      <c r="Q37" t="s">
        <v>119</v>
      </c>
      <c r="R37">
        <v>3.1</v>
      </c>
      <c r="S37" t="s">
        <v>120</v>
      </c>
      <c r="T37" t="s">
        <v>151</v>
      </c>
      <c r="U37" t="s">
        <v>151</v>
      </c>
      <c r="V37">
        <v>587.4</v>
      </c>
      <c r="X37" t="s">
        <v>1284</v>
      </c>
      <c r="Y37" t="s">
        <v>1285</v>
      </c>
      <c r="Z37">
        <v>1940</v>
      </c>
      <c r="AA37" t="s">
        <v>241</v>
      </c>
      <c r="AB37" t="s">
        <v>155</v>
      </c>
      <c r="AC37" t="s">
        <v>129</v>
      </c>
      <c r="AD37">
        <v>4</v>
      </c>
      <c r="AE37">
        <v>101</v>
      </c>
      <c r="AF37" t="s">
        <v>127</v>
      </c>
      <c r="AG37" t="s">
        <v>128</v>
      </c>
      <c r="AH37" t="s">
        <v>129</v>
      </c>
      <c r="AI37">
        <v>1</v>
      </c>
      <c r="AJ37" t="s">
        <v>341</v>
      </c>
      <c r="AK37" t="s">
        <v>130</v>
      </c>
      <c r="AL37">
        <v>768</v>
      </c>
      <c r="AM37" t="s">
        <v>353</v>
      </c>
      <c r="AN37" t="s">
        <v>208</v>
      </c>
      <c r="AO37">
        <v>4</v>
      </c>
      <c r="AP37">
        <v>43300</v>
      </c>
      <c r="AQ37">
        <v>0</v>
      </c>
      <c r="AR37">
        <v>900</v>
      </c>
      <c r="AS37">
        <v>44200</v>
      </c>
      <c r="AT37" t="s">
        <v>132</v>
      </c>
      <c r="AU37">
        <v>1</v>
      </c>
      <c r="AV37">
        <v>1</v>
      </c>
      <c r="AW37">
        <v>1</v>
      </c>
      <c r="BE37">
        <v>2.2000000000000002</v>
      </c>
      <c r="BF37">
        <v>1</v>
      </c>
      <c r="BG37">
        <v>2.2000000000000002</v>
      </c>
      <c r="BH37" s="1">
        <v>44362</v>
      </c>
      <c r="BI37" t="s">
        <v>210</v>
      </c>
      <c r="BJ37">
        <v>1940</v>
      </c>
      <c r="BK37" t="s">
        <v>119</v>
      </c>
      <c r="BL37" t="s">
        <v>128</v>
      </c>
      <c r="BM37">
        <v>44200</v>
      </c>
      <c r="BN37">
        <v>1</v>
      </c>
      <c r="BO37">
        <v>4</v>
      </c>
      <c r="BP37">
        <v>4</v>
      </c>
      <c r="BQ37">
        <v>768</v>
      </c>
      <c r="BR37">
        <v>14482</v>
      </c>
      <c r="BS37">
        <v>38.3531892419999</v>
      </c>
      <c r="BT37">
        <v>-81.740883015999799</v>
      </c>
      <c r="BU37">
        <v>3.2279662999999998</v>
      </c>
      <c r="BV37">
        <v>-0.77203369140625</v>
      </c>
      <c r="BW37">
        <v>1</v>
      </c>
      <c r="BX37" t="s">
        <v>354</v>
      </c>
      <c r="BY37">
        <v>704</v>
      </c>
      <c r="BZ37">
        <v>20.5957641601562</v>
      </c>
      <c r="CA37">
        <v>9103.3277587890607</v>
      </c>
      <c r="CB37">
        <v>22100</v>
      </c>
      <c r="CC37">
        <v>535</v>
      </c>
      <c r="CD37">
        <v>13.6838989257812</v>
      </c>
      <c r="CE37">
        <v>3024.1416625976499</v>
      </c>
      <c r="CF37">
        <v>0</v>
      </c>
      <c r="CG37">
        <v>0</v>
      </c>
      <c r="CH37">
        <v>0</v>
      </c>
      <c r="CI37">
        <v>0</v>
      </c>
      <c r="CO37">
        <v>0</v>
      </c>
      <c r="CP37">
        <v>0</v>
      </c>
      <c r="CQ37" t="s">
        <v>1286</v>
      </c>
      <c r="CR37" t="s">
        <v>183</v>
      </c>
      <c r="CS37" t="s">
        <v>138</v>
      </c>
      <c r="CT37" t="s">
        <v>139</v>
      </c>
      <c r="CU37" t="s">
        <v>140</v>
      </c>
      <c r="CW37">
        <v>3</v>
      </c>
      <c r="CX37" t="s">
        <v>1287</v>
      </c>
      <c r="CY37" t="s">
        <v>1288</v>
      </c>
      <c r="CZ37" t="s">
        <v>1280</v>
      </c>
      <c r="DA37" t="s">
        <v>1289</v>
      </c>
      <c r="DB37">
        <v>0</v>
      </c>
      <c r="DC37">
        <v>44200</v>
      </c>
    </row>
    <row r="38" spans="1:107" x14ac:dyDescent="0.25">
      <c r="A38" t="s">
        <v>1010</v>
      </c>
      <c r="B38" t="s">
        <v>108</v>
      </c>
      <c r="C38" t="s">
        <v>1011</v>
      </c>
      <c r="D38" t="s">
        <v>1012</v>
      </c>
      <c r="F38" s="3" t="str">
        <f>HYPERLINK("https://mapwv.gov/flood/map/?wkid=102100&amp;x=-9126811.218998639&amp;y=4546306.560080393&amp;l=13&amp;v=2","FT")</f>
        <v>FT</v>
      </c>
      <c r="G38" s="3" t="str">
        <f>HYPERLINK("https://mapwv.gov/Assessment/Detail/?PID=23030082009600000000","Assessment")</f>
        <v>Assessment</v>
      </c>
      <c r="H38">
        <v>545536</v>
      </c>
      <c r="I38" t="s">
        <v>964</v>
      </c>
      <c r="J38" t="s">
        <v>965</v>
      </c>
      <c r="K38" t="s">
        <v>148</v>
      </c>
      <c r="L38" t="s">
        <v>1007</v>
      </c>
      <c r="M38" t="s">
        <v>967</v>
      </c>
      <c r="N38" t="s">
        <v>199</v>
      </c>
      <c r="O38" t="s">
        <v>117</v>
      </c>
      <c r="P38" t="s">
        <v>150</v>
      </c>
      <c r="Q38" t="s">
        <v>260</v>
      </c>
      <c r="R38">
        <v>0.2</v>
      </c>
      <c r="S38" t="s">
        <v>120</v>
      </c>
      <c r="T38">
        <v>794.6</v>
      </c>
      <c r="U38" t="s">
        <v>365</v>
      </c>
      <c r="V38">
        <v>793.7</v>
      </c>
      <c r="X38" t="s">
        <v>1013</v>
      </c>
      <c r="Y38" t="s">
        <v>1014</v>
      </c>
      <c r="Z38">
        <v>1985</v>
      </c>
      <c r="AA38" t="s">
        <v>202</v>
      </c>
      <c r="AB38" t="s">
        <v>155</v>
      </c>
      <c r="AC38" t="s">
        <v>129</v>
      </c>
      <c r="AD38">
        <v>2</v>
      </c>
      <c r="AE38">
        <v>101</v>
      </c>
      <c r="AF38" t="s">
        <v>127</v>
      </c>
      <c r="AG38" t="s">
        <v>128</v>
      </c>
      <c r="AH38" t="s">
        <v>129</v>
      </c>
      <c r="AI38">
        <v>1</v>
      </c>
      <c r="AJ38" t="s">
        <v>560</v>
      </c>
      <c r="AK38" t="s">
        <v>130</v>
      </c>
      <c r="AL38">
        <v>1536</v>
      </c>
      <c r="AM38" t="s">
        <v>157</v>
      </c>
      <c r="AN38" t="s">
        <v>158</v>
      </c>
      <c r="AO38">
        <v>4</v>
      </c>
      <c r="AP38">
        <v>43100</v>
      </c>
      <c r="AQ38">
        <v>0</v>
      </c>
      <c r="AR38">
        <v>0</v>
      </c>
      <c r="AS38">
        <v>43100</v>
      </c>
      <c r="AT38" t="s">
        <v>132</v>
      </c>
      <c r="AU38">
        <v>1</v>
      </c>
      <c r="AV38">
        <v>0</v>
      </c>
      <c r="AW38">
        <v>1</v>
      </c>
      <c r="BC38" t="s">
        <v>841</v>
      </c>
      <c r="BE38">
        <v>2.4</v>
      </c>
      <c r="BF38">
        <v>0</v>
      </c>
      <c r="BG38">
        <v>0</v>
      </c>
      <c r="BH38" s="1">
        <v>44348</v>
      </c>
      <c r="BI38" t="s">
        <v>210</v>
      </c>
      <c r="BJ38">
        <v>1985</v>
      </c>
      <c r="BK38" t="s">
        <v>260</v>
      </c>
      <c r="BL38" t="s">
        <v>128</v>
      </c>
      <c r="BM38">
        <v>43100</v>
      </c>
      <c r="BN38">
        <v>1</v>
      </c>
      <c r="BO38">
        <v>5</v>
      </c>
      <c r="BP38">
        <v>4</v>
      </c>
      <c r="BQ38">
        <v>1536</v>
      </c>
      <c r="BR38">
        <v>1345</v>
      </c>
      <c r="BS38">
        <v>37.765180245000103</v>
      </c>
      <c r="BT38">
        <v>-81.987540132999897</v>
      </c>
      <c r="BU38">
        <v>0.22955322</v>
      </c>
      <c r="BV38">
        <v>-3.77044677734375</v>
      </c>
      <c r="BW38">
        <v>1</v>
      </c>
      <c r="BX38" t="s">
        <v>134</v>
      </c>
      <c r="BY38">
        <v>129</v>
      </c>
      <c r="BZ38">
        <v>0</v>
      </c>
      <c r="CA38">
        <v>0</v>
      </c>
      <c r="CB38">
        <v>21550</v>
      </c>
      <c r="CC38">
        <v>45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O38">
        <v>0</v>
      </c>
      <c r="CP38">
        <v>0</v>
      </c>
      <c r="CQ38" t="s">
        <v>974</v>
      </c>
      <c r="CR38" t="s">
        <v>183</v>
      </c>
      <c r="CS38" t="s">
        <v>138</v>
      </c>
      <c r="CT38" t="s">
        <v>139</v>
      </c>
      <c r="CU38" t="s">
        <v>163</v>
      </c>
      <c r="CW38">
        <v>2</v>
      </c>
      <c r="CX38" t="s">
        <v>975</v>
      </c>
      <c r="CY38" t="s">
        <v>976</v>
      </c>
      <c r="CZ38" t="s">
        <v>1012</v>
      </c>
      <c r="DA38" t="s">
        <v>977</v>
      </c>
      <c r="DB38">
        <v>0</v>
      </c>
      <c r="DC38">
        <v>43100</v>
      </c>
    </row>
    <row r="39" spans="1:107" x14ac:dyDescent="0.25">
      <c r="A39" t="s">
        <v>1319</v>
      </c>
      <c r="B39" t="s">
        <v>108</v>
      </c>
      <c r="C39" t="s">
        <v>1320</v>
      </c>
      <c r="D39" t="s">
        <v>1321</v>
      </c>
      <c r="F39" s="3" t="str">
        <f>HYPERLINK("https://mapwv.gov/flood/map/?wkid=102100&amp;x=-9078201.945203636&amp;y=4620664.080075915&amp;l=13&amp;v=2","FT")</f>
        <v>FT</v>
      </c>
      <c r="G39" s="3" t="str">
        <f>HYPERLINK("https://mapwv.gov/Assessment/Detail/?PID=2023019F000600000000","Assessment")</f>
        <v>Assessment</v>
      </c>
      <c r="H39">
        <v>540070</v>
      </c>
      <c r="I39" t="s">
        <v>1306</v>
      </c>
      <c r="J39" t="s">
        <v>1282</v>
      </c>
      <c r="K39" t="s">
        <v>148</v>
      </c>
      <c r="L39" t="s">
        <v>1322</v>
      </c>
      <c r="M39" t="s">
        <v>1308</v>
      </c>
      <c r="N39" t="s">
        <v>199</v>
      </c>
      <c r="O39" t="s">
        <v>117</v>
      </c>
      <c r="P39" t="s">
        <v>150</v>
      </c>
      <c r="Q39" t="s">
        <v>119</v>
      </c>
      <c r="R39">
        <v>3.3</v>
      </c>
      <c r="S39" t="s">
        <v>120</v>
      </c>
      <c r="T39" t="s">
        <v>151</v>
      </c>
      <c r="U39" t="s">
        <v>151</v>
      </c>
      <c r="V39">
        <v>683.5</v>
      </c>
      <c r="X39" t="s">
        <v>1323</v>
      </c>
      <c r="Y39" t="s">
        <v>1324</v>
      </c>
      <c r="Z39">
        <v>1967</v>
      </c>
      <c r="AA39" t="s">
        <v>241</v>
      </c>
      <c r="AB39" t="s">
        <v>155</v>
      </c>
      <c r="AC39" t="s">
        <v>129</v>
      </c>
      <c r="AD39">
        <v>2</v>
      </c>
      <c r="AE39">
        <v>101</v>
      </c>
      <c r="AF39" t="s">
        <v>127</v>
      </c>
      <c r="AG39" t="s">
        <v>128</v>
      </c>
      <c r="AH39" t="s">
        <v>129</v>
      </c>
      <c r="AI39">
        <v>1</v>
      </c>
      <c r="AJ39" t="s">
        <v>341</v>
      </c>
      <c r="AK39" t="s">
        <v>1325</v>
      </c>
      <c r="AL39">
        <v>912</v>
      </c>
      <c r="AM39" t="s">
        <v>157</v>
      </c>
      <c r="AN39" t="s">
        <v>158</v>
      </c>
      <c r="AO39">
        <v>3</v>
      </c>
      <c r="AP39">
        <v>42900</v>
      </c>
      <c r="AQ39">
        <v>0</v>
      </c>
      <c r="AR39">
        <v>0</v>
      </c>
      <c r="AS39">
        <v>42900</v>
      </c>
      <c r="AT39" t="s">
        <v>132</v>
      </c>
      <c r="AU39">
        <v>1</v>
      </c>
      <c r="AV39">
        <v>0</v>
      </c>
      <c r="AW39">
        <v>1</v>
      </c>
      <c r="BE39">
        <v>2.4</v>
      </c>
      <c r="BF39">
        <v>1</v>
      </c>
      <c r="BG39">
        <v>2.4</v>
      </c>
      <c r="BH39" s="1">
        <v>44362</v>
      </c>
      <c r="BI39" t="s">
        <v>210</v>
      </c>
      <c r="BJ39">
        <v>1967</v>
      </c>
      <c r="BK39" t="s">
        <v>119</v>
      </c>
      <c r="BL39" t="s">
        <v>128</v>
      </c>
      <c r="BM39">
        <v>42900</v>
      </c>
      <c r="BN39">
        <v>1</v>
      </c>
      <c r="BO39">
        <v>5</v>
      </c>
      <c r="BP39">
        <v>3</v>
      </c>
      <c r="BQ39">
        <v>912</v>
      </c>
      <c r="BR39">
        <v>2857</v>
      </c>
      <c r="BS39">
        <v>38.291336821999998</v>
      </c>
      <c r="BT39">
        <v>-81.550875597000001</v>
      </c>
      <c r="BU39">
        <v>3.3781127999999998</v>
      </c>
      <c r="BV39">
        <v>0.37811279296875</v>
      </c>
      <c r="BW39">
        <v>1</v>
      </c>
      <c r="BX39" t="s">
        <v>134</v>
      </c>
      <c r="BY39">
        <v>129</v>
      </c>
      <c r="BZ39">
        <v>16.7811279296875</v>
      </c>
      <c r="CA39">
        <v>7199.1038818359302</v>
      </c>
      <c r="CB39">
        <v>21450</v>
      </c>
      <c r="CC39">
        <v>45</v>
      </c>
      <c r="CD39">
        <v>19.7811279296875</v>
      </c>
      <c r="CE39">
        <v>4243.0519409179597</v>
      </c>
      <c r="CF39">
        <v>0</v>
      </c>
      <c r="CG39">
        <v>0</v>
      </c>
      <c r="CH39">
        <v>0</v>
      </c>
      <c r="CI39">
        <v>0</v>
      </c>
      <c r="CJ39" t="s">
        <v>561</v>
      </c>
      <c r="CK39">
        <v>3.7391999999999999</v>
      </c>
      <c r="CL39">
        <v>0</v>
      </c>
      <c r="CM39">
        <v>0</v>
      </c>
      <c r="CN39">
        <v>3.7391999999999999</v>
      </c>
      <c r="CO39">
        <v>180</v>
      </c>
      <c r="CP39">
        <v>360</v>
      </c>
      <c r="CQ39" t="s">
        <v>1286</v>
      </c>
      <c r="CR39" t="s">
        <v>183</v>
      </c>
      <c r="CS39" t="s">
        <v>138</v>
      </c>
      <c r="CT39" t="s">
        <v>139</v>
      </c>
      <c r="CU39" t="s">
        <v>140</v>
      </c>
      <c r="CW39">
        <v>3</v>
      </c>
      <c r="CX39" t="s">
        <v>1312</v>
      </c>
      <c r="CY39" t="s">
        <v>1288</v>
      </c>
      <c r="CZ39" t="s">
        <v>1321</v>
      </c>
      <c r="DA39" t="s">
        <v>1289</v>
      </c>
      <c r="DB39">
        <v>0</v>
      </c>
      <c r="DC39">
        <v>42900</v>
      </c>
    </row>
    <row r="40" spans="1:107" x14ac:dyDescent="0.25">
      <c r="A40" t="s">
        <v>1519</v>
      </c>
      <c r="B40" t="s">
        <v>108</v>
      </c>
      <c r="C40" t="s">
        <v>1520</v>
      </c>
      <c r="D40" t="s">
        <v>1521</v>
      </c>
      <c r="F40" s="3" t="str">
        <f>HYPERLINK("https://mapwv.gov/flood/map/?wkid=102100&amp;x=-9071079.978881678&amp;y=4638844.893250873&amp;l=13&amp;v=2","FT")</f>
        <v>FT</v>
      </c>
      <c r="G40" s="3" t="str">
        <f>HYPERLINK("https://mapwv.gov/Assessment/Detail/?PID=20150029011000000000","Assessment")</f>
        <v>Assessment</v>
      </c>
      <c r="H40">
        <v>540070</v>
      </c>
      <c r="I40" t="s">
        <v>1306</v>
      </c>
      <c r="J40" t="s">
        <v>1282</v>
      </c>
      <c r="K40" t="s">
        <v>148</v>
      </c>
      <c r="L40" t="s">
        <v>1522</v>
      </c>
      <c r="M40" t="s">
        <v>172</v>
      </c>
      <c r="N40" t="s">
        <v>1523</v>
      </c>
      <c r="O40" t="s">
        <v>117</v>
      </c>
      <c r="P40" t="s">
        <v>118</v>
      </c>
      <c r="Q40" t="s">
        <v>119</v>
      </c>
      <c r="R40" t="s">
        <v>151</v>
      </c>
      <c r="S40" t="s">
        <v>151</v>
      </c>
      <c r="T40" t="s">
        <v>151</v>
      </c>
      <c r="U40" t="s">
        <v>151</v>
      </c>
      <c r="V40">
        <v>607.29999999999995</v>
      </c>
      <c r="X40" t="s">
        <v>1524</v>
      </c>
      <c r="Y40" t="s">
        <v>1525</v>
      </c>
      <c r="Z40">
        <v>1976</v>
      </c>
      <c r="AB40" t="s">
        <v>155</v>
      </c>
      <c r="AC40" t="s">
        <v>129</v>
      </c>
      <c r="AD40">
        <v>2</v>
      </c>
      <c r="AE40">
        <v>109</v>
      </c>
      <c r="AF40" t="s">
        <v>724</v>
      </c>
      <c r="AG40" t="s">
        <v>177</v>
      </c>
      <c r="AH40" t="s">
        <v>129</v>
      </c>
      <c r="AI40">
        <v>1</v>
      </c>
      <c r="AL40">
        <v>1048</v>
      </c>
      <c r="AN40" t="s">
        <v>158</v>
      </c>
      <c r="AO40">
        <v>3</v>
      </c>
      <c r="AP40">
        <v>0</v>
      </c>
      <c r="AQ40">
        <v>0</v>
      </c>
      <c r="AR40">
        <v>39650</v>
      </c>
      <c r="AS40">
        <v>12990</v>
      </c>
      <c r="AT40" t="s">
        <v>178</v>
      </c>
      <c r="AU40">
        <v>1</v>
      </c>
      <c r="AV40">
        <v>7</v>
      </c>
      <c r="AW40">
        <v>3</v>
      </c>
      <c r="BE40">
        <v>2.4</v>
      </c>
      <c r="BF40">
        <v>0</v>
      </c>
      <c r="BG40">
        <v>0</v>
      </c>
      <c r="BH40" s="1">
        <v>44362</v>
      </c>
      <c r="BI40" t="s">
        <v>1526</v>
      </c>
      <c r="BJ40">
        <v>1976</v>
      </c>
      <c r="BK40" t="s">
        <v>119</v>
      </c>
      <c r="BL40" t="s">
        <v>177</v>
      </c>
      <c r="BM40">
        <v>12990</v>
      </c>
      <c r="BN40">
        <v>1</v>
      </c>
      <c r="BO40">
        <v>5</v>
      </c>
      <c r="BP40">
        <v>3</v>
      </c>
      <c r="BQ40">
        <v>1048</v>
      </c>
      <c r="BR40">
        <v>6774</v>
      </c>
      <c r="BS40">
        <v>38.419409356000102</v>
      </c>
      <c r="BT40">
        <v>-81.486897885000005</v>
      </c>
      <c r="BU40">
        <v>0</v>
      </c>
      <c r="BV40">
        <v>-3</v>
      </c>
      <c r="BW40">
        <v>0</v>
      </c>
      <c r="BX40" t="s">
        <v>181</v>
      </c>
      <c r="BY40">
        <v>0</v>
      </c>
      <c r="BZ40">
        <v>0</v>
      </c>
      <c r="CA40">
        <v>0</v>
      </c>
      <c r="CB40">
        <v>6495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O40">
        <v>0</v>
      </c>
      <c r="CP40">
        <v>0</v>
      </c>
      <c r="CQ40" t="s">
        <v>1286</v>
      </c>
      <c r="CR40" t="s">
        <v>183</v>
      </c>
      <c r="CS40" t="s">
        <v>161</v>
      </c>
      <c r="CT40" t="s">
        <v>139</v>
      </c>
      <c r="CU40" t="s">
        <v>163</v>
      </c>
      <c r="CW40">
        <v>3</v>
      </c>
      <c r="CX40" t="s">
        <v>1312</v>
      </c>
      <c r="CY40" t="s">
        <v>1288</v>
      </c>
      <c r="CZ40" t="s">
        <v>1521</v>
      </c>
      <c r="DA40" t="s">
        <v>1289</v>
      </c>
      <c r="DB40">
        <v>0</v>
      </c>
      <c r="DC40">
        <v>42200</v>
      </c>
    </row>
    <row r="41" spans="1:107" x14ac:dyDescent="0.25">
      <c r="A41" t="s">
        <v>1575</v>
      </c>
      <c r="B41" t="s">
        <v>108</v>
      </c>
      <c r="C41" t="s">
        <v>1576</v>
      </c>
      <c r="D41" t="s">
        <v>1521</v>
      </c>
      <c r="F41" s="3" t="str">
        <f>HYPERLINK("https://mapwv.gov/flood/map/?wkid=102100&amp;x=-9071069.018030658&amp;y=4638816.974010305&amp;l=13&amp;v=2","FT")</f>
        <v>FT</v>
      </c>
      <c r="G41" s="3" t="str">
        <f>HYPERLINK("https://mapwv.gov/Assessment/Detail/?PID=20150029011000000000","Assessment")</f>
        <v>Assessment</v>
      </c>
      <c r="H41">
        <v>540070</v>
      </c>
      <c r="I41" t="s">
        <v>1306</v>
      </c>
      <c r="J41" t="s">
        <v>1282</v>
      </c>
      <c r="K41" t="s">
        <v>148</v>
      </c>
      <c r="L41" t="s">
        <v>1522</v>
      </c>
      <c r="M41" t="s">
        <v>172</v>
      </c>
      <c r="N41" t="s">
        <v>1523</v>
      </c>
      <c r="O41" t="s">
        <v>117</v>
      </c>
      <c r="P41" t="s">
        <v>118</v>
      </c>
      <c r="Q41" t="s">
        <v>119</v>
      </c>
      <c r="R41" t="s">
        <v>151</v>
      </c>
      <c r="S41" t="s">
        <v>151</v>
      </c>
      <c r="T41" t="s">
        <v>151</v>
      </c>
      <c r="U41" t="s">
        <v>151</v>
      </c>
      <c r="V41">
        <v>608.4</v>
      </c>
      <c r="X41" t="s">
        <v>1524</v>
      </c>
      <c r="Y41" t="s">
        <v>1525</v>
      </c>
      <c r="Z41">
        <v>1972</v>
      </c>
      <c r="AB41" t="s">
        <v>155</v>
      </c>
      <c r="AC41" t="s">
        <v>129</v>
      </c>
      <c r="AD41">
        <v>2</v>
      </c>
      <c r="AE41">
        <v>109</v>
      </c>
      <c r="AF41" t="s">
        <v>724</v>
      </c>
      <c r="AG41" t="s">
        <v>177</v>
      </c>
      <c r="AH41" t="s">
        <v>129</v>
      </c>
      <c r="AI41">
        <v>1</v>
      </c>
      <c r="AL41">
        <v>860</v>
      </c>
      <c r="AN41" t="s">
        <v>158</v>
      </c>
      <c r="AO41">
        <v>3</v>
      </c>
      <c r="AP41">
        <v>0</v>
      </c>
      <c r="AQ41">
        <v>0</v>
      </c>
      <c r="AR41">
        <v>39650</v>
      </c>
      <c r="AS41">
        <v>13200</v>
      </c>
      <c r="AT41" t="s">
        <v>178</v>
      </c>
      <c r="AU41">
        <v>1</v>
      </c>
      <c r="AV41">
        <v>7</v>
      </c>
      <c r="AW41">
        <v>3</v>
      </c>
      <c r="BE41">
        <v>2.4</v>
      </c>
      <c r="BF41">
        <v>0</v>
      </c>
      <c r="BG41">
        <v>0</v>
      </c>
      <c r="BH41" s="1">
        <v>44362</v>
      </c>
      <c r="BI41" t="s">
        <v>1526</v>
      </c>
      <c r="BJ41">
        <v>1972</v>
      </c>
      <c r="BK41" t="s">
        <v>119</v>
      </c>
      <c r="BL41" t="s">
        <v>177</v>
      </c>
      <c r="BM41">
        <v>13200</v>
      </c>
      <c r="BN41">
        <v>1</v>
      </c>
      <c r="BO41">
        <v>5</v>
      </c>
      <c r="BP41">
        <v>3</v>
      </c>
      <c r="BQ41">
        <v>860</v>
      </c>
      <c r="BR41">
        <v>6814</v>
      </c>
      <c r="BS41">
        <v>38.419212856000101</v>
      </c>
      <c r="BT41">
        <v>-81.486799422000004</v>
      </c>
      <c r="BU41">
        <v>0</v>
      </c>
      <c r="BV41">
        <v>-3</v>
      </c>
      <c r="BW41">
        <v>0</v>
      </c>
      <c r="BX41" t="s">
        <v>181</v>
      </c>
      <c r="BY41">
        <v>0</v>
      </c>
      <c r="BZ41">
        <v>0</v>
      </c>
      <c r="CA41">
        <v>0</v>
      </c>
      <c r="CB41">
        <v>6600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O41">
        <v>0</v>
      </c>
      <c r="CP41">
        <v>0</v>
      </c>
      <c r="CQ41" t="s">
        <v>1286</v>
      </c>
      <c r="CR41" t="s">
        <v>183</v>
      </c>
      <c r="CS41" t="s">
        <v>161</v>
      </c>
      <c r="CT41" t="s">
        <v>139</v>
      </c>
      <c r="CU41" t="s">
        <v>163</v>
      </c>
      <c r="CW41">
        <v>3</v>
      </c>
      <c r="CX41" t="s">
        <v>1312</v>
      </c>
      <c r="CY41" t="s">
        <v>1288</v>
      </c>
      <c r="CZ41" t="s">
        <v>1521</v>
      </c>
      <c r="DA41" t="s">
        <v>1289</v>
      </c>
      <c r="DB41">
        <v>0</v>
      </c>
      <c r="DC41">
        <v>42200</v>
      </c>
    </row>
    <row r="42" spans="1:107" x14ac:dyDescent="0.25">
      <c r="A42" t="s">
        <v>1061</v>
      </c>
      <c r="B42" t="s">
        <v>108</v>
      </c>
      <c r="C42" t="s">
        <v>1062</v>
      </c>
      <c r="D42" t="s">
        <v>1063</v>
      </c>
      <c r="F42" s="3" t="str">
        <f>HYPERLINK("https://mapwv.gov/flood/map/?wkid=102100&amp;x=-9112770.520011352&amp;y=4544697.104351005&amp;l=13&amp;v=2","FT")</f>
        <v>FT</v>
      </c>
      <c r="G42" s="3" t="str">
        <f>HYPERLINK("https://mapwv.gov/Assessment/Detail/?PID=23080020007400000000","Assessment")</f>
        <v>Assessment</v>
      </c>
      <c r="H42">
        <v>545536</v>
      </c>
      <c r="I42" t="s">
        <v>964</v>
      </c>
      <c r="J42" t="s">
        <v>965</v>
      </c>
      <c r="K42" t="s">
        <v>148</v>
      </c>
      <c r="L42" t="s">
        <v>1064</v>
      </c>
      <c r="M42" t="s">
        <v>967</v>
      </c>
      <c r="N42" t="s">
        <v>199</v>
      </c>
      <c r="O42" t="s">
        <v>117</v>
      </c>
      <c r="P42" t="s">
        <v>150</v>
      </c>
      <c r="Q42" t="s">
        <v>119</v>
      </c>
      <c r="R42">
        <v>1.9</v>
      </c>
      <c r="S42" t="s">
        <v>120</v>
      </c>
      <c r="T42">
        <v>767</v>
      </c>
      <c r="U42" t="s">
        <v>365</v>
      </c>
      <c r="V42">
        <v>764.4</v>
      </c>
      <c r="X42" t="s">
        <v>1065</v>
      </c>
      <c r="Y42" t="s">
        <v>1066</v>
      </c>
      <c r="Z42">
        <v>1940</v>
      </c>
      <c r="AA42" t="s">
        <v>154</v>
      </c>
      <c r="AB42" t="s">
        <v>155</v>
      </c>
      <c r="AC42" t="s">
        <v>129</v>
      </c>
      <c r="AD42">
        <v>2</v>
      </c>
      <c r="AE42">
        <v>101</v>
      </c>
      <c r="AF42" t="s">
        <v>127</v>
      </c>
      <c r="AG42" t="s">
        <v>128</v>
      </c>
      <c r="AH42" t="s">
        <v>129</v>
      </c>
      <c r="AI42">
        <v>1</v>
      </c>
      <c r="AJ42" t="s">
        <v>341</v>
      </c>
      <c r="AK42" t="s">
        <v>130</v>
      </c>
      <c r="AL42">
        <v>1968</v>
      </c>
      <c r="AM42" t="s">
        <v>157</v>
      </c>
      <c r="AN42" t="s">
        <v>158</v>
      </c>
      <c r="AO42">
        <v>3</v>
      </c>
      <c r="AP42">
        <v>41400</v>
      </c>
      <c r="AQ42">
        <v>0</v>
      </c>
      <c r="AR42">
        <v>0</v>
      </c>
      <c r="AS42">
        <v>41400</v>
      </c>
      <c r="AT42" t="s">
        <v>132</v>
      </c>
      <c r="AU42">
        <v>1</v>
      </c>
      <c r="AV42">
        <v>0</v>
      </c>
      <c r="AW42">
        <v>1</v>
      </c>
      <c r="BC42" t="s">
        <v>614</v>
      </c>
      <c r="BE42">
        <v>2.4</v>
      </c>
      <c r="BF42">
        <v>1</v>
      </c>
      <c r="BG42">
        <v>2.4</v>
      </c>
      <c r="BH42" s="1">
        <v>44348</v>
      </c>
      <c r="BI42" t="s">
        <v>210</v>
      </c>
      <c r="BJ42">
        <v>1940</v>
      </c>
      <c r="BK42" t="s">
        <v>119</v>
      </c>
      <c r="BL42" t="s">
        <v>128</v>
      </c>
      <c r="BM42">
        <v>41400</v>
      </c>
      <c r="BN42">
        <v>1</v>
      </c>
      <c r="BO42">
        <v>5</v>
      </c>
      <c r="BP42">
        <v>3</v>
      </c>
      <c r="BQ42">
        <v>1968</v>
      </c>
      <c r="BR42">
        <v>1090</v>
      </c>
      <c r="BS42">
        <v>37.753749927999898</v>
      </c>
      <c r="BT42">
        <v>-81.861410387999896</v>
      </c>
      <c r="BU42">
        <v>2.0194702000000002</v>
      </c>
      <c r="BV42">
        <v>-0.98052978515625</v>
      </c>
      <c r="BW42">
        <v>1</v>
      </c>
      <c r="BX42" t="s">
        <v>134</v>
      </c>
      <c r="BY42">
        <v>129</v>
      </c>
      <c r="BZ42">
        <v>3.1947021484375</v>
      </c>
      <c r="CA42">
        <v>1322.60668945312</v>
      </c>
      <c r="CB42">
        <v>20700</v>
      </c>
      <c r="CC42">
        <v>45</v>
      </c>
      <c r="CD42">
        <v>4.233642578125</v>
      </c>
      <c r="CE42">
        <v>876.364013671875</v>
      </c>
      <c r="CF42">
        <v>0</v>
      </c>
      <c r="CG42">
        <v>0</v>
      </c>
      <c r="CH42">
        <v>0</v>
      </c>
      <c r="CI42">
        <v>0</v>
      </c>
      <c r="CO42">
        <v>0</v>
      </c>
      <c r="CP42">
        <v>0</v>
      </c>
      <c r="CQ42" t="s">
        <v>974</v>
      </c>
      <c r="CR42" t="s">
        <v>183</v>
      </c>
      <c r="CS42" t="s">
        <v>138</v>
      </c>
      <c r="CT42" t="s">
        <v>139</v>
      </c>
      <c r="CU42" t="s">
        <v>267</v>
      </c>
      <c r="CW42">
        <v>2</v>
      </c>
      <c r="CX42" t="s">
        <v>975</v>
      </c>
      <c r="CY42" t="s">
        <v>976</v>
      </c>
      <c r="CZ42" t="s">
        <v>1063</v>
      </c>
      <c r="DA42" t="s">
        <v>977</v>
      </c>
      <c r="DB42">
        <v>0</v>
      </c>
      <c r="DC42">
        <v>41400</v>
      </c>
    </row>
    <row r="43" spans="1:107" x14ac:dyDescent="0.25">
      <c r="A43" t="s">
        <v>1378</v>
      </c>
      <c r="B43" t="s">
        <v>108</v>
      </c>
      <c r="C43" t="s">
        <v>1379</v>
      </c>
      <c r="D43" t="s">
        <v>1380</v>
      </c>
      <c r="F43" s="3" t="str">
        <f>HYPERLINK("https://mapwv.gov/flood/map/?wkid=102100&amp;x=-9097416.939321116&amp;y=4630088.981420173&amp;l=13&amp;v=2","FT")</f>
        <v>FT</v>
      </c>
      <c r="G43" s="3" t="str">
        <f>HYPERLINK("https://mapwv.gov/Assessment/Detail/?PID=20180008000300000000","Assessment")</f>
        <v>Assessment</v>
      </c>
      <c r="H43">
        <v>540223</v>
      </c>
      <c r="I43" t="s">
        <v>1281</v>
      </c>
      <c r="J43" t="s">
        <v>1282</v>
      </c>
      <c r="K43" t="s">
        <v>113</v>
      </c>
      <c r="L43" t="s">
        <v>1283</v>
      </c>
      <c r="M43" t="s">
        <v>909</v>
      </c>
      <c r="N43" t="s">
        <v>199</v>
      </c>
      <c r="O43" t="s">
        <v>117</v>
      </c>
      <c r="P43" t="s">
        <v>150</v>
      </c>
      <c r="Q43" t="s">
        <v>119</v>
      </c>
      <c r="R43" t="s">
        <v>151</v>
      </c>
      <c r="S43" t="s">
        <v>151</v>
      </c>
      <c r="T43" t="s">
        <v>151</v>
      </c>
      <c r="U43" t="s">
        <v>151</v>
      </c>
      <c r="V43">
        <v>594.79999999999995</v>
      </c>
      <c r="X43" t="s">
        <v>1381</v>
      </c>
      <c r="Y43" t="s">
        <v>1382</v>
      </c>
      <c r="Z43">
        <v>1930</v>
      </c>
      <c r="AA43" t="s">
        <v>241</v>
      </c>
      <c r="AB43" t="s">
        <v>155</v>
      </c>
      <c r="AC43" t="s">
        <v>129</v>
      </c>
      <c r="AD43">
        <v>4</v>
      </c>
      <c r="AE43">
        <v>101</v>
      </c>
      <c r="AF43" t="s">
        <v>127</v>
      </c>
      <c r="AG43" t="s">
        <v>128</v>
      </c>
      <c r="AH43" t="s">
        <v>129</v>
      </c>
      <c r="AI43">
        <v>1</v>
      </c>
      <c r="AJ43" t="s">
        <v>341</v>
      </c>
      <c r="AL43">
        <v>720</v>
      </c>
      <c r="AM43" t="s">
        <v>519</v>
      </c>
      <c r="AN43" t="s">
        <v>208</v>
      </c>
      <c r="AO43">
        <v>4</v>
      </c>
      <c r="AP43">
        <v>41200</v>
      </c>
      <c r="AQ43">
        <v>0</v>
      </c>
      <c r="AR43">
        <v>0</v>
      </c>
      <c r="AS43">
        <v>41200</v>
      </c>
      <c r="AT43" t="s">
        <v>132</v>
      </c>
      <c r="AU43">
        <v>1</v>
      </c>
      <c r="AV43">
        <v>0</v>
      </c>
      <c r="AW43">
        <v>1</v>
      </c>
      <c r="BE43">
        <v>2.2000000000000002</v>
      </c>
      <c r="BF43">
        <v>0</v>
      </c>
      <c r="BG43">
        <v>0</v>
      </c>
      <c r="BH43" s="1">
        <v>44362</v>
      </c>
      <c r="BI43" t="s">
        <v>441</v>
      </c>
      <c r="BJ43">
        <v>1930</v>
      </c>
      <c r="BK43" t="s">
        <v>119</v>
      </c>
      <c r="BL43" t="s">
        <v>128</v>
      </c>
      <c r="BM43">
        <v>41200</v>
      </c>
      <c r="BN43">
        <v>1</v>
      </c>
      <c r="BO43">
        <v>4</v>
      </c>
      <c r="BP43">
        <v>4</v>
      </c>
      <c r="BQ43">
        <v>720</v>
      </c>
      <c r="BR43">
        <v>14775</v>
      </c>
      <c r="BS43">
        <v>38.357757675999999</v>
      </c>
      <c r="BT43">
        <v>-81.7234868259998</v>
      </c>
      <c r="BU43">
        <v>0</v>
      </c>
      <c r="BV43">
        <v>-4</v>
      </c>
      <c r="BW43">
        <v>0</v>
      </c>
      <c r="BX43" t="s">
        <v>354</v>
      </c>
      <c r="BY43">
        <v>0</v>
      </c>
      <c r="BZ43">
        <v>0</v>
      </c>
      <c r="CA43">
        <v>0</v>
      </c>
      <c r="CB43">
        <v>20600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O43">
        <v>0</v>
      </c>
      <c r="CP43">
        <v>0</v>
      </c>
      <c r="CQ43" t="s">
        <v>1286</v>
      </c>
      <c r="CR43" t="s">
        <v>160</v>
      </c>
      <c r="CS43" t="s">
        <v>161</v>
      </c>
      <c r="CT43" t="s">
        <v>139</v>
      </c>
      <c r="CU43" t="s">
        <v>163</v>
      </c>
      <c r="CW43">
        <v>3</v>
      </c>
      <c r="CX43" t="s">
        <v>1287</v>
      </c>
      <c r="CY43" t="s">
        <v>1288</v>
      </c>
      <c r="CZ43" t="s">
        <v>1380</v>
      </c>
      <c r="DA43" t="s">
        <v>1289</v>
      </c>
      <c r="DB43">
        <v>0</v>
      </c>
      <c r="DC43">
        <v>41200</v>
      </c>
    </row>
    <row r="44" spans="1:107" x14ac:dyDescent="0.25">
      <c r="A44" t="s">
        <v>1671</v>
      </c>
      <c r="B44" t="s">
        <v>108</v>
      </c>
      <c r="C44" t="s">
        <v>1672</v>
      </c>
      <c r="D44" t="s">
        <v>1673</v>
      </c>
      <c r="F44" s="3" t="str">
        <f>HYPERLINK("https://mapwv.gov/flood/map/?wkid=102100&amp;x=-9038971.499921229&amp;y=4618743.248324757&amp;l=13&amp;v=2","FT")</f>
        <v>FT</v>
      </c>
      <c r="G44" s="3" t="str">
        <f>HYPERLINK("https://mapwv.gov/Assessment/Detail/?PID=34040011003400000000","Assessment")</f>
        <v>Assessment</v>
      </c>
      <c r="H44">
        <v>540146</v>
      </c>
      <c r="I44" t="s">
        <v>1653</v>
      </c>
      <c r="J44" t="s">
        <v>1654</v>
      </c>
      <c r="K44" t="s">
        <v>148</v>
      </c>
      <c r="L44" t="s">
        <v>1674</v>
      </c>
      <c r="M44" t="s">
        <v>1667</v>
      </c>
      <c r="N44" t="s">
        <v>199</v>
      </c>
      <c r="O44" t="s">
        <v>383</v>
      </c>
      <c r="P44" t="s">
        <v>150</v>
      </c>
      <c r="Q44" t="s">
        <v>260</v>
      </c>
      <c r="R44" t="s">
        <v>151</v>
      </c>
      <c r="S44" t="s">
        <v>151</v>
      </c>
      <c r="T44" t="s">
        <v>151</v>
      </c>
      <c r="U44" t="s">
        <v>151</v>
      </c>
      <c r="V44">
        <v>862.1</v>
      </c>
      <c r="X44" t="s">
        <v>1675</v>
      </c>
      <c r="Y44" t="s">
        <v>1676</v>
      </c>
      <c r="Z44">
        <v>2000</v>
      </c>
      <c r="AA44" t="s">
        <v>241</v>
      </c>
      <c r="AB44" t="s">
        <v>175</v>
      </c>
      <c r="AC44" t="s">
        <v>288</v>
      </c>
      <c r="AD44">
        <v>3</v>
      </c>
      <c r="AE44">
        <v>398</v>
      </c>
      <c r="AF44" t="s">
        <v>507</v>
      </c>
      <c r="AG44" t="s">
        <v>508</v>
      </c>
      <c r="AH44" t="s">
        <v>288</v>
      </c>
      <c r="AI44">
        <v>1</v>
      </c>
      <c r="AJ44" t="s">
        <v>973</v>
      </c>
      <c r="AL44">
        <v>6000</v>
      </c>
      <c r="AM44" t="s">
        <v>206</v>
      </c>
      <c r="AN44" t="s">
        <v>131</v>
      </c>
      <c r="AO44">
        <v>1</v>
      </c>
      <c r="AP44">
        <v>0</v>
      </c>
      <c r="AQ44">
        <v>0</v>
      </c>
      <c r="AR44">
        <v>0</v>
      </c>
      <c r="AS44">
        <v>105700</v>
      </c>
      <c r="AT44" t="s">
        <v>178</v>
      </c>
      <c r="AU44">
        <v>1</v>
      </c>
      <c r="AV44">
        <v>0</v>
      </c>
      <c r="AW44">
        <v>0</v>
      </c>
      <c r="BE44">
        <v>2.5</v>
      </c>
      <c r="BF44">
        <v>0</v>
      </c>
      <c r="BG44">
        <v>0</v>
      </c>
      <c r="BH44" s="1">
        <v>44397</v>
      </c>
      <c r="BI44" t="s">
        <v>1677</v>
      </c>
      <c r="BJ44">
        <v>2000</v>
      </c>
      <c r="BK44" t="s">
        <v>260</v>
      </c>
      <c r="BL44" t="s">
        <v>508</v>
      </c>
      <c r="BM44">
        <v>105700</v>
      </c>
      <c r="BN44">
        <v>1</v>
      </c>
      <c r="BO44">
        <v>7</v>
      </c>
      <c r="BP44">
        <v>1</v>
      </c>
      <c r="BQ44">
        <v>6000</v>
      </c>
      <c r="BR44">
        <v>301</v>
      </c>
      <c r="BS44">
        <v>38.277792527000003</v>
      </c>
      <c r="BT44">
        <v>-81.198462510999903</v>
      </c>
      <c r="BU44">
        <v>0</v>
      </c>
      <c r="BV44">
        <v>-1</v>
      </c>
      <c r="BW44">
        <v>0</v>
      </c>
      <c r="BX44" t="s">
        <v>1337</v>
      </c>
      <c r="BY44">
        <v>0</v>
      </c>
      <c r="BZ44">
        <v>0</v>
      </c>
      <c r="CA44">
        <v>0</v>
      </c>
      <c r="CB44">
        <v>105700</v>
      </c>
      <c r="CC44">
        <v>0</v>
      </c>
      <c r="CD44">
        <v>0</v>
      </c>
      <c r="CE44">
        <v>0</v>
      </c>
      <c r="CF44">
        <v>46200</v>
      </c>
      <c r="CG44">
        <v>0</v>
      </c>
      <c r="CH44">
        <v>0</v>
      </c>
      <c r="CI44">
        <v>0</v>
      </c>
      <c r="CO44">
        <v>0</v>
      </c>
      <c r="CP44">
        <v>0</v>
      </c>
      <c r="CQ44" t="s">
        <v>1659</v>
      </c>
      <c r="CR44" t="s">
        <v>1163</v>
      </c>
      <c r="CS44" t="s">
        <v>161</v>
      </c>
      <c r="CT44" t="s">
        <v>215</v>
      </c>
      <c r="CU44" t="s">
        <v>163</v>
      </c>
      <c r="CW44">
        <v>4</v>
      </c>
      <c r="CX44" t="s">
        <v>1660</v>
      </c>
      <c r="CY44" t="s">
        <v>1661</v>
      </c>
      <c r="CZ44" t="s">
        <v>1673</v>
      </c>
      <c r="DA44" t="s">
        <v>1662</v>
      </c>
      <c r="DB44">
        <v>0</v>
      </c>
      <c r="DC44">
        <v>39200</v>
      </c>
    </row>
    <row r="45" spans="1:107" x14ac:dyDescent="0.25">
      <c r="A45" t="s">
        <v>399</v>
      </c>
      <c r="B45" t="s">
        <v>108</v>
      </c>
      <c r="C45" t="s">
        <v>400</v>
      </c>
      <c r="D45" t="s">
        <v>401</v>
      </c>
      <c r="F45" s="3" t="str">
        <f>HYPERLINK("https://mapwv.gov/flood/map/?wkid=102100&amp;x=-8794676.376505738&amp;y=4713929.270636297&amp;l=13&amp;v=2","FT")</f>
        <v>FT</v>
      </c>
      <c r="G45" s="3" t="str">
        <f>HYPERLINK("https://mapwv.gov/Assessment/Detail/?PID=16050403001900000000","Assessment")</f>
        <v>Assessment</v>
      </c>
      <c r="H45">
        <v>540051</v>
      </c>
      <c r="I45" t="s">
        <v>389</v>
      </c>
      <c r="J45" t="s">
        <v>390</v>
      </c>
      <c r="K45" t="s">
        <v>148</v>
      </c>
      <c r="L45" t="s">
        <v>402</v>
      </c>
      <c r="M45" t="s">
        <v>350</v>
      </c>
      <c r="N45" t="s">
        <v>116</v>
      </c>
      <c r="O45" t="s">
        <v>117</v>
      </c>
      <c r="P45" t="s">
        <v>118</v>
      </c>
      <c r="Q45" t="s">
        <v>119</v>
      </c>
      <c r="R45">
        <v>4.8</v>
      </c>
      <c r="S45" t="s">
        <v>120</v>
      </c>
      <c r="T45">
        <v>965.6</v>
      </c>
      <c r="U45" t="s">
        <v>121</v>
      </c>
      <c r="V45">
        <v>961</v>
      </c>
      <c r="X45" t="s">
        <v>403</v>
      </c>
      <c r="Y45" t="s">
        <v>404</v>
      </c>
      <c r="Z45">
        <v>1940</v>
      </c>
      <c r="AA45" t="s">
        <v>241</v>
      </c>
      <c r="AB45" t="s">
        <v>155</v>
      </c>
      <c r="AC45" t="s">
        <v>129</v>
      </c>
      <c r="AD45">
        <v>2</v>
      </c>
      <c r="AE45">
        <v>101</v>
      </c>
      <c r="AF45" t="s">
        <v>127</v>
      </c>
      <c r="AG45" t="s">
        <v>128</v>
      </c>
      <c r="AH45" t="s">
        <v>129</v>
      </c>
      <c r="AI45">
        <v>1</v>
      </c>
      <c r="AJ45" t="s">
        <v>405</v>
      </c>
      <c r="AK45" t="s">
        <v>130</v>
      </c>
      <c r="AL45">
        <v>1298</v>
      </c>
      <c r="AM45" t="s">
        <v>206</v>
      </c>
      <c r="AN45" t="s">
        <v>131</v>
      </c>
      <c r="AO45">
        <v>1</v>
      </c>
      <c r="AP45">
        <v>31200</v>
      </c>
      <c r="AQ45">
        <v>0</v>
      </c>
      <c r="AR45">
        <v>5210</v>
      </c>
      <c r="AS45">
        <v>36400</v>
      </c>
      <c r="AT45" t="s">
        <v>132</v>
      </c>
      <c r="AU45">
        <v>1</v>
      </c>
      <c r="AV45">
        <v>1</v>
      </c>
      <c r="AW45">
        <v>1</v>
      </c>
      <c r="BE45">
        <v>2</v>
      </c>
      <c r="BF45">
        <v>1</v>
      </c>
      <c r="BG45">
        <v>2</v>
      </c>
      <c r="BH45" s="1">
        <v>44272</v>
      </c>
      <c r="BI45" t="s">
        <v>133</v>
      </c>
      <c r="BJ45">
        <v>1940</v>
      </c>
      <c r="BK45" t="s">
        <v>119</v>
      </c>
      <c r="BL45" t="s">
        <v>128</v>
      </c>
      <c r="BM45">
        <v>36400</v>
      </c>
      <c r="BN45">
        <v>1</v>
      </c>
      <c r="BO45">
        <v>7</v>
      </c>
      <c r="BP45">
        <v>1</v>
      </c>
      <c r="BQ45">
        <v>1298</v>
      </c>
      <c r="BR45">
        <v>150</v>
      </c>
      <c r="BS45">
        <v>38.945928637000101</v>
      </c>
      <c r="BT45">
        <v>-79.003922078999906</v>
      </c>
      <c r="BU45">
        <v>4.7624702000000001</v>
      </c>
      <c r="BV45">
        <v>3.7624702453613201</v>
      </c>
      <c r="BW45">
        <v>1</v>
      </c>
      <c r="BX45" t="s">
        <v>134</v>
      </c>
      <c r="BY45">
        <v>129</v>
      </c>
      <c r="BZ45">
        <v>45.337291717529197</v>
      </c>
      <c r="CA45">
        <v>16502.774185180599</v>
      </c>
      <c r="CB45">
        <v>18200</v>
      </c>
      <c r="CC45">
        <v>45</v>
      </c>
      <c r="CD45">
        <v>50.099761962890597</v>
      </c>
      <c r="CE45">
        <v>9118.1566772460901</v>
      </c>
      <c r="CF45">
        <v>0</v>
      </c>
      <c r="CG45">
        <v>0</v>
      </c>
      <c r="CH45">
        <v>0</v>
      </c>
      <c r="CI45">
        <v>0</v>
      </c>
      <c r="CJ45" t="s">
        <v>135</v>
      </c>
      <c r="CK45">
        <v>5.3217999999999996</v>
      </c>
      <c r="CL45">
        <v>0</v>
      </c>
      <c r="CM45">
        <v>0</v>
      </c>
      <c r="CN45">
        <v>5.3217999999999996</v>
      </c>
      <c r="CO45">
        <v>180</v>
      </c>
      <c r="CP45">
        <v>360</v>
      </c>
      <c r="CQ45" t="s">
        <v>395</v>
      </c>
      <c r="CR45" t="s">
        <v>137</v>
      </c>
      <c r="CS45" t="s">
        <v>138</v>
      </c>
      <c r="CT45" t="s">
        <v>139</v>
      </c>
      <c r="CU45" t="s">
        <v>140</v>
      </c>
      <c r="CW45">
        <v>8</v>
      </c>
      <c r="CX45" t="s">
        <v>396</v>
      </c>
      <c r="CY45" t="s">
        <v>397</v>
      </c>
      <c r="CZ45" t="s">
        <v>401</v>
      </c>
      <c r="DA45" t="s">
        <v>398</v>
      </c>
      <c r="DB45">
        <v>0</v>
      </c>
      <c r="DC45">
        <v>36400</v>
      </c>
    </row>
    <row r="46" spans="1:107" x14ac:dyDescent="0.25">
      <c r="A46" t="s">
        <v>1142</v>
      </c>
      <c r="B46" t="s">
        <v>108</v>
      </c>
      <c r="C46" t="s">
        <v>1143</v>
      </c>
      <c r="D46" t="s">
        <v>1144</v>
      </c>
      <c r="F46" s="3" t="str">
        <f>HYPERLINK("https://mapwv.gov/flood/map/?wkid=102100&amp;x=-9135770.831110649&amp;y=4555251.407981066&amp;l=13&amp;v=2","FT")</f>
        <v>FT</v>
      </c>
      <c r="G46" s="3" t="str">
        <f>HYPERLINK("https://mapwv.gov/Assessment/Detail/?PID=23030003007500000000","Assessment")</f>
        <v>Assessment</v>
      </c>
      <c r="H46">
        <v>545536</v>
      </c>
      <c r="I46" t="s">
        <v>964</v>
      </c>
      <c r="J46" t="s">
        <v>965</v>
      </c>
      <c r="K46" t="s">
        <v>148</v>
      </c>
      <c r="L46" t="s">
        <v>1145</v>
      </c>
      <c r="M46" t="s">
        <v>967</v>
      </c>
      <c r="N46" t="s">
        <v>199</v>
      </c>
      <c r="O46" t="s">
        <v>117</v>
      </c>
      <c r="P46" t="s">
        <v>150</v>
      </c>
      <c r="Q46" t="s">
        <v>119</v>
      </c>
      <c r="R46" t="s">
        <v>151</v>
      </c>
      <c r="S46" t="s">
        <v>151</v>
      </c>
      <c r="T46" t="s">
        <v>151</v>
      </c>
      <c r="U46" t="s">
        <v>151</v>
      </c>
      <c r="V46">
        <v>754.7</v>
      </c>
      <c r="X46" t="s">
        <v>1146</v>
      </c>
      <c r="Y46" t="s">
        <v>1147</v>
      </c>
      <c r="Z46">
        <v>1920</v>
      </c>
      <c r="AA46" t="s">
        <v>241</v>
      </c>
      <c r="AB46" t="s">
        <v>155</v>
      </c>
      <c r="AC46" t="s">
        <v>129</v>
      </c>
      <c r="AD46">
        <v>2</v>
      </c>
      <c r="AE46">
        <v>101</v>
      </c>
      <c r="AF46" t="s">
        <v>127</v>
      </c>
      <c r="AG46" t="s">
        <v>128</v>
      </c>
      <c r="AH46" t="s">
        <v>129</v>
      </c>
      <c r="AI46">
        <v>1</v>
      </c>
      <c r="AJ46" t="s">
        <v>341</v>
      </c>
      <c r="AK46" t="s">
        <v>130</v>
      </c>
      <c r="AL46">
        <v>1648</v>
      </c>
      <c r="AM46" t="s">
        <v>157</v>
      </c>
      <c r="AN46" t="s">
        <v>158</v>
      </c>
      <c r="AO46">
        <v>3</v>
      </c>
      <c r="AP46">
        <v>34500</v>
      </c>
      <c r="AQ46">
        <v>0</v>
      </c>
      <c r="AR46">
        <v>0</v>
      </c>
      <c r="AS46">
        <v>34500</v>
      </c>
      <c r="AT46" t="s">
        <v>132</v>
      </c>
      <c r="AU46">
        <v>1</v>
      </c>
      <c r="AV46">
        <v>0</v>
      </c>
      <c r="AW46">
        <v>1</v>
      </c>
      <c r="BE46">
        <v>2.4</v>
      </c>
      <c r="BF46">
        <v>0</v>
      </c>
      <c r="BG46">
        <v>0</v>
      </c>
      <c r="BH46" s="1">
        <v>44348</v>
      </c>
      <c r="BI46" t="s">
        <v>441</v>
      </c>
      <c r="BJ46">
        <v>1920</v>
      </c>
      <c r="BK46" t="s">
        <v>119</v>
      </c>
      <c r="BL46" t="s">
        <v>128</v>
      </c>
      <c r="BM46">
        <v>34500</v>
      </c>
      <c r="BN46">
        <v>1</v>
      </c>
      <c r="BO46">
        <v>5</v>
      </c>
      <c r="BP46">
        <v>3</v>
      </c>
      <c r="BQ46">
        <v>1648</v>
      </c>
      <c r="BR46">
        <v>2894</v>
      </c>
      <c r="BS46">
        <v>37.828674153999998</v>
      </c>
      <c r="BT46">
        <v>-82.068025698</v>
      </c>
      <c r="BU46">
        <v>0</v>
      </c>
      <c r="BV46">
        <v>-3</v>
      </c>
      <c r="BW46">
        <v>0</v>
      </c>
      <c r="BX46" t="s">
        <v>134</v>
      </c>
      <c r="BY46">
        <v>0</v>
      </c>
      <c r="BZ46">
        <v>0</v>
      </c>
      <c r="CA46">
        <v>0</v>
      </c>
      <c r="CB46">
        <v>17250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O46">
        <v>0</v>
      </c>
      <c r="CP46">
        <v>0</v>
      </c>
      <c r="CQ46" t="s">
        <v>974</v>
      </c>
      <c r="CR46" t="s">
        <v>160</v>
      </c>
      <c r="CS46" t="s">
        <v>161</v>
      </c>
      <c r="CT46" t="s">
        <v>139</v>
      </c>
      <c r="CU46" t="s">
        <v>163</v>
      </c>
      <c r="CW46">
        <v>2</v>
      </c>
      <c r="CX46" t="s">
        <v>975</v>
      </c>
      <c r="CY46" t="s">
        <v>976</v>
      </c>
      <c r="CZ46" t="s">
        <v>1144</v>
      </c>
      <c r="DA46" t="s">
        <v>977</v>
      </c>
      <c r="DB46">
        <v>0</v>
      </c>
      <c r="DC46">
        <v>34500</v>
      </c>
    </row>
    <row r="47" spans="1:107" x14ac:dyDescent="0.25">
      <c r="A47" t="s">
        <v>475</v>
      </c>
      <c r="B47" t="s">
        <v>108</v>
      </c>
      <c r="C47" t="s">
        <v>476</v>
      </c>
      <c r="D47" t="s">
        <v>477</v>
      </c>
      <c r="F47" s="3" t="str">
        <f>HYPERLINK("https://mapwv.gov/flood/map/?wkid=102100&amp;x=-8941333.801163862&amp;y=4758487.93416411&amp;l=13&amp;v=2","FT")</f>
        <v>FT</v>
      </c>
      <c r="G47" s="3" t="str">
        <f>HYPERLINK("https://mapwv.gov/Assessment/Detail/?PID=17040802000800000000","Assessment")</f>
        <v>Assessment</v>
      </c>
      <c r="H47">
        <v>540059</v>
      </c>
      <c r="I47" t="s">
        <v>478</v>
      </c>
      <c r="J47" t="s">
        <v>453</v>
      </c>
      <c r="K47" t="s">
        <v>113</v>
      </c>
      <c r="L47" t="s">
        <v>479</v>
      </c>
      <c r="M47" t="s">
        <v>328</v>
      </c>
      <c r="N47" t="s">
        <v>199</v>
      </c>
      <c r="O47" t="s">
        <v>117</v>
      </c>
      <c r="P47" t="s">
        <v>150</v>
      </c>
      <c r="Q47" t="s">
        <v>260</v>
      </c>
      <c r="R47">
        <v>2.2999999999999998</v>
      </c>
      <c r="S47" t="s">
        <v>120</v>
      </c>
      <c r="T47" t="s">
        <v>151</v>
      </c>
      <c r="U47" t="s">
        <v>151</v>
      </c>
      <c r="V47">
        <v>969.4</v>
      </c>
      <c r="X47" t="s">
        <v>480</v>
      </c>
      <c r="Y47" t="s">
        <v>481</v>
      </c>
      <c r="Z47">
        <v>1996</v>
      </c>
      <c r="AA47" t="s">
        <v>175</v>
      </c>
      <c r="AB47" t="s">
        <v>175</v>
      </c>
      <c r="AC47" t="s">
        <v>288</v>
      </c>
      <c r="AD47">
        <v>4</v>
      </c>
      <c r="AE47">
        <v>393</v>
      </c>
      <c r="AF47" t="s">
        <v>482</v>
      </c>
      <c r="AG47" t="s">
        <v>483</v>
      </c>
      <c r="AH47" t="s">
        <v>288</v>
      </c>
      <c r="AI47">
        <v>1</v>
      </c>
      <c r="AJ47" t="s">
        <v>291</v>
      </c>
      <c r="AL47">
        <v>1014</v>
      </c>
      <c r="AM47" t="s">
        <v>206</v>
      </c>
      <c r="AN47" t="s">
        <v>131</v>
      </c>
      <c r="AO47">
        <v>1</v>
      </c>
      <c r="AP47">
        <v>0</v>
      </c>
      <c r="AQ47">
        <v>26400</v>
      </c>
      <c r="AR47">
        <v>6450</v>
      </c>
      <c r="AS47">
        <v>32900</v>
      </c>
      <c r="AT47" t="s">
        <v>132</v>
      </c>
      <c r="AU47">
        <v>1</v>
      </c>
      <c r="AV47">
        <v>2</v>
      </c>
      <c r="AW47">
        <v>1</v>
      </c>
      <c r="BE47">
        <v>2.1</v>
      </c>
      <c r="BF47">
        <v>0</v>
      </c>
      <c r="BG47">
        <v>0</v>
      </c>
      <c r="BH47" s="1">
        <v>44291</v>
      </c>
      <c r="BI47" t="s">
        <v>210</v>
      </c>
      <c r="BJ47">
        <v>1996</v>
      </c>
      <c r="BK47" t="s">
        <v>260</v>
      </c>
      <c r="BL47" t="s">
        <v>483</v>
      </c>
      <c r="BM47">
        <v>32900</v>
      </c>
      <c r="BN47">
        <v>1</v>
      </c>
      <c r="BO47">
        <v>7</v>
      </c>
      <c r="BP47">
        <v>1</v>
      </c>
      <c r="BQ47">
        <v>1014</v>
      </c>
      <c r="BR47">
        <v>1773</v>
      </c>
      <c r="BS47">
        <v>39.256556029000102</v>
      </c>
      <c r="BT47">
        <v>-80.321368139999905</v>
      </c>
      <c r="BU47">
        <v>2.3102417000000002</v>
      </c>
      <c r="BV47">
        <v>1.31024169921875</v>
      </c>
      <c r="BW47">
        <v>1</v>
      </c>
      <c r="BX47" t="s">
        <v>484</v>
      </c>
      <c r="BY47">
        <v>217</v>
      </c>
      <c r="BZ47">
        <v>10.5512084960937</v>
      </c>
      <c r="CA47">
        <v>3471.3475952148401</v>
      </c>
      <c r="CB47">
        <v>32900</v>
      </c>
      <c r="CC47">
        <v>90</v>
      </c>
      <c r="CD47">
        <v>30.9638671875</v>
      </c>
      <c r="CE47">
        <v>10187.1123046875</v>
      </c>
      <c r="CF47">
        <v>6986.46</v>
      </c>
      <c r="CG47">
        <v>1</v>
      </c>
      <c r="CH47">
        <v>36.5843505859375</v>
      </c>
      <c r="CI47">
        <v>2555.9510199462802</v>
      </c>
      <c r="CJ47" t="s">
        <v>485</v>
      </c>
      <c r="CK47">
        <v>1.8251999999999999</v>
      </c>
      <c r="CL47">
        <v>0</v>
      </c>
      <c r="CM47">
        <v>0</v>
      </c>
      <c r="CN47">
        <v>1.8251999999999999</v>
      </c>
      <c r="CO47">
        <v>360</v>
      </c>
      <c r="CP47">
        <v>540</v>
      </c>
      <c r="CQ47" t="s">
        <v>457</v>
      </c>
      <c r="CR47" t="s">
        <v>294</v>
      </c>
      <c r="CS47" t="s">
        <v>138</v>
      </c>
      <c r="CT47" t="s">
        <v>139</v>
      </c>
      <c r="CU47" t="s">
        <v>140</v>
      </c>
      <c r="CW47">
        <v>6</v>
      </c>
      <c r="CX47" t="s">
        <v>486</v>
      </c>
      <c r="CY47" t="s">
        <v>459</v>
      </c>
      <c r="CZ47" t="s">
        <v>477</v>
      </c>
      <c r="DA47" t="s">
        <v>460</v>
      </c>
      <c r="DB47">
        <v>0</v>
      </c>
      <c r="DC47">
        <v>32900</v>
      </c>
    </row>
    <row r="48" spans="1:107" x14ac:dyDescent="0.25">
      <c r="A48" t="s">
        <v>1102</v>
      </c>
      <c r="B48" t="s">
        <v>108</v>
      </c>
      <c r="C48" t="s">
        <v>1103</v>
      </c>
      <c r="D48" t="s">
        <v>1104</v>
      </c>
      <c r="F48" s="3" t="str">
        <f>HYPERLINK("https://mapwv.gov/flood/map/?wkid=102100&amp;x=-9113713.619739227&amp;y=4543568.711621107&amp;l=13&amp;v=2","FT")</f>
        <v>FT</v>
      </c>
      <c r="G48" s="3" t="str">
        <f>HYPERLINK("https://mapwv.gov/Assessment/Detail/?PID=23060004007900000000","Assessment")</f>
        <v>Assessment</v>
      </c>
      <c r="H48">
        <v>545537</v>
      </c>
      <c r="I48" t="s">
        <v>1105</v>
      </c>
      <c r="J48" t="s">
        <v>965</v>
      </c>
      <c r="K48" t="s">
        <v>113</v>
      </c>
      <c r="L48" t="s">
        <v>1064</v>
      </c>
      <c r="M48" t="s">
        <v>967</v>
      </c>
      <c r="N48" t="s">
        <v>199</v>
      </c>
      <c r="O48" t="s">
        <v>117</v>
      </c>
      <c r="P48" t="s">
        <v>150</v>
      </c>
      <c r="Q48" t="s">
        <v>119</v>
      </c>
      <c r="R48">
        <v>6.3</v>
      </c>
      <c r="S48" t="s">
        <v>120</v>
      </c>
      <c r="T48">
        <v>748.8</v>
      </c>
      <c r="U48" t="s">
        <v>365</v>
      </c>
      <c r="V48">
        <v>741.8</v>
      </c>
      <c r="X48" t="s">
        <v>1106</v>
      </c>
      <c r="Y48" t="s">
        <v>1107</v>
      </c>
      <c r="Z48">
        <v>1940</v>
      </c>
      <c r="AA48" t="s">
        <v>202</v>
      </c>
      <c r="AB48" t="s">
        <v>155</v>
      </c>
      <c r="AC48" t="s">
        <v>129</v>
      </c>
      <c r="AD48">
        <v>2</v>
      </c>
      <c r="AE48">
        <v>101</v>
      </c>
      <c r="AF48" t="s">
        <v>127</v>
      </c>
      <c r="AG48" t="s">
        <v>128</v>
      </c>
      <c r="AH48" t="s">
        <v>129</v>
      </c>
      <c r="AI48">
        <v>1</v>
      </c>
      <c r="AJ48" t="s">
        <v>341</v>
      </c>
      <c r="AK48" t="s">
        <v>130</v>
      </c>
      <c r="AL48">
        <v>1183</v>
      </c>
      <c r="AM48" t="s">
        <v>157</v>
      </c>
      <c r="AN48" t="s">
        <v>158</v>
      </c>
      <c r="AO48">
        <v>3</v>
      </c>
      <c r="AP48">
        <v>32800</v>
      </c>
      <c r="AQ48">
        <v>0</v>
      </c>
      <c r="AR48">
        <v>0</v>
      </c>
      <c r="AS48">
        <v>32800</v>
      </c>
      <c r="AT48" t="s">
        <v>132</v>
      </c>
      <c r="AU48">
        <v>1</v>
      </c>
      <c r="AV48">
        <v>0</v>
      </c>
      <c r="AW48">
        <v>1</v>
      </c>
      <c r="BE48">
        <v>2.5</v>
      </c>
      <c r="BF48">
        <v>1</v>
      </c>
      <c r="BG48">
        <v>2.5</v>
      </c>
      <c r="BH48" s="1">
        <v>44348</v>
      </c>
      <c r="BI48" t="s">
        <v>210</v>
      </c>
      <c r="BJ48">
        <v>1940</v>
      </c>
      <c r="BK48" t="s">
        <v>119</v>
      </c>
      <c r="BL48" t="s">
        <v>128</v>
      </c>
      <c r="BM48">
        <v>32800</v>
      </c>
      <c r="BN48">
        <v>1</v>
      </c>
      <c r="BO48">
        <v>5</v>
      </c>
      <c r="BP48">
        <v>3</v>
      </c>
      <c r="BQ48">
        <v>1183</v>
      </c>
      <c r="BR48">
        <v>5414</v>
      </c>
      <c r="BS48">
        <v>37.7457350560001</v>
      </c>
      <c r="BT48">
        <v>-81.869882396999898</v>
      </c>
      <c r="BU48">
        <v>6.0199585000000004</v>
      </c>
      <c r="BV48">
        <v>3.01995849609375</v>
      </c>
      <c r="BW48">
        <v>1</v>
      </c>
      <c r="BX48" t="s">
        <v>134</v>
      </c>
      <c r="BY48">
        <v>129</v>
      </c>
      <c r="BZ48">
        <v>40.1397094726562</v>
      </c>
      <c r="CA48">
        <v>13165.824707031201</v>
      </c>
      <c r="CB48">
        <v>16400</v>
      </c>
      <c r="CC48">
        <v>45</v>
      </c>
      <c r="CD48">
        <v>44.15966796875</v>
      </c>
      <c r="CE48">
        <v>7242.185546875</v>
      </c>
      <c r="CF48">
        <v>0</v>
      </c>
      <c r="CG48">
        <v>0</v>
      </c>
      <c r="CH48">
        <v>0</v>
      </c>
      <c r="CI48">
        <v>0</v>
      </c>
      <c r="CJ48" t="s">
        <v>368</v>
      </c>
      <c r="CK48">
        <v>4.8502999999999901</v>
      </c>
      <c r="CL48">
        <v>0</v>
      </c>
      <c r="CM48">
        <v>0</v>
      </c>
      <c r="CN48">
        <v>4.8502999999999901</v>
      </c>
      <c r="CO48">
        <v>180</v>
      </c>
      <c r="CP48">
        <v>360</v>
      </c>
      <c r="CQ48" t="s">
        <v>974</v>
      </c>
      <c r="CR48" t="s">
        <v>183</v>
      </c>
      <c r="CS48" t="s">
        <v>138</v>
      </c>
      <c r="CT48" t="s">
        <v>139</v>
      </c>
      <c r="CU48" t="s">
        <v>140</v>
      </c>
      <c r="CW48">
        <v>2</v>
      </c>
      <c r="CX48" t="s">
        <v>1108</v>
      </c>
      <c r="CY48" t="s">
        <v>976</v>
      </c>
      <c r="CZ48" t="s">
        <v>1104</v>
      </c>
      <c r="DA48" t="s">
        <v>977</v>
      </c>
      <c r="DB48">
        <v>0</v>
      </c>
      <c r="DC48">
        <v>32800</v>
      </c>
    </row>
    <row r="49" spans="1:107" x14ac:dyDescent="0.25">
      <c r="A49" t="s">
        <v>708</v>
      </c>
      <c r="B49" t="s">
        <v>108</v>
      </c>
      <c r="C49" t="s">
        <v>709</v>
      </c>
      <c r="D49" t="s">
        <v>710</v>
      </c>
      <c r="F49" s="3" t="str">
        <f>HYPERLINK("https://mapwv.gov/flood/map/?wkid=102100&amp;x=-9141079.133423097&amp;y=4619090.130874603&amp;l=13&amp;v=2","FT")</f>
        <v>FT</v>
      </c>
      <c r="G49" s="3" t="str">
        <f>HYPERLINK("https://mapwv.gov/Assessment/Detail/?PID=22010035000900010000","Assessment")</f>
        <v>Assessment</v>
      </c>
      <c r="H49">
        <v>540088</v>
      </c>
      <c r="I49" t="s">
        <v>632</v>
      </c>
      <c r="J49" t="s">
        <v>633</v>
      </c>
      <c r="K49" t="s">
        <v>148</v>
      </c>
      <c r="L49" t="s">
        <v>557</v>
      </c>
      <c r="M49" t="s">
        <v>550</v>
      </c>
      <c r="N49" t="s">
        <v>704</v>
      </c>
      <c r="O49" t="s">
        <v>117</v>
      </c>
      <c r="P49" t="s">
        <v>118</v>
      </c>
      <c r="Q49" t="s">
        <v>119</v>
      </c>
      <c r="R49">
        <v>2.1</v>
      </c>
      <c r="S49" t="s">
        <v>120</v>
      </c>
      <c r="T49">
        <v>640.9</v>
      </c>
      <c r="U49" t="s">
        <v>365</v>
      </c>
      <c r="V49">
        <v>638.6</v>
      </c>
      <c r="X49" t="s">
        <v>705</v>
      </c>
      <c r="Y49" t="s">
        <v>711</v>
      </c>
      <c r="Z49">
        <v>1966</v>
      </c>
      <c r="AA49" t="s">
        <v>241</v>
      </c>
      <c r="AB49" t="s">
        <v>155</v>
      </c>
      <c r="AC49" t="s">
        <v>129</v>
      </c>
      <c r="AD49">
        <v>3</v>
      </c>
      <c r="AE49">
        <v>101</v>
      </c>
      <c r="AF49" t="s">
        <v>127</v>
      </c>
      <c r="AG49" t="s">
        <v>128</v>
      </c>
      <c r="AH49" t="s">
        <v>129</v>
      </c>
      <c r="AI49">
        <v>1</v>
      </c>
      <c r="AJ49" t="s">
        <v>341</v>
      </c>
      <c r="AK49" t="s">
        <v>130</v>
      </c>
      <c r="AL49">
        <v>1040</v>
      </c>
      <c r="AM49" t="s">
        <v>157</v>
      </c>
      <c r="AN49" t="s">
        <v>158</v>
      </c>
      <c r="AO49">
        <v>3</v>
      </c>
      <c r="AP49">
        <v>30100</v>
      </c>
      <c r="AQ49">
        <v>0</v>
      </c>
      <c r="AR49">
        <v>2640</v>
      </c>
      <c r="AS49">
        <v>32700</v>
      </c>
      <c r="AT49" t="s">
        <v>132</v>
      </c>
      <c r="AU49">
        <v>1</v>
      </c>
      <c r="AV49">
        <v>1</v>
      </c>
      <c r="AW49">
        <v>1</v>
      </c>
      <c r="BE49">
        <v>2.6</v>
      </c>
      <c r="BF49">
        <v>1</v>
      </c>
      <c r="BG49">
        <v>2.6</v>
      </c>
      <c r="BH49" s="1">
        <v>44319</v>
      </c>
      <c r="BI49" t="s">
        <v>707</v>
      </c>
      <c r="BJ49">
        <v>1966</v>
      </c>
      <c r="BK49" t="s">
        <v>119</v>
      </c>
      <c r="BL49" t="s">
        <v>128</v>
      </c>
      <c r="BM49">
        <v>32700</v>
      </c>
      <c r="BN49">
        <v>1</v>
      </c>
      <c r="BO49">
        <v>5</v>
      </c>
      <c r="BP49">
        <v>3</v>
      </c>
      <c r="BQ49">
        <v>1040</v>
      </c>
      <c r="BR49">
        <v>2168</v>
      </c>
      <c r="BS49">
        <v>38.280238675</v>
      </c>
      <c r="BT49">
        <v>-82.115710988999894</v>
      </c>
      <c r="BU49">
        <v>2.130188</v>
      </c>
      <c r="BV49">
        <v>-0.86981201171875</v>
      </c>
      <c r="BW49">
        <v>1</v>
      </c>
      <c r="BX49" t="s">
        <v>134</v>
      </c>
      <c r="BY49">
        <v>129</v>
      </c>
      <c r="BZ49">
        <v>4.3018798828125</v>
      </c>
      <c r="CA49">
        <v>1406.71472167968</v>
      </c>
      <c r="CB49">
        <v>16350</v>
      </c>
      <c r="CC49">
        <v>45</v>
      </c>
      <c r="CD49">
        <v>5.562255859375</v>
      </c>
      <c r="CE49">
        <v>909.42883300781205</v>
      </c>
      <c r="CF49">
        <v>0</v>
      </c>
      <c r="CG49">
        <v>0</v>
      </c>
      <c r="CH49">
        <v>0</v>
      </c>
      <c r="CI49">
        <v>0</v>
      </c>
      <c r="CO49">
        <v>0</v>
      </c>
      <c r="CP49">
        <v>0</v>
      </c>
      <c r="CQ49" t="s">
        <v>637</v>
      </c>
      <c r="CR49" t="s">
        <v>137</v>
      </c>
      <c r="CS49" t="s">
        <v>138</v>
      </c>
      <c r="CT49" t="s">
        <v>139</v>
      </c>
      <c r="CU49" t="s">
        <v>267</v>
      </c>
      <c r="CW49">
        <v>2</v>
      </c>
      <c r="CX49" t="s">
        <v>638</v>
      </c>
      <c r="CY49" t="s">
        <v>639</v>
      </c>
      <c r="CZ49" t="s">
        <v>710</v>
      </c>
      <c r="DA49" t="s">
        <v>640</v>
      </c>
      <c r="DB49">
        <v>0</v>
      </c>
      <c r="DC49">
        <v>32700</v>
      </c>
    </row>
    <row r="50" spans="1:107" x14ac:dyDescent="0.25">
      <c r="A50" t="s">
        <v>1479</v>
      </c>
      <c r="B50" t="s">
        <v>108</v>
      </c>
      <c r="C50" t="s">
        <v>1480</v>
      </c>
      <c r="D50" t="s">
        <v>1481</v>
      </c>
      <c r="F50" s="3" t="str">
        <f>HYPERLINK("https://mapwv.gov/flood/map/?wkid=102100&amp;x=-9054038.841799162&amp;y=4648934.081783184&amp;l=13&amp;v=2","FT")</f>
        <v>FT</v>
      </c>
      <c r="G50" s="3" t="str">
        <f>HYPERLINK("https://mapwv.gov/Assessment/Detail/?PID=20020008002000000000","Assessment")</f>
        <v>Assessment</v>
      </c>
      <c r="H50">
        <v>540075</v>
      </c>
      <c r="I50" t="s">
        <v>1425</v>
      </c>
      <c r="J50" t="s">
        <v>1282</v>
      </c>
      <c r="K50" t="s">
        <v>113</v>
      </c>
      <c r="L50" t="s">
        <v>596</v>
      </c>
      <c r="M50" t="s">
        <v>172</v>
      </c>
      <c r="N50" t="s">
        <v>199</v>
      </c>
      <c r="O50" t="s">
        <v>117</v>
      </c>
      <c r="P50" t="s">
        <v>150</v>
      </c>
      <c r="Q50" t="s">
        <v>119</v>
      </c>
      <c r="R50">
        <v>4.8</v>
      </c>
      <c r="S50" t="s">
        <v>120</v>
      </c>
      <c r="T50" t="s">
        <v>151</v>
      </c>
      <c r="U50" t="s">
        <v>151</v>
      </c>
      <c r="V50">
        <v>627.9</v>
      </c>
      <c r="X50" t="s">
        <v>1482</v>
      </c>
      <c r="Y50" t="s">
        <v>1483</v>
      </c>
      <c r="Z50">
        <v>1923</v>
      </c>
      <c r="AA50" t="s">
        <v>241</v>
      </c>
      <c r="AB50" t="s">
        <v>155</v>
      </c>
      <c r="AC50" t="s">
        <v>129</v>
      </c>
      <c r="AD50">
        <v>2</v>
      </c>
      <c r="AE50">
        <v>101</v>
      </c>
      <c r="AF50" t="s">
        <v>127</v>
      </c>
      <c r="AG50" t="s">
        <v>128</v>
      </c>
      <c r="AH50" t="s">
        <v>129</v>
      </c>
      <c r="AI50">
        <v>1</v>
      </c>
      <c r="AJ50" t="s">
        <v>694</v>
      </c>
      <c r="AK50" t="s">
        <v>130</v>
      </c>
      <c r="AL50">
        <v>941</v>
      </c>
      <c r="AM50" t="s">
        <v>157</v>
      </c>
      <c r="AN50" t="s">
        <v>158</v>
      </c>
      <c r="AO50">
        <v>3</v>
      </c>
      <c r="AP50">
        <v>31500</v>
      </c>
      <c r="AQ50">
        <v>0</v>
      </c>
      <c r="AR50">
        <v>250</v>
      </c>
      <c r="AS50">
        <v>31800</v>
      </c>
      <c r="AT50" t="s">
        <v>132</v>
      </c>
      <c r="AU50">
        <v>1</v>
      </c>
      <c r="AV50">
        <v>1</v>
      </c>
      <c r="AW50">
        <v>1</v>
      </c>
      <c r="BE50">
        <v>2.5</v>
      </c>
      <c r="BF50">
        <v>1</v>
      </c>
      <c r="BG50">
        <v>2.5</v>
      </c>
      <c r="BH50" s="1">
        <v>44362</v>
      </c>
      <c r="BI50" t="s">
        <v>1437</v>
      </c>
      <c r="BJ50">
        <v>1923</v>
      </c>
      <c r="BK50" t="s">
        <v>119</v>
      </c>
      <c r="BL50" t="s">
        <v>128</v>
      </c>
      <c r="BM50">
        <v>31800</v>
      </c>
      <c r="BN50">
        <v>1</v>
      </c>
      <c r="BO50">
        <v>5</v>
      </c>
      <c r="BP50">
        <v>3</v>
      </c>
      <c r="BQ50">
        <v>941</v>
      </c>
      <c r="BR50">
        <v>11634</v>
      </c>
      <c r="BS50">
        <v>38.490383645999998</v>
      </c>
      <c r="BT50">
        <v>-81.333814746000002</v>
      </c>
      <c r="BU50">
        <v>4.7666016000000004</v>
      </c>
      <c r="BV50">
        <v>1.7666015625</v>
      </c>
      <c r="BW50">
        <v>1</v>
      </c>
      <c r="BX50" t="s">
        <v>134</v>
      </c>
      <c r="BY50">
        <v>129</v>
      </c>
      <c r="BZ50">
        <v>29.8994140625</v>
      </c>
      <c r="CA50">
        <v>9508.013671875</v>
      </c>
      <c r="CB50">
        <v>15900</v>
      </c>
      <c r="CC50">
        <v>45</v>
      </c>
      <c r="CD50">
        <v>33.666015625</v>
      </c>
      <c r="CE50">
        <v>5352.896484375</v>
      </c>
      <c r="CF50">
        <v>0</v>
      </c>
      <c r="CG50">
        <v>0</v>
      </c>
      <c r="CH50">
        <v>0</v>
      </c>
      <c r="CI50">
        <v>0</v>
      </c>
      <c r="CJ50" t="s">
        <v>368</v>
      </c>
      <c r="CK50">
        <v>3.8580999999999901</v>
      </c>
      <c r="CL50">
        <v>0</v>
      </c>
      <c r="CM50">
        <v>0</v>
      </c>
      <c r="CN50">
        <v>3.8580999999999901</v>
      </c>
      <c r="CO50">
        <v>180</v>
      </c>
      <c r="CP50">
        <v>360</v>
      </c>
      <c r="CQ50" t="s">
        <v>1286</v>
      </c>
      <c r="CR50" t="s">
        <v>183</v>
      </c>
      <c r="CS50" t="s">
        <v>138</v>
      </c>
      <c r="CT50" t="s">
        <v>139</v>
      </c>
      <c r="CU50" t="s">
        <v>140</v>
      </c>
      <c r="CW50">
        <v>3</v>
      </c>
      <c r="CX50" t="s">
        <v>1430</v>
      </c>
      <c r="CY50" t="s">
        <v>1288</v>
      </c>
      <c r="CZ50" t="s">
        <v>1481</v>
      </c>
      <c r="DA50" t="s">
        <v>1289</v>
      </c>
      <c r="DB50">
        <v>0</v>
      </c>
      <c r="DC50">
        <v>31800</v>
      </c>
    </row>
    <row r="51" spans="1:107" x14ac:dyDescent="0.25">
      <c r="A51" t="s">
        <v>1263</v>
      </c>
      <c r="B51" t="s">
        <v>108</v>
      </c>
      <c r="C51" t="s">
        <v>1264</v>
      </c>
      <c r="D51" t="s">
        <v>1265</v>
      </c>
      <c r="F51" s="3" t="str">
        <f>HYPERLINK("https://mapwv.gov/flood/map/?wkid=102100&amp;x=-9148225.24594448&amp;y=4534511.940222479&amp;l=13&amp;v=2","FT")</f>
        <v>FT</v>
      </c>
      <c r="G51" s="3" t="str">
        <f>HYPERLINK("https://mapwv.gov/Assessment/Detail/?PID=30070406009200010000","Assessment")</f>
        <v>Assessment</v>
      </c>
      <c r="H51">
        <v>540133</v>
      </c>
      <c r="I51" t="s">
        <v>1248</v>
      </c>
      <c r="J51" t="s">
        <v>1249</v>
      </c>
      <c r="K51" t="s">
        <v>148</v>
      </c>
      <c r="L51" t="s">
        <v>1260</v>
      </c>
      <c r="M51" t="s">
        <v>787</v>
      </c>
      <c r="N51" t="s">
        <v>199</v>
      </c>
      <c r="O51" t="s">
        <v>117</v>
      </c>
      <c r="P51" t="s">
        <v>150</v>
      </c>
      <c r="Q51" t="s">
        <v>260</v>
      </c>
      <c r="R51">
        <v>0.7</v>
      </c>
      <c r="S51" t="s">
        <v>120</v>
      </c>
      <c r="T51">
        <v>801</v>
      </c>
      <c r="U51" t="s">
        <v>365</v>
      </c>
      <c r="V51">
        <v>800.3</v>
      </c>
      <c r="X51" t="s">
        <v>1266</v>
      </c>
      <c r="Y51" t="s">
        <v>1267</v>
      </c>
      <c r="Z51">
        <v>2002</v>
      </c>
      <c r="AA51" t="s">
        <v>175</v>
      </c>
      <c r="AB51" t="s">
        <v>155</v>
      </c>
      <c r="AC51" t="s">
        <v>129</v>
      </c>
      <c r="AD51">
        <v>3</v>
      </c>
      <c r="AE51">
        <v>108</v>
      </c>
      <c r="AF51" t="s">
        <v>176</v>
      </c>
      <c r="AG51" t="s">
        <v>177</v>
      </c>
      <c r="AH51" t="s">
        <v>129</v>
      </c>
      <c r="AI51">
        <v>1</v>
      </c>
      <c r="AL51">
        <v>2240</v>
      </c>
      <c r="AN51" t="s">
        <v>158</v>
      </c>
      <c r="AO51">
        <v>4</v>
      </c>
      <c r="AP51">
        <v>0</v>
      </c>
      <c r="AQ51">
        <v>0</v>
      </c>
      <c r="AR51">
        <v>31380</v>
      </c>
      <c r="AS51">
        <v>31400</v>
      </c>
      <c r="AT51" t="s">
        <v>132</v>
      </c>
      <c r="AU51">
        <v>1</v>
      </c>
      <c r="AV51">
        <v>3</v>
      </c>
      <c r="BE51">
        <v>2.4</v>
      </c>
      <c r="BF51">
        <v>0</v>
      </c>
      <c r="BG51">
        <v>0</v>
      </c>
      <c r="BH51" s="1">
        <v>44362</v>
      </c>
      <c r="BI51" t="s">
        <v>210</v>
      </c>
      <c r="BJ51">
        <v>2002</v>
      </c>
      <c r="BK51" t="s">
        <v>260</v>
      </c>
      <c r="BL51" t="s">
        <v>177</v>
      </c>
      <c r="BM51">
        <v>31400</v>
      </c>
      <c r="BN51">
        <v>1</v>
      </c>
      <c r="BO51">
        <v>5</v>
      </c>
      <c r="BP51">
        <v>4</v>
      </c>
      <c r="BQ51">
        <v>2240</v>
      </c>
      <c r="BR51">
        <v>1420</v>
      </c>
      <c r="BS51">
        <v>37.681374185000003</v>
      </c>
      <c r="BT51">
        <v>-82.179905609999906</v>
      </c>
      <c r="BU51">
        <v>0.65478515999999998</v>
      </c>
      <c r="BV51">
        <v>-3.34521484375</v>
      </c>
      <c r="BW51">
        <v>1</v>
      </c>
      <c r="BX51" t="s">
        <v>181</v>
      </c>
      <c r="BY51">
        <v>189</v>
      </c>
      <c r="BZ51">
        <v>0</v>
      </c>
      <c r="CA51">
        <v>0</v>
      </c>
      <c r="CB51">
        <v>15700</v>
      </c>
      <c r="CC51">
        <v>74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O51">
        <v>0</v>
      </c>
      <c r="CP51">
        <v>0</v>
      </c>
      <c r="CQ51" t="s">
        <v>1253</v>
      </c>
      <c r="CR51" t="s">
        <v>183</v>
      </c>
      <c r="CS51" t="s">
        <v>138</v>
      </c>
      <c r="CT51" t="s">
        <v>139</v>
      </c>
      <c r="CU51" t="s">
        <v>163</v>
      </c>
      <c r="CW51">
        <v>2</v>
      </c>
      <c r="CX51" t="s">
        <v>1254</v>
      </c>
      <c r="CY51" t="s">
        <v>1255</v>
      </c>
      <c r="CZ51" t="s">
        <v>1265</v>
      </c>
      <c r="DA51" t="s">
        <v>1256</v>
      </c>
      <c r="DB51">
        <v>0</v>
      </c>
      <c r="DC51">
        <v>31400</v>
      </c>
    </row>
    <row r="52" spans="1:107" x14ac:dyDescent="0.25">
      <c r="A52" t="s">
        <v>487</v>
      </c>
      <c r="B52" t="s">
        <v>108</v>
      </c>
      <c r="C52" t="s">
        <v>488</v>
      </c>
      <c r="D52" t="s">
        <v>489</v>
      </c>
      <c r="F52" s="3" t="str">
        <f>HYPERLINK("https://mapwv.gov/flood/map/?wkid=102100&amp;x=-8913053.072839286&amp;y=4778776.039876748&amp;l=13&amp;v=2","FT")</f>
        <v>FT</v>
      </c>
      <c r="G52" s="3" t="str">
        <f>HYPERLINK("https://mapwv.gov/Assessment/Detail/?PID=24180044000700000000","Assessment")</f>
        <v>Assessment</v>
      </c>
      <c r="H52">
        <v>540097</v>
      </c>
      <c r="I52" t="s">
        <v>490</v>
      </c>
      <c r="J52" t="s">
        <v>491</v>
      </c>
      <c r="K52" t="s">
        <v>148</v>
      </c>
      <c r="L52" t="s">
        <v>492</v>
      </c>
      <c r="M52" t="s">
        <v>115</v>
      </c>
      <c r="N52" t="s">
        <v>149</v>
      </c>
      <c r="O52" t="s">
        <v>117</v>
      </c>
      <c r="P52" t="s">
        <v>150</v>
      </c>
      <c r="Q52" t="s">
        <v>119</v>
      </c>
      <c r="R52">
        <v>1</v>
      </c>
      <c r="S52" t="s">
        <v>120</v>
      </c>
      <c r="T52">
        <v>1339.7</v>
      </c>
      <c r="U52" t="s">
        <v>121</v>
      </c>
      <c r="V52">
        <v>1339</v>
      </c>
      <c r="X52" t="s">
        <v>493</v>
      </c>
      <c r="Y52" t="s">
        <v>494</v>
      </c>
      <c r="Z52">
        <v>1951</v>
      </c>
      <c r="AA52" t="s">
        <v>241</v>
      </c>
      <c r="AB52" t="s">
        <v>155</v>
      </c>
      <c r="AC52" t="s">
        <v>129</v>
      </c>
      <c r="AD52">
        <v>2</v>
      </c>
      <c r="AE52">
        <v>101</v>
      </c>
      <c r="AF52" t="s">
        <v>127</v>
      </c>
      <c r="AG52" t="s">
        <v>128</v>
      </c>
      <c r="AH52" t="s">
        <v>129</v>
      </c>
      <c r="AI52">
        <v>1</v>
      </c>
      <c r="AJ52" t="s">
        <v>291</v>
      </c>
      <c r="AK52" t="s">
        <v>130</v>
      </c>
      <c r="AL52">
        <v>682</v>
      </c>
      <c r="AM52" t="s">
        <v>157</v>
      </c>
      <c r="AN52" t="s">
        <v>158</v>
      </c>
      <c r="AO52">
        <v>3</v>
      </c>
      <c r="AP52">
        <v>30900</v>
      </c>
      <c r="AQ52">
        <v>0</v>
      </c>
      <c r="AR52">
        <v>120</v>
      </c>
      <c r="AS52">
        <v>31000</v>
      </c>
      <c r="AT52" t="s">
        <v>132</v>
      </c>
      <c r="AU52">
        <v>1</v>
      </c>
      <c r="AV52">
        <v>1</v>
      </c>
      <c r="AW52">
        <v>1</v>
      </c>
      <c r="BC52" t="s">
        <v>209</v>
      </c>
      <c r="BE52">
        <v>2.5</v>
      </c>
      <c r="BF52">
        <v>1</v>
      </c>
      <c r="BG52">
        <v>2.5</v>
      </c>
      <c r="BH52" s="1">
        <v>44291</v>
      </c>
      <c r="BI52" t="s">
        <v>331</v>
      </c>
      <c r="BJ52">
        <v>1951</v>
      </c>
      <c r="BK52" t="s">
        <v>119</v>
      </c>
      <c r="BL52" t="s">
        <v>128</v>
      </c>
      <c r="BM52">
        <v>31000</v>
      </c>
      <c r="BN52">
        <v>1</v>
      </c>
      <c r="BO52">
        <v>5</v>
      </c>
      <c r="BP52">
        <v>3</v>
      </c>
      <c r="BQ52">
        <v>682</v>
      </c>
      <c r="BR52">
        <v>20</v>
      </c>
      <c r="BS52">
        <v>39.397534712999899</v>
      </c>
      <c r="BT52">
        <v>-80.067318035</v>
      </c>
      <c r="BU52">
        <v>0.98579720000000004</v>
      </c>
      <c r="BV52">
        <v>-2.01420277357101</v>
      </c>
      <c r="BW52">
        <v>1</v>
      </c>
      <c r="BX52" t="s">
        <v>134</v>
      </c>
      <c r="BY52">
        <v>129</v>
      </c>
      <c r="BZ52">
        <v>0</v>
      </c>
      <c r="CA52">
        <v>0</v>
      </c>
      <c r="CB52">
        <v>15500</v>
      </c>
      <c r="CC52">
        <v>45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O52">
        <v>0</v>
      </c>
      <c r="CP52">
        <v>0</v>
      </c>
      <c r="CQ52" t="s">
        <v>495</v>
      </c>
      <c r="CR52" t="s">
        <v>183</v>
      </c>
      <c r="CS52" t="s">
        <v>138</v>
      </c>
      <c r="CT52" t="s">
        <v>139</v>
      </c>
      <c r="CU52" t="s">
        <v>163</v>
      </c>
      <c r="CW52">
        <v>6</v>
      </c>
      <c r="CX52" t="s">
        <v>496</v>
      </c>
      <c r="CY52" t="s">
        <v>497</v>
      </c>
      <c r="CZ52" t="s">
        <v>489</v>
      </c>
      <c r="DA52" t="s">
        <v>498</v>
      </c>
      <c r="DB52">
        <v>0</v>
      </c>
      <c r="DC52">
        <v>31000</v>
      </c>
    </row>
    <row r="53" spans="1:107" x14ac:dyDescent="0.25">
      <c r="A53" t="s">
        <v>1548</v>
      </c>
      <c r="B53" t="s">
        <v>108</v>
      </c>
      <c r="C53" t="s">
        <v>1549</v>
      </c>
      <c r="D53" t="s">
        <v>1550</v>
      </c>
      <c r="F53" s="3" t="str">
        <f>HYPERLINK("https://mapwv.gov/flood/map/?wkid=102100&amp;x=-9083071.862455778&amp;y=4630715.273930561&amp;l=13&amp;v=2","FT")</f>
        <v>FT</v>
      </c>
      <c r="G53" s="3" t="str">
        <f>HYPERLINK("https://mapwv.gov/Assessment/Detail/?PID=2015053A001600000000","Assessment")</f>
        <v>Assessment</v>
      </c>
      <c r="H53">
        <v>540070</v>
      </c>
      <c r="I53" t="s">
        <v>1306</v>
      </c>
      <c r="J53" t="s">
        <v>1282</v>
      </c>
      <c r="K53" t="s">
        <v>148</v>
      </c>
      <c r="L53" t="s">
        <v>1551</v>
      </c>
      <c r="M53" t="s">
        <v>172</v>
      </c>
      <c r="N53" t="s">
        <v>199</v>
      </c>
      <c r="O53" t="s">
        <v>383</v>
      </c>
      <c r="P53" t="s">
        <v>150</v>
      </c>
      <c r="Q53" t="s">
        <v>119</v>
      </c>
      <c r="R53">
        <v>4.3</v>
      </c>
      <c r="S53" t="s">
        <v>120</v>
      </c>
      <c r="T53" t="s">
        <v>151</v>
      </c>
      <c r="U53" t="s">
        <v>151</v>
      </c>
      <c r="V53">
        <v>598.4</v>
      </c>
      <c r="X53" t="s">
        <v>1552</v>
      </c>
      <c r="Y53" t="s">
        <v>1553</v>
      </c>
      <c r="Z53">
        <v>1983</v>
      </c>
      <c r="AA53" t="s">
        <v>124</v>
      </c>
      <c r="AB53" t="s">
        <v>155</v>
      </c>
      <c r="AC53" t="s">
        <v>129</v>
      </c>
      <c r="AD53">
        <v>2</v>
      </c>
      <c r="AE53">
        <v>101</v>
      </c>
      <c r="AF53" t="s">
        <v>127</v>
      </c>
      <c r="AG53" t="s">
        <v>128</v>
      </c>
      <c r="AH53" t="s">
        <v>129</v>
      </c>
      <c r="AI53">
        <v>1</v>
      </c>
      <c r="AJ53" t="s">
        <v>156</v>
      </c>
      <c r="AK53" t="s">
        <v>130</v>
      </c>
      <c r="AL53">
        <v>640</v>
      </c>
      <c r="AM53" t="s">
        <v>157</v>
      </c>
      <c r="AN53" t="s">
        <v>158</v>
      </c>
      <c r="AO53">
        <v>3</v>
      </c>
      <c r="AP53">
        <v>28500</v>
      </c>
      <c r="AQ53">
        <v>0</v>
      </c>
      <c r="AR53">
        <v>1390</v>
      </c>
      <c r="AS53">
        <v>29900</v>
      </c>
      <c r="AT53" t="s">
        <v>132</v>
      </c>
      <c r="AU53">
        <v>1</v>
      </c>
      <c r="AV53">
        <v>1</v>
      </c>
      <c r="AW53">
        <v>1</v>
      </c>
      <c r="BE53">
        <v>2.4</v>
      </c>
      <c r="BF53">
        <v>1</v>
      </c>
      <c r="BG53">
        <v>2.4</v>
      </c>
      <c r="BH53" s="1">
        <v>44362</v>
      </c>
      <c r="BI53" t="s">
        <v>384</v>
      </c>
      <c r="BJ53">
        <v>1983</v>
      </c>
      <c r="BK53" t="s">
        <v>119</v>
      </c>
      <c r="BL53" t="s">
        <v>128</v>
      </c>
      <c r="BM53">
        <v>29900</v>
      </c>
      <c r="BN53">
        <v>1</v>
      </c>
      <c r="BO53">
        <v>5</v>
      </c>
      <c r="BP53">
        <v>3</v>
      </c>
      <c r="BQ53">
        <v>640</v>
      </c>
      <c r="BR53">
        <v>5131</v>
      </c>
      <c r="BS53">
        <v>38.3621692400001</v>
      </c>
      <c r="BT53">
        <v>-81.594622807999798</v>
      </c>
      <c r="BU53">
        <v>4.7987669999999998</v>
      </c>
      <c r="BV53">
        <v>1.79876708984375</v>
      </c>
      <c r="BW53">
        <v>1</v>
      </c>
      <c r="BX53" t="s">
        <v>134</v>
      </c>
      <c r="BY53">
        <v>129</v>
      </c>
      <c r="BZ53">
        <v>30.1889038085937</v>
      </c>
      <c r="CA53">
        <v>9026.4822387695294</v>
      </c>
      <c r="CB53">
        <v>14950</v>
      </c>
      <c r="CC53">
        <v>45</v>
      </c>
      <c r="CD53">
        <v>33.9876708984375</v>
      </c>
      <c r="CE53">
        <v>5081.1567993163999</v>
      </c>
      <c r="CF53">
        <v>0</v>
      </c>
      <c r="CG53">
        <v>0</v>
      </c>
      <c r="CH53">
        <v>0</v>
      </c>
      <c r="CI53">
        <v>0</v>
      </c>
      <c r="CJ53" t="s">
        <v>368</v>
      </c>
      <c r="CK53">
        <v>2.6240000000000001</v>
      </c>
      <c r="CL53">
        <v>0</v>
      </c>
      <c r="CM53">
        <v>0</v>
      </c>
      <c r="CN53">
        <v>2.6240000000000001</v>
      </c>
      <c r="CO53">
        <v>180</v>
      </c>
      <c r="CP53">
        <v>360</v>
      </c>
      <c r="CQ53" t="s">
        <v>1286</v>
      </c>
      <c r="CR53" t="s">
        <v>385</v>
      </c>
      <c r="CS53" t="s">
        <v>138</v>
      </c>
      <c r="CT53" t="s">
        <v>139</v>
      </c>
      <c r="CU53" t="s">
        <v>140</v>
      </c>
      <c r="CW53">
        <v>3</v>
      </c>
      <c r="CX53" t="s">
        <v>1312</v>
      </c>
      <c r="CY53" t="s">
        <v>1288</v>
      </c>
      <c r="CZ53" t="s">
        <v>1550</v>
      </c>
      <c r="DA53" t="s">
        <v>1289</v>
      </c>
      <c r="DB53">
        <v>0</v>
      </c>
      <c r="DC53">
        <v>29900</v>
      </c>
    </row>
    <row r="54" spans="1:107" x14ac:dyDescent="0.25">
      <c r="A54" t="s">
        <v>1383</v>
      </c>
      <c r="B54" t="s">
        <v>108</v>
      </c>
      <c r="C54" t="s">
        <v>1384</v>
      </c>
      <c r="D54" t="s">
        <v>1385</v>
      </c>
      <c r="F54" s="3" t="str">
        <f>HYPERLINK("https://mapwv.gov/flood/map/?wkid=102100&amp;x=-9092984.42874227&amp;y=4633667.934814759&amp;l=13&amp;v=2","FT")</f>
        <v>FT</v>
      </c>
      <c r="G54" s="3" t="str">
        <f>HYPERLINK("https://mapwv.gov/Assessment/Detail/?PID=20100004002700000000","Assessment")</f>
        <v>Assessment</v>
      </c>
      <c r="H54">
        <v>540073</v>
      </c>
      <c r="I54" t="s">
        <v>1333</v>
      </c>
      <c r="J54" t="s">
        <v>1282</v>
      </c>
      <c r="K54" t="s">
        <v>113</v>
      </c>
      <c r="L54" t="s">
        <v>1386</v>
      </c>
      <c r="M54" t="s">
        <v>909</v>
      </c>
      <c r="N54" t="s">
        <v>149</v>
      </c>
      <c r="O54" t="s">
        <v>117</v>
      </c>
      <c r="P54" t="s">
        <v>150</v>
      </c>
      <c r="Q54" t="s">
        <v>119</v>
      </c>
      <c r="R54" t="s">
        <v>151</v>
      </c>
      <c r="S54" t="s">
        <v>151</v>
      </c>
      <c r="T54" t="s">
        <v>151</v>
      </c>
      <c r="U54" t="s">
        <v>151</v>
      </c>
      <c r="V54">
        <v>644.4</v>
      </c>
      <c r="X54" t="s">
        <v>1387</v>
      </c>
      <c r="Y54" t="s">
        <v>1388</v>
      </c>
      <c r="Z54">
        <v>1935</v>
      </c>
      <c r="AA54" t="s">
        <v>241</v>
      </c>
      <c r="AB54" t="s">
        <v>155</v>
      </c>
      <c r="AC54" t="s">
        <v>129</v>
      </c>
      <c r="AD54">
        <v>4</v>
      </c>
      <c r="AE54">
        <v>101</v>
      </c>
      <c r="AF54" t="s">
        <v>127</v>
      </c>
      <c r="AG54" t="s">
        <v>128</v>
      </c>
      <c r="AH54" t="s">
        <v>129</v>
      </c>
      <c r="AI54">
        <v>1</v>
      </c>
      <c r="AJ54" t="s">
        <v>694</v>
      </c>
      <c r="AL54">
        <v>1272</v>
      </c>
      <c r="AM54" t="s">
        <v>353</v>
      </c>
      <c r="AN54" t="s">
        <v>208</v>
      </c>
      <c r="AO54">
        <v>4</v>
      </c>
      <c r="AP54">
        <v>29700</v>
      </c>
      <c r="AQ54">
        <v>0</v>
      </c>
      <c r="AR54">
        <v>0</v>
      </c>
      <c r="AS54">
        <v>29700</v>
      </c>
      <c r="AT54" t="s">
        <v>132</v>
      </c>
      <c r="AU54">
        <v>1</v>
      </c>
      <c r="AV54">
        <v>0</v>
      </c>
      <c r="AW54">
        <v>1</v>
      </c>
      <c r="BE54">
        <v>2.1</v>
      </c>
      <c r="BF54">
        <v>0</v>
      </c>
      <c r="BG54">
        <v>0</v>
      </c>
      <c r="BH54" s="1">
        <v>44362</v>
      </c>
      <c r="BI54" t="s">
        <v>159</v>
      </c>
      <c r="BJ54">
        <v>1935</v>
      </c>
      <c r="BK54" t="s">
        <v>119</v>
      </c>
      <c r="BL54" t="s">
        <v>128</v>
      </c>
      <c r="BM54">
        <v>29700</v>
      </c>
      <c r="BN54">
        <v>1</v>
      </c>
      <c r="BO54">
        <v>4</v>
      </c>
      <c r="BP54">
        <v>4</v>
      </c>
      <c r="BQ54">
        <v>1272</v>
      </c>
      <c r="BR54">
        <v>10962</v>
      </c>
      <c r="BS54">
        <v>38.382963971000002</v>
      </c>
      <c r="BT54">
        <v>-81.683668905999895</v>
      </c>
      <c r="BU54">
        <v>0</v>
      </c>
      <c r="BV54">
        <v>-4</v>
      </c>
      <c r="BW54">
        <v>0</v>
      </c>
      <c r="BX54" t="s">
        <v>354</v>
      </c>
      <c r="BY54">
        <v>0</v>
      </c>
      <c r="BZ54">
        <v>0</v>
      </c>
      <c r="CA54">
        <v>0</v>
      </c>
      <c r="CB54">
        <v>14850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O54">
        <v>0</v>
      </c>
      <c r="CP54">
        <v>0</v>
      </c>
      <c r="CQ54" t="s">
        <v>1286</v>
      </c>
      <c r="CR54" t="s">
        <v>183</v>
      </c>
      <c r="CS54" t="s">
        <v>161</v>
      </c>
      <c r="CT54" t="s">
        <v>139</v>
      </c>
      <c r="CU54" t="s">
        <v>163</v>
      </c>
      <c r="CW54">
        <v>3</v>
      </c>
      <c r="CX54" t="s">
        <v>1338</v>
      </c>
      <c r="CY54" t="s">
        <v>1288</v>
      </c>
      <c r="CZ54" t="s">
        <v>1385</v>
      </c>
      <c r="DA54" t="s">
        <v>1289</v>
      </c>
      <c r="DB54">
        <v>0</v>
      </c>
      <c r="DC54">
        <v>29700</v>
      </c>
    </row>
    <row r="55" spans="1:107" x14ac:dyDescent="0.25">
      <c r="A55" t="s">
        <v>539</v>
      </c>
      <c r="B55" t="s">
        <v>108</v>
      </c>
      <c r="C55" t="s">
        <v>540</v>
      </c>
      <c r="D55" t="s">
        <v>541</v>
      </c>
      <c r="F55" s="3" t="str">
        <f>HYPERLINK("https://mapwv.gov/flood/map/?wkid=102100&amp;x=-9165815.645528397&amp;y=4626579.133167926&amp;l=13&amp;v=2","FT")</f>
        <v>FT</v>
      </c>
      <c r="G55" s="3" t="str">
        <f>HYPERLINK("https://mapwv.gov/Assessment/Detail/?PID=06010022004000040000","Assessment")</f>
        <v>Assessment</v>
      </c>
      <c r="H55">
        <v>540016</v>
      </c>
      <c r="I55" t="s">
        <v>529</v>
      </c>
      <c r="J55" t="s">
        <v>530</v>
      </c>
      <c r="K55" t="s">
        <v>148</v>
      </c>
      <c r="L55" t="s">
        <v>542</v>
      </c>
      <c r="M55" t="s">
        <v>532</v>
      </c>
      <c r="N55" t="s">
        <v>149</v>
      </c>
      <c r="O55" t="s">
        <v>117</v>
      </c>
      <c r="P55" t="s">
        <v>150</v>
      </c>
      <c r="Q55" t="s">
        <v>119</v>
      </c>
      <c r="R55" t="s">
        <v>151</v>
      </c>
      <c r="S55" t="s">
        <v>151</v>
      </c>
      <c r="T55" t="s">
        <v>151</v>
      </c>
      <c r="U55" t="s">
        <v>151</v>
      </c>
      <c r="V55">
        <v>647.9</v>
      </c>
      <c r="X55" t="s">
        <v>543</v>
      </c>
      <c r="Y55" t="s">
        <v>544</v>
      </c>
      <c r="Z55">
        <v>1981</v>
      </c>
      <c r="AA55" t="s">
        <v>154</v>
      </c>
      <c r="AB55" t="s">
        <v>155</v>
      </c>
      <c r="AC55" t="s">
        <v>129</v>
      </c>
      <c r="AD55">
        <v>2</v>
      </c>
      <c r="AE55">
        <v>101</v>
      </c>
      <c r="AF55" t="s">
        <v>127</v>
      </c>
      <c r="AG55" t="s">
        <v>128</v>
      </c>
      <c r="AH55" t="s">
        <v>129</v>
      </c>
      <c r="AI55">
        <v>1</v>
      </c>
      <c r="AJ55" t="s">
        <v>341</v>
      </c>
      <c r="AK55" t="s">
        <v>545</v>
      </c>
      <c r="AL55">
        <v>1393</v>
      </c>
      <c r="AM55" t="s">
        <v>157</v>
      </c>
      <c r="AN55" t="s">
        <v>158</v>
      </c>
      <c r="AO55">
        <v>3</v>
      </c>
      <c r="AP55">
        <v>28500</v>
      </c>
      <c r="AQ55">
        <v>0</v>
      </c>
      <c r="AR55">
        <v>220</v>
      </c>
      <c r="AS55">
        <v>28700</v>
      </c>
      <c r="AT55" t="s">
        <v>132</v>
      </c>
      <c r="AU55">
        <v>1</v>
      </c>
      <c r="AV55">
        <v>1</v>
      </c>
      <c r="AW55">
        <v>1</v>
      </c>
      <c r="BE55">
        <v>2.4</v>
      </c>
      <c r="BF55">
        <v>0</v>
      </c>
      <c r="BG55">
        <v>0</v>
      </c>
      <c r="BH55" s="1">
        <v>44319</v>
      </c>
      <c r="BI55" t="s">
        <v>159</v>
      </c>
      <c r="BJ55">
        <v>1981</v>
      </c>
      <c r="BK55" t="s">
        <v>119</v>
      </c>
      <c r="BL55" t="s">
        <v>128</v>
      </c>
      <c r="BM55">
        <v>28700</v>
      </c>
      <c r="BN55">
        <v>1</v>
      </c>
      <c r="BO55">
        <v>5</v>
      </c>
      <c r="BP55">
        <v>3</v>
      </c>
      <c r="BQ55">
        <v>1393</v>
      </c>
      <c r="BR55">
        <v>91</v>
      </c>
      <c r="BS55">
        <v>38.333029557000003</v>
      </c>
      <c r="BT55">
        <v>-82.337922857999899</v>
      </c>
      <c r="BU55">
        <v>0</v>
      </c>
      <c r="BV55">
        <v>-3</v>
      </c>
      <c r="BW55">
        <v>0</v>
      </c>
      <c r="BX55" t="s">
        <v>134</v>
      </c>
      <c r="BY55">
        <v>0</v>
      </c>
      <c r="BZ55">
        <v>0</v>
      </c>
      <c r="CA55">
        <v>0</v>
      </c>
      <c r="CB55">
        <v>14350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O55">
        <v>0</v>
      </c>
      <c r="CP55">
        <v>0</v>
      </c>
      <c r="CQ55" t="s">
        <v>535</v>
      </c>
      <c r="CR55" t="s">
        <v>183</v>
      </c>
      <c r="CS55" t="s">
        <v>161</v>
      </c>
      <c r="CT55" t="s">
        <v>139</v>
      </c>
      <c r="CU55" t="s">
        <v>163</v>
      </c>
      <c r="CW55">
        <v>2</v>
      </c>
      <c r="CX55" t="s">
        <v>536</v>
      </c>
      <c r="CY55" t="s">
        <v>537</v>
      </c>
      <c r="CZ55" t="s">
        <v>541</v>
      </c>
      <c r="DA55" t="s">
        <v>538</v>
      </c>
      <c r="DB55">
        <v>0</v>
      </c>
      <c r="DC55">
        <v>28700</v>
      </c>
    </row>
    <row r="56" spans="1:107" x14ac:dyDescent="0.25">
      <c r="A56" t="s">
        <v>783</v>
      </c>
      <c r="B56" t="s">
        <v>108</v>
      </c>
      <c r="C56" t="s">
        <v>784</v>
      </c>
      <c r="D56" t="s">
        <v>785</v>
      </c>
      <c r="F56" s="3" t="str">
        <f>HYPERLINK("https://mapwv.gov/flood/map/?wkid=102100&amp;x=-9191178.254406111&amp;y=4594099.806781495&amp;l=13&amp;v=2","FT")</f>
        <v>FT</v>
      </c>
      <c r="G56" s="3" t="str">
        <f>HYPERLINK("https://mapwv.gov/Assessment/Detail/?PID=50010029006600030000","Assessment")</f>
        <v>Assessment</v>
      </c>
      <c r="H56">
        <v>540200</v>
      </c>
      <c r="I56" t="s">
        <v>773</v>
      </c>
      <c r="J56" t="s">
        <v>774</v>
      </c>
      <c r="K56" t="s">
        <v>148</v>
      </c>
      <c r="L56" t="s">
        <v>786</v>
      </c>
      <c r="M56" t="s">
        <v>787</v>
      </c>
      <c r="N56" t="s">
        <v>199</v>
      </c>
      <c r="O56" t="s">
        <v>117</v>
      </c>
      <c r="P56" t="s">
        <v>150</v>
      </c>
      <c r="Q56" t="s">
        <v>260</v>
      </c>
      <c r="R56" t="s">
        <v>151</v>
      </c>
      <c r="S56" t="s">
        <v>151</v>
      </c>
      <c r="T56" t="s">
        <v>151</v>
      </c>
      <c r="U56" t="s">
        <v>151</v>
      </c>
      <c r="V56">
        <v>571.4</v>
      </c>
      <c r="X56" t="s">
        <v>788</v>
      </c>
      <c r="Y56" t="s">
        <v>789</v>
      </c>
      <c r="Z56">
        <v>1996</v>
      </c>
      <c r="AA56" t="s">
        <v>175</v>
      </c>
      <c r="AB56" t="s">
        <v>155</v>
      </c>
      <c r="AC56" t="s">
        <v>129</v>
      </c>
      <c r="AD56">
        <v>2</v>
      </c>
      <c r="AE56">
        <v>108</v>
      </c>
      <c r="AF56" t="s">
        <v>176</v>
      </c>
      <c r="AG56" t="s">
        <v>177</v>
      </c>
      <c r="AH56" t="s">
        <v>129</v>
      </c>
      <c r="AI56">
        <v>1</v>
      </c>
      <c r="AL56">
        <v>1680</v>
      </c>
      <c r="AN56" t="s">
        <v>158</v>
      </c>
      <c r="AO56">
        <v>4</v>
      </c>
      <c r="AP56">
        <v>0</v>
      </c>
      <c r="AQ56">
        <v>0</v>
      </c>
      <c r="AR56">
        <v>28640</v>
      </c>
      <c r="AS56">
        <v>28600</v>
      </c>
      <c r="AT56" t="s">
        <v>132</v>
      </c>
      <c r="AU56">
        <v>1</v>
      </c>
      <c r="AV56">
        <v>4</v>
      </c>
      <c r="AW56">
        <v>1</v>
      </c>
      <c r="BE56">
        <v>2.6</v>
      </c>
      <c r="BF56">
        <v>0</v>
      </c>
      <c r="BG56">
        <v>0</v>
      </c>
      <c r="BH56" s="1">
        <v>44319</v>
      </c>
      <c r="BI56" t="s">
        <v>441</v>
      </c>
      <c r="BJ56">
        <v>1996</v>
      </c>
      <c r="BK56" t="s">
        <v>260</v>
      </c>
      <c r="BL56" t="s">
        <v>177</v>
      </c>
      <c r="BM56">
        <v>28600</v>
      </c>
      <c r="BN56">
        <v>1</v>
      </c>
      <c r="BO56">
        <v>5</v>
      </c>
      <c r="BP56">
        <v>4</v>
      </c>
      <c r="BQ56">
        <v>1680</v>
      </c>
      <c r="BR56">
        <v>719</v>
      </c>
      <c r="BS56">
        <v>38.103800989</v>
      </c>
      <c r="BT56">
        <v>-82.565759049999798</v>
      </c>
      <c r="BU56">
        <v>3.4515989999999999</v>
      </c>
      <c r="BV56">
        <v>-0.54840111732482899</v>
      </c>
      <c r="BW56">
        <v>1</v>
      </c>
      <c r="BX56" t="s">
        <v>181</v>
      </c>
      <c r="BY56">
        <v>189</v>
      </c>
      <c r="BZ56">
        <v>4.9675877094268799</v>
      </c>
      <c r="CA56">
        <v>1420.7300848960799</v>
      </c>
      <c r="CB56">
        <v>14300</v>
      </c>
      <c r="CC56">
        <v>74</v>
      </c>
      <c r="CD56">
        <v>1.35479664802551</v>
      </c>
      <c r="CE56">
        <v>193.735920667648</v>
      </c>
      <c r="CF56">
        <v>0</v>
      </c>
      <c r="CG56">
        <v>0</v>
      </c>
      <c r="CH56">
        <v>0</v>
      </c>
      <c r="CI56">
        <v>0</v>
      </c>
      <c r="CO56">
        <v>0</v>
      </c>
      <c r="CP56">
        <v>0</v>
      </c>
      <c r="CQ56" t="s">
        <v>779</v>
      </c>
      <c r="CR56" t="s">
        <v>183</v>
      </c>
      <c r="CS56" t="s">
        <v>138</v>
      </c>
      <c r="CT56" t="s">
        <v>139</v>
      </c>
      <c r="CU56" t="s">
        <v>267</v>
      </c>
      <c r="CW56">
        <v>2</v>
      </c>
      <c r="CX56" t="s">
        <v>780</v>
      </c>
      <c r="CY56" t="s">
        <v>781</v>
      </c>
      <c r="CZ56" t="s">
        <v>785</v>
      </c>
      <c r="DA56" t="s">
        <v>782</v>
      </c>
      <c r="DB56">
        <v>0</v>
      </c>
      <c r="DC56">
        <v>28600</v>
      </c>
    </row>
    <row r="57" spans="1:107" x14ac:dyDescent="0.25">
      <c r="A57" t="s">
        <v>1606</v>
      </c>
      <c r="B57" t="s">
        <v>108</v>
      </c>
      <c r="C57" t="s">
        <v>1607</v>
      </c>
      <c r="D57" t="s">
        <v>1608</v>
      </c>
      <c r="F57" s="3" t="str">
        <f>HYPERLINK("https://mapwv.gov/flood/map/?wkid=102100&amp;x=-9106127.097478641&amp;y=4633573.451915099&amp;l=13&amp;v=2","FT")</f>
        <v>FT</v>
      </c>
      <c r="G57" s="3" t="str">
        <f>HYPERLINK("https://mapwv.gov/Assessment/Detail/?PID=20170007005800000000","Assessment")</f>
        <v>Assessment</v>
      </c>
      <c r="H57">
        <v>540083</v>
      </c>
      <c r="I57" t="s">
        <v>1536</v>
      </c>
      <c r="J57" t="s">
        <v>1282</v>
      </c>
      <c r="K57" t="s">
        <v>113</v>
      </c>
      <c r="L57" t="s">
        <v>1283</v>
      </c>
      <c r="M57" t="s">
        <v>909</v>
      </c>
      <c r="N57" t="s">
        <v>704</v>
      </c>
      <c r="O57" t="s">
        <v>117</v>
      </c>
      <c r="P57" t="s">
        <v>118</v>
      </c>
      <c r="Q57" t="s">
        <v>119</v>
      </c>
      <c r="R57">
        <v>0.6</v>
      </c>
      <c r="S57" t="s">
        <v>120</v>
      </c>
      <c r="T57" t="s">
        <v>151</v>
      </c>
      <c r="U57" t="s">
        <v>151</v>
      </c>
      <c r="V57">
        <v>587.79999999999995</v>
      </c>
      <c r="X57" t="s">
        <v>1609</v>
      </c>
      <c r="Y57" t="s">
        <v>1610</v>
      </c>
      <c r="Z57">
        <v>1940</v>
      </c>
      <c r="AA57" t="s">
        <v>241</v>
      </c>
      <c r="AB57" t="s">
        <v>155</v>
      </c>
      <c r="AC57" t="s">
        <v>129</v>
      </c>
      <c r="AD57">
        <v>4</v>
      </c>
      <c r="AE57">
        <v>101</v>
      </c>
      <c r="AF57" t="s">
        <v>127</v>
      </c>
      <c r="AG57" t="s">
        <v>128</v>
      </c>
      <c r="AH57" t="s">
        <v>129</v>
      </c>
      <c r="AI57">
        <v>1</v>
      </c>
      <c r="AJ57" t="s">
        <v>694</v>
      </c>
      <c r="AK57" t="s">
        <v>130</v>
      </c>
      <c r="AL57">
        <v>696</v>
      </c>
      <c r="AM57" t="s">
        <v>206</v>
      </c>
      <c r="AN57" t="s">
        <v>131</v>
      </c>
      <c r="AO57">
        <v>1</v>
      </c>
      <c r="AP57">
        <v>28100</v>
      </c>
      <c r="AQ57">
        <v>0</v>
      </c>
      <c r="AR57">
        <v>60</v>
      </c>
      <c r="AS57">
        <v>28200</v>
      </c>
      <c r="AT57" t="s">
        <v>132</v>
      </c>
      <c r="AU57">
        <v>1</v>
      </c>
      <c r="AV57">
        <v>1</v>
      </c>
      <c r="AW57">
        <v>1</v>
      </c>
      <c r="BE57">
        <v>2.2999999999999998</v>
      </c>
      <c r="BF57">
        <v>0</v>
      </c>
      <c r="BG57">
        <v>0</v>
      </c>
      <c r="BH57" s="1">
        <v>44362</v>
      </c>
      <c r="BI57" t="s">
        <v>707</v>
      </c>
      <c r="BJ57">
        <v>1940</v>
      </c>
      <c r="BK57" t="s">
        <v>119</v>
      </c>
      <c r="BL57" t="s">
        <v>128</v>
      </c>
      <c r="BM57">
        <v>28200</v>
      </c>
      <c r="BN57">
        <v>1</v>
      </c>
      <c r="BO57">
        <v>7</v>
      </c>
      <c r="BP57">
        <v>1</v>
      </c>
      <c r="BQ57">
        <v>696</v>
      </c>
      <c r="BR57">
        <v>14463</v>
      </c>
      <c r="BS57">
        <v>38.382298648000102</v>
      </c>
      <c r="BT57">
        <v>-81.801731508000003</v>
      </c>
      <c r="BU57">
        <v>0.60717772999999997</v>
      </c>
      <c r="BV57">
        <v>-0.392822265625</v>
      </c>
      <c r="BW57">
        <v>1</v>
      </c>
      <c r="BX57" t="s">
        <v>134</v>
      </c>
      <c r="BY57">
        <v>129</v>
      </c>
      <c r="BZ57">
        <v>9.07177734375</v>
      </c>
      <c r="CA57">
        <v>2558.2412109375</v>
      </c>
      <c r="CB57">
        <v>14100</v>
      </c>
      <c r="CC57">
        <v>45</v>
      </c>
      <c r="CD57">
        <v>11.2861328125</v>
      </c>
      <c r="CE57">
        <v>1591.3447265625</v>
      </c>
      <c r="CF57">
        <v>0</v>
      </c>
      <c r="CG57">
        <v>0</v>
      </c>
      <c r="CH57">
        <v>0</v>
      </c>
      <c r="CI57">
        <v>0</v>
      </c>
      <c r="CO57">
        <v>0</v>
      </c>
      <c r="CP57">
        <v>0</v>
      </c>
      <c r="CQ57" t="s">
        <v>1286</v>
      </c>
      <c r="CR57" t="s">
        <v>137</v>
      </c>
      <c r="CS57" t="s">
        <v>138</v>
      </c>
      <c r="CT57" t="s">
        <v>139</v>
      </c>
      <c r="CU57" t="s">
        <v>267</v>
      </c>
      <c r="CW57">
        <v>3</v>
      </c>
      <c r="CX57" t="s">
        <v>1541</v>
      </c>
      <c r="CY57" t="s">
        <v>1288</v>
      </c>
      <c r="CZ57" t="s">
        <v>1608</v>
      </c>
      <c r="DA57" t="s">
        <v>1289</v>
      </c>
      <c r="DB57">
        <v>0</v>
      </c>
      <c r="DC57">
        <v>28200</v>
      </c>
    </row>
    <row r="58" spans="1:107" x14ac:dyDescent="0.25">
      <c r="A58" t="s">
        <v>718</v>
      </c>
      <c r="B58" t="s">
        <v>108</v>
      </c>
      <c r="C58" t="s">
        <v>719</v>
      </c>
      <c r="D58" t="s">
        <v>720</v>
      </c>
      <c r="F58" s="3" t="str">
        <f>HYPERLINK("https://mapwv.gov/flood/map/?wkid=102100&amp;x=-9143035.609875258&amp;y=4581334.345579787&amp;l=13&amp;v=2","FT")</f>
        <v>FT</v>
      </c>
      <c r="G58" s="3" t="str">
        <f>HYPERLINK("https://mapwv.gov/Assessment/Detail/?PID=22040033003800040000","Assessment")</f>
        <v>Assessment</v>
      </c>
      <c r="H58">
        <v>540088</v>
      </c>
      <c r="I58" t="s">
        <v>632</v>
      </c>
      <c r="J58" t="s">
        <v>633</v>
      </c>
      <c r="K58" t="s">
        <v>148</v>
      </c>
      <c r="L58" t="s">
        <v>721</v>
      </c>
      <c r="M58" t="s">
        <v>550</v>
      </c>
      <c r="N58" t="s">
        <v>149</v>
      </c>
      <c r="O58" t="s">
        <v>117</v>
      </c>
      <c r="P58" t="s">
        <v>150</v>
      </c>
      <c r="Q58" t="s">
        <v>119</v>
      </c>
      <c r="R58">
        <v>2</v>
      </c>
      <c r="S58" t="s">
        <v>315</v>
      </c>
      <c r="T58" t="s">
        <v>151</v>
      </c>
      <c r="U58" t="s">
        <v>151</v>
      </c>
      <c r="V58">
        <v>619.1</v>
      </c>
      <c r="X58" t="s">
        <v>722</v>
      </c>
      <c r="Y58" t="s">
        <v>723</v>
      </c>
      <c r="Z58">
        <v>1977</v>
      </c>
      <c r="AA58" t="s">
        <v>318</v>
      </c>
      <c r="AB58" t="s">
        <v>125</v>
      </c>
      <c r="AC58" t="s">
        <v>126</v>
      </c>
      <c r="AD58">
        <v>3</v>
      </c>
      <c r="AE58">
        <v>109</v>
      </c>
      <c r="AF58" t="s">
        <v>724</v>
      </c>
      <c r="AG58" t="s">
        <v>177</v>
      </c>
      <c r="AH58" t="s">
        <v>129</v>
      </c>
      <c r="AI58">
        <v>1</v>
      </c>
      <c r="AJ58" t="s">
        <v>291</v>
      </c>
      <c r="AL58">
        <v>824</v>
      </c>
      <c r="AM58" t="s">
        <v>206</v>
      </c>
      <c r="AN58" t="s">
        <v>158</v>
      </c>
      <c r="AO58">
        <v>3</v>
      </c>
      <c r="AP58">
        <v>0</v>
      </c>
      <c r="AQ58">
        <v>1500</v>
      </c>
      <c r="AR58">
        <v>24090</v>
      </c>
      <c r="AS58">
        <v>14150</v>
      </c>
      <c r="AT58" t="s">
        <v>178</v>
      </c>
      <c r="AU58">
        <v>2</v>
      </c>
      <c r="AV58">
        <v>10</v>
      </c>
      <c r="AW58">
        <v>0</v>
      </c>
      <c r="BB58" t="s">
        <v>725</v>
      </c>
      <c r="BE58">
        <v>2.6</v>
      </c>
      <c r="BF58">
        <v>1</v>
      </c>
      <c r="BG58">
        <v>2.6</v>
      </c>
      <c r="BH58" s="1">
        <v>44319</v>
      </c>
      <c r="BI58" t="s">
        <v>321</v>
      </c>
      <c r="BJ58">
        <v>1977</v>
      </c>
      <c r="BK58" t="s">
        <v>119</v>
      </c>
      <c r="BL58" t="s">
        <v>177</v>
      </c>
      <c r="BM58">
        <v>14150</v>
      </c>
      <c r="BN58">
        <v>1</v>
      </c>
      <c r="BO58">
        <v>5</v>
      </c>
      <c r="BP58">
        <v>3</v>
      </c>
      <c r="BQ58">
        <v>824</v>
      </c>
      <c r="BR58">
        <v>67</v>
      </c>
      <c r="BS58">
        <v>38.013508917000003</v>
      </c>
      <c r="BT58">
        <v>-82.133286315999896</v>
      </c>
      <c r="BU58">
        <v>1</v>
      </c>
      <c r="BV58">
        <v>-2</v>
      </c>
      <c r="BW58">
        <v>1</v>
      </c>
      <c r="BX58" t="s">
        <v>181</v>
      </c>
      <c r="BY58">
        <v>189</v>
      </c>
      <c r="BZ58">
        <v>0</v>
      </c>
      <c r="CA58">
        <v>0</v>
      </c>
      <c r="CB58">
        <v>7075</v>
      </c>
      <c r="CC58">
        <v>74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O58">
        <v>0</v>
      </c>
      <c r="CP58">
        <v>0</v>
      </c>
      <c r="CQ58" t="s">
        <v>637</v>
      </c>
      <c r="CR58" t="s">
        <v>183</v>
      </c>
      <c r="CS58" t="s">
        <v>138</v>
      </c>
      <c r="CT58" t="s">
        <v>139</v>
      </c>
      <c r="CU58" t="s">
        <v>163</v>
      </c>
      <c r="CW58">
        <v>2</v>
      </c>
      <c r="CX58" t="s">
        <v>638</v>
      </c>
      <c r="CY58" t="s">
        <v>639</v>
      </c>
      <c r="CZ58" t="s">
        <v>720</v>
      </c>
      <c r="DA58" t="s">
        <v>640</v>
      </c>
      <c r="DB58">
        <v>0</v>
      </c>
      <c r="DC58">
        <v>26600</v>
      </c>
    </row>
    <row r="59" spans="1:107" x14ac:dyDescent="0.25">
      <c r="A59" t="s">
        <v>732</v>
      </c>
      <c r="B59" t="s">
        <v>108</v>
      </c>
      <c r="C59" t="s">
        <v>733</v>
      </c>
      <c r="D59" t="s">
        <v>720</v>
      </c>
      <c r="F59" s="3" t="str">
        <f>HYPERLINK("https://mapwv.gov/flood/map/?wkid=102100&amp;x=-9143038.244807608&amp;y=4581321.51566424&amp;l=13&amp;v=2","FT")</f>
        <v>FT</v>
      </c>
      <c r="G59" s="3" t="str">
        <f>HYPERLINK("https://mapwv.gov/Assessment/Detail/?PID=22040033003800040000","Assessment")</f>
        <v>Assessment</v>
      </c>
      <c r="H59">
        <v>540088</v>
      </c>
      <c r="I59" t="s">
        <v>632</v>
      </c>
      <c r="J59" t="s">
        <v>633</v>
      </c>
      <c r="K59" t="s">
        <v>148</v>
      </c>
      <c r="L59" t="s">
        <v>721</v>
      </c>
      <c r="M59" t="s">
        <v>550</v>
      </c>
      <c r="N59" t="s">
        <v>149</v>
      </c>
      <c r="O59" t="s">
        <v>117</v>
      </c>
      <c r="P59" t="s">
        <v>150</v>
      </c>
      <c r="Q59" t="s">
        <v>119</v>
      </c>
      <c r="R59">
        <v>1</v>
      </c>
      <c r="S59" t="s">
        <v>315</v>
      </c>
      <c r="T59" t="s">
        <v>151</v>
      </c>
      <c r="U59" t="s">
        <v>151</v>
      </c>
      <c r="V59">
        <v>618.70000000000005</v>
      </c>
      <c r="X59" t="s">
        <v>722</v>
      </c>
      <c r="Y59" t="s">
        <v>723</v>
      </c>
      <c r="Z59">
        <v>1975</v>
      </c>
      <c r="AA59" t="s">
        <v>318</v>
      </c>
      <c r="AB59" t="s">
        <v>125</v>
      </c>
      <c r="AC59" t="s">
        <v>126</v>
      </c>
      <c r="AD59">
        <v>3</v>
      </c>
      <c r="AE59">
        <v>109</v>
      </c>
      <c r="AF59" t="s">
        <v>724</v>
      </c>
      <c r="AG59" t="s">
        <v>177</v>
      </c>
      <c r="AH59" t="s">
        <v>129</v>
      </c>
      <c r="AI59">
        <v>1</v>
      </c>
      <c r="AJ59" t="s">
        <v>291</v>
      </c>
      <c r="AL59">
        <v>1096</v>
      </c>
      <c r="AM59" t="s">
        <v>206</v>
      </c>
      <c r="AN59" t="s">
        <v>158</v>
      </c>
      <c r="AO59">
        <v>3</v>
      </c>
      <c r="AP59">
        <v>0</v>
      </c>
      <c r="AQ59">
        <v>1500</v>
      </c>
      <c r="AR59">
        <v>24090</v>
      </c>
      <c r="AS59">
        <v>16430</v>
      </c>
      <c r="AT59" t="s">
        <v>178</v>
      </c>
      <c r="AU59">
        <v>2</v>
      </c>
      <c r="AV59">
        <v>10</v>
      </c>
      <c r="AW59">
        <v>0</v>
      </c>
      <c r="BB59" t="s">
        <v>734</v>
      </c>
      <c r="BE59">
        <v>2.6</v>
      </c>
      <c r="BF59">
        <v>1</v>
      </c>
      <c r="BG59">
        <v>2.6</v>
      </c>
      <c r="BH59" s="1">
        <v>44319</v>
      </c>
      <c r="BI59" t="s">
        <v>321</v>
      </c>
      <c r="BJ59">
        <v>1975</v>
      </c>
      <c r="BK59" t="s">
        <v>119</v>
      </c>
      <c r="BL59" t="s">
        <v>177</v>
      </c>
      <c r="BM59">
        <v>16430</v>
      </c>
      <c r="BN59">
        <v>1</v>
      </c>
      <c r="BO59">
        <v>5</v>
      </c>
      <c r="BP59">
        <v>3</v>
      </c>
      <c r="BQ59">
        <v>1096</v>
      </c>
      <c r="BR59">
        <v>71</v>
      </c>
      <c r="BS59">
        <v>38.0134181130001</v>
      </c>
      <c r="BT59">
        <v>-82.133309986</v>
      </c>
      <c r="BU59">
        <v>1</v>
      </c>
      <c r="BV59">
        <v>-2</v>
      </c>
      <c r="BW59">
        <v>1</v>
      </c>
      <c r="BX59" t="s">
        <v>181</v>
      </c>
      <c r="BY59">
        <v>189</v>
      </c>
      <c r="BZ59">
        <v>0</v>
      </c>
      <c r="CA59">
        <v>0</v>
      </c>
      <c r="CB59">
        <v>8215</v>
      </c>
      <c r="CC59">
        <v>74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O59">
        <v>0</v>
      </c>
      <c r="CP59">
        <v>0</v>
      </c>
      <c r="CQ59" t="s">
        <v>637</v>
      </c>
      <c r="CR59" t="s">
        <v>183</v>
      </c>
      <c r="CS59" t="s">
        <v>138</v>
      </c>
      <c r="CT59" t="s">
        <v>139</v>
      </c>
      <c r="CU59" t="s">
        <v>163</v>
      </c>
      <c r="CW59">
        <v>2</v>
      </c>
      <c r="CX59" t="s">
        <v>638</v>
      </c>
      <c r="CY59" t="s">
        <v>639</v>
      </c>
      <c r="CZ59" t="s">
        <v>720</v>
      </c>
      <c r="DA59" t="s">
        <v>640</v>
      </c>
      <c r="DB59">
        <v>0</v>
      </c>
      <c r="DC59">
        <v>26600</v>
      </c>
    </row>
    <row r="60" spans="1:107" x14ac:dyDescent="0.25">
      <c r="A60" t="s">
        <v>735</v>
      </c>
      <c r="B60" t="s">
        <v>108</v>
      </c>
      <c r="C60" t="s">
        <v>736</v>
      </c>
      <c r="D60" t="s">
        <v>720</v>
      </c>
      <c r="F60" s="3" t="str">
        <f>HYPERLINK("https://mapwv.gov/flood/map/?wkid=102100&amp;x=-9143082.55263661&amp;y=4581331.860669024&amp;l=13&amp;v=2","FT")</f>
        <v>FT</v>
      </c>
      <c r="G60" s="3" t="str">
        <f>HYPERLINK("https://mapwv.gov/Assessment/Detail/?PID=22040033003800040000","Assessment")</f>
        <v>Assessment</v>
      </c>
      <c r="H60">
        <v>540088</v>
      </c>
      <c r="I60" t="s">
        <v>632</v>
      </c>
      <c r="J60" t="s">
        <v>633</v>
      </c>
      <c r="K60" t="s">
        <v>148</v>
      </c>
      <c r="L60" t="s">
        <v>721</v>
      </c>
      <c r="M60" t="s">
        <v>550</v>
      </c>
      <c r="N60" t="s">
        <v>149</v>
      </c>
      <c r="O60" t="s">
        <v>117</v>
      </c>
      <c r="P60" t="s">
        <v>150</v>
      </c>
      <c r="Q60" t="s">
        <v>119</v>
      </c>
      <c r="R60">
        <v>4</v>
      </c>
      <c r="S60" t="s">
        <v>315</v>
      </c>
      <c r="T60" t="s">
        <v>151</v>
      </c>
      <c r="U60" t="s">
        <v>151</v>
      </c>
      <c r="V60">
        <v>615.5</v>
      </c>
      <c r="X60" t="s">
        <v>722</v>
      </c>
      <c r="Y60" t="s">
        <v>723</v>
      </c>
      <c r="Z60">
        <v>1985</v>
      </c>
      <c r="AA60" t="s">
        <v>318</v>
      </c>
      <c r="AB60" t="s">
        <v>125</v>
      </c>
      <c r="AC60" t="s">
        <v>126</v>
      </c>
      <c r="AD60">
        <v>3</v>
      </c>
      <c r="AE60">
        <v>109</v>
      </c>
      <c r="AF60" t="s">
        <v>724</v>
      </c>
      <c r="AG60" t="s">
        <v>290</v>
      </c>
      <c r="AH60" t="s">
        <v>288</v>
      </c>
      <c r="AI60">
        <v>1</v>
      </c>
      <c r="AJ60" t="s">
        <v>291</v>
      </c>
      <c r="AL60">
        <v>1250</v>
      </c>
      <c r="AM60" t="s">
        <v>206</v>
      </c>
      <c r="AN60" t="s">
        <v>131</v>
      </c>
      <c r="AO60">
        <v>1</v>
      </c>
      <c r="AP60">
        <v>0</v>
      </c>
      <c r="AQ60">
        <v>1500</v>
      </c>
      <c r="AR60">
        <v>24090</v>
      </c>
      <c r="AS60">
        <v>1500</v>
      </c>
      <c r="AT60" t="s">
        <v>178</v>
      </c>
      <c r="AU60">
        <v>2</v>
      </c>
      <c r="AV60">
        <v>10</v>
      </c>
      <c r="AW60">
        <v>0</v>
      </c>
      <c r="BB60" t="s">
        <v>737</v>
      </c>
      <c r="BE60">
        <v>2.6</v>
      </c>
      <c r="BF60">
        <v>0</v>
      </c>
      <c r="BG60">
        <v>0</v>
      </c>
      <c r="BH60" s="1">
        <v>44319</v>
      </c>
      <c r="BI60" t="s">
        <v>321</v>
      </c>
      <c r="BJ60">
        <v>1985</v>
      </c>
      <c r="BK60" t="s">
        <v>119</v>
      </c>
      <c r="BL60" t="s">
        <v>290</v>
      </c>
      <c r="BM60">
        <v>1500</v>
      </c>
      <c r="BN60">
        <v>1</v>
      </c>
      <c r="BO60">
        <v>7</v>
      </c>
      <c r="BP60">
        <v>1</v>
      </c>
      <c r="BQ60">
        <v>1250</v>
      </c>
      <c r="BR60">
        <v>75</v>
      </c>
      <c r="BS60">
        <v>38.0134913300001</v>
      </c>
      <c r="BT60">
        <v>-82.133708010000007</v>
      </c>
      <c r="BU60">
        <v>4</v>
      </c>
      <c r="BV60">
        <v>3</v>
      </c>
      <c r="BW60">
        <v>1</v>
      </c>
      <c r="BX60" t="s">
        <v>738</v>
      </c>
      <c r="BY60">
        <v>431</v>
      </c>
      <c r="BZ60">
        <v>22</v>
      </c>
      <c r="CA60">
        <v>330</v>
      </c>
      <c r="CB60">
        <v>1500</v>
      </c>
      <c r="CC60">
        <v>280</v>
      </c>
      <c r="CD60">
        <v>35</v>
      </c>
      <c r="CE60">
        <v>525</v>
      </c>
      <c r="CF60">
        <v>0</v>
      </c>
      <c r="CG60">
        <v>0</v>
      </c>
      <c r="CH60">
        <v>0</v>
      </c>
      <c r="CI60">
        <v>0</v>
      </c>
      <c r="CJ60" t="s">
        <v>293</v>
      </c>
      <c r="CK60">
        <v>2.25</v>
      </c>
      <c r="CL60">
        <v>0</v>
      </c>
      <c r="CM60">
        <v>0</v>
      </c>
      <c r="CN60">
        <v>2.25</v>
      </c>
      <c r="CO60">
        <v>300</v>
      </c>
      <c r="CP60">
        <v>480</v>
      </c>
      <c r="CQ60" t="s">
        <v>637</v>
      </c>
      <c r="CR60" t="s">
        <v>294</v>
      </c>
      <c r="CS60" t="s">
        <v>138</v>
      </c>
      <c r="CT60" t="s">
        <v>139</v>
      </c>
      <c r="CU60" t="s">
        <v>140</v>
      </c>
      <c r="CW60">
        <v>2</v>
      </c>
      <c r="CX60" t="s">
        <v>638</v>
      </c>
      <c r="CY60" t="s">
        <v>639</v>
      </c>
      <c r="CZ60" t="s">
        <v>720</v>
      </c>
      <c r="DA60" t="s">
        <v>640</v>
      </c>
      <c r="DB60">
        <v>0</v>
      </c>
      <c r="DC60">
        <v>26600</v>
      </c>
    </row>
    <row r="61" spans="1:107" x14ac:dyDescent="0.25">
      <c r="A61" t="s">
        <v>751</v>
      </c>
      <c r="B61" t="s">
        <v>108</v>
      </c>
      <c r="C61" t="s">
        <v>752</v>
      </c>
      <c r="D61" t="s">
        <v>720</v>
      </c>
      <c r="F61" s="3" t="str">
        <f>HYPERLINK("https://mapwv.gov/flood/map/?wkid=102100&amp;x=-9143061.514032086&amp;y=4581362.670524516&amp;l=13&amp;v=2","FT")</f>
        <v>FT</v>
      </c>
      <c r="G61" s="3" t="str">
        <f>HYPERLINK("https://mapwv.gov/Assessment/Detail/?PID=22040033003800040000","Assessment")</f>
        <v>Assessment</v>
      </c>
      <c r="H61">
        <v>540088</v>
      </c>
      <c r="I61" t="s">
        <v>632</v>
      </c>
      <c r="J61" t="s">
        <v>633</v>
      </c>
      <c r="K61" t="s">
        <v>148</v>
      </c>
      <c r="L61" t="s">
        <v>721</v>
      </c>
      <c r="M61" t="s">
        <v>550</v>
      </c>
      <c r="N61" t="s">
        <v>149</v>
      </c>
      <c r="O61" t="s">
        <v>117</v>
      </c>
      <c r="P61" t="s">
        <v>150</v>
      </c>
      <c r="Q61" t="s">
        <v>119</v>
      </c>
      <c r="R61">
        <v>3</v>
      </c>
      <c r="S61" t="s">
        <v>315</v>
      </c>
      <c r="T61" t="s">
        <v>151</v>
      </c>
      <c r="U61" t="s">
        <v>151</v>
      </c>
      <c r="V61">
        <v>614.70000000000005</v>
      </c>
      <c r="X61" t="s">
        <v>722</v>
      </c>
      <c r="Y61" t="s">
        <v>723</v>
      </c>
      <c r="Z61">
        <v>1984</v>
      </c>
      <c r="AA61" t="s">
        <v>318</v>
      </c>
      <c r="AB61" t="s">
        <v>125</v>
      </c>
      <c r="AC61" t="s">
        <v>126</v>
      </c>
      <c r="AD61">
        <v>3</v>
      </c>
      <c r="AE61">
        <v>109</v>
      </c>
      <c r="AF61" t="s">
        <v>724</v>
      </c>
      <c r="AG61" t="s">
        <v>177</v>
      </c>
      <c r="AH61" t="s">
        <v>129</v>
      </c>
      <c r="AI61">
        <v>1</v>
      </c>
      <c r="AJ61" t="s">
        <v>291</v>
      </c>
      <c r="AL61">
        <v>1148</v>
      </c>
      <c r="AM61" t="s">
        <v>206</v>
      </c>
      <c r="AN61" t="s">
        <v>158</v>
      </c>
      <c r="AO61">
        <v>3</v>
      </c>
      <c r="AP61">
        <v>0</v>
      </c>
      <c r="AQ61">
        <v>1500</v>
      </c>
      <c r="AR61">
        <v>24090</v>
      </c>
      <c r="AS61">
        <v>17670</v>
      </c>
      <c r="AT61" t="s">
        <v>178</v>
      </c>
      <c r="AU61">
        <v>2</v>
      </c>
      <c r="AV61">
        <v>10</v>
      </c>
      <c r="AW61">
        <v>0</v>
      </c>
      <c r="BB61" t="s">
        <v>753</v>
      </c>
      <c r="BE61">
        <v>2.6</v>
      </c>
      <c r="BF61">
        <v>1</v>
      </c>
      <c r="BG61">
        <v>2.6</v>
      </c>
      <c r="BH61" s="1">
        <v>44319</v>
      </c>
      <c r="BI61" t="s">
        <v>321</v>
      </c>
      <c r="BJ61">
        <v>1984</v>
      </c>
      <c r="BK61" t="s">
        <v>119</v>
      </c>
      <c r="BL61" t="s">
        <v>177</v>
      </c>
      <c r="BM61">
        <v>17670</v>
      </c>
      <c r="BN61">
        <v>1</v>
      </c>
      <c r="BO61">
        <v>5</v>
      </c>
      <c r="BP61">
        <v>3</v>
      </c>
      <c r="BQ61">
        <v>1148</v>
      </c>
      <c r="BR61">
        <v>80</v>
      </c>
      <c r="BS61">
        <v>38.013709386999999</v>
      </c>
      <c r="BT61">
        <v>-82.133519016999898</v>
      </c>
      <c r="BU61">
        <v>3</v>
      </c>
      <c r="BV61">
        <v>0</v>
      </c>
      <c r="BW61">
        <v>1</v>
      </c>
      <c r="BX61" t="s">
        <v>181</v>
      </c>
      <c r="BY61">
        <v>189</v>
      </c>
      <c r="BZ61">
        <v>11</v>
      </c>
      <c r="CA61">
        <v>1943.7</v>
      </c>
      <c r="CB61">
        <v>8835</v>
      </c>
      <c r="CC61">
        <v>74</v>
      </c>
      <c r="CD61">
        <v>3</v>
      </c>
      <c r="CE61">
        <v>265.05</v>
      </c>
      <c r="CF61">
        <v>0</v>
      </c>
      <c r="CG61">
        <v>0</v>
      </c>
      <c r="CH61">
        <v>0</v>
      </c>
      <c r="CI61">
        <v>0</v>
      </c>
      <c r="CO61">
        <v>0</v>
      </c>
      <c r="CP61">
        <v>0</v>
      </c>
      <c r="CQ61" t="s">
        <v>637</v>
      </c>
      <c r="CR61" t="s">
        <v>183</v>
      </c>
      <c r="CS61" t="s">
        <v>138</v>
      </c>
      <c r="CT61" t="s">
        <v>139</v>
      </c>
      <c r="CU61" t="s">
        <v>140</v>
      </c>
      <c r="CW61">
        <v>2</v>
      </c>
      <c r="CX61" t="s">
        <v>638</v>
      </c>
      <c r="CY61" t="s">
        <v>639</v>
      </c>
      <c r="CZ61" t="s">
        <v>720</v>
      </c>
      <c r="DA61" t="s">
        <v>640</v>
      </c>
      <c r="DB61">
        <v>0</v>
      </c>
      <c r="DC61">
        <v>26600</v>
      </c>
    </row>
    <row r="62" spans="1:107" x14ac:dyDescent="0.25">
      <c r="A62" t="s">
        <v>1198</v>
      </c>
      <c r="B62" t="s">
        <v>108</v>
      </c>
      <c r="C62" t="s">
        <v>1199</v>
      </c>
      <c r="D62" t="s">
        <v>1200</v>
      </c>
      <c r="F62" s="3" t="str">
        <f>HYPERLINK("https://mapwv.gov/flood/map/?wkid=102100&amp;x=-9094990.211602531&amp;y=4594329.3336242&amp;l=13&amp;v=2","FT")</f>
        <v>FT</v>
      </c>
      <c r="G62" s="3" t="str">
        <f>HYPERLINK("https://mapwv.gov/Assessment/Detail/?PID=03040026000600020000","Assessment")</f>
        <v>Assessment</v>
      </c>
      <c r="H62">
        <v>540007</v>
      </c>
      <c r="I62" t="s">
        <v>1170</v>
      </c>
      <c r="J62" t="s">
        <v>1171</v>
      </c>
      <c r="K62" t="s">
        <v>148</v>
      </c>
      <c r="L62" t="s">
        <v>1201</v>
      </c>
      <c r="M62" t="s">
        <v>662</v>
      </c>
      <c r="N62" t="s">
        <v>116</v>
      </c>
      <c r="O62" t="s">
        <v>117</v>
      </c>
      <c r="P62" t="s">
        <v>118</v>
      </c>
      <c r="Q62" t="s">
        <v>260</v>
      </c>
      <c r="R62">
        <v>0.5</v>
      </c>
      <c r="S62" t="s">
        <v>120</v>
      </c>
      <c r="T62">
        <v>825.4</v>
      </c>
      <c r="U62" t="s">
        <v>121</v>
      </c>
      <c r="V62">
        <v>825.1</v>
      </c>
      <c r="X62" t="s">
        <v>1202</v>
      </c>
      <c r="Y62" t="s">
        <v>1203</v>
      </c>
      <c r="Z62">
        <v>2008</v>
      </c>
      <c r="AA62" t="s">
        <v>318</v>
      </c>
      <c r="AB62" t="s">
        <v>155</v>
      </c>
      <c r="AC62" t="s">
        <v>129</v>
      </c>
      <c r="AD62">
        <v>3</v>
      </c>
      <c r="AE62">
        <v>101</v>
      </c>
      <c r="AF62" t="s">
        <v>127</v>
      </c>
      <c r="AG62" t="s">
        <v>177</v>
      </c>
      <c r="AH62" t="s">
        <v>129</v>
      </c>
      <c r="AI62">
        <v>1</v>
      </c>
      <c r="AJ62" t="s">
        <v>156</v>
      </c>
      <c r="AK62" t="s">
        <v>130</v>
      </c>
      <c r="AL62">
        <v>1000</v>
      </c>
      <c r="AM62" t="s">
        <v>157</v>
      </c>
      <c r="AN62" t="s">
        <v>158</v>
      </c>
      <c r="AO62">
        <v>4</v>
      </c>
      <c r="AP62">
        <v>23000</v>
      </c>
      <c r="AQ62">
        <v>0</v>
      </c>
      <c r="AR62">
        <v>3070</v>
      </c>
      <c r="AS62">
        <v>28000</v>
      </c>
      <c r="AT62" t="s">
        <v>228</v>
      </c>
      <c r="AU62">
        <v>1</v>
      </c>
      <c r="AV62">
        <v>1</v>
      </c>
      <c r="AW62">
        <v>1</v>
      </c>
      <c r="BC62" t="s">
        <v>230</v>
      </c>
      <c r="BE62">
        <v>2.5</v>
      </c>
      <c r="BF62">
        <v>0</v>
      </c>
      <c r="BG62">
        <v>0</v>
      </c>
      <c r="BH62" s="1">
        <v>44362</v>
      </c>
      <c r="BI62" t="s">
        <v>133</v>
      </c>
      <c r="BJ62">
        <v>2008</v>
      </c>
      <c r="BK62" t="s">
        <v>260</v>
      </c>
      <c r="BL62" t="s">
        <v>177</v>
      </c>
      <c r="BM62">
        <v>28000</v>
      </c>
      <c r="BN62">
        <v>1</v>
      </c>
      <c r="BO62">
        <v>5</v>
      </c>
      <c r="BP62">
        <v>4</v>
      </c>
      <c r="BQ62">
        <v>1000</v>
      </c>
      <c r="BR62">
        <v>2452</v>
      </c>
      <c r="BS62">
        <v>38.105423448000103</v>
      </c>
      <c r="BT62">
        <v>-81.701687159999906</v>
      </c>
      <c r="BU62">
        <v>0.47955322</v>
      </c>
      <c r="BV62">
        <v>-3.52044677734375</v>
      </c>
      <c r="BW62">
        <v>1</v>
      </c>
      <c r="BX62" t="s">
        <v>181</v>
      </c>
      <c r="BY62">
        <v>189</v>
      </c>
      <c r="BZ62">
        <v>0</v>
      </c>
      <c r="CA62">
        <v>0</v>
      </c>
      <c r="CB62">
        <v>14000</v>
      </c>
      <c r="CC62">
        <v>74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O62">
        <v>0</v>
      </c>
      <c r="CP62">
        <v>0</v>
      </c>
      <c r="CQ62" t="s">
        <v>1175</v>
      </c>
      <c r="CR62" t="s">
        <v>137</v>
      </c>
      <c r="CS62" t="s">
        <v>138</v>
      </c>
      <c r="CT62" t="s">
        <v>139</v>
      </c>
      <c r="CU62" t="s">
        <v>163</v>
      </c>
      <c r="CW62">
        <v>3</v>
      </c>
      <c r="CX62" t="s">
        <v>1176</v>
      </c>
      <c r="CY62" t="s">
        <v>1177</v>
      </c>
      <c r="CZ62" t="s">
        <v>1200</v>
      </c>
      <c r="DA62" t="s">
        <v>1178</v>
      </c>
      <c r="DB62">
        <v>0</v>
      </c>
      <c r="DC62">
        <v>26100</v>
      </c>
    </row>
    <row r="63" spans="1:107" x14ac:dyDescent="0.25">
      <c r="A63" t="s">
        <v>683</v>
      </c>
      <c r="B63" t="s">
        <v>108</v>
      </c>
      <c r="C63" t="s">
        <v>684</v>
      </c>
      <c r="D63" t="s">
        <v>685</v>
      </c>
      <c r="F63" s="3" t="str">
        <f>HYPERLINK("https://mapwv.gov/flood/map/?wkid=102100&amp;x=-9140959.203592326&amp;y=4619014.029638272&amp;l=13&amp;v=2","FT")</f>
        <v>FT</v>
      </c>
      <c r="G63" s="3" t="str">
        <f>HYPERLINK("https://mapwv.gov/Assessment/Detail/?PID=22010035003300000000","Assessment")</f>
        <v>Assessment</v>
      </c>
      <c r="H63">
        <v>540088</v>
      </c>
      <c r="I63" t="s">
        <v>632</v>
      </c>
      <c r="J63" t="s">
        <v>633</v>
      </c>
      <c r="K63" t="s">
        <v>148</v>
      </c>
      <c r="L63" t="s">
        <v>557</v>
      </c>
      <c r="M63" t="s">
        <v>550</v>
      </c>
      <c r="N63" t="s">
        <v>199</v>
      </c>
      <c r="O63" t="s">
        <v>117</v>
      </c>
      <c r="P63" t="s">
        <v>150</v>
      </c>
      <c r="Q63" t="s">
        <v>119</v>
      </c>
      <c r="R63">
        <v>3.1</v>
      </c>
      <c r="S63" t="s">
        <v>120</v>
      </c>
      <c r="T63">
        <v>640.4</v>
      </c>
      <c r="U63" t="s">
        <v>365</v>
      </c>
      <c r="V63">
        <v>637.1</v>
      </c>
      <c r="X63" t="s">
        <v>686</v>
      </c>
      <c r="Y63" t="s">
        <v>687</v>
      </c>
      <c r="Z63">
        <v>1900</v>
      </c>
      <c r="AA63" t="s">
        <v>124</v>
      </c>
      <c r="AB63" t="s">
        <v>155</v>
      </c>
      <c r="AC63" t="s">
        <v>129</v>
      </c>
      <c r="AD63">
        <v>2</v>
      </c>
      <c r="AE63">
        <v>101</v>
      </c>
      <c r="AF63" t="s">
        <v>127</v>
      </c>
      <c r="AG63" t="s">
        <v>128</v>
      </c>
      <c r="AH63" t="s">
        <v>129</v>
      </c>
      <c r="AI63">
        <v>1</v>
      </c>
      <c r="AJ63" t="s">
        <v>156</v>
      </c>
      <c r="AK63" t="s">
        <v>130</v>
      </c>
      <c r="AL63">
        <v>1189</v>
      </c>
      <c r="AM63" t="s">
        <v>157</v>
      </c>
      <c r="AN63" t="s">
        <v>158</v>
      </c>
      <c r="AO63">
        <v>3</v>
      </c>
      <c r="AP63">
        <v>25000</v>
      </c>
      <c r="AQ63">
        <v>0</v>
      </c>
      <c r="AR63">
        <v>0</v>
      </c>
      <c r="AS63">
        <v>25000</v>
      </c>
      <c r="AT63" t="s">
        <v>132</v>
      </c>
      <c r="AU63">
        <v>1</v>
      </c>
      <c r="AV63">
        <v>0</v>
      </c>
      <c r="AW63">
        <v>1</v>
      </c>
      <c r="BE63">
        <v>2.6</v>
      </c>
      <c r="BF63">
        <v>1</v>
      </c>
      <c r="BG63">
        <v>2.6</v>
      </c>
      <c r="BH63" s="1">
        <v>44319</v>
      </c>
      <c r="BI63" t="s">
        <v>210</v>
      </c>
      <c r="BJ63">
        <v>1900</v>
      </c>
      <c r="BK63" t="s">
        <v>119</v>
      </c>
      <c r="BL63" t="s">
        <v>128</v>
      </c>
      <c r="BM63">
        <v>25000</v>
      </c>
      <c r="BN63">
        <v>1</v>
      </c>
      <c r="BO63">
        <v>5</v>
      </c>
      <c r="BP63">
        <v>3</v>
      </c>
      <c r="BQ63">
        <v>1189</v>
      </c>
      <c r="BR63">
        <v>2094</v>
      </c>
      <c r="BS63">
        <v>38.279702030999999</v>
      </c>
      <c r="BT63">
        <v>-82.114633640999898</v>
      </c>
      <c r="BU63">
        <v>3.1576537999999998</v>
      </c>
      <c r="BV63">
        <v>0.15765380859375</v>
      </c>
      <c r="BW63">
        <v>1</v>
      </c>
      <c r="BX63" t="s">
        <v>134</v>
      </c>
      <c r="BY63">
        <v>129</v>
      </c>
      <c r="BZ63">
        <v>14.576538085937401</v>
      </c>
      <c r="CA63">
        <v>3644.13452148437</v>
      </c>
      <c r="CB63">
        <v>12500</v>
      </c>
      <c r="CC63">
        <v>45</v>
      </c>
      <c r="CD63">
        <v>17.5765380859375</v>
      </c>
      <c r="CE63">
        <v>2197.0672607421802</v>
      </c>
      <c r="CF63">
        <v>0</v>
      </c>
      <c r="CG63">
        <v>0</v>
      </c>
      <c r="CH63">
        <v>0</v>
      </c>
      <c r="CI63">
        <v>0</v>
      </c>
      <c r="CJ63" t="s">
        <v>561</v>
      </c>
      <c r="CK63">
        <v>4.8748999999999896</v>
      </c>
      <c r="CL63">
        <v>0</v>
      </c>
      <c r="CM63">
        <v>0</v>
      </c>
      <c r="CN63">
        <v>4.8748999999999896</v>
      </c>
      <c r="CO63">
        <v>180</v>
      </c>
      <c r="CP63">
        <v>360</v>
      </c>
      <c r="CQ63" t="s">
        <v>637</v>
      </c>
      <c r="CR63" t="s">
        <v>183</v>
      </c>
      <c r="CS63" t="s">
        <v>138</v>
      </c>
      <c r="CT63" t="s">
        <v>139</v>
      </c>
      <c r="CU63" t="s">
        <v>140</v>
      </c>
      <c r="CW63">
        <v>2</v>
      </c>
      <c r="CX63" t="s">
        <v>638</v>
      </c>
      <c r="CY63" t="s">
        <v>639</v>
      </c>
      <c r="CZ63" t="s">
        <v>685</v>
      </c>
      <c r="DA63" t="s">
        <v>640</v>
      </c>
      <c r="DB63">
        <v>0</v>
      </c>
      <c r="DC63">
        <v>25000</v>
      </c>
    </row>
    <row r="64" spans="1:107" x14ac:dyDescent="0.25">
      <c r="A64" t="s">
        <v>701</v>
      </c>
      <c r="B64" t="s">
        <v>108</v>
      </c>
      <c r="C64" t="s">
        <v>702</v>
      </c>
      <c r="D64" t="s">
        <v>703</v>
      </c>
      <c r="F64" s="3" t="str">
        <f>HYPERLINK("https://mapwv.gov/flood/map/?wkid=102100&amp;x=-9141129.371797968&amp;y=4619118.082951574&amp;l=13&amp;v=2","FT")</f>
        <v>FT</v>
      </c>
      <c r="G64" s="3" t="str">
        <f>HYPERLINK("https://mapwv.gov/Assessment/Detail/?PID=22010035000800000000","Assessment")</f>
        <v>Assessment</v>
      </c>
      <c r="H64">
        <v>540088</v>
      </c>
      <c r="I64" t="s">
        <v>632</v>
      </c>
      <c r="J64" t="s">
        <v>633</v>
      </c>
      <c r="K64" t="s">
        <v>148</v>
      </c>
      <c r="L64" t="s">
        <v>557</v>
      </c>
      <c r="M64" t="s">
        <v>550</v>
      </c>
      <c r="N64" t="s">
        <v>704</v>
      </c>
      <c r="O64" t="s">
        <v>117</v>
      </c>
      <c r="P64" t="s">
        <v>118</v>
      </c>
      <c r="Q64" t="s">
        <v>119</v>
      </c>
      <c r="R64">
        <v>0.3</v>
      </c>
      <c r="S64" t="s">
        <v>120</v>
      </c>
      <c r="T64">
        <v>641.1</v>
      </c>
      <c r="U64" t="s">
        <v>365</v>
      </c>
      <c r="V64">
        <v>640.6</v>
      </c>
      <c r="X64" t="s">
        <v>705</v>
      </c>
      <c r="Y64" t="s">
        <v>706</v>
      </c>
      <c r="Z64">
        <v>1980</v>
      </c>
      <c r="AB64" t="s">
        <v>155</v>
      </c>
      <c r="AC64" t="s">
        <v>129</v>
      </c>
      <c r="AD64">
        <v>2</v>
      </c>
      <c r="AE64">
        <v>101</v>
      </c>
      <c r="AF64" t="s">
        <v>127</v>
      </c>
      <c r="AG64" t="s">
        <v>177</v>
      </c>
      <c r="AH64" t="s">
        <v>129</v>
      </c>
      <c r="AI64">
        <v>1</v>
      </c>
      <c r="AL64">
        <v>2640</v>
      </c>
      <c r="AN64" t="s">
        <v>158</v>
      </c>
      <c r="AO64">
        <v>3</v>
      </c>
      <c r="AP64">
        <v>0</v>
      </c>
      <c r="AQ64">
        <v>0</v>
      </c>
      <c r="AR64">
        <v>24990</v>
      </c>
      <c r="AS64">
        <v>31850</v>
      </c>
      <c r="AT64" t="s">
        <v>178</v>
      </c>
      <c r="AU64">
        <v>1</v>
      </c>
      <c r="AV64">
        <v>4</v>
      </c>
      <c r="AW64">
        <v>1</v>
      </c>
      <c r="BB64" t="s">
        <v>677</v>
      </c>
      <c r="BE64">
        <v>2.6</v>
      </c>
      <c r="BF64">
        <v>0</v>
      </c>
      <c r="BG64">
        <v>0</v>
      </c>
      <c r="BH64" s="1">
        <v>44319</v>
      </c>
      <c r="BI64" t="s">
        <v>707</v>
      </c>
      <c r="BJ64">
        <v>1980</v>
      </c>
      <c r="BK64" t="s">
        <v>119</v>
      </c>
      <c r="BL64" t="s">
        <v>177</v>
      </c>
      <c r="BM64">
        <v>31850</v>
      </c>
      <c r="BN64">
        <v>1</v>
      </c>
      <c r="BO64">
        <v>5</v>
      </c>
      <c r="BP64">
        <v>3</v>
      </c>
      <c r="BQ64">
        <v>2640</v>
      </c>
      <c r="BR64">
        <v>2166</v>
      </c>
      <c r="BS64">
        <v>38.280435783999998</v>
      </c>
      <c r="BT64">
        <v>-82.116162287999799</v>
      </c>
      <c r="BU64">
        <v>0.26171875</v>
      </c>
      <c r="BV64">
        <v>-2.73828125</v>
      </c>
      <c r="BW64">
        <v>1</v>
      </c>
      <c r="BX64" t="s">
        <v>181</v>
      </c>
      <c r="BY64">
        <v>189</v>
      </c>
      <c r="BZ64">
        <v>0</v>
      </c>
      <c r="CA64">
        <v>0</v>
      </c>
      <c r="CB64">
        <v>15925</v>
      </c>
      <c r="CC64">
        <v>74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O64">
        <v>0</v>
      </c>
      <c r="CP64">
        <v>0</v>
      </c>
      <c r="CQ64" t="s">
        <v>637</v>
      </c>
      <c r="CR64" t="s">
        <v>137</v>
      </c>
      <c r="CS64" t="s">
        <v>138</v>
      </c>
      <c r="CT64" t="s">
        <v>139</v>
      </c>
      <c r="CU64" t="s">
        <v>163</v>
      </c>
      <c r="CW64">
        <v>2</v>
      </c>
      <c r="CX64" t="s">
        <v>638</v>
      </c>
      <c r="CY64" t="s">
        <v>639</v>
      </c>
      <c r="CZ64" t="s">
        <v>703</v>
      </c>
      <c r="DA64" t="s">
        <v>640</v>
      </c>
      <c r="DB64">
        <v>0</v>
      </c>
      <c r="DC64">
        <v>25000</v>
      </c>
    </row>
    <row r="65" spans="1:107" x14ac:dyDescent="0.25">
      <c r="A65" t="s">
        <v>1583</v>
      </c>
      <c r="B65" t="s">
        <v>108</v>
      </c>
      <c r="C65" t="s">
        <v>1584</v>
      </c>
      <c r="D65" t="s">
        <v>1585</v>
      </c>
      <c r="F65" s="3" t="str">
        <f>HYPERLINK("https://mapwv.gov/flood/map/?wkid=102100&amp;x=-9113213.895969706&amp;y=4633057.0125972405&amp;l=13&amp;v=2","FT")</f>
        <v>FT</v>
      </c>
      <c r="G65" s="3" t="str">
        <f>HYPERLINK("https://mapwv.gov/Assessment/Detail/?PID=2016006G003500000000","Assessment")</f>
        <v>Assessment</v>
      </c>
      <c r="H65">
        <v>540070</v>
      </c>
      <c r="I65" t="s">
        <v>1306</v>
      </c>
      <c r="J65" t="s">
        <v>1282</v>
      </c>
      <c r="K65" t="s">
        <v>148</v>
      </c>
      <c r="L65" t="s">
        <v>661</v>
      </c>
      <c r="M65" t="s">
        <v>662</v>
      </c>
      <c r="N65" t="s">
        <v>199</v>
      </c>
      <c r="O65" t="s">
        <v>117</v>
      </c>
      <c r="P65" t="s">
        <v>150</v>
      </c>
      <c r="Q65" t="s">
        <v>119</v>
      </c>
      <c r="R65">
        <v>11.5</v>
      </c>
      <c r="S65" t="s">
        <v>120</v>
      </c>
      <c r="T65" t="s">
        <v>151</v>
      </c>
      <c r="U65" t="s">
        <v>151</v>
      </c>
      <c r="V65">
        <v>587.20000000000005</v>
      </c>
      <c r="X65" t="s">
        <v>1586</v>
      </c>
      <c r="Y65" t="s">
        <v>1587</v>
      </c>
      <c r="Z65">
        <v>1940</v>
      </c>
      <c r="AA65" t="s">
        <v>241</v>
      </c>
      <c r="AB65" t="s">
        <v>155</v>
      </c>
      <c r="AC65" t="s">
        <v>129</v>
      </c>
      <c r="AD65">
        <v>2</v>
      </c>
      <c r="AE65">
        <v>101</v>
      </c>
      <c r="AF65" t="s">
        <v>127</v>
      </c>
      <c r="AG65" t="s">
        <v>128</v>
      </c>
      <c r="AH65" t="s">
        <v>129</v>
      </c>
      <c r="AI65">
        <v>1</v>
      </c>
      <c r="AJ65" t="s">
        <v>291</v>
      </c>
      <c r="AK65" t="s">
        <v>130</v>
      </c>
      <c r="AL65">
        <v>656</v>
      </c>
      <c r="AM65" t="s">
        <v>353</v>
      </c>
      <c r="AN65" t="s">
        <v>208</v>
      </c>
      <c r="AO65">
        <v>4</v>
      </c>
      <c r="AP65">
        <v>23500</v>
      </c>
      <c r="AQ65">
        <v>0</v>
      </c>
      <c r="AR65">
        <v>720</v>
      </c>
      <c r="AS65">
        <v>24200</v>
      </c>
      <c r="AT65" t="s">
        <v>132</v>
      </c>
      <c r="AU65">
        <v>1</v>
      </c>
      <c r="AV65">
        <v>1</v>
      </c>
      <c r="AW65">
        <v>1</v>
      </c>
      <c r="BE65">
        <v>2.4</v>
      </c>
      <c r="BF65">
        <v>1</v>
      </c>
      <c r="BG65">
        <v>2.4</v>
      </c>
      <c r="BH65" s="1">
        <v>44362</v>
      </c>
      <c r="BI65" t="s">
        <v>210</v>
      </c>
      <c r="BJ65">
        <v>1940</v>
      </c>
      <c r="BK65" t="s">
        <v>119</v>
      </c>
      <c r="BL65" t="s">
        <v>128</v>
      </c>
      <c r="BM65">
        <v>24200</v>
      </c>
      <c r="BN65">
        <v>1</v>
      </c>
      <c r="BO65">
        <v>4</v>
      </c>
      <c r="BP65">
        <v>4</v>
      </c>
      <c r="BQ65">
        <v>656</v>
      </c>
      <c r="BR65">
        <v>4804</v>
      </c>
      <c r="BS65">
        <v>38.378661913999998</v>
      </c>
      <c r="BT65">
        <v>-81.865393302000001</v>
      </c>
      <c r="BU65">
        <v>11.456787</v>
      </c>
      <c r="BV65">
        <v>7.456787109375</v>
      </c>
      <c r="BW65">
        <v>1</v>
      </c>
      <c r="BX65" t="s">
        <v>354</v>
      </c>
      <c r="BY65">
        <v>704</v>
      </c>
      <c r="BZ65">
        <v>71.8271484375</v>
      </c>
      <c r="CA65">
        <v>17382.169921875</v>
      </c>
      <c r="CB65">
        <v>12100</v>
      </c>
      <c r="CC65">
        <v>535</v>
      </c>
      <c r="CD65">
        <v>35.456787109375</v>
      </c>
      <c r="CE65">
        <v>4290.2712402343705</v>
      </c>
      <c r="CF65">
        <v>0</v>
      </c>
      <c r="CG65">
        <v>0</v>
      </c>
      <c r="CH65">
        <v>0</v>
      </c>
      <c r="CI65">
        <v>0</v>
      </c>
      <c r="CJ65" t="s">
        <v>1588</v>
      </c>
      <c r="CK65">
        <v>6.6912000000000003</v>
      </c>
      <c r="CL65">
        <v>20.992000000000001</v>
      </c>
      <c r="CM65">
        <v>16.399999999999899</v>
      </c>
      <c r="CN65">
        <v>44.083199999999898</v>
      </c>
      <c r="CO65">
        <v>270</v>
      </c>
      <c r="CP65">
        <v>450</v>
      </c>
      <c r="CQ65" t="s">
        <v>1286</v>
      </c>
      <c r="CR65" t="s">
        <v>183</v>
      </c>
      <c r="CS65" t="s">
        <v>138</v>
      </c>
      <c r="CT65" t="s">
        <v>139</v>
      </c>
      <c r="CU65" t="s">
        <v>274</v>
      </c>
      <c r="CW65">
        <v>3</v>
      </c>
      <c r="CX65" t="s">
        <v>1312</v>
      </c>
      <c r="CY65" t="s">
        <v>1288</v>
      </c>
      <c r="CZ65" t="s">
        <v>1585</v>
      </c>
      <c r="DA65" t="s">
        <v>1289</v>
      </c>
      <c r="DB65">
        <v>0</v>
      </c>
      <c r="DC65">
        <v>24200</v>
      </c>
    </row>
    <row r="66" spans="1:107" x14ac:dyDescent="0.25">
      <c r="A66" t="s">
        <v>1115</v>
      </c>
      <c r="B66" t="s">
        <v>108</v>
      </c>
      <c r="C66" t="s">
        <v>1116</v>
      </c>
      <c r="D66" t="s">
        <v>1117</v>
      </c>
      <c r="F66" s="3" t="str">
        <f>HYPERLINK("https://mapwv.gov/flood/map/?wkid=102100&amp;x=-9098440.399810158&amp;y=4550534.763197901&amp;l=13&amp;v=2","FT")</f>
        <v>FT</v>
      </c>
      <c r="G66" s="3" t="str">
        <f>HYPERLINK("https://mapwv.gov/Assessment/Detail/?PID=23080002001800000000","Assessment")</f>
        <v>Assessment</v>
      </c>
      <c r="H66">
        <v>545536</v>
      </c>
      <c r="I66" t="s">
        <v>964</v>
      </c>
      <c r="J66" t="s">
        <v>965</v>
      </c>
      <c r="K66" t="s">
        <v>148</v>
      </c>
      <c r="L66" t="s">
        <v>1118</v>
      </c>
      <c r="M66" t="s">
        <v>967</v>
      </c>
      <c r="N66" t="s">
        <v>116</v>
      </c>
      <c r="O66" t="s">
        <v>117</v>
      </c>
      <c r="P66" t="s">
        <v>118</v>
      </c>
      <c r="Q66" t="s">
        <v>260</v>
      </c>
      <c r="R66" t="s">
        <v>151</v>
      </c>
      <c r="S66" t="s">
        <v>151</v>
      </c>
      <c r="T66">
        <v>1180.0999999999999</v>
      </c>
      <c r="U66" t="s">
        <v>121</v>
      </c>
      <c r="V66">
        <v>1173.4000000000001</v>
      </c>
      <c r="X66" t="s">
        <v>1119</v>
      </c>
      <c r="Y66" t="s">
        <v>1120</v>
      </c>
      <c r="Z66">
        <v>1992</v>
      </c>
      <c r="AA66" t="s">
        <v>241</v>
      </c>
      <c r="AB66" t="s">
        <v>155</v>
      </c>
      <c r="AC66" t="s">
        <v>129</v>
      </c>
      <c r="AD66">
        <v>3</v>
      </c>
      <c r="AE66">
        <v>101</v>
      </c>
      <c r="AF66" t="s">
        <v>127</v>
      </c>
      <c r="AG66" t="s">
        <v>128</v>
      </c>
      <c r="AH66" t="s">
        <v>129</v>
      </c>
      <c r="AI66">
        <v>1</v>
      </c>
      <c r="AJ66" t="s">
        <v>156</v>
      </c>
      <c r="AK66" t="s">
        <v>130</v>
      </c>
      <c r="AL66">
        <v>912</v>
      </c>
      <c r="AM66" t="s">
        <v>519</v>
      </c>
      <c r="AN66" t="s">
        <v>208</v>
      </c>
      <c r="AO66">
        <v>4</v>
      </c>
      <c r="AP66">
        <v>23300</v>
      </c>
      <c r="AQ66">
        <v>0</v>
      </c>
      <c r="AR66">
        <v>380</v>
      </c>
      <c r="AS66">
        <v>23700</v>
      </c>
      <c r="AT66" t="s">
        <v>132</v>
      </c>
      <c r="AU66">
        <v>1</v>
      </c>
      <c r="AV66">
        <v>1</v>
      </c>
      <c r="AW66">
        <v>1</v>
      </c>
      <c r="BE66">
        <v>2.4</v>
      </c>
      <c r="BF66">
        <v>0</v>
      </c>
      <c r="BG66">
        <v>0</v>
      </c>
      <c r="BH66" s="1">
        <v>44348</v>
      </c>
      <c r="BI66" t="s">
        <v>1121</v>
      </c>
      <c r="BJ66">
        <v>1992</v>
      </c>
      <c r="BK66" t="s">
        <v>260</v>
      </c>
      <c r="BL66" t="s">
        <v>128</v>
      </c>
      <c r="BM66">
        <v>23700</v>
      </c>
      <c r="BN66">
        <v>1</v>
      </c>
      <c r="BO66">
        <v>4</v>
      </c>
      <c r="BP66">
        <v>4</v>
      </c>
      <c r="BQ66">
        <v>912</v>
      </c>
      <c r="BR66">
        <v>2134</v>
      </c>
      <c r="BS66">
        <v>37.795200428999898</v>
      </c>
      <c r="BT66">
        <v>-81.732680727999906</v>
      </c>
      <c r="BU66">
        <v>0</v>
      </c>
      <c r="BV66">
        <v>-4</v>
      </c>
      <c r="BW66">
        <v>0</v>
      </c>
      <c r="BX66" t="s">
        <v>354</v>
      </c>
      <c r="BY66">
        <v>0</v>
      </c>
      <c r="BZ66">
        <v>0</v>
      </c>
      <c r="CA66">
        <v>0</v>
      </c>
      <c r="CB66">
        <v>11850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O66">
        <v>0</v>
      </c>
      <c r="CP66">
        <v>0</v>
      </c>
      <c r="CQ66" t="s">
        <v>974</v>
      </c>
      <c r="CR66" t="s">
        <v>137</v>
      </c>
      <c r="CS66" t="s">
        <v>161</v>
      </c>
      <c r="CT66" t="s">
        <v>139</v>
      </c>
      <c r="CU66" t="s">
        <v>163</v>
      </c>
      <c r="CW66">
        <v>2</v>
      </c>
      <c r="CX66" t="s">
        <v>975</v>
      </c>
      <c r="CY66" t="s">
        <v>976</v>
      </c>
      <c r="CZ66" t="s">
        <v>1117</v>
      </c>
      <c r="DA66" t="s">
        <v>977</v>
      </c>
      <c r="DB66">
        <v>0</v>
      </c>
      <c r="DC66">
        <v>23700</v>
      </c>
    </row>
    <row r="67" spans="1:107" x14ac:dyDescent="0.25">
      <c r="A67" t="s">
        <v>1179</v>
      </c>
      <c r="B67" t="s">
        <v>108</v>
      </c>
      <c r="C67" t="s">
        <v>1180</v>
      </c>
      <c r="D67" t="s">
        <v>1181</v>
      </c>
      <c r="F67" s="3" t="str">
        <f>HYPERLINK("https://mapwv.gov/flood/map/?wkid=102100&amp;x=-9108434.923958547&amp;y=4588452.820704358&amp;l=13&amp;v=2","FT")</f>
        <v>FT</v>
      </c>
      <c r="G67" s="3" t="str">
        <f>HYPERLINK("https://mapwv.gov/Assessment/Detail/?PID=03030005001700000000","Assessment")</f>
        <v>Assessment</v>
      </c>
      <c r="H67">
        <v>540008</v>
      </c>
      <c r="I67" t="s">
        <v>1182</v>
      </c>
      <c r="J67" t="s">
        <v>1171</v>
      </c>
      <c r="K67" t="s">
        <v>113</v>
      </c>
      <c r="L67" t="s">
        <v>1183</v>
      </c>
      <c r="M67" t="s">
        <v>662</v>
      </c>
      <c r="N67" t="s">
        <v>199</v>
      </c>
      <c r="O67" t="s">
        <v>117</v>
      </c>
      <c r="P67" t="s">
        <v>150</v>
      </c>
      <c r="Q67" t="s">
        <v>119</v>
      </c>
      <c r="R67">
        <v>0.4</v>
      </c>
      <c r="S67" t="s">
        <v>120</v>
      </c>
      <c r="T67" t="s">
        <v>151</v>
      </c>
      <c r="U67" t="s">
        <v>151</v>
      </c>
      <c r="V67">
        <v>697</v>
      </c>
      <c r="X67" t="s">
        <v>1184</v>
      </c>
      <c r="Y67" t="s">
        <v>1185</v>
      </c>
      <c r="Z67">
        <v>1915</v>
      </c>
      <c r="AA67" t="s">
        <v>241</v>
      </c>
      <c r="AB67" t="s">
        <v>175</v>
      </c>
      <c r="AC67" t="s">
        <v>288</v>
      </c>
      <c r="AD67">
        <v>4</v>
      </c>
      <c r="AE67">
        <v>371</v>
      </c>
      <c r="AF67" t="s">
        <v>289</v>
      </c>
      <c r="AG67" t="s">
        <v>290</v>
      </c>
      <c r="AH67" t="s">
        <v>288</v>
      </c>
      <c r="AI67">
        <v>2</v>
      </c>
      <c r="AJ67" t="s">
        <v>1186</v>
      </c>
      <c r="AL67">
        <v>5400</v>
      </c>
      <c r="AM67" t="s">
        <v>206</v>
      </c>
      <c r="AN67" t="s">
        <v>131</v>
      </c>
      <c r="AO67">
        <v>1</v>
      </c>
      <c r="AP67">
        <v>0</v>
      </c>
      <c r="AQ67">
        <v>21200</v>
      </c>
      <c r="AR67">
        <v>0</v>
      </c>
      <c r="AS67">
        <v>22200</v>
      </c>
      <c r="AT67" t="s">
        <v>132</v>
      </c>
      <c r="AU67">
        <v>1</v>
      </c>
      <c r="AV67">
        <v>0</v>
      </c>
      <c r="AW67">
        <v>0</v>
      </c>
      <c r="BE67">
        <v>2.4</v>
      </c>
      <c r="BF67">
        <v>0</v>
      </c>
      <c r="BG67">
        <v>0</v>
      </c>
      <c r="BH67" s="1">
        <v>44362</v>
      </c>
      <c r="BI67" t="s">
        <v>210</v>
      </c>
      <c r="BJ67">
        <v>1915</v>
      </c>
      <c r="BK67" t="s">
        <v>119</v>
      </c>
      <c r="BL67" t="s">
        <v>290</v>
      </c>
      <c r="BM67">
        <v>22200</v>
      </c>
      <c r="BN67">
        <v>2</v>
      </c>
      <c r="BO67">
        <v>7</v>
      </c>
      <c r="BP67">
        <v>1</v>
      </c>
      <c r="BQ67">
        <v>5400</v>
      </c>
      <c r="BR67">
        <v>3354</v>
      </c>
      <c r="BS67">
        <v>38.063872728</v>
      </c>
      <c r="BT67">
        <v>-81.822463065999898</v>
      </c>
      <c r="BU67">
        <v>0.22619628999999999</v>
      </c>
      <c r="BV67">
        <v>-0.7738037109375</v>
      </c>
      <c r="BW67">
        <v>1</v>
      </c>
      <c r="BX67" t="s">
        <v>738</v>
      </c>
      <c r="BY67">
        <v>431</v>
      </c>
      <c r="BZ67">
        <v>0.452392578125</v>
      </c>
      <c r="CA67">
        <v>100.43115234375</v>
      </c>
      <c r="CB67">
        <v>22200</v>
      </c>
      <c r="CC67">
        <v>280</v>
      </c>
      <c r="CD67">
        <v>0.452392578125</v>
      </c>
      <c r="CE67">
        <v>100.43115234375</v>
      </c>
      <c r="CF67">
        <v>0</v>
      </c>
      <c r="CG67">
        <v>0</v>
      </c>
      <c r="CH67">
        <v>0</v>
      </c>
      <c r="CI67">
        <v>0</v>
      </c>
      <c r="CO67">
        <v>0</v>
      </c>
      <c r="CP67">
        <v>0</v>
      </c>
      <c r="CQ67" t="s">
        <v>1175</v>
      </c>
      <c r="CR67" t="s">
        <v>294</v>
      </c>
      <c r="CS67" t="s">
        <v>138</v>
      </c>
      <c r="CT67" t="s">
        <v>139</v>
      </c>
      <c r="CU67" t="s">
        <v>163</v>
      </c>
      <c r="CW67">
        <v>3</v>
      </c>
      <c r="CX67" t="s">
        <v>1187</v>
      </c>
      <c r="CY67" t="s">
        <v>1177</v>
      </c>
      <c r="CZ67" t="s">
        <v>1181</v>
      </c>
      <c r="DA67" t="s">
        <v>1178</v>
      </c>
      <c r="DB67">
        <v>0</v>
      </c>
      <c r="DC67">
        <v>22200</v>
      </c>
    </row>
    <row r="68" spans="1:107" x14ac:dyDescent="0.25">
      <c r="A68" t="s">
        <v>311</v>
      </c>
      <c r="B68" t="s">
        <v>108</v>
      </c>
      <c r="C68" t="s">
        <v>312</v>
      </c>
      <c r="D68" t="s">
        <v>313</v>
      </c>
      <c r="F68" s="3" t="str">
        <f>HYPERLINK("https://mapwv.gov/flood/map/?wkid=102100&amp;x=-8922844.99117297&amp;y=4726394.053918325&amp;l=13&amp;v=2","FT")</f>
        <v>FT</v>
      </c>
      <c r="G68" s="3" t="str">
        <f>HYPERLINK("https://mapwv.gov/Assessment/Detail/?PID=4905007E000500000000","Assessment")</f>
        <v>Assessment</v>
      </c>
      <c r="H68">
        <v>540198</v>
      </c>
      <c r="I68" t="s">
        <v>298</v>
      </c>
      <c r="J68" t="s">
        <v>299</v>
      </c>
      <c r="K68" t="s">
        <v>148</v>
      </c>
      <c r="L68" t="s">
        <v>314</v>
      </c>
      <c r="M68" t="s">
        <v>115</v>
      </c>
      <c r="N68" t="s">
        <v>149</v>
      </c>
      <c r="O68" t="s">
        <v>117</v>
      </c>
      <c r="P68" t="s">
        <v>150</v>
      </c>
      <c r="Q68" t="s">
        <v>260</v>
      </c>
      <c r="R68">
        <v>1</v>
      </c>
      <c r="S68" t="s">
        <v>315</v>
      </c>
      <c r="T68" t="s">
        <v>151</v>
      </c>
      <c r="U68" t="s">
        <v>151</v>
      </c>
      <c r="V68">
        <v>1405.1</v>
      </c>
      <c r="X68" t="s">
        <v>316</v>
      </c>
      <c r="Y68" t="s">
        <v>317</v>
      </c>
      <c r="Z68">
        <v>1990</v>
      </c>
      <c r="AA68" t="s">
        <v>318</v>
      </c>
      <c r="AB68" t="s">
        <v>303</v>
      </c>
      <c r="AC68" t="s">
        <v>304</v>
      </c>
      <c r="AD68">
        <v>3</v>
      </c>
      <c r="AE68">
        <v>113</v>
      </c>
      <c r="AF68" t="s">
        <v>319</v>
      </c>
      <c r="AG68" t="s">
        <v>128</v>
      </c>
      <c r="AH68" t="s">
        <v>129</v>
      </c>
      <c r="AI68">
        <v>1</v>
      </c>
      <c r="AJ68" t="s">
        <v>156</v>
      </c>
      <c r="AK68" t="s">
        <v>320</v>
      </c>
      <c r="AL68">
        <v>600</v>
      </c>
      <c r="AM68" t="s">
        <v>206</v>
      </c>
      <c r="AN68" t="s">
        <v>131</v>
      </c>
      <c r="AO68">
        <v>1</v>
      </c>
      <c r="AP68">
        <v>21400</v>
      </c>
      <c r="AQ68">
        <v>0</v>
      </c>
      <c r="AR68">
        <v>0</v>
      </c>
      <c r="AS68">
        <v>21400</v>
      </c>
      <c r="AT68" t="s">
        <v>132</v>
      </c>
      <c r="AU68">
        <v>1</v>
      </c>
      <c r="AV68">
        <v>0</v>
      </c>
      <c r="AW68">
        <v>0</v>
      </c>
      <c r="BC68" t="s">
        <v>209</v>
      </c>
      <c r="BE68">
        <v>2.6</v>
      </c>
      <c r="BF68">
        <v>1</v>
      </c>
      <c r="BG68">
        <v>2.6</v>
      </c>
      <c r="BH68" s="1">
        <v>44284</v>
      </c>
      <c r="BI68" t="s">
        <v>321</v>
      </c>
      <c r="BJ68">
        <v>1990</v>
      </c>
      <c r="BK68" t="s">
        <v>260</v>
      </c>
      <c r="BL68" t="s">
        <v>128</v>
      </c>
      <c r="BM68">
        <v>21400</v>
      </c>
      <c r="BN68">
        <v>1</v>
      </c>
      <c r="BO68">
        <v>7</v>
      </c>
      <c r="BP68">
        <v>1</v>
      </c>
      <c r="BQ68">
        <v>600</v>
      </c>
      <c r="BR68">
        <v>473</v>
      </c>
      <c r="BS68">
        <v>39.0329610040001</v>
      </c>
      <c r="BT68">
        <v>-80.155280333999798</v>
      </c>
      <c r="BU68">
        <v>1</v>
      </c>
      <c r="BV68">
        <v>0</v>
      </c>
      <c r="BW68">
        <v>1</v>
      </c>
      <c r="BX68" t="s">
        <v>134</v>
      </c>
      <c r="BY68">
        <v>129</v>
      </c>
      <c r="BZ68">
        <v>13</v>
      </c>
      <c r="CA68">
        <v>2782</v>
      </c>
      <c r="CB68">
        <v>10700</v>
      </c>
      <c r="CC68">
        <v>45</v>
      </c>
      <c r="CD68">
        <v>16</v>
      </c>
      <c r="CE68">
        <v>1712</v>
      </c>
      <c r="CF68">
        <v>0</v>
      </c>
      <c r="CG68">
        <v>0</v>
      </c>
      <c r="CH68">
        <v>0</v>
      </c>
      <c r="CI68">
        <v>0</v>
      </c>
      <c r="CO68">
        <v>0</v>
      </c>
      <c r="CP68">
        <v>0</v>
      </c>
      <c r="CQ68" t="s">
        <v>307</v>
      </c>
      <c r="CR68" t="s">
        <v>183</v>
      </c>
      <c r="CS68" t="s">
        <v>138</v>
      </c>
      <c r="CT68" t="s">
        <v>139</v>
      </c>
      <c r="CU68" t="s">
        <v>140</v>
      </c>
      <c r="CW68">
        <v>7</v>
      </c>
      <c r="CX68" t="s">
        <v>308</v>
      </c>
      <c r="CY68" t="s">
        <v>309</v>
      </c>
      <c r="CZ68" t="s">
        <v>313</v>
      </c>
      <c r="DA68" t="s">
        <v>310</v>
      </c>
      <c r="DB68">
        <v>0</v>
      </c>
      <c r="DC68">
        <v>21400</v>
      </c>
    </row>
    <row r="69" spans="1:107" x14ac:dyDescent="0.25">
      <c r="A69" t="s">
        <v>754</v>
      </c>
      <c r="B69" t="s">
        <v>108</v>
      </c>
      <c r="C69" t="s">
        <v>755</v>
      </c>
      <c r="D69" t="s">
        <v>756</v>
      </c>
      <c r="F69" s="3" t="str">
        <f>HYPERLINK("https://mapwv.gov/flood/map/?wkid=102100&amp;x=-9146797.913890062&amp;y=4592585.910692143&amp;l=13&amp;v=2","FT")</f>
        <v>FT</v>
      </c>
      <c r="G69" s="3" t="str">
        <f>HYPERLINK("https://mapwv.gov/Assessment/Detail/?PID=22040005000700000000","Assessment")</f>
        <v>Assessment</v>
      </c>
      <c r="H69">
        <v>540088</v>
      </c>
      <c r="I69" t="s">
        <v>632</v>
      </c>
      <c r="J69" t="s">
        <v>633</v>
      </c>
      <c r="K69" t="s">
        <v>148</v>
      </c>
      <c r="L69" t="s">
        <v>757</v>
      </c>
      <c r="M69" t="s">
        <v>550</v>
      </c>
      <c r="N69" t="s">
        <v>149</v>
      </c>
      <c r="O69" t="s">
        <v>117</v>
      </c>
      <c r="P69" t="s">
        <v>150</v>
      </c>
      <c r="Q69" t="s">
        <v>260</v>
      </c>
      <c r="R69" t="s">
        <v>151</v>
      </c>
      <c r="S69" t="s">
        <v>151</v>
      </c>
      <c r="T69" t="s">
        <v>151</v>
      </c>
      <c r="U69" t="s">
        <v>151</v>
      </c>
      <c r="V69">
        <v>647.79999999999995</v>
      </c>
      <c r="X69" t="s">
        <v>758</v>
      </c>
      <c r="Y69" t="s">
        <v>759</v>
      </c>
      <c r="Z69">
        <v>1995</v>
      </c>
      <c r="AA69" t="s">
        <v>241</v>
      </c>
      <c r="AB69" t="s">
        <v>155</v>
      </c>
      <c r="AC69" t="s">
        <v>129</v>
      </c>
      <c r="AD69">
        <v>2</v>
      </c>
      <c r="AE69">
        <v>108</v>
      </c>
      <c r="AF69" t="s">
        <v>176</v>
      </c>
      <c r="AG69" t="s">
        <v>177</v>
      </c>
      <c r="AH69" t="s">
        <v>129</v>
      </c>
      <c r="AI69">
        <v>1</v>
      </c>
      <c r="AL69">
        <v>1120</v>
      </c>
      <c r="AN69" t="s">
        <v>158</v>
      </c>
      <c r="AO69">
        <v>4</v>
      </c>
      <c r="AP69">
        <v>0</v>
      </c>
      <c r="AQ69">
        <v>0</v>
      </c>
      <c r="AR69">
        <v>21240</v>
      </c>
      <c r="AS69">
        <v>21200</v>
      </c>
      <c r="AT69" t="s">
        <v>132</v>
      </c>
      <c r="AU69">
        <v>1</v>
      </c>
      <c r="AV69">
        <v>4</v>
      </c>
      <c r="AW69">
        <v>1</v>
      </c>
      <c r="BE69">
        <v>2.6</v>
      </c>
      <c r="BF69">
        <v>0</v>
      </c>
      <c r="BG69">
        <v>0</v>
      </c>
      <c r="BH69" s="1">
        <v>44319</v>
      </c>
      <c r="BI69" t="s">
        <v>159</v>
      </c>
      <c r="BJ69">
        <v>1995</v>
      </c>
      <c r="BK69" t="s">
        <v>260</v>
      </c>
      <c r="BL69" t="s">
        <v>177</v>
      </c>
      <c r="BM69">
        <v>21200</v>
      </c>
      <c r="BN69">
        <v>1</v>
      </c>
      <c r="BO69">
        <v>5</v>
      </c>
      <c r="BP69">
        <v>4</v>
      </c>
      <c r="BQ69">
        <v>1120</v>
      </c>
      <c r="BR69">
        <v>566</v>
      </c>
      <c r="BS69">
        <v>38.0930987919999</v>
      </c>
      <c r="BT69">
        <v>-82.167083668000004</v>
      </c>
      <c r="BU69">
        <v>0</v>
      </c>
      <c r="BV69">
        <v>-4</v>
      </c>
      <c r="BW69">
        <v>0</v>
      </c>
      <c r="BX69" t="s">
        <v>181</v>
      </c>
      <c r="BY69">
        <v>0</v>
      </c>
      <c r="BZ69">
        <v>0</v>
      </c>
      <c r="CA69">
        <v>0</v>
      </c>
      <c r="CB69">
        <v>10600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O69">
        <v>0</v>
      </c>
      <c r="CP69">
        <v>0</v>
      </c>
      <c r="CQ69" t="s">
        <v>637</v>
      </c>
      <c r="CR69" t="s">
        <v>183</v>
      </c>
      <c r="CS69" t="s">
        <v>161</v>
      </c>
      <c r="CT69" t="s">
        <v>139</v>
      </c>
      <c r="CU69" t="s">
        <v>163</v>
      </c>
      <c r="CW69">
        <v>2</v>
      </c>
      <c r="CX69" t="s">
        <v>638</v>
      </c>
      <c r="CY69" t="s">
        <v>639</v>
      </c>
      <c r="CZ69" t="s">
        <v>756</v>
      </c>
      <c r="DA69" t="s">
        <v>640</v>
      </c>
      <c r="DB69">
        <v>0</v>
      </c>
      <c r="DC69">
        <v>21200</v>
      </c>
    </row>
    <row r="70" spans="1:107" x14ac:dyDescent="0.25">
      <c r="A70" t="s">
        <v>760</v>
      </c>
      <c r="B70" t="s">
        <v>108</v>
      </c>
      <c r="C70" t="s">
        <v>761</v>
      </c>
      <c r="D70" t="s">
        <v>756</v>
      </c>
      <c r="F70" s="3" t="str">
        <f>HYPERLINK("https://mapwv.gov/flood/map/?wkid=102100&amp;x=-9146839.148855839&amp;y=4592618.765305041&amp;l=13&amp;v=2","FT")</f>
        <v>FT</v>
      </c>
      <c r="G70" s="3" t="str">
        <f>HYPERLINK("https://mapwv.gov/Assessment/Detail/?PID=22040005000700000000","Assessment")</f>
        <v>Assessment</v>
      </c>
      <c r="H70">
        <v>540088</v>
      </c>
      <c r="I70" t="s">
        <v>632</v>
      </c>
      <c r="J70" t="s">
        <v>633</v>
      </c>
      <c r="K70" t="s">
        <v>148</v>
      </c>
      <c r="L70" t="s">
        <v>757</v>
      </c>
      <c r="M70" t="s">
        <v>550</v>
      </c>
      <c r="N70" t="s">
        <v>149</v>
      </c>
      <c r="O70" t="s">
        <v>117</v>
      </c>
      <c r="P70" t="s">
        <v>150</v>
      </c>
      <c r="Q70" t="s">
        <v>225</v>
      </c>
      <c r="R70" t="s">
        <v>151</v>
      </c>
      <c r="S70" t="s">
        <v>151</v>
      </c>
      <c r="T70" t="s">
        <v>151</v>
      </c>
      <c r="U70" t="s">
        <v>151</v>
      </c>
      <c r="V70">
        <v>647</v>
      </c>
      <c r="X70" t="s">
        <v>758</v>
      </c>
      <c r="Y70" t="s">
        <v>759</v>
      </c>
      <c r="Z70">
        <v>0</v>
      </c>
      <c r="AA70" t="s">
        <v>241</v>
      </c>
      <c r="AB70" t="s">
        <v>155</v>
      </c>
      <c r="AC70" t="s">
        <v>129</v>
      </c>
      <c r="AD70">
        <v>2</v>
      </c>
      <c r="AE70">
        <v>108</v>
      </c>
      <c r="AF70" t="s">
        <v>176</v>
      </c>
      <c r="AG70" t="s">
        <v>177</v>
      </c>
      <c r="AH70" t="s">
        <v>129</v>
      </c>
      <c r="AI70">
        <v>1</v>
      </c>
      <c r="AL70">
        <v>2000</v>
      </c>
      <c r="AN70" t="s">
        <v>158</v>
      </c>
      <c r="AO70">
        <v>3.5</v>
      </c>
      <c r="AP70">
        <v>0</v>
      </c>
      <c r="AQ70">
        <v>0</v>
      </c>
      <c r="AR70">
        <v>21240</v>
      </c>
      <c r="AS70">
        <v>36000</v>
      </c>
      <c r="AT70" t="s">
        <v>762</v>
      </c>
      <c r="AU70">
        <v>1</v>
      </c>
      <c r="AV70">
        <v>4</v>
      </c>
      <c r="AW70">
        <v>1</v>
      </c>
      <c r="BB70" t="s">
        <v>763</v>
      </c>
      <c r="BC70" t="s">
        <v>230</v>
      </c>
      <c r="BE70">
        <v>2.6</v>
      </c>
      <c r="BF70">
        <v>0</v>
      </c>
      <c r="BG70">
        <v>0</v>
      </c>
      <c r="BH70" s="1">
        <v>44319</v>
      </c>
      <c r="BI70" t="s">
        <v>159</v>
      </c>
      <c r="BJ70">
        <v>0</v>
      </c>
      <c r="BK70" t="s">
        <v>225</v>
      </c>
      <c r="BL70" t="s">
        <v>177</v>
      </c>
      <c r="BM70">
        <v>36000</v>
      </c>
      <c r="BN70">
        <v>1</v>
      </c>
      <c r="BO70">
        <v>5</v>
      </c>
      <c r="BP70">
        <v>3.5</v>
      </c>
      <c r="BQ70">
        <v>2000</v>
      </c>
      <c r="BR70">
        <v>582</v>
      </c>
      <c r="BS70">
        <v>38.093331067999998</v>
      </c>
      <c r="BT70">
        <v>-82.1674540879999</v>
      </c>
      <c r="BU70">
        <v>0</v>
      </c>
      <c r="BV70">
        <v>-3.5</v>
      </c>
      <c r="BW70">
        <v>0</v>
      </c>
      <c r="BX70" t="s">
        <v>181</v>
      </c>
      <c r="BY70">
        <v>0</v>
      </c>
      <c r="BZ70">
        <v>0</v>
      </c>
      <c r="CA70">
        <v>0</v>
      </c>
      <c r="CB70">
        <v>18000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O70">
        <v>0</v>
      </c>
      <c r="CP70">
        <v>0</v>
      </c>
      <c r="CQ70" t="s">
        <v>637</v>
      </c>
      <c r="CR70" t="s">
        <v>183</v>
      </c>
      <c r="CS70" t="s">
        <v>161</v>
      </c>
      <c r="CT70" t="s">
        <v>139</v>
      </c>
      <c r="CU70" t="s">
        <v>163</v>
      </c>
      <c r="CW70">
        <v>2</v>
      </c>
      <c r="CX70" t="s">
        <v>638</v>
      </c>
      <c r="CY70" t="s">
        <v>639</v>
      </c>
      <c r="CZ70" t="s">
        <v>756</v>
      </c>
      <c r="DA70" t="s">
        <v>640</v>
      </c>
      <c r="DB70">
        <v>0</v>
      </c>
      <c r="DC70">
        <v>21200</v>
      </c>
    </row>
    <row r="71" spans="1:107" x14ac:dyDescent="0.25">
      <c r="A71" t="s">
        <v>961</v>
      </c>
      <c r="B71" t="s">
        <v>108</v>
      </c>
      <c r="C71" t="s">
        <v>962</v>
      </c>
      <c r="D71" t="s">
        <v>963</v>
      </c>
      <c r="F71" s="3" t="str">
        <f>HYPERLINK("https://mapwv.gov/flood/map/?wkid=102100&amp;x=-9128941.271034738&amp;y=4545283.628028285&amp;l=13&amp;v=2","FT")</f>
        <v>FT</v>
      </c>
      <c r="G71" s="3" t="str">
        <f>HYPERLINK("https://mapwv.gov/Assessment/Detail/?PID=23030204000100000000","Assessment")</f>
        <v>Assessment</v>
      </c>
      <c r="H71">
        <v>545536</v>
      </c>
      <c r="I71" t="s">
        <v>964</v>
      </c>
      <c r="J71" t="s">
        <v>965</v>
      </c>
      <c r="K71" t="s">
        <v>148</v>
      </c>
      <c r="L71" t="s">
        <v>966</v>
      </c>
      <c r="M71" t="s">
        <v>967</v>
      </c>
      <c r="N71" t="s">
        <v>199</v>
      </c>
      <c r="O71" t="s">
        <v>117</v>
      </c>
      <c r="P71" t="s">
        <v>150</v>
      </c>
      <c r="Q71" t="s">
        <v>260</v>
      </c>
      <c r="R71" t="s">
        <v>151</v>
      </c>
      <c r="S71" t="s">
        <v>151</v>
      </c>
      <c r="T71" t="s">
        <v>151</v>
      </c>
      <c r="U71" t="s">
        <v>151</v>
      </c>
      <c r="V71">
        <v>835.5</v>
      </c>
      <c r="X71" t="s">
        <v>968</v>
      </c>
      <c r="Y71" t="s">
        <v>969</v>
      </c>
      <c r="Z71">
        <v>9999</v>
      </c>
      <c r="AA71" t="s">
        <v>191</v>
      </c>
      <c r="AB71" t="s">
        <v>970</v>
      </c>
      <c r="AC71" t="s">
        <v>971</v>
      </c>
      <c r="AD71">
        <v>3</v>
      </c>
      <c r="AE71">
        <v>424</v>
      </c>
      <c r="AF71" t="s">
        <v>972</v>
      </c>
      <c r="AG71" t="s">
        <v>177</v>
      </c>
      <c r="AH71" t="s">
        <v>129</v>
      </c>
      <c r="AI71">
        <v>1</v>
      </c>
      <c r="AJ71" t="s">
        <v>973</v>
      </c>
      <c r="AL71">
        <v>1000</v>
      </c>
      <c r="AM71" t="s">
        <v>206</v>
      </c>
      <c r="AN71" t="s">
        <v>158</v>
      </c>
      <c r="AO71">
        <v>4</v>
      </c>
      <c r="AP71">
        <v>0</v>
      </c>
      <c r="AQ71">
        <v>20400</v>
      </c>
      <c r="AR71">
        <v>0</v>
      </c>
      <c r="AS71">
        <v>16000</v>
      </c>
      <c r="AT71" t="s">
        <v>228</v>
      </c>
      <c r="AU71">
        <v>2</v>
      </c>
      <c r="AV71">
        <v>0</v>
      </c>
      <c r="AW71">
        <v>0</v>
      </c>
      <c r="BC71" t="s">
        <v>230</v>
      </c>
      <c r="BE71">
        <v>2.4</v>
      </c>
      <c r="BF71">
        <v>0</v>
      </c>
      <c r="BG71">
        <v>0</v>
      </c>
      <c r="BH71" s="1">
        <v>44348</v>
      </c>
      <c r="BI71" t="s">
        <v>441</v>
      </c>
      <c r="BJ71">
        <v>9999</v>
      </c>
      <c r="BK71" t="s">
        <v>260</v>
      </c>
      <c r="BL71" t="s">
        <v>177</v>
      </c>
      <c r="BM71">
        <v>16000</v>
      </c>
      <c r="BN71">
        <v>1</v>
      </c>
      <c r="BO71">
        <v>5</v>
      </c>
      <c r="BP71">
        <v>4</v>
      </c>
      <c r="BQ71">
        <v>1000</v>
      </c>
      <c r="BR71">
        <v>802</v>
      </c>
      <c r="BS71">
        <v>37.757915609999998</v>
      </c>
      <c r="BT71">
        <v>-82.006674716000006</v>
      </c>
      <c r="BU71">
        <v>0</v>
      </c>
      <c r="BV71">
        <v>-4</v>
      </c>
      <c r="BW71">
        <v>0</v>
      </c>
      <c r="BX71" t="s">
        <v>181</v>
      </c>
      <c r="BY71">
        <v>0</v>
      </c>
      <c r="BZ71">
        <v>0</v>
      </c>
      <c r="CA71">
        <v>0</v>
      </c>
      <c r="CB71">
        <v>8000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O71">
        <v>0</v>
      </c>
      <c r="CP71">
        <v>0</v>
      </c>
      <c r="CQ71" t="s">
        <v>974</v>
      </c>
      <c r="CR71" t="s">
        <v>160</v>
      </c>
      <c r="CS71" t="s">
        <v>161</v>
      </c>
      <c r="CT71" t="s">
        <v>139</v>
      </c>
      <c r="CU71" t="s">
        <v>163</v>
      </c>
      <c r="CW71">
        <v>2</v>
      </c>
      <c r="CX71" t="s">
        <v>975</v>
      </c>
      <c r="CY71" t="s">
        <v>976</v>
      </c>
      <c r="CZ71" t="s">
        <v>963</v>
      </c>
      <c r="DA71" t="s">
        <v>977</v>
      </c>
      <c r="DB71">
        <v>0</v>
      </c>
      <c r="DC71">
        <v>20400</v>
      </c>
    </row>
    <row r="72" spans="1:107" x14ac:dyDescent="0.25">
      <c r="A72" t="s">
        <v>978</v>
      </c>
      <c r="B72" t="s">
        <v>108</v>
      </c>
      <c r="C72" t="s">
        <v>979</v>
      </c>
      <c r="D72" t="s">
        <v>963</v>
      </c>
      <c r="F72" s="3" t="str">
        <f>HYPERLINK("https://mapwv.gov/flood/map/?wkid=102100&amp;x=-9128566.691746213&amp;y=4545243.943364034&amp;l=13&amp;v=2","FT")</f>
        <v>FT</v>
      </c>
      <c r="G72" s="3" t="str">
        <f>HYPERLINK("https://mapwv.gov/Assessment/Detail/?PID=23030204000100000000","Assessment")</f>
        <v>Assessment</v>
      </c>
      <c r="H72">
        <v>545536</v>
      </c>
      <c r="I72" t="s">
        <v>964</v>
      </c>
      <c r="J72" t="s">
        <v>965</v>
      </c>
      <c r="K72" t="s">
        <v>148</v>
      </c>
      <c r="L72" t="s">
        <v>966</v>
      </c>
      <c r="M72" t="s">
        <v>967</v>
      </c>
      <c r="N72" t="s">
        <v>199</v>
      </c>
      <c r="O72" t="s">
        <v>117</v>
      </c>
      <c r="P72" t="s">
        <v>150</v>
      </c>
      <c r="Q72" t="s">
        <v>260</v>
      </c>
      <c r="R72" t="s">
        <v>151</v>
      </c>
      <c r="S72" t="s">
        <v>151</v>
      </c>
      <c r="T72" t="s">
        <v>151</v>
      </c>
      <c r="U72" t="s">
        <v>151</v>
      </c>
      <c r="V72">
        <v>817.8</v>
      </c>
      <c r="X72" t="s">
        <v>968</v>
      </c>
      <c r="Y72" t="s">
        <v>969</v>
      </c>
      <c r="Z72">
        <v>9999</v>
      </c>
      <c r="AA72" t="s">
        <v>191</v>
      </c>
      <c r="AB72" t="s">
        <v>970</v>
      </c>
      <c r="AC72" t="s">
        <v>971</v>
      </c>
      <c r="AD72">
        <v>3</v>
      </c>
      <c r="AE72">
        <v>424</v>
      </c>
      <c r="AF72" t="s">
        <v>972</v>
      </c>
      <c r="AG72" t="s">
        <v>177</v>
      </c>
      <c r="AH72" t="s">
        <v>129</v>
      </c>
      <c r="AI72">
        <v>1</v>
      </c>
      <c r="AJ72" t="s">
        <v>973</v>
      </c>
      <c r="AL72">
        <v>2000</v>
      </c>
      <c r="AM72" t="s">
        <v>206</v>
      </c>
      <c r="AN72" t="s">
        <v>158</v>
      </c>
      <c r="AO72">
        <v>4</v>
      </c>
      <c r="AP72">
        <v>0</v>
      </c>
      <c r="AQ72">
        <v>20400</v>
      </c>
      <c r="AR72">
        <v>0</v>
      </c>
      <c r="AS72">
        <v>32000</v>
      </c>
      <c r="AT72" t="s">
        <v>762</v>
      </c>
      <c r="AU72">
        <v>2</v>
      </c>
      <c r="AV72">
        <v>0</v>
      </c>
      <c r="AW72">
        <v>0</v>
      </c>
      <c r="BC72" t="s">
        <v>230</v>
      </c>
      <c r="BE72">
        <v>2.4</v>
      </c>
      <c r="BF72">
        <v>0</v>
      </c>
      <c r="BG72">
        <v>0</v>
      </c>
      <c r="BH72" s="1">
        <v>44348</v>
      </c>
      <c r="BI72" t="s">
        <v>441</v>
      </c>
      <c r="BJ72">
        <v>9999</v>
      </c>
      <c r="BK72" t="s">
        <v>260</v>
      </c>
      <c r="BL72" t="s">
        <v>177</v>
      </c>
      <c r="BM72">
        <v>32000</v>
      </c>
      <c r="BN72">
        <v>1</v>
      </c>
      <c r="BO72">
        <v>5</v>
      </c>
      <c r="BP72">
        <v>4</v>
      </c>
      <c r="BQ72">
        <v>2000</v>
      </c>
      <c r="BR72">
        <v>816</v>
      </c>
      <c r="BS72">
        <v>37.757633763999898</v>
      </c>
      <c r="BT72">
        <v>-82.003309813000001</v>
      </c>
      <c r="BU72">
        <v>0</v>
      </c>
      <c r="BV72">
        <v>-4</v>
      </c>
      <c r="BW72">
        <v>0</v>
      </c>
      <c r="BX72" t="s">
        <v>181</v>
      </c>
      <c r="BY72">
        <v>0</v>
      </c>
      <c r="BZ72">
        <v>0</v>
      </c>
      <c r="CA72">
        <v>0</v>
      </c>
      <c r="CB72">
        <v>16000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O72">
        <v>0</v>
      </c>
      <c r="CP72">
        <v>0</v>
      </c>
      <c r="CQ72" t="s">
        <v>974</v>
      </c>
      <c r="CR72" t="s">
        <v>160</v>
      </c>
      <c r="CS72" t="s">
        <v>161</v>
      </c>
      <c r="CT72" t="s">
        <v>139</v>
      </c>
      <c r="CU72" t="s">
        <v>163</v>
      </c>
      <c r="CW72">
        <v>2</v>
      </c>
      <c r="CX72" t="s">
        <v>975</v>
      </c>
      <c r="CY72" t="s">
        <v>976</v>
      </c>
      <c r="CZ72" t="s">
        <v>963</v>
      </c>
      <c r="DA72" t="s">
        <v>977</v>
      </c>
      <c r="DB72">
        <v>0</v>
      </c>
      <c r="DC72">
        <v>20400</v>
      </c>
    </row>
    <row r="73" spans="1:107" x14ac:dyDescent="0.25">
      <c r="A73" t="s">
        <v>980</v>
      </c>
      <c r="B73" t="s">
        <v>108</v>
      </c>
      <c r="C73" t="s">
        <v>981</v>
      </c>
      <c r="D73" t="s">
        <v>963</v>
      </c>
      <c r="F73" s="3" t="str">
        <f>HYPERLINK("https://mapwv.gov/flood/map/?wkid=102100&amp;x=-9128885.69466764&amp;y=4545266.62045744&amp;l=13&amp;v=2","FT")</f>
        <v>FT</v>
      </c>
      <c r="G73" s="3" t="str">
        <f>HYPERLINK("https://mapwv.gov/Assessment/Detail/?PID=23030204000100000000","Assessment")</f>
        <v>Assessment</v>
      </c>
      <c r="H73">
        <v>545536</v>
      </c>
      <c r="I73" t="s">
        <v>964</v>
      </c>
      <c r="J73" t="s">
        <v>965</v>
      </c>
      <c r="K73" t="s">
        <v>148</v>
      </c>
      <c r="L73" t="s">
        <v>966</v>
      </c>
      <c r="M73" t="s">
        <v>967</v>
      </c>
      <c r="N73" t="s">
        <v>199</v>
      </c>
      <c r="O73" t="s">
        <v>117</v>
      </c>
      <c r="P73" t="s">
        <v>150</v>
      </c>
      <c r="Q73" t="s">
        <v>225</v>
      </c>
      <c r="R73" t="s">
        <v>151</v>
      </c>
      <c r="S73" t="s">
        <v>151</v>
      </c>
      <c r="T73" t="s">
        <v>151</v>
      </c>
      <c r="U73" t="s">
        <v>151</v>
      </c>
      <c r="V73">
        <v>828.2</v>
      </c>
      <c r="X73" t="s">
        <v>968</v>
      </c>
      <c r="Y73" t="s">
        <v>969</v>
      </c>
      <c r="Z73">
        <v>0</v>
      </c>
      <c r="AA73" t="s">
        <v>191</v>
      </c>
      <c r="AB73" t="s">
        <v>970</v>
      </c>
      <c r="AC73" t="s">
        <v>971</v>
      </c>
      <c r="AD73">
        <v>3</v>
      </c>
      <c r="AE73">
        <v>424</v>
      </c>
      <c r="AF73" t="s">
        <v>972</v>
      </c>
      <c r="AG73" t="s">
        <v>177</v>
      </c>
      <c r="AH73" t="s">
        <v>129</v>
      </c>
      <c r="AI73">
        <v>1</v>
      </c>
      <c r="AJ73" t="s">
        <v>973</v>
      </c>
      <c r="AL73">
        <v>1000</v>
      </c>
      <c r="AM73" t="s">
        <v>206</v>
      </c>
      <c r="AN73" t="s">
        <v>158</v>
      </c>
      <c r="AO73">
        <v>3.5</v>
      </c>
      <c r="AP73">
        <v>0</v>
      </c>
      <c r="AQ73">
        <v>20400</v>
      </c>
      <c r="AR73">
        <v>0</v>
      </c>
      <c r="AS73">
        <v>16000</v>
      </c>
      <c r="AT73" t="s">
        <v>228</v>
      </c>
      <c r="AU73">
        <v>2</v>
      </c>
      <c r="AV73">
        <v>0</v>
      </c>
      <c r="AW73">
        <v>0</v>
      </c>
      <c r="BC73" t="s">
        <v>230</v>
      </c>
      <c r="BE73">
        <v>2.4</v>
      </c>
      <c r="BF73">
        <v>0</v>
      </c>
      <c r="BG73">
        <v>0</v>
      </c>
      <c r="BH73" s="1">
        <v>44348</v>
      </c>
      <c r="BI73" t="s">
        <v>441</v>
      </c>
      <c r="BJ73">
        <v>0</v>
      </c>
      <c r="BK73" t="s">
        <v>225</v>
      </c>
      <c r="BL73" t="s">
        <v>177</v>
      </c>
      <c r="BM73">
        <v>16000</v>
      </c>
      <c r="BN73">
        <v>1</v>
      </c>
      <c r="BO73">
        <v>5</v>
      </c>
      <c r="BP73">
        <v>3.5</v>
      </c>
      <c r="BQ73">
        <v>1000</v>
      </c>
      <c r="BR73">
        <v>830</v>
      </c>
      <c r="BS73">
        <v>37.7577948200001</v>
      </c>
      <c r="BT73">
        <v>-82.006175464999899</v>
      </c>
      <c r="BU73">
        <v>0</v>
      </c>
      <c r="BV73">
        <v>-3.5</v>
      </c>
      <c r="BW73">
        <v>0</v>
      </c>
      <c r="BX73" t="s">
        <v>181</v>
      </c>
      <c r="BY73">
        <v>0</v>
      </c>
      <c r="BZ73">
        <v>0</v>
      </c>
      <c r="CA73">
        <v>0</v>
      </c>
      <c r="CB73">
        <v>8000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O73">
        <v>0</v>
      </c>
      <c r="CP73">
        <v>0</v>
      </c>
      <c r="CQ73" t="s">
        <v>974</v>
      </c>
      <c r="CR73" t="s">
        <v>160</v>
      </c>
      <c r="CS73" t="s">
        <v>161</v>
      </c>
      <c r="CT73" t="s">
        <v>139</v>
      </c>
      <c r="CU73" t="s">
        <v>163</v>
      </c>
      <c r="CW73">
        <v>2</v>
      </c>
      <c r="CX73" t="s">
        <v>975</v>
      </c>
      <c r="CY73" t="s">
        <v>976</v>
      </c>
      <c r="CZ73" t="s">
        <v>963</v>
      </c>
      <c r="DA73" t="s">
        <v>977</v>
      </c>
      <c r="DB73">
        <v>0</v>
      </c>
      <c r="DC73">
        <v>20400</v>
      </c>
    </row>
    <row r="74" spans="1:107" x14ac:dyDescent="0.25">
      <c r="A74" t="s">
        <v>982</v>
      </c>
      <c r="B74" t="s">
        <v>108</v>
      </c>
      <c r="C74" t="s">
        <v>983</v>
      </c>
      <c r="D74" t="s">
        <v>963</v>
      </c>
      <c r="F74" s="3" t="str">
        <f>HYPERLINK("https://mapwv.gov/flood/map/?wkid=102100&amp;x=-9130726.0848171&amp;y=4541271.162598256&amp;l=13&amp;v=2","FT")</f>
        <v>FT</v>
      </c>
      <c r="G74" s="3" t="str">
        <f>HYPERLINK("https://mapwv.gov/Assessment/Detail/?PID=23030204000100000000","Assessment")</f>
        <v>Assessment</v>
      </c>
      <c r="H74">
        <v>545536</v>
      </c>
      <c r="I74" t="s">
        <v>964</v>
      </c>
      <c r="J74" t="s">
        <v>965</v>
      </c>
      <c r="K74" t="s">
        <v>148</v>
      </c>
      <c r="L74" t="s">
        <v>984</v>
      </c>
      <c r="M74" t="s">
        <v>967</v>
      </c>
      <c r="N74" t="s">
        <v>149</v>
      </c>
      <c r="O74" t="s">
        <v>117</v>
      </c>
      <c r="P74" t="s">
        <v>150</v>
      </c>
      <c r="Q74" t="s">
        <v>119</v>
      </c>
      <c r="R74">
        <v>2.2000000000000002</v>
      </c>
      <c r="S74" t="s">
        <v>120</v>
      </c>
      <c r="T74">
        <v>969</v>
      </c>
      <c r="U74" t="s">
        <v>121</v>
      </c>
      <c r="V74">
        <v>968.9</v>
      </c>
      <c r="X74" t="s">
        <v>968</v>
      </c>
      <c r="Y74" t="s">
        <v>969</v>
      </c>
      <c r="Z74">
        <v>1111</v>
      </c>
      <c r="AA74" t="s">
        <v>191</v>
      </c>
      <c r="AB74" t="s">
        <v>970</v>
      </c>
      <c r="AC74" t="s">
        <v>971</v>
      </c>
      <c r="AD74">
        <v>3</v>
      </c>
      <c r="AE74">
        <v>424</v>
      </c>
      <c r="AF74" t="s">
        <v>972</v>
      </c>
      <c r="AG74" t="s">
        <v>654</v>
      </c>
      <c r="AH74" t="s">
        <v>653</v>
      </c>
      <c r="AI74">
        <v>1</v>
      </c>
      <c r="AJ74" t="s">
        <v>973</v>
      </c>
      <c r="AL74">
        <v>2900</v>
      </c>
      <c r="AM74" t="s">
        <v>206</v>
      </c>
      <c r="AN74" t="s">
        <v>131</v>
      </c>
      <c r="AO74">
        <v>1</v>
      </c>
      <c r="AP74">
        <v>0</v>
      </c>
      <c r="AQ74">
        <v>20400</v>
      </c>
      <c r="AR74">
        <v>0</v>
      </c>
      <c r="AS74">
        <v>135771</v>
      </c>
      <c r="AT74" t="s">
        <v>985</v>
      </c>
      <c r="AU74">
        <v>2</v>
      </c>
      <c r="AV74">
        <v>0</v>
      </c>
      <c r="AW74">
        <v>0</v>
      </c>
      <c r="AX74" t="s">
        <v>655</v>
      </c>
      <c r="BB74" t="s">
        <v>986</v>
      </c>
      <c r="BC74" t="s">
        <v>230</v>
      </c>
      <c r="BE74">
        <v>2.4</v>
      </c>
      <c r="BF74">
        <v>0</v>
      </c>
      <c r="BG74">
        <v>0</v>
      </c>
      <c r="BH74" s="1">
        <v>44348</v>
      </c>
      <c r="BI74" t="s">
        <v>331</v>
      </c>
      <c r="BJ74">
        <v>1111</v>
      </c>
      <c r="BK74" t="s">
        <v>119</v>
      </c>
      <c r="BL74" t="s">
        <v>654</v>
      </c>
      <c r="BM74">
        <v>135771</v>
      </c>
      <c r="BN74">
        <v>1</v>
      </c>
      <c r="BO74">
        <v>7</v>
      </c>
      <c r="BP74">
        <v>1</v>
      </c>
      <c r="BQ74">
        <v>2900</v>
      </c>
      <c r="BR74">
        <v>185</v>
      </c>
      <c r="BS74">
        <v>37.729413088999898</v>
      </c>
      <c r="BT74">
        <v>-82.022707971000003</v>
      </c>
      <c r="BU74">
        <v>2.1762950000000001</v>
      </c>
      <c r="BV74">
        <v>1.1762950420379601</v>
      </c>
      <c r="BW74">
        <v>1</v>
      </c>
      <c r="BX74" t="s">
        <v>656</v>
      </c>
      <c r="BY74">
        <v>624</v>
      </c>
      <c r="BZ74">
        <v>10.1762950420379</v>
      </c>
      <c r="CA74">
        <v>13816.4575415253</v>
      </c>
      <c r="CB74">
        <v>135771</v>
      </c>
      <c r="CC74">
        <v>467</v>
      </c>
      <c r="CD74">
        <v>55.525900840759199</v>
      </c>
      <c r="CE74">
        <v>75388.070830507204</v>
      </c>
      <c r="CF74">
        <v>0</v>
      </c>
      <c r="CG74">
        <v>0</v>
      </c>
      <c r="CH74">
        <v>0</v>
      </c>
      <c r="CI74">
        <v>0</v>
      </c>
      <c r="CJ74" t="s">
        <v>946</v>
      </c>
      <c r="CK74">
        <v>2.9</v>
      </c>
      <c r="CL74">
        <v>0</v>
      </c>
      <c r="CM74">
        <v>0</v>
      </c>
      <c r="CN74">
        <v>2.9</v>
      </c>
      <c r="CO74">
        <v>360</v>
      </c>
      <c r="CP74">
        <v>540</v>
      </c>
      <c r="CQ74" t="s">
        <v>974</v>
      </c>
      <c r="CR74" t="s">
        <v>214</v>
      </c>
      <c r="CS74" t="s">
        <v>138</v>
      </c>
      <c r="CT74" t="s">
        <v>215</v>
      </c>
      <c r="CU74" t="s">
        <v>140</v>
      </c>
      <c r="CW74">
        <v>2</v>
      </c>
      <c r="CX74" t="s">
        <v>975</v>
      </c>
      <c r="CY74" t="s">
        <v>976</v>
      </c>
      <c r="CZ74" t="s">
        <v>963</v>
      </c>
      <c r="DA74" t="s">
        <v>977</v>
      </c>
      <c r="DB74">
        <v>0</v>
      </c>
      <c r="DC74">
        <v>20400</v>
      </c>
    </row>
    <row r="75" spans="1:107" x14ac:dyDescent="0.25">
      <c r="A75" t="s">
        <v>987</v>
      </c>
      <c r="B75" t="s">
        <v>108</v>
      </c>
      <c r="C75" t="s">
        <v>988</v>
      </c>
      <c r="D75" t="s">
        <v>963</v>
      </c>
      <c r="F75" s="3" t="str">
        <f>HYPERLINK("https://mapwv.gov/flood/map/?wkid=102100&amp;x=-9131573.666967217&amp;y=4545562.070651038&amp;l=13&amp;v=2","FT")</f>
        <v>FT</v>
      </c>
      <c r="G75" s="3" t="str">
        <f>HYPERLINK("https://mapwv.gov/Assessment/Detail/?PID=23030204000100000000","Assessment")</f>
        <v>Assessment</v>
      </c>
      <c r="H75">
        <v>545536</v>
      </c>
      <c r="I75" t="s">
        <v>964</v>
      </c>
      <c r="J75" t="s">
        <v>965</v>
      </c>
      <c r="K75" t="s">
        <v>148</v>
      </c>
      <c r="L75" t="s">
        <v>966</v>
      </c>
      <c r="M75" t="s">
        <v>967</v>
      </c>
      <c r="N75" t="s">
        <v>116</v>
      </c>
      <c r="O75" t="s">
        <v>117</v>
      </c>
      <c r="P75" t="s">
        <v>118</v>
      </c>
      <c r="Q75" t="s">
        <v>260</v>
      </c>
      <c r="R75">
        <v>2.6</v>
      </c>
      <c r="S75" t="s">
        <v>120</v>
      </c>
      <c r="T75">
        <v>901.4</v>
      </c>
      <c r="U75" t="s">
        <v>121</v>
      </c>
      <c r="V75">
        <v>899.7</v>
      </c>
      <c r="X75" t="s">
        <v>968</v>
      </c>
      <c r="Y75" t="s">
        <v>969</v>
      </c>
      <c r="Z75">
        <v>9999</v>
      </c>
      <c r="AA75" t="s">
        <v>191</v>
      </c>
      <c r="AB75" t="s">
        <v>970</v>
      </c>
      <c r="AC75" t="s">
        <v>971</v>
      </c>
      <c r="AD75">
        <v>3</v>
      </c>
      <c r="AE75">
        <v>424</v>
      </c>
      <c r="AF75" t="s">
        <v>972</v>
      </c>
      <c r="AG75" t="s">
        <v>177</v>
      </c>
      <c r="AH75" t="s">
        <v>129</v>
      </c>
      <c r="AI75">
        <v>1</v>
      </c>
      <c r="AJ75" t="s">
        <v>973</v>
      </c>
      <c r="AL75">
        <v>1000</v>
      </c>
      <c r="AM75" t="s">
        <v>206</v>
      </c>
      <c r="AN75" t="s">
        <v>158</v>
      </c>
      <c r="AO75">
        <v>4</v>
      </c>
      <c r="AP75">
        <v>0</v>
      </c>
      <c r="AQ75">
        <v>20400</v>
      </c>
      <c r="AR75">
        <v>0</v>
      </c>
      <c r="AS75">
        <v>16000</v>
      </c>
      <c r="AT75" t="s">
        <v>228</v>
      </c>
      <c r="AU75">
        <v>2</v>
      </c>
      <c r="AV75">
        <v>0</v>
      </c>
      <c r="AW75">
        <v>0</v>
      </c>
      <c r="BC75" t="s">
        <v>230</v>
      </c>
      <c r="BE75">
        <v>2.4</v>
      </c>
      <c r="BF75">
        <v>1</v>
      </c>
      <c r="BG75">
        <v>2.4</v>
      </c>
      <c r="BH75" s="1">
        <v>44348</v>
      </c>
      <c r="BI75" t="s">
        <v>133</v>
      </c>
      <c r="BJ75">
        <v>9999</v>
      </c>
      <c r="BK75" t="s">
        <v>260</v>
      </c>
      <c r="BL75" t="s">
        <v>177</v>
      </c>
      <c r="BM75">
        <v>16000</v>
      </c>
      <c r="BN75">
        <v>1</v>
      </c>
      <c r="BO75">
        <v>5</v>
      </c>
      <c r="BP75">
        <v>4</v>
      </c>
      <c r="BQ75">
        <v>1000</v>
      </c>
      <c r="BR75">
        <v>1281</v>
      </c>
      <c r="BS75">
        <v>37.759893118000001</v>
      </c>
      <c r="BT75">
        <v>-82.030321930999904</v>
      </c>
      <c r="BU75">
        <v>2.6473795999999998</v>
      </c>
      <c r="BV75">
        <v>-1.3526203632354701</v>
      </c>
      <c r="BW75">
        <v>1</v>
      </c>
      <c r="BX75" t="s">
        <v>181</v>
      </c>
      <c r="BY75">
        <v>189</v>
      </c>
      <c r="BZ75">
        <v>0</v>
      </c>
      <c r="CA75">
        <v>0</v>
      </c>
      <c r="CB75">
        <v>8000</v>
      </c>
      <c r="CC75">
        <v>74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O75">
        <v>0</v>
      </c>
      <c r="CP75">
        <v>0</v>
      </c>
      <c r="CQ75" t="s">
        <v>974</v>
      </c>
      <c r="CR75" t="s">
        <v>137</v>
      </c>
      <c r="CS75" t="s">
        <v>138</v>
      </c>
      <c r="CT75" t="s">
        <v>139</v>
      </c>
      <c r="CU75" t="s">
        <v>163</v>
      </c>
      <c r="CW75">
        <v>2</v>
      </c>
      <c r="CX75" t="s">
        <v>975</v>
      </c>
      <c r="CY75" t="s">
        <v>976</v>
      </c>
      <c r="CZ75" t="s">
        <v>963</v>
      </c>
      <c r="DA75" t="s">
        <v>977</v>
      </c>
      <c r="DB75">
        <v>0</v>
      </c>
      <c r="DC75">
        <v>20400</v>
      </c>
    </row>
    <row r="76" spans="1:107" x14ac:dyDescent="0.25">
      <c r="A76" t="s">
        <v>995</v>
      </c>
      <c r="B76" t="s">
        <v>108</v>
      </c>
      <c r="C76" t="s">
        <v>996</v>
      </c>
      <c r="D76" t="s">
        <v>963</v>
      </c>
      <c r="F76" s="3" t="str">
        <f>HYPERLINK("https://mapwv.gov/flood/map/?wkid=102100&amp;x=-9128770.760410339&amp;y=4545240.78108378&amp;l=13&amp;v=2","FT")</f>
        <v>FT</v>
      </c>
      <c r="G76" s="3" t="str">
        <f>HYPERLINK("https://mapwv.gov/Assessment/Detail/?PID=23030204000100000000","Assessment")</f>
        <v>Assessment</v>
      </c>
      <c r="H76">
        <v>545536</v>
      </c>
      <c r="I76" t="s">
        <v>964</v>
      </c>
      <c r="J76" t="s">
        <v>965</v>
      </c>
      <c r="K76" t="s">
        <v>148</v>
      </c>
      <c r="L76" t="s">
        <v>966</v>
      </c>
      <c r="M76" t="s">
        <v>967</v>
      </c>
      <c r="N76" t="s">
        <v>199</v>
      </c>
      <c r="O76" t="s">
        <v>117</v>
      </c>
      <c r="P76" t="s">
        <v>150</v>
      </c>
      <c r="Q76" t="s">
        <v>260</v>
      </c>
      <c r="R76" t="s">
        <v>151</v>
      </c>
      <c r="S76" t="s">
        <v>151</v>
      </c>
      <c r="T76" t="s">
        <v>151</v>
      </c>
      <c r="U76" t="s">
        <v>151</v>
      </c>
      <c r="V76">
        <v>823.9</v>
      </c>
      <c r="X76" t="s">
        <v>968</v>
      </c>
      <c r="Y76" t="s">
        <v>969</v>
      </c>
      <c r="Z76">
        <v>9999</v>
      </c>
      <c r="AA76" t="s">
        <v>191</v>
      </c>
      <c r="AB76" t="s">
        <v>970</v>
      </c>
      <c r="AC76" t="s">
        <v>971</v>
      </c>
      <c r="AD76">
        <v>3</v>
      </c>
      <c r="AE76">
        <v>424</v>
      </c>
      <c r="AF76" t="s">
        <v>972</v>
      </c>
      <c r="AG76" t="s">
        <v>177</v>
      </c>
      <c r="AH76" t="s">
        <v>129</v>
      </c>
      <c r="AI76">
        <v>1</v>
      </c>
      <c r="AJ76" t="s">
        <v>973</v>
      </c>
      <c r="AL76">
        <v>1000</v>
      </c>
      <c r="AM76" t="s">
        <v>206</v>
      </c>
      <c r="AN76" t="s">
        <v>158</v>
      </c>
      <c r="AO76">
        <v>4</v>
      </c>
      <c r="AP76">
        <v>0</v>
      </c>
      <c r="AQ76">
        <v>20400</v>
      </c>
      <c r="AR76">
        <v>0</v>
      </c>
      <c r="AS76">
        <v>16000</v>
      </c>
      <c r="AT76" t="s">
        <v>228</v>
      </c>
      <c r="AU76">
        <v>2</v>
      </c>
      <c r="AV76">
        <v>0</v>
      </c>
      <c r="AW76">
        <v>0</v>
      </c>
      <c r="BC76" t="s">
        <v>230</v>
      </c>
      <c r="BE76">
        <v>2.4</v>
      </c>
      <c r="BF76">
        <v>0</v>
      </c>
      <c r="BG76">
        <v>0</v>
      </c>
      <c r="BH76" s="1">
        <v>44348</v>
      </c>
      <c r="BI76" t="s">
        <v>441</v>
      </c>
      <c r="BJ76">
        <v>9999</v>
      </c>
      <c r="BK76" t="s">
        <v>260</v>
      </c>
      <c r="BL76" t="s">
        <v>177</v>
      </c>
      <c r="BM76">
        <v>16000</v>
      </c>
      <c r="BN76">
        <v>1</v>
      </c>
      <c r="BO76">
        <v>5</v>
      </c>
      <c r="BP76">
        <v>4</v>
      </c>
      <c r="BQ76">
        <v>1000</v>
      </c>
      <c r="BR76">
        <v>850</v>
      </c>
      <c r="BS76">
        <v>37.757611304999998</v>
      </c>
      <c r="BT76">
        <v>-82.005142992999794</v>
      </c>
      <c r="BU76">
        <v>0</v>
      </c>
      <c r="BV76">
        <v>-4</v>
      </c>
      <c r="BW76">
        <v>0</v>
      </c>
      <c r="BX76" t="s">
        <v>181</v>
      </c>
      <c r="BY76">
        <v>0</v>
      </c>
      <c r="BZ76">
        <v>0</v>
      </c>
      <c r="CA76">
        <v>0</v>
      </c>
      <c r="CB76">
        <v>8000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O76">
        <v>0</v>
      </c>
      <c r="CP76">
        <v>0</v>
      </c>
      <c r="CQ76" t="s">
        <v>974</v>
      </c>
      <c r="CR76" t="s">
        <v>160</v>
      </c>
      <c r="CS76" t="s">
        <v>161</v>
      </c>
      <c r="CT76" t="s">
        <v>139</v>
      </c>
      <c r="CU76" t="s">
        <v>163</v>
      </c>
      <c r="CW76">
        <v>2</v>
      </c>
      <c r="CX76" t="s">
        <v>975</v>
      </c>
      <c r="CY76" t="s">
        <v>976</v>
      </c>
      <c r="CZ76" t="s">
        <v>963</v>
      </c>
      <c r="DA76" t="s">
        <v>977</v>
      </c>
      <c r="DB76">
        <v>0</v>
      </c>
      <c r="DC76">
        <v>20400</v>
      </c>
    </row>
    <row r="77" spans="1:107" x14ac:dyDescent="0.25">
      <c r="A77" t="s">
        <v>997</v>
      </c>
      <c r="B77" t="s">
        <v>108</v>
      </c>
      <c r="C77" t="s">
        <v>998</v>
      </c>
      <c r="D77" t="s">
        <v>963</v>
      </c>
      <c r="F77" s="3" t="str">
        <f>HYPERLINK("https://mapwv.gov/flood/map/?wkid=102100&amp;x=-9129673.187224546&amp;y=4542187.6157631725&amp;l=13&amp;v=2","FT")</f>
        <v>FT</v>
      </c>
      <c r="G77" s="3" t="str">
        <f>HYPERLINK("https://mapwv.gov/Assessment/Detail/?PID=23030204000100000000","Assessment")</f>
        <v>Assessment</v>
      </c>
      <c r="H77">
        <v>545536</v>
      </c>
      <c r="I77" t="s">
        <v>964</v>
      </c>
      <c r="J77" t="s">
        <v>965</v>
      </c>
      <c r="K77" t="s">
        <v>148</v>
      </c>
      <c r="L77" t="s">
        <v>984</v>
      </c>
      <c r="M77" t="s">
        <v>967</v>
      </c>
      <c r="N77" t="s">
        <v>149</v>
      </c>
      <c r="O77" t="s">
        <v>117</v>
      </c>
      <c r="P77" t="s">
        <v>150</v>
      </c>
      <c r="Q77" t="s">
        <v>260</v>
      </c>
      <c r="R77">
        <v>2.9</v>
      </c>
      <c r="S77" t="s">
        <v>120</v>
      </c>
      <c r="T77">
        <v>917.3</v>
      </c>
      <c r="U77" t="s">
        <v>121</v>
      </c>
      <c r="V77">
        <v>914.2</v>
      </c>
      <c r="X77" t="s">
        <v>968</v>
      </c>
      <c r="Y77" t="s">
        <v>969</v>
      </c>
      <c r="Z77">
        <v>9999</v>
      </c>
      <c r="AA77" t="s">
        <v>191</v>
      </c>
      <c r="AB77" t="s">
        <v>970</v>
      </c>
      <c r="AC77" t="s">
        <v>971</v>
      </c>
      <c r="AD77">
        <v>3</v>
      </c>
      <c r="AE77">
        <v>424</v>
      </c>
      <c r="AF77" t="s">
        <v>972</v>
      </c>
      <c r="AG77" t="s">
        <v>177</v>
      </c>
      <c r="AH77" t="s">
        <v>129</v>
      </c>
      <c r="AI77">
        <v>1</v>
      </c>
      <c r="AJ77" t="s">
        <v>973</v>
      </c>
      <c r="AL77">
        <v>1000</v>
      </c>
      <c r="AM77" t="s">
        <v>206</v>
      </c>
      <c r="AN77" t="s">
        <v>158</v>
      </c>
      <c r="AO77">
        <v>4</v>
      </c>
      <c r="AP77">
        <v>0</v>
      </c>
      <c r="AQ77">
        <v>20400</v>
      </c>
      <c r="AR77">
        <v>0</v>
      </c>
      <c r="AS77">
        <v>16000</v>
      </c>
      <c r="AT77" t="s">
        <v>228</v>
      </c>
      <c r="AU77">
        <v>2</v>
      </c>
      <c r="AV77">
        <v>0</v>
      </c>
      <c r="AW77">
        <v>0</v>
      </c>
      <c r="BC77" t="s">
        <v>230</v>
      </c>
      <c r="BE77">
        <v>2.4</v>
      </c>
      <c r="BF77">
        <v>1</v>
      </c>
      <c r="BG77">
        <v>2.4</v>
      </c>
      <c r="BH77" s="1">
        <v>44348</v>
      </c>
      <c r="BI77" t="s">
        <v>331</v>
      </c>
      <c r="BJ77">
        <v>9999</v>
      </c>
      <c r="BK77" t="s">
        <v>260</v>
      </c>
      <c r="BL77" t="s">
        <v>177</v>
      </c>
      <c r="BM77">
        <v>16000</v>
      </c>
      <c r="BN77">
        <v>1</v>
      </c>
      <c r="BO77">
        <v>5</v>
      </c>
      <c r="BP77">
        <v>4</v>
      </c>
      <c r="BQ77">
        <v>1000</v>
      </c>
      <c r="BR77">
        <v>209</v>
      </c>
      <c r="BS77">
        <v>37.735924075</v>
      </c>
      <c r="BT77">
        <v>-82.013249630999894</v>
      </c>
      <c r="BU77">
        <v>2.884417</v>
      </c>
      <c r="BV77">
        <v>-1.11558294296264</v>
      </c>
      <c r="BW77">
        <v>1</v>
      </c>
      <c r="BX77" t="s">
        <v>181</v>
      </c>
      <c r="BY77">
        <v>189</v>
      </c>
      <c r="BZ77">
        <v>0</v>
      </c>
      <c r="CA77">
        <v>0</v>
      </c>
      <c r="CB77">
        <v>8000</v>
      </c>
      <c r="CC77">
        <v>74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O77">
        <v>0</v>
      </c>
      <c r="CP77">
        <v>0</v>
      </c>
      <c r="CQ77" t="s">
        <v>974</v>
      </c>
      <c r="CR77" t="s">
        <v>183</v>
      </c>
      <c r="CS77" t="s">
        <v>138</v>
      </c>
      <c r="CT77" t="s">
        <v>139</v>
      </c>
      <c r="CU77" t="s">
        <v>163</v>
      </c>
      <c r="CW77">
        <v>2</v>
      </c>
      <c r="CX77" t="s">
        <v>975</v>
      </c>
      <c r="CY77" t="s">
        <v>976</v>
      </c>
      <c r="CZ77" t="s">
        <v>963</v>
      </c>
      <c r="DA77" t="s">
        <v>977</v>
      </c>
      <c r="DB77">
        <v>0</v>
      </c>
      <c r="DC77">
        <v>20400</v>
      </c>
    </row>
    <row r="78" spans="1:107" x14ac:dyDescent="0.25">
      <c r="A78" t="s">
        <v>999</v>
      </c>
      <c r="B78" t="s">
        <v>108</v>
      </c>
      <c r="C78" t="s">
        <v>1000</v>
      </c>
      <c r="D78" t="s">
        <v>963</v>
      </c>
      <c r="F78" s="3" t="str">
        <f>HYPERLINK("https://mapwv.gov/flood/map/?wkid=102100&amp;x=-9130205.94995102&amp;y=4545213.855064502&amp;l=13&amp;v=2","FT")</f>
        <v>FT</v>
      </c>
      <c r="G78" s="3" t="str">
        <f>HYPERLINK("https://mapwv.gov/Assessment/Detail/?PID=23030204000100000000","Assessment")</f>
        <v>Assessment</v>
      </c>
      <c r="H78">
        <v>545536</v>
      </c>
      <c r="I78" t="s">
        <v>964</v>
      </c>
      <c r="J78" t="s">
        <v>965</v>
      </c>
      <c r="K78" t="s">
        <v>148</v>
      </c>
      <c r="L78" t="s">
        <v>966</v>
      </c>
      <c r="M78" t="s">
        <v>967</v>
      </c>
      <c r="N78" t="s">
        <v>149</v>
      </c>
      <c r="O78" t="s">
        <v>117</v>
      </c>
      <c r="P78" t="s">
        <v>150</v>
      </c>
      <c r="Q78" t="s">
        <v>119</v>
      </c>
      <c r="R78">
        <v>1.8</v>
      </c>
      <c r="S78" t="s">
        <v>120</v>
      </c>
      <c r="T78">
        <v>867.8</v>
      </c>
      <c r="U78" t="s">
        <v>121</v>
      </c>
      <c r="V78">
        <v>862.1</v>
      </c>
      <c r="X78" t="s">
        <v>968</v>
      </c>
      <c r="Y78" t="s">
        <v>969</v>
      </c>
      <c r="Z78">
        <v>1111</v>
      </c>
      <c r="AA78" t="s">
        <v>191</v>
      </c>
      <c r="AB78" t="s">
        <v>970</v>
      </c>
      <c r="AC78" t="s">
        <v>971</v>
      </c>
      <c r="AD78">
        <v>3</v>
      </c>
      <c r="AE78">
        <v>424</v>
      </c>
      <c r="AF78" t="s">
        <v>972</v>
      </c>
      <c r="AG78" t="s">
        <v>177</v>
      </c>
      <c r="AH78" t="s">
        <v>129</v>
      </c>
      <c r="AI78">
        <v>1</v>
      </c>
      <c r="AJ78" t="s">
        <v>973</v>
      </c>
      <c r="AL78">
        <v>2000</v>
      </c>
      <c r="AM78" t="s">
        <v>206</v>
      </c>
      <c r="AN78" t="s">
        <v>158</v>
      </c>
      <c r="AO78">
        <v>3</v>
      </c>
      <c r="AP78">
        <v>0</v>
      </c>
      <c r="AQ78">
        <v>20400</v>
      </c>
      <c r="AR78">
        <v>0</v>
      </c>
      <c r="AS78">
        <v>32000</v>
      </c>
      <c r="AT78" t="s">
        <v>762</v>
      </c>
      <c r="AU78">
        <v>2</v>
      </c>
      <c r="AV78">
        <v>0</v>
      </c>
      <c r="AW78">
        <v>0</v>
      </c>
      <c r="BC78" t="s">
        <v>230</v>
      </c>
      <c r="BE78">
        <v>2.4</v>
      </c>
      <c r="BF78">
        <v>1</v>
      </c>
      <c r="BG78">
        <v>2.4</v>
      </c>
      <c r="BH78" s="1">
        <v>44348</v>
      </c>
      <c r="BI78" t="s">
        <v>331</v>
      </c>
      <c r="BJ78">
        <v>1111</v>
      </c>
      <c r="BK78" t="s">
        <v>119</v>
      </c>
      <c r="BL78" t="s">
        <v>177</v>
      </c>
      <c r="BM78">
        <v>32000</v>
      </c>
      <c r="BN78">
        <v>1</v>
      </c>
      <c r="BO78">
        <v>5</v>
      </c>
      <c r="BP78">
        <v>3</v>
      </c>
      <c r="BQ78">
        <v>2000</v>
      </c>
      <c r="BR78">
        <v>861</v>
      </c>
      <c r="BS78">
        <v>37.757420072000102</v>
      </c>
      <c r="BT78">
        <v>-82.018035519999898</v>
      </c>
      <c r="BU78">
        <v>1.7793667</v>
      </c>
      <c r="BV78">
        <v>-1.2206332683563199</v>
      </c>
      <c r="BW78">
        <v>1</v>
      </c>
      <c r="BX78" t="s">
        <v>181</v>
      </c>
      <c r="BY78">
        <v>189</v>
      </c>
      <c r="BZ78">
        <v>0</v>
      </c>
      <c r="CA78">
        <v>0</v>
      </c>
      <c r="CB78">
        <v>16000</v>
      </c>
      <c r="CC78">
        <v>74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O78">
        <v>0</v>
      </c>
      <c r="CP78">
        <v>0</v>
      </c>
      <c r="CQ78" t="s">
        <v>974</v>
      </c>
      <c r="CR78" t="s">
        <v>183</v>
      </c>
      <c r="CS78" t="s">
        <v>138</v>
      </c>
      <c r="CT78" t="s">
        <v>139</v>
      </c>
      <c r="CU78" t="s">
        <v>163</v>
      </c>
      <c r="CW78">
        <v>2</v>
      </c>
      <c r="CX78" t="s">
        <v>975</v>
      </c>
      <c r="CY78" t="s">
        <v>976</v>
      </c>
      <c r="CZ78" t="s">
        <v>963</v>
      </c>
      <c r="DA78" t="s">
        <v>977</v>
      </c>
      <c r="DB78">
        <v>0</v>
      </c>
      <c r="DC78">
        <v>20400</v>
      </c>
    </row>
    <row r="79" spans="1:107" x14ac:dyDescent="0.25">
      <c r="A79" t="s">
        <v>1001</v>
      </c>
      <c r="B79" t="s">
        <v>108</v>
      </c>
      <c r="C79" t="s">
        <v>1002</v>
      </c>
      <c r="D79" t="s">
        <v>963</v>
      </c>
      <c r="F79" s="3" t="str">
        <f>HYPERLINK("https://mapwv.gov/flood/map/?wkid=102100&amp;x=-9130166.554539826&amp;y=4545278.969987118&amp;l=13&amp;v=2","FT")</f>
        <v>FT</v>
      </c>
      <c r="G79" s="3" t="str">
        <f>HYPERLINK("https://mapwv.gov/Assessment/Detail/?PID=23030204000100000000","Assessment")</f>
        <v>Assessment</v>
      </c>
      <c r="H79">
        <v>545536</v>
      </c>
      <c r="I79" t="s">
        <v>964</v>
      </c>
      <c r="J79" t="s">
        <v>965</v>
      </c>
      <c r="K79" t="s">
        <v>148</v>
      </c>
      <c r="L79" t="s">
        <v>966</v>
      </c>
      <c r="M79" t="s">
        <v>967</v>
      </c>
      <c r="N79" t="s">
        <v>149</v>
      </c>
      <c r="O79" t="s">
        <v>117</v>
      </c>
      <c r="P79" t="s">
        <v>150</v>
      </c>
      <c r="Q79" t="s">
        <v>119</v>
      </c>
      <c r="R79">
        <v>1</v>
      </c>
      <c r="S79" t="s">
        <v>120</v>
      </c>
      <c r="T79">
        <v>867.2</v>
      </c>
      <c r="U79" t="s">
        <v>121</v>
      </c>
      <c r="V79">
        <v>862.6</v>
      </c>
      <c r="X79" t="s">
        <v>968</v>
      </c>
      <c r="Y79" t="s">
        <v>969</v>
      </c>
      <c r="Z79">
        <v>1111</v>
      </c>
      <c r="AA79" t="s">
        <v>191</v>
      </c>
      <c r="AB79" t="s">
        <v>970</v>
      </c>
      <c r="AC79" t="s">
        <v>971</v>
      </c>
      <c r="AD79">
        <v>3</v>
      </c>
      <c r="AE79">
        <v>424</v>
      </c>
      <c r="AF79" t="s">
        <v>972</v>
      </c>
      <c r="AG79" t="s">
        <v>177</v>
      </c>
      <c r="AH79" t="s">
        <v>129</v>
      </c>
      <c r="AI79">
        <v>1</v>
      </c>
      <c r="AJ79" t="s">
        <v>973</v>
      </c>
      <c r="AL79">
        <v>2000</v>
      </c>
      <c r="AM79" t="s">
        <v>206</v>
      </c>
      <c r="AN79" t="s">
        <v>158</v>
      </c>
      <c r="AO79">
        <v>3</v>
      </c>
      <c r="AP79">
        <v>0</v>
      </c>
      <c r="AQ79">
        <v>20400</v>
      </c>
      <c r="AR79">
        <v>0</v>
      </c>
      <c r="AS79">
        <v>32000</v>
      </c>
      <c r="AT79" t="s">
        <v>762</v>
      </c>
      <c r="AU79">
        <v>2</v>
      </c>
      <c r="AV79">
        <v>0</v>
      </c>
      <c r="AW79">
        <v>0</v>
      </c>
      <c r="BC79" t="s">
        <v>230</v>
      </c>
      <c r="BD79" t="s">
        <v>614</v>
      </c>
      <c r="BE79">
        <v>2.4</v>
      </c>
      <c r="BF79">
        <v>1</v>
      </c>
      <c r="BG79">
        <v>2.4</v>
      </c>
      <c r="BH79" s="1">
        <v>44348</v>
      </c>
      <c r="BI79" t="s">
        <v>331</v>
      </c>
      <c r="BJ79">
        <v>1111</v>
      </c>
      <c r="BK79" t="s">
        <v>119</v>
      </c>
      <c r="BL79" t="s">
        <v>177</v>
      </c>
      <c r="BM79">
        <v>32000</v>
      </c>
      <c r="BN79">
        <v>1</v>
      </c>
      <c r="BO79">
        <v>5</v>
      </c>
      <c r="BP79">
        <v>3</v>
      </c>
      <c r="BQ79">
        <v>2000</v>
      </c>
      <c r="BR79">
        <v>866</v>
      </c>
      <c r="BS79">
        <v>37.757882528000003</v>
      </c>
      <c r="BT79">
        <v>-82.017681624999895</v>
      </c>
      <c r="BU79">
        <v>1.047682</v>
      </c>
      <c r="BV79">
        <v>-1.9523179531097401</v>
      </c>
      <c r="BW79">
        <v>1</v>
      </c>
      <c r="BX79" t="s">
        <v>181</v>
      </c>
      <c r="BY79">
        <v>189</v>
      </c>
      <c r="BZ79">
        <v>0</v>
      </c>
      <c r="CA79">
        <v>0</v>
      </c>
      <c r="CB79">
        <v>16000</v>
      </c>
      <c r="CC79">
        <v>74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O79">
        <v>0</v>
      </c>
      <c r="CP79">
        <v>0</v>
      </c>
      <c r="CQ79" t="s">
        <v>974</v>
      </c>
      <c r="CR79" t="s">
        <v>183</v>
      </c>
      <c r="CS79" t="s">
        <v>138</v>
      </c>
      <c r="CT79" t="s">
        <v>139</v>
      </c>
      <c r="CU79" t="s">
        <v>163</v>
      </c>
      <c r="CW79">
        <v>2</v>
      </c>
      <c r="CX79" t="s">
        <v>975</v>
      </c>
      <c r="CY79" t="s">
        <v>976</v>
      </c>
      <c r="CZ79" t="s">
        <v>963</v>
      </c>
      <c r="DA79" t="s">
        <v>977</v>
      </c>
      <c r="DB79">
        <v>0</v>
      </c>
      <c r="DC79">
        <v>20400</v>
      </c>
    </row>
    <row r="80" spans="1:107" x14ac:dyDescent="0.25">
      <c r="A80" t="s">
        <v>1003</v>
      </c>
      <c r="B80" t="s">
        <v>108</v>
      </c>
      <c r="C80" t="s">
        <v>1004</v>
      </c>
      <c r="D80" t="s">
        <v>963</v>
      </c>
      <c r="F80" s="3" t="str">
        <f>HYPERLINK("https://mapwv.gov/flood/map/?wkid=102100&amp;x=-9130320.368576437&amp;y=4545138.187230456&amp;l=13&amp;v=2","FT")</f>
        <v>FT</v>
      </c>
      <c r="G80" s="3" t="str">
        <f>HYPERLINK("https://mapwv.gov/Assessment/Detail/?PID=23030204000100000000","Assessment")</f>
        <v>Assessment</v>
      </c>
      <c r="H80">
        <v>545536</v>
      </c>
      <c r="I80" t="s">
        <v>964</v>
      </c>
      <c r="J80" t="s">
        <v>965</v>
      </c>
      <c r="K80" t="s">
        <v>148</v>
      </c>
      <c r="L80" t="s">
        <v>966</v>
      </c>
      <c r="M80" t="s">
        <v>967</v>
      </c>
      <c r="N80" t="s">
        <v>149</v>
      </c>
      <c r="O80" t="s">
        <v>117</v>
      </c>
      <c r="P80" t="s">
        <v>150</v>
      </c>
      <c r="Q80" t="s">
        <v>225</v>
      </c>
      <c r="R80">
        <v>1.5</v>
      </c>
      <c r="S80" t="s">
        <v>120</v>
      </c>
      <c r="T80">
        <v>870.8</v>
      </c>
      <c r="U80" t="s">
        <v>121</v>
      </c>
      <c r="V80">
        <v>865.6</v>
      </c>
      <c r="X80" t="s">
        <v>968</v>
      </c>
      <c r="Y80" t="s">
        <v>969</v>
      </c>
      <c r="Z80">
        <v>0</v>
      </c>
      <c r="AA80" t="s">
        <v>191</v>
      </c>
      <c r="AB80" t="s">
        <v>970</v>
      </c>
      <c r="AC80" t="s">
        <v>971</v>
      </c>
      <c r="AD80">
        <v>3</v>
      </c>
      <c r="AE80">
        <v>424</v>
      </c>
      <c r="AF80" t="s">
        <v>972</v>
      </c>
      <c r="AG80" t="s">
        <v>177</v>
      </c>
      <c r="AH80" t="s">
        <v>129</v>
      </c>
      <c r="AI80">
        <v>1</v>
      </c>
      <c r="AJ80" t="s">
        <v>973</v>
      </c>
      <c r="AL80">
        <v>1000</v>
      </c>
      <c r="AM80" t="s">
        <v>206</v>
      </c>
      <c r="AN80" t="s">
        <v>158</v>
      </c>
      <c r="AO80">
        <v>3.5</v>
      </c>
      <c r="AP80">
        <v>0</v>
      </c>
      <c r="AQ80">
        <v>20400</v>
      </c>
      <c r="AR80">
        <v>0</v>
      </c>
      <c r="AS80">
        <v>16000</v>
      </c>
      <c r="AT80" t="s">
        <v>228</v>
      </c>
      <c r="AU80">
        <v>2</v>
      </c>
      <c r="AV80">
        <v>0</v>
      </c>
      <c r="AW80">
        <v>0</v>
      </c>
      <c r="BC80" t="s">
        <v>230</v>
      </c>
      <c r="BE80">
        <v>2.4</v>
      </c>
      <c r="BF80">
        <v>1</v>
      </c>
      <c r="BG80">
        <v>2.4</v>
      </c>
      <c r="BH80" s="1">
        <v>44348</v>
      </c>
      <c r="BI80" t="s">
        <v>331</v>
      </c>
      <c r="BJ80">
        <v>0</v>
      </c>
      <c r="BK80" t="s">
        <v>225</v>
      </c>
      <c r="BL80" t="s">
        <v>177</v>
      </c>
      <c r="BM80">
        <v>16000</v>
      </c>
      <c r="BN80">
        <v>1</v>
      </c>
      <c r="BO80">
        <v>5</v>
      </c>
      <c r="BP80">
        <v>3.5</v>
      </c>
      <c r="BQ80">
        <v>1000</v>
      </c>
      <c r="BR80">
        <v>875</v>
      </c>
      <c r="BS80">
        <v>37.756882664000003</v>
      </c>
      <c r="BT80">
        <v>-82.019063360000004</v>
      </c>
      <c r="BU80">
        <v>1.1421903</v>
      </c>
      <c r="BV80">
        <v>-2.3578096628188998</v>
      </c>
      <c r="BW80">
        <v>1</v>
      </c>
      <c r="BX80" t="s">
        <v>181</v>
      </c>
      <c r="BY80">
        <v>189</v>
      </c>
      <c r="BZ80">
        <v>0</v>
      </c>
      <c r="CA80">
        <v>0</v>
      </c>
      <c r="CB80">
        <v>8000</v>
      </c>
      <c r="CC80">
        <v>74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O80">
        <v>0</v>
      </c>
      <c r="CP80">
        <v>0</v>
      </c>
      <c r="CQ80" t="s">
        <v>974</v>
      </c>
      <c r="CR80" t="s">
        <v>183</v>
      </c>
      <c r="CS80" t="s">
        <v>138</v>
      </c>
      <c r="CT80" t="s">
        <v>139</v>
      </c>
      <c r="CU80" t="s">
        <v>163</v>
      </c>
      <c r="CW80">
        <v>2</v>
      </c>
      <c r="CX80" t="s">
        <v>975</v>
      </c>
      <c r="CY80" t="s">
        <v>976</v>
      </c>
      <c r="CZ80" t="s">
        <v>963</v>
      </c>
      <c r="DA80" t="s">
        <v>977</v>
      </c>
      <c r="DB80">
        <v>0</v>
      </c>
      <c r="DC80">
        <v>20400</v>
      </c>
    </row>
    <row r="81" spans="1:107" x14ac:dyDescent="0.25">
      <c r="A81" t="s">
        <v>1005</v>
      </c>
      <c r="B81" t="s">
        <v>108</v>
      </c>
      <c r="C81" t="s">
        <v>1006</v>
      </c>
      <c r="D81" t="s">
        <v>963</v>
      </c>
      <c r="F81" s="3" t="str">
        <f>HYPERLINK("https://mapwv.gov/flood/map/?wkid=102100&amp;x=-9128172.304935409&amp;y=4545025.962856832&amp;l=13&amp;v=2","FT")</f>
        <v>FT</v>
      </c>
      <c r="G81" s="3" t="str">
        <f>HYPERLINK("https://mapwv.gov/Assessment/Detail/?PID=23030204000100000000","Assessment")</f>
        <v>Assessment</v>
      </c>
      <c r="H81">
        <v>545536</v>
      </c>
      <c r="I81" t="s">
        <v>964</v>
      </c>
      <c r="J81" t="s">
        <v>965</v>
      </c>
      <c r="K81" t="s">
        <v>148</v>
      </c>
      <c r="L81" t="s">
        <v>1007</v>
      </c>
      <c r="M81" t="s">
        <v>967</v>
      </c>
      <c r="N81" t="s">
        <v>199</v>
      </c>
      <c r="O81" t="s">
        <v>383</v>
      </c>
      <c r="P81" t="s">
        <v>150</v>
      </c>
      <c r="Q81" t="s">
        <v>225</v>
      </c>
      <c r="R81">
        <v>2.2999999999999998</v>
      </c>
      <c r="S81" t="s">
        <v>120</v>
      </c>
      <c r="T81">
        <v>814.7</v>
      </c>
      <c r="U81" t="s">
        <v>365</v>
      </c>
      <c r="V81">
        <v>811.8</v>
      </c>
      <c r="X81" t="s">
        <v>968</v>
      </c>
      <c r="Y81" t="s">
        <v>969</v>
      </c>
      <c r="Z81">
        <v>0</v>
      </c>
      <c r="AA81" t="s">
        <v>191</v>
      </c>
      <c r="AB81" t="s">
        <v>970</v>
      </c>
      <c r="AC81" t="s">
        <v>971</v>
      </c>
      <c r="AD81">
        <v>3</v>
      </c>
      <c r="AE81">
        <v>424</v>
      </c>
      <c r="AF81" t="s">
        <v>972</v>
      </c>
      <c r="AG81" t="s">
        <v>290</v>
      </c>
      <c r="AH81" t="s">
        <v>288</v>
      </c>
      <c r="AI81">
        <v>1</v>
      </c>
      <c r="AJ81" t="s">
        <v>973</v>
      </c>
      <c r="AL81">
        <v>2100</v>
      </c>
      <c r="AM81" t="s">
        <v>206</v>
      </c>
      <c r="AN81" t="s">
        <v>131</v>
      </c>
      <c r="AO81">
        <v>1</v>
      </c>
      <c r="AP81">
        <v>0</v>
      </c>
      <c r="AQ81">
        <v>20400</v>
      </c>
      <c r="AR81">
        <v>0</v>
      </c>
      <c r="AS81">
        <v>98317</v>
      </c>
      <c r="AT81" t="s">
        <v>985</v>
      </c>
      <c r="AU81">
        <v>2</v>
      </c>
      <c r="AV81">
        <v>0</v>
      </c>
      <c r="AW81">
        <v>0</v>
      </c>
      <c r="BB81" t="s">
        <v>1008</v>
      </c>
      <c r="BC81" t="s">
        <v>230</v>
      </c>
      <c r="BE81">
        <v>2.4</v>
      </c>
      <c r="BF81">
        <v>0</v>
      </c>
      <c r="BG81">
        <v>0</v>
      </c>
      <c r="BH81" s="1">
        <v>44348</v>
      </c>
      <c r="BI81" t="s">
        <v>384</v>
      </c>
      <c r="BJ81">
        <v>0</v>
      </c>
      <c r="BK81" t="s">
        <v>225</v>
      </c>
      <c r="BL81" t="s">
        <v>290</v>
      </c>
      <c r="BM81">
        <v>98317</v>
      </c>
      <c r="BN81">
        <v>1</v>
      </c>
      <c r="BO81">
        <v>7</v>
      </c>
      <c r="BP81">
        <v>1</v>
      </c>
      <c r="BQ81">
        <v>2100</v>
      </c>
      <c r="BR81">
        <v>876</v>
      </c>
      <c r="BS81">
        <v>37.756085617000103</v>
      </c>
      <c r="BT81">
        <v>-81.999766976000004</v>
      </c>
      <c r="BU81">
        <v>2.2824707000000002</v>
      </c>
      <c r="BV81">
        <v>1.282470703125</v>
      </c>
      <c r="BW81">
        <v>1</v>
      </c>
      <c r="BX81" t="s">
        <v>738</v>
      </c>
      <c r="BY81">
        <v>431</v>
      </c>
      <c r="BZ81">
        <v>12.412353515625</v>
      </c>
      <c r="CA81">
        <v>12203.453605957</v>
      </c>
      <c r="CB81">
        <v>98317</v>
      </c>
      <c r="CC81">
        <v>280</v>
      </c>
      <c r="CD81">
        <v>19.977294921875</v>
      </c>
      <c r="CE81">
        <v>19641.077048339801</v>
      </c>
      <c r="CF81">
        <v>0</v>
      </c>
      <c r="CG81">
        <v>0</v>
      </c>
      <c r="CH81">
        <v>0</v>
      </c>
      <c r="CI81">
        <v>0</v>
      </c>
      <c r="CJ81" t="s">
        <v>293</v>
      </c>
      <c r="CK81">
        <v>3.78</v>
      </c>
      <c r="CL81">
        <v>0</v>
      </c>
      <c r="CM81">
        <v>0</v>
      </c>
      <c r="CN81">
        <v>3.78</v>
      </c>
      <c r="CO81">
        <v>300</v>
      </c>
      <c r="CP81">
        <v>480</v>
      </c>
      <c r="CQ81" t="s">
        <v>974</v>
      </c>
      <c r="CR81" t="s">
        <v>1009</v>
      </c>
      <c r="CS81" t="s">
        <v>138</v>
      </c>
      <c r="CT81" t="s">
        <v>162</v>
      </c>
      <c r="CU81" t="s">
        <v>140</v>
      </c>
      <c r="CW81">
        <v>2</v>
      </c>
      <c r="CX81" t="s">
        <v>975</v>
      </c>
      <c r="CY81" t="s">
        <v>976</v>
      </c>
      <c r="CZ81" t="s">
        <v>963</v>
      </c>
      <c r="DA81" t="s">
        <v>977</v>
      </c>
      <c r="DB81">
        <v>0</v>
      </c>
      <c r="DC81">
        <v>20400</v>
      </c>
    </row>
    <row r="82" spans="1:107" x14ac:dyDescent="0.25">
      <c r="A82" t="s">
        <v>1015</v>
      </c>
      <c r="B82" t="s">
        <v>108</v>
      </c>
      <c r="C82" t="s">
        <v>1016</v>
      </c>
      <c r="D82" t="s">
        <v>963</v>
      </c>
      <c r="F82" s="3" t="str">
        <f>HYPERLINK("https://mapwv.gov/flood/map/?wkid=102100&amp;x=-9128888.279060936&amp;y=4545309.56255044&amp;l=13&amp;v=2","FT")</f>
        <v>FT</v>
      </c>
      <c r="G82" s="3" t="str">
        <f>HYPERLINK("https://mapwv.gov/Assessment/Detail/?PID=23030204000100000000","Assessment")</f>
        <v>Assessment</v>
      </c>
      <c r="H82">
        <v>545536</v>
      </c>
      <c r="I82" t="s">
        <v>964</v>
      </c>
      <c r="J82" t="s">
        <v>965</v>
      </c>
      <c r="K82" t="s">
        <v>148</v>
      </c>
      <c r="L82" t="s">
        <v>966</v>
      </c>
      <c r="M82" t="s">
        <v>967</v>
      </c>
      <c r="N82" t="s">
        <v>199</v>
      </c>
      <c r="O82" t="s">
        <v>117</v>
      </c>
      <c r="P82" t="s">
        <v>150</v>
      </c>
      <c r="Q82" t="s">
        <v>225</v>
      </c>
      <c r="R82" t="s">
        <v>151</v>
      </c>
      <c r="S82" t="s">
        <v>151</v>
      </c>
      <c r="T82" t="s">
        <v>151</v>
      </c>
      <c r="U82" t="s">
        <v>151</v>
      </c>
      <c r="V82">
        <v>829.7</v>
      </c>
      <c r="X82" t="s">
        <v>968</v>
      </c>
      <c r="Y82" t="s">
        <v>969</v>
      </c>
      <c r="Z82">
        <v>0</v>
      </c>
      <c r="AA82" t="s">
        <v>191</v>
      </c>
      <c r="AB82" t="s">
        <v>970</v>
      </c>
      <c r="AC82" t="s">
        <v>971</v>
      </c>
      <c r="AD82">
        <v>3</v>
      </c>
      <c r="AE82">
        <v>424</v>
      </c>
      <c r="AF82" t="s">
        <v>972</v>
      </c>
      <c r="AG82" t="s">
        <v>177</v>
      </c>
      <c r="AH82" t="s">
        <v>129</v>
      </c>
      <c r="AI82">
        <v>1</v>
      </c>
      <c r="AJ82" t="s">
        <v>973</v>
      </c>
      <c r="AL82">
        <v>1000</v>
      </c>
      <c r="AM82" t="s">
        <v>206</v>
      </c>
      <c r="AN82" t="s">
        <v>158</v>
      </c>
      <c r="AO82">
        <v>3.5</v>
      </c>
      <c r="AP82">
        <v>0</v>
      </c>
      <c r="AQ82">
        <v>20400</v>
      </c>
      <c r="AR82">
        <v>0</v>
      </c>
      <c r="AS82">
        <v>16000</v>
      </c>
      <c r="AT82" t="s">
        <v>228</v>
      </c>
      <c r="AU82">
        <v>2</v>
      </c>
      <c r="AV82">
        <v>0</v>
      </c>
      <c r="AW82">
        <v>0</v>
      </c>
      <c r="BC82" t="s">
        <v>230</v>
      </c>
      <c r="BE82">
        <v>2.4</v>
      </c>
      <c r="BF82">
        <v>0</v>
      </c>
      <c r="BG82">
        <v>0</v>
      </c>
      <c r="BH82" s="1">
        <v>44348</v>
      </c>
      <c r="BI82" t="s">
        <v>441</v>
      </c>
      <c r="BJ82">
        <v>0</v>
      </c>
      <c r="BK82" t="s">
        <v>225</v>
      </c>
      <c r="BL82" t="s">
        <v>177</v>
      </c>
      <c r="BM82">
        <v>16000</v>
      </c>
      <c r="BN82">
        <v>1</v>
      </c>
      <c r="BO82">
        <v>5</v>
      </c>
      <c r="BP82">
        <v>3.5</v>
      </c>
      <c r="BQ82">
        <v>1000</v>
      </c>
      <c r="BR82">
        <v>895</v>
      </c>
      <c r="BS82">
        <v>37.758099799999897</v>
      </c>
      <c r="BT82">
        <v>-82.006198680999901</v>
      </c>
      <c r="BU82">
        <v>0</v>
      </c>
      <c r="BV82">
        <v>-3.5</v>
      </c>
      <c r="BW82">
        <v>0</v>
      </c>
      <c r="BX82" t="s">
        <v>181</v>
      </c>
      <c r="BY82">
        <v>0</v>
      </c>
      <c r="BZ82">
        <v>0</v>
      </c>
      <c r="CA82">
        <v>0</v>
      </c>
      <c r="CB82">
        <v>8000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O82">
        <v>0</v>
      </c>
      <c r="CP82">
        <v>0</v>
      </c>
      <c r="CQ82" t="s">
        <v>974</v>
      </c>
      <c r="CR82" t="s">
        <v>160</v>
      </c>
      <c r="CS82" t="s">
        <v>161</v>
      </c>
      <c r="CT82" t="s">
        <v>139</v>
      </c>
      <c r="CU82" t="s">
        <v>163</v>
      </c>
      <c r="CW82">
        <v>2</v>
      </c>
      <c r="CX82" t="s">
        <v>975</v>
      </c>
      <c r="CY82" t="s">
        <v>976</v>
      </c>
      <c r="CZ82" t="s">
        <v>963</v>
      </c>
      <c r="DA82" t="s">
        <v>977</v>
      </c>
      <c r="DB82">
        <v>0</v>
      </c>
      <c r="DC82">
        <v>20400</v>
      </c>
    </row>
    <row r="83" spans="1:107" x14ac:dyDescent="0.25">
      <c r="A83" t="s">
        <v>1017</v>
      </c>
      <c r="B83" t="s">
        <v>108</v>
      </c>
      <c r="C83" t="s">
        <v>1018</v>
      </c>
      <c r="D83" t="s">
        <v>963</v>
      </c>
      <c r="E83" t="s">
        <v>1019</v>
      </c>
      <c r="F83" s="3" t="str">
        <f>HYPERLINK("https://mapwv.gov/flood/map/?wkid=102100&amp;x=-9128222.45870747&amp;y=4544608.996484528&amp;l=13&amp;v=2","FT")</f>
        <v>FT</v>
      </c>
      <c r="G83" s="3" t="str">
        <f>HYPERLINK("https://mapwv.gov/Assessment/Detail/?PID=23030084006100000000","Assessment")</f>
        <v>Assessment</v>
      </c>
      <c r="H83">
        <v>545536</v>
      </c>
      <c r="I83" t="s">
        <v>964</v>
      </c>
      <c r="J83" t="s">
        <v>965</v>
      </c>
      <c r="K83" t="s">
        <v>148</v>
      </c>
      <c r="L83" t="s">
        <v>1007</v>
      </c>
      <c r="M83" t="s">
        <v>967</v>
      </c>
      <c r="N83" t="s">
        <v>199</v>
      </c>
      <c r="O83" t="s">
        <v>117</v>
      </c>
      <c r="P83" t="s">
        <v>150</v>
      </c>
      <c r="Q83" t="s">
        <v>260</v>
      </c>
      <c r="R83">
        <v>2.1</v>
      </c>
      <c r="S83" t="s">
        <v>120</v>
      </c>
      <c r="T83">
        <v>818.9</v>
      </c>
      <c r="U83" t="s">
        <v>365</v>
      </c>
      <c r="V83">
        <v>816.2</v>
      </c>
      <c r="X83" t="s">
        <v>1020</v>
      </c>
      <c r="Y83" t="s">
        <v>1021</v>
      </c>
      <c r="Z83">
        <v>1979</v>
      </c>
      <c r="AA83" t="s">
        <v>241</v>
      </c>
      <c r="AB83" t="s">
        <v>155</v>
      </c>
      <c r="AC83" t="s">
        <v>129</v>
      </c>
      <c r="AD83">
        <v>2</v>
      </c>
      <c r="AE83">
        <v>108</v>
      </c>
      <c r="AF83" t="s">
        <v>176</v>
      </c>
      <c r="AG83" t="s">
        <v>177</v>
      </c>
      <c r="AH83" t="s">
        <v>129</v>
      </c>
      <c r="AI83">
        <v>1</v>
      </c>
      <c r="AL83">
        <v>1332</v>
      </c>
      <c r="AN83" t="s">
        <v>158</v>
      </c>
      <c r="AO83">
        <v>4</v>
      </c>
      <c r="AP83">
        <v>0</v>
      </c>
      <c r="AQ83">
        <v>0</v>
      </c>
      <c r="AR83">
        <v>14970</v>
      </c>
      <c r="AS83">
        <v>16790</v>
      </c>
      <c r="AT83" t="s">
        <v>178</v>
      </c>
      <c r="AU83">
        <v>1</v>
      </c>
      <c r="AV83">
        <v>7</v>
      </c>
      <c r="AW83">
        <v>1</v>
      </c>
      <c r="BB83" t="s">
        <v>1022</v>
      </c>
      <c r="BC83" t="s">
        <v>180</v>
      </c>
      <c r="BE83">
        <v>2.4</v>
      </c>
      <c r="BF83">
        <v>1</v>
      </c>
      <c r="BG83">
        <v>2.4</v>
      </c>
      <c r="BH83" s="1">
        <v>44348</v>
      </c>
      <c r="BI83" t="s">
        <v>210</v>
      </c>
      <c r="BJ83">
        <v>1979</v>
      </c>
      <c r="BK83" t="s">
        <v>260</v>
      </c>
      <c r="BL83" t="s">
        <v>177</v>
      </c>
      <c r="BM83">
        <v>16790</v>
      </c>
      <c r="BN83">
        <v>1</v>
      </c>
      <c r="BO83">
        <v>5</v>
      </c>
      <c r="BP83">
        <v>4</v>
      </c>
      <c r="BQ83">
        <v>1332</v>
      </c>
      <c r="BR83">
        <v>905</v>
      </c>
      <c r="BS83">
        <v>37.753124137</v>
      </c>
      <c r="BT83">
        <v>-82.000217515000003</v>
      </c>
      <c r="BU83">
        <v>2.055542</v>
      </c>
      <c r="BV83">
        <v>-1.9444580078125</v>
      </c>
      <c r="BW83">
        <v>1</v>
      </c>
      <c r="BX83" t="s">
        <v>181</v>
      </c>
      <c r="BY83">
        <v>189</v>
      </c>
      <c r="BZ83">
        <v>0</v>
      </c>
      <c r="CA83">
        <v>0</v>
      </c>
      <c r="CB83">
        <v>8395</v>
      </c>
      <c r="CC83">
        <v>74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O83">
        <v>0</v>
      </c>
      <c r="CP83">
        <v>0</v>
      </c>
      <c r="CQ83" t="s">
        <v>974</v>
      </c>
      <c r="CR83" t="s">
        <v>183</v>
      </c>
      <c r="CS83" t="s">
        <v>138</v>
      </c>
      <c r="CT83" t="s">
        <v>139</v>
      </c>
      <c r="CU83" t="s">
        <v>163</v>
      </c>
      <c r="CW83">
        <v>2</v>
      </c>
      <c r="CX83" t="s">
        <v>975</v>
      </c>
      <c r="CY83" t="s">
        <v>976</v>
      </c>
      <c r="CZ83" t="s">
        <v>963</v>
      </c>
      <c r="DA83" t="s">
        <v>977</v>
      </c>
      <c r="DB83">
        <v>0</v>
      </c>
      <c r="DC83">
        <v>20400</v>
      </c>
    </row>
    <row r="84" spans="1:107" x14ac:dyDescent="0.25">
      <c r="A84" t="s">
        <v>1023</v>
      </c>
      <c r="B84" t="s">
        <v>108</v>
      </c>
      <c r="C84" t="s">
        <v>1024</v>
      </c>
      <c r="D84" t="s">
        <v>963</v>
      </c>
      <c r="F84" s="3" t="str">
        <f>HYPERLINK("https://mapwv.gov/flood/map/?wkid=102100&amp;x=-9130533.396567145&amp;y=4545214.268459112&amp;l=13&amp;v=2","FT")</f>
        <v>FT</v>
      </c>
      <c r="G84" s="3" t="str">
        <f>HYPERLINK("https://mapwv.gov/Assessment/Detail/?PID=23030204000100000000","Assessment")</f>
        <v>Assessment</v>
      </c>
      <c r="H84">
        <v>545536</v>
      </c>
      <c r="I84" t="s">
        <v>964</v>
      </c>
      <c r="J84" t="s">
        <v>965</v>
      </c>
      <c r="K84" t="s">
        <v>148</v>
      </c>
      <c r="L84" t="s">
        <v>966</v>
      </c>
      <c r="M84" t="s">
        <v>967</v>
      </c>
      <c r="N84" t="s">
        <v>149</v>
      </c>
      <c r="O84" t="s">
        <v>117</v>
      </c>
      <c r="P84" t="s">
        <v>150</v>
      </c>
      <c r="Q84" t="s">
        <v>260</v>
      </c>
      <c r="R84" t="s">
        <v>151</v>
      </c>
      <c r="S84" t="s">
        <v>151</v>
      </c>
      <c r="T84" t="s">
        <v>151</v>
      </c>
      <c r="U84" t="s">
        <v>151</v>
      </c>
      <c r="V84">
        <v>879.6</v>
      </c>
      <c r="X84" t="s">
        <v>968</v>
      </c>
      <c r="Y84" t="s">
        <v>969</v>
      </c>
      <c r="Z84">
        <v>9999</v>
      </c>
      <c r="AA84" t="s">
        <v>191</v>
      </c>
      <c r="AB84" t="s">
        <v>970</v>
      </c>
      <c r="AC84" t="s">
        <v>971</v>
      </c>
      <c r="AD84">
        <v>3</v>
      </c>
      <c r="AE84">
        <v>424</v>
      </c>
      <c r="AF84" t="s">
        <v>972</v>
      </c>
      <c r="AG84" t="s">
        <v>177</v>
      </c>
      <c r="AH84" t="s">
        <v>129</v>
      </c>
      <c r="AI84">
        <v>1</v>
      </c>
      <c r="AJ84" t="s">
        <v>973</v>
      </c>
      <c r="AL84">
        <v>1000</v>
      </c>
      <c r="AM84" t="s">
        <v>206</v>
      </c>
      <c r="AN84" t="s">
        <v>158</v>
      </c>
      <c r="AO84">
        <v>4</v>
      </c>
      <c r="AP84">
        <v>0</v>
      </c>
      <c r="AQ84">
        <v>20400</v>
      </c>
      <c r="AR84">
        <v>0</v>
      </c>
      <c r="AS84">
        <v>16000</v>
      </c>
      <c r="AT84" t="s">
        <v>228</v>
      </c>
      <c r="AU84">
        <v>2</v>
      </c>
      <c r="AV84">
        <v>0</v>
      </c>
      <c r="AW84">
        <v>0</v>
      </c>
      <c r="BC84" t="s">
        <v>230</v>
      </c>
      <c r="BE84">
        <v>2.4</v>
      </c>
      <c r="BF84">
        <v>0</v>
      </c>
      <c r="BG84">
        <v>0</v>
      </c>
      <c r="BH84" s="1">
        <v>44348</v>
      </c>
      <c r="BI84" t="s">
        <v>159</v>
      </c>
      <c r="BJ84">
        <v>9999</v>
      </c>
      <c r="BK84" t="s">
        <v>260</v>
      </c>
      <c r="BL84" t="s">
        <v>177</v>
      </c>
      <c r="BM84">
        <v>16000</v>
      </c>
      <c r="BN84">
        <v>1</v>
      </c>
      <c r="BO84">
        <v>5</v>
      </c>
      <c r="BP84">
        <v>4</v>
      </c>
      <c r="BQ84">
        <v>1000</v>
      </c>
      <c r="BR84">
        <v>801</v>
      </c>
      <c r="BS84">
        <v>37.757423008000004</v>
      </c>
      <c r="BT84">
        <v>-82.020977022999901</v>
      </c>
      <c r="BU84">
        <v>0</v>
      </c>
      <c r="BV84">
        <v>-4</v>
      </c>
      <c r="BW84">
        <v>0</v>
      </c>
      <c r="BX84" t="s">
        <v>181</v>
      </c>
      <c r="BY84">
        <v>0</v>
      </c>
      <c r="BZ84">
        <v>0</v>
      </c>
      <c r="CA84">
        <v>0</v>
      </c>
      <c r="CB84">
        <v>8000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O84">
        <v>0</v>
      </c>
      <c r="CP84">
        <v>0</v>
      </c>
      <c r="CQ84" t="s">
        <v>974</v>
      </c>
      <c r="CR84" t="s">
        <v>160</v>
      </c>
      <c r="CS84" t="s">
        <v>161</v>
      </c>
      <c r="CT84" t="s">
        <v>139</v>
      </c>
      <c r="CU84" t="s">
        <v>163</v>
      </c>
      <c r="CW84">
        <v>2</v>
      </c>
      <c r="CX84" t="s">
        <v>975</v>
      </c>
      <c r="CY84" t="s">
        <v>976</v>
      </c>
      <c r="CZ84" t="s">
        <v>963</v>
      </c>
      <c r="DA84" t="s">
        <v>977</v>
      </c>
      <c r="DB84">
        <v>0</v>
      </c>
      <c r="DC84">
        <v>20400</v>
      </c>
    </row>
    <row r="85" spans="1:107" x14ac:dyDescent="0.25">
      <c r="A85" t="s">
        <v>1025</v>
      </c>
      <c r="B85" t="s">
        <v>108</v>
      </c>
      <c r="C85" t="s">
        <v>1026</v>
      </c>
      <c r="D85" t="s">
        <v>963</v>
      </c>
      <c r="F85" s="3" t="str">
        <f>HYPERLINK("https://mapwv.gov/flood/map/?wkid=102100&amp;x=-9130410.904829618&amp;y=4545185.292577807&amp;l=13&amp;v=2","FT")</f>
        <v>FT</v>
      </c>
      <c r="G85" s="3" t="str">
        <f>HYPERLINK("https://mapwv.gov/Assessment/Detail/?PID=23030204000100000000","Assessment")</f>
        <v>Assessment</v>
      </c>
      <c r="H85">
        <v>545536</v>
      </c>
      <c r="I85" t="s">
        <v>964</v>
      </c>
      <c r="J85" t="s">
        <v>965</v>
      </c>
      <c r="K85" t="s">
        <v>148</v>
      </c>
      <c r="L85" t="s">
        <v>966</v>
      </c>
      <c r="M85" t="s">
        <v>967</v>
      </c>
      <c r="N85" t="s">
        <v>149</v>
      </c>
      <c r="O85" t="s">
        <v>117</v>
      </c>
      <c r="P85" t="s">
        <v>150</v>
      </c>
      <c r="Q85" t="s">
        <v>225</v>
      </c>
      <c r="R85" t="s">
        <v>151</v>
      </c>
      <c r="S85" t="s">
        <v>151</v>
      </c>
      <c r="T85" t="s">
        <v>151</v>
      </c>
      <c r="U85" t="s">
        <v>151</v>
      </c>
      <c r="V85">
        <v>878.1</v>
      </c>
      <c r="X85" t="s">
        <v>968</v>
      </c>
      <c r="Y85" t="s">
        <v>969</v>
      </c>
      <c r="Z85">
        <v>0</v>
      </c>
      <c r="AA85" t="s">
        <v>191</v>
      </c>
      <c r="AB85" t="s">
        <v>970</v>
      </c>
      <c r="AC85" t="s">
        <v>971</v>
      </c>
      <c r="AD85">
        <v>3</v>
      </c>
      <c r="AE85">
        <v>424</v>
      </c>
      <c r="AF85" t="s">
        <v>972</v>
      </c>
      <c r="AG85" t="s">
        <v>177</v>
      </c>
      <c r="AH85" t="s">
        <v>129</v>
      </c>
      <c r="AI85">
        <v>1</v>
      </c>
      <c r="AJ85" t="s">
        <v>973</v>
      </c>
      <c r="AL85">
        <v>2000</v>
      </c>
      <c r="AM85" t="s">
        <v>206</v>
      </c>
      <c r="AN85" t="s">
        <v>158</v>
      </c>
      <c r="AO85">
        <v>3.5</v>
      </c>
      <c r="AP85">
        <v>0</v>
      </c>
      <c r="AQ85">
        <v>20400</v>
      </c>
      <c r="AR85">
        <v>0</v>
      </c>
      <c r="AS85">
        <v>32000</v>
      </c>
      <c r="AT85" t="s">
        <v>762</v>
      </c>
      <c r="AU85">
        <v>2</v>
      </c>
      <c r="AV85">
        <v>0</v>
      </c>
      <c r="AW85">
        <v>0</v>
      </c>
      <c r="BC85" t="s">
        <v>230</v>
      </c>
      <c r="BE85">
        <v>2.4</v>
      </c>
      <c r="BF85">
        <v>0</v>
      </c>
      <c r="BG85">
        <v>0</v>
      </c>
      <c r="BH85" s="1">
        <v>44348</v>
      </c>
      <c r="BI85" t="s">
        <v>159</v>
      </c>
      <c r="BJ85">
        <v>0</v>
      </c>
      <c r="BK85" t="s">
        <v>225</v>
      </c>
      <c r="BL85" t="s">
        <v>177</v>
      </c>
      <c r="BM85">
        <v>32000</v>
      </c>
      <c r="BN85">
        <v>1</v>
      </c>
      <c r="BO85">
        <v>5</v>
      </c>
      <c r="BP85">
        <v>3.5</v>
      </c>
      <c r="BQ85">
        <v>2000</v>
      </c>
      <c r="BR85">
        <v>913</v>
      </c>
      <c r="BS85">
        <v>37.7572172160001</v>
      </c>
      <c r="BT85">
        <v>-82.019876660999898</v>
      </c>
      <c r="BU85">
        <v>0</v>
      </c>
      <c r="BV85">
        <v>-3.5</v>
      </c>
      <c r="BW85">
        <v>0</v>
      </c>
      <c r="BX85" t="s">
        <v>181</v>
      </c>
      <c r="BY85">
        <v>0</v>
      </c>
      <c r="BZ85">
        <v>0</v>
      </c>
      <c r="CA85">
        <v>0</v>
      </c>
      <c r="CB85">
        <v>16000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O85">
        <v>0</v>
      </c>
      <c r="CP85">
        <v>0</v>
      </c>
      <c r="CQ85" t="s">
        <v>974</v>
      </c>
      <c r="CR85" t="s">
        <v>160</v>
      </c>
      <c r="CS85" t="s">
        <v>161</v>
      </c>
      <c r="CT85" t="s">
        <v>139</v>
      </c>
      <c r="CU85" t="s">
        <v>163</v>
      </c>
      <c r="CW85">
        <v>2</v>
      </c>
      <c r="CX85" t="s">
        <v>975</v>
      </c>
      <c r="CY85" t="s">
        <v>976</v>
      </c>
      <c r="CZ85" t="s">
        <v>963</v>
      </c>
      <c r="DA85" t="s">
        <v>977</v>
      </c>
      <c r="DB85">
        <v>0</v>
      </c>
      <c r="DC85">
        <v>20400</v>
      </c>
    </row>
    <row r="86" spans="1:107" x14ac:dyDescent="0.25">
      <c r="A86" t="s">
        <v>1027</v>
      </c>
      <c r="B86" t="s">
        <v>108</v>
      </c>
      <c r="C86" t="s">
        <v>1028</v>
      </c>
      <c r="D86" t="s">
        <v>963</v>
      </c>
      <c r="F86" s="3" t="str">
        <f>HYPERLINK("https://mapwv.gov/flood/map/?wkid=102100&amp;x=-9128793.288469654&amp;y=4545320.805275276&amp;l=13&amp;v=2","FT")</f>
        <v>FT</v>
      </c>
      <c r="G86" s="3" t="str">
        <f>HYPERLINK("https://mapwv.gov/Assessment/Detail/?PID=23030204000100000000","Assessment")</f>
        <v>Assessment</v>
      </c>
      <c r="H86">
        <v>545536</v>
      </c>
      <c r="I86" t="s">
        <v>964</v>
      </c>
      <c r="J86" t="s">
        <v>965</v>
      </c>
      <c r="K86" t="s">
        <v>148</v>
      </c>
      <c r="L86" t="s">
        <v>966</v>
      </c>
      <c r="M86" t="s">
        <v>967</v>
      </c>
      <c r="N86" t="s">
        <v>199</v>
      </c>
      <c r="O86" t="s">
        <v>117</v>
      </c>
      <c r="P86" t="s">
        <v>150</v>
      </c>
      <c r="Q86" t="s">
        <v>225</v>
      </c>
      <c r="R86" t="s">
        <v>151</v>
      </c>
      <c r="S86" t="s">
        <v>151</v>
      </c>
      <c r="T86" t="s">
        <v>151</v>
      </c>
      <c r="U86" t="s">
        <v>151</v>
      </c>
      <c r="V86">
        <v>823</v>
      </c>
      <c r="X86" t="s">
        <v>968</v>
      </c>
      <c r="Y86" t="s">
        <v>969</v>
      </c>
      <c r="Z86">
        <v>0</v>
      </c>
      <c r="AA86" t="s">
        <v>191</v>
      </c>
      <c r="AB86" t="s">
        <v>970</v>
      </c>
      <c r="AC86" t="s">
        <v>971</v>
      </c>
      <c r="AD86">
        <v>3</v>
      </c>
      <c r="AE86">
        <v>424</v>
      </c>
      <c r="AF86" t="s">
        <v>972</v>
      </c>
      <c r="AG86" t="s">
        <v>177</v>
      </c>
      <c r="AH86" t="s">
        <v>129</v>
      </c>
      <c r="AI86">
        <v>1</v>
      </c>
      <c r="AJ86" t="s">
        <v>973</v>
      </c>
      <c r="AL86">
        <v>2000</v>
      </c>
      <c r="AM86" t="s">
        <v>206</v>
      </c>
      <c r="AN86" t="s">
        <v>158</v>
      </c>
      <c r="AO86">
        <v>3.5</v>
      </c>
      <c r="AP86">
        <v>0</v>
      </c>
      <c r="AQ86">
        <v>20400</v>
      </c>
      <c r="AR86">
        <v>0</v>
      </c>
      <c r="AS86">
        <v>32000</v>
      </c>
      <c r="AT86" t="s">
        <v>762</v>
      </c>
      <c r="AU86">
        <v>2</v>
      </c>
      <c r="AV86">
        <v>0</v>
      </c>
      <c r="AW86">
        <v>0</v>
      </c>
      <c r="BC86" t="s">
        <v>230</v>
      </c>
      <c r="BE86">
        <v>2.4</v>
      </c>
      <c r="BF86">
        <v>0</v>
      </c>
      <c r="BG86">
        <v>0</v>
      </c>
      <c r="BH86" s="1">
        <v>44348</v>
      </c>
      <c r="BI86" t="s">
        <v>441</v>
      </c>
      <c r="BJ86">
        <v>0</v>
      </c>
      <c r="BK86" t="s">
        <v>225</v>
      </c>
      <c r="BL86" t="s">
        <v>177</v>
      </c>
      <c r="BM86">
        <v>32000</v>
      </c>
      <c r="BN86">
        <v>1</v>
      </c>
      <c r="BO86">
        <v>5</v>
      </c>
      <c r="BP86">
        <v>3.5</v>
      </c>
      <c r="BQ86">
        <v>2000</v>
      </c>
      <c r="BR86">
        <v>924</v>
      </c>
      <c r="BS86">
        <v>37.758179646999999</v>
      </c>
      <c r="BT86">
        <v>-82.005345366</v>
      </c>
      <c r="BU86">
        <v>0</v>
      </c>
      <c r="BV86">
        <v>-3.5</v>
      </c>
      <c r="BW86">
        <v>0</v>
      </c>
      <c r="BX86" t="s">
        <v>181</v>
      </c>
      <c r="BY86">
        <v>0</v>
      </c>
      <c r="BZ86">
        <v>0</v>
      </c>
      <c r="CA86">
        <v>0</v>
      </c>
      <c r="CB86">
        <v>16000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O86">
        <v>0</v>
      </c>
      <c r="CP86">
        <v>0</v>
      </c>
      <c r="CQ86" t="s">
        <v>974</v>
      </c>
      <c r="CR86" t="s">
        <v>160</v>
      </c>
      <c r="CS86" t="s">
        <v>161</v>
      </c>
      <c r="CT86" t="s">
        <v>139</v>
      </c>
      <c r="CU86" t="s">
        <v>163</v>
      </c>
      <c r="CW86">
        <v>2</v>
      </c>
      <c r="CX86" t="s">
        <v>975</v>
      </c>
      <c r="CY86" t="s">
        <v>976</v>
      </c>
      <c r="CZ86" t="s">
        <v>963</v>
      </c>
      <c r="DA86" t="s">
        <v>977</v>
      </c>
      <c r="DB86">
        <v>0</v>
      </c>
      <c r="DC86">
        <v>20400</v>
      </c>
    </row>
    <row r="87" spans="1:107" x14ac:dyDescent="0.25">
      <c r="A87" t="s">
        <v>1029</v>
      </c>
      <c r="B87" t="s">
        <v>108</v>
      </c>
      <c r="C87" t="s">
        <v>1030</v>
      </c>
      <c r="D87" t="s">
        <v>963</v>
      </c>
      <c r="F87" s="3" t="str">
        <f>HYPERLINK("https://mapwv.gov/flood/map/?wkid=102100&amp;x=-9128708.331994627&amp;y=4545286.7831406&amp;l=13&amp;v=2","FT")</f>
        <v>FT</v>
      </c>
      <c r="G87" s="3" t="str">
        <f>HYPERLINK("https://mapwv.gov/Assessment/Detail/?PID=23030204000100000000","Assessment")</f>
        <v>Assessment</v>
      </c>
      <c r="H87">
        <v>545536</v>
      </c>
      <c r="I87" t="s">
        <v>964</v>
      </c>
      <c r="J87" t="s">
        <v>965</v>
      </c>
      <c r="K87" t="s">
        <v>148</v>
      </c>
      <c r="L87" t="s">
        <v>966</v>
      </c>
      <c r="M87" t="s">
        <v>967</v>
      </c>
      <c r="N87" t="s">
        <v>199</v>
      </c>
      <c r="O87" t="s">
        <v>117</v>
      </c>
      <c r="P87" t="s">
        <v>150</v>
      </c>
      <c r="Q87" t="s">
        <v>225</v>
      </c>
      <c r="R87" t="s">
        <v>151</v>
      </c>
      <c r="S87" t="s">
        <v>151</v>
      </c>
      <c r="T87" t="s">
        <v>151</v>
      </c>
      <c r="U87" t="s">
        <v>151</v>
      </c>
      <c r="V87">
        <v>820.5</v>
      </c>
      <c r="X87" t="s">
        <v>968</v>
      </c>
      <c r="Y87" t="s">
        <v>969</v>
      </c>
      <c r="Z87">
        <v>0</v>
      </c>
      <c r="AA87" t="s">
        <v>191</v>
      </c>
      <c r="AB87" t="s">
        <v>970</v>
      </c>
      <c r="AC87" t="s">
        <v>971</v>
      </c>
      <c r="AD87">
        <v>3</v>
      </c>
      <c r="AE87">
        <v>424</v>
      </c>
      <c r="AF87" t="s">
        <v>972</v>
      </c>
      <c r="AG87" t="s">
        <v>177</v>
      </c>
      <c r="AH87" t="s">
        <v>129</v>
      </c>
      <c r="AI87">
        <v>1</v>
      </c>
      <c r="AJ87" t="s">
        <v>973</v>
      </c>
      <c r="AL87">
        <v>1000</v>
      </c>
      <c r="AM87" t="s">
        <v>206</v>
      </c>
      <c r="AN87" t="s">
        <v>158</v>
      </c>
      <c r="AO87">
        <v>3.5</v>
      </c>
      <c r="AP87">
        <v>0</v>
      </c>
      <c r="AQ87">
        <v>20400</v>
      </c>
      <c r="AR87">
        <v>0</v>
      </c>
      <c r="AS87">
        <v>16000</v>
      </c>
      <c r="AT87" t="s">
        <v>228</v>
      </c>
      <c r="AU87">
        <v>2</v>
      </c>
      <c r="AV87">
        <v>0</v>
      </c>
      <c r="AW87">
        <v>0</v>
      </c>
      <c r="BC87" t="s">
        <v>230</v>
      </c>
      <c r="BE87">
        <v>2.4</v>
      </c>
      <c r="BF87">
        <v>0</v>
      </c>
      <c r="BG87">
        <v>0</v>
      </c>
      <c r="BH87" s="1">
        <v>44348</v>
      </c>
      <c r="BI87" t="s">
        <v>441</v>
      </c>
      <c r="BJ87">
        <v>0</v>
      </c>
      <c r="BK87" t="s">
        <v>225</v>
      </c>
      <c r="BL87" t="s">
        <v>177</v>
      </c>
      <c r="BM87">
        <v>16000</v>
      </c>
      <c r="BN87">
        <v>1</v>
      </c>
      <c r="BO87">
        <v>5</v>
      </c>
      <c r="BP87">
        <v>3.5</v>
      </c>
      <c r="BQ87">
        <v>1000</v>
      </c>
      <c r="BR87">
        <v>925</v>
      </c>
      <c r="BS87">
        <v>37.757938017999997</v>
      </c>
      <c r="BT87">
        <v>-82.004582189000004</v>
      </c>
      <c r="BU87">
        <v>0</v>
      </c>
      <c r="BV87">
        <v>-3.5</v>
      </c>
      <c r="BW87">
        <v>0</v>
      </c>
      <c r="BX87" t="s">
        <v>181</v>
      </c>
      <c r="BY87">
        <v>0</v>
      </c>
      <c r="BZ87">
        <v>0</v>
      </c>
      <c r="CA87">
        <v>0</v>
      </c>
      <c r="CB87">
        <v>8000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O87">
        <v>0</v>
      </c>
      <c r="CP87">
        <v>0</v>
      </c>
      <c r="CQ87" t="s">
        <v>974</v>
      </c>
      <c r="CR87" t="s">
        <v>160</v>
      </c>
      <c r="CS87" t="s">
        <v>161</v>
      </c>
      <c r="CT87" t="s">
        <v>139</v>
      </c>
      <c r="CU87" t="s">
        <v>163</v>
      </c>
      <c r="CW87">
        <v>2</v>
      </c>
      <c r="CX87" t="s">
        <v>975</v>
      </c>
      <c r="CY87" t="s">
        <v>976</v>
      </c>
      <c r="CZ87" t="s">
        <v>963</v>
      </c>
      <c r="DA87" t="s">
        <v>977</v>
      </c>
      <c r="DB87">
        <v>0</v>
      </c>
      <c r="DC87">
        <v>20400</v>
      </c>
    </row>
    <row r="88" spans="1:107" x14ac:dyDescent="0.25">
      <c r="A88" t="s">
        <v>1031</v>
      </c>
      <c r="B88" t="s">
        <v>108</v>
      </c>
      <c r="C88" t="s">
        <v>1032</v>
      </c>
      <c r="D88" t="s">
        <v>963</v>
      </c>
      <c r="F88" s="3" t="str">
        <f>HYPERLINK("https://mapwv.gov/flood/map/?wkid=102100&amp;x=-9131165.996958172&amp;y=4545580.847520921&amp;l=13&amp;v=2","FT")</f>
        <v>FT</v>
      </c>
      <c r="G88" s="3" t="str">
        <f>HYPERLINK("https://mapwv.gov/Assessment/Detail/?PID=23030204000100000000","Assessment")</f>
        <v>Assessment</v>
      </c>
      <c r="H88">
        <v>545536</v>
      </c>
      <c r="I88" t="s">
        <v>964</v>
      </c>
      <c r="J88" t="s">
        <v>965</v>
      </c>
      <c r="K88" t="s">
        <v>148</v>
      </c>
      <c r="L88" t="s">
        <v>966</v>
      </c>
      <c r="M88" t="s">
        <v>967</v>
      </c>
      <c r="N88" t="s">
        <v>116</v>
      </c>
      <c r="O88" t="s">
        <v>117</v>
      </c>
      <c r="P88" t="s">
        <v>118</v>
      </c>
      <c r="Q88" t="s">
        <v>260</v>
      </c>
      <c r="R88">
        <v>3.2</v>
      </c>
      <c r="S88" t="s">
        <v>120</v>
      </c>
      <c r="T88">
        <v>892.6</v>
      </c>
      <c r="U88" t="s">
        <v>121</v>
      </c>
      <c r="V88">
        <v>891.1</v>
      </c>
      <c r="X88" t="s">
        <v>968</v>
      </c>
      <c r="Y88" t="s">
        <v>969</v>
      </c>
      <c r="Z88">
        <v>9999</v>
      </c>
      <c r="AA88" t="s">
        <v>191</v>
      </c>
      <c r="AB88" t="s">
        <v>970</v>
      </c>
      <c r="AC88" t="s">
        <v>971</v>
      </c>
      <c r="AD88">
        <v>3</v>
      </c>
      <c r="AE88">
        <v>424</v>
      </c>
      <c r="AF88" t="s">
        <v>972</v>
      </c>
      <c r="AG88" t="s">
        <v>177</v>
      </c>
      <c r="AH88" t="s">
        <v>129</v>
      </c>
      <c r="AI88">
        <v>1</v>
      </c>
      <c r="AJ88" t="s">
        <v>973</v>
      </c>
      <c r="AL88">
        <v>2000</v>
      </c>
      <c r="AM88" t="s">
        <v>206</v>
      </c>
      <c r="AN88" t="s">
        <v>158</v>
      </c>
      <c r="AO88">
        <v>4</v>
      </c>
      <c r="AP88">
        <v>0</v>
      </c>
      <c r="AQ88">
        <v>20400</v>
      </c>
      <c r="AR88">
        <v>0</v>
      </c>
      <c r="AS88">
        <v>32000</v>
      </c>
      <c r="AT88" t="s">
        <v>762</v>
      </c>
      <c r="AU88">
        <v>2</v>
      </c>
      <c r="AV88">
        <v>0</v>
      </c>
      <c r="AW88">
        <v>0</v>
      </c>
      <c r="BC88" t="s">
        <v>230</v>
      </c>
      <c r="BE88">
        <v>2.4</v>
      </c>
      <c r="BF88">
        <v>1</v>
      </c>
      <c r="BG88">
        <v>2.4</v>
      </c>
      <c r="BH88" s="1">
        <v>44348</v>
      </c>
      <c r="BI88" t="s">
        <v>133</v>
      </c>
      <c r="BJ88">
        <v>9999</v>
      </c>
      <c r="BK88" t="s">
        <v>260</v>
      </c>
      <c r="BL88" t="s">
        <v>177</v>
      </c>
      <c r="BM88">
        <v>32000</v>
      </c>
      <c r="BN88">
        <v>1</v>
      </c>
      <c r="BO88">
        <v>5</v>
      </c>
      <c r="BP88">
        <v>4</v>
      </c>
      <c r="BQ88">
        <v>2000</v>
      </c>
      <c r="BR88">
        <v>1282</v>
      </c>
      <c r="BS88">
        <v>37.76002647</v>
      </c>
      <c r="BT88">
        <v>-82.026659768999906</v>
      </c>
      <c r="BU88">
        <v>3.1565246999999999</v>
      </c>
      <c r="BV88">
        <v>-0.843475341796875</v>
      </c>
      <c r="BW88">
        <v>1</v>
      </c>
      <c r="BX88" t="s">
        <v>181</v>
      </c>
      <c r="BY88">
        <v>189</v>
      </c>
      <c r="BZ88">
        <v>1.7217712402343699</v>
      </c>
      <c r="CA88">
        <v>550.966796875</v>
      </c>
      <c r="CB88">
        <v>16000</v>
      </c>
      <c r="CC88">
        <v>74</v>
      </c>
      <c r="CD88">
        <v>0.469573974609375</v>
      </c>
      <c r="CE88">
        <v>75.1318359375</v>
      </c>
      <c r="CF88">
        <v>0</v>
      </c>
      <c r="CG88">
        <v>0</v>
      </c>
      <c r="CH88">
        <v>0</v>
      </c>
      <c r="CI88">
        <v>0</v>
      </c>
      <c r="CO88">
        <v>0</v>
      </c>
      <c r="CP88">
        <v>0</v>
      </c>
      <c r="CQ88" t="s">
        <v>974</v>
      </c>
      <c r="CR88" t="s">
        <v>137</v>
      </c>
      <c r="CS88" t="s">
        <v>138</v>
      </c>
      <c r="CT88" t="s">
        <v>139</v>
      </c>
      <c r="CU88" t="s">
        <v>267</v>
      </c>
      <c r="CW88">
        <v>2</v>
      </c>
      <c r="CX88" t="s">
        <v>975</v>
      </c>
      <c r="CY88" t="s">
        <v>976</v>
      </c>
      <c r="CZ88" t="s">
        <v>963</v>
      </c>
      <c r="DA88" t="s">
        <v>977</v>
      </c>
      <c r="DB88">
        <v>0</v>
      </c>
      <c r="DC88">
        <v>20400</v>
      </c>
    </row>
    <row r="89" spans="1:107" x14ac:dyDescent="0.25">
      <c r="A89" t="s">
        <v>1033</v>
      </c>
      <c r="B89" t="s">
        <v>108</v>
      </c>
      <c r="C89" t="s">
        <v>1034</v>
      </c>
      <c r="D89" t="s">
        <v>963</v>
      </c>
      <c r="F89" s="3" t="str">
        <f>HYPERLINK("https://mapwv.gov/flood/map/?wkid=102100&amp;x=-9128428.528896047&amp;y=4540755.308402988&amp;l=13&amp;v=2","FT")</f>
        <v>FT</v>
      </c>
      <c r="G89" s="3" t="str">
        <f>HYPERLINK("https://mapwv.gov/Assessment/Detail/?PID=23030204000100000000","Assessment")</f>
        <v>Assessment</v>
      </c>
      <c r="H89">
        <v>545536</v>
      </c>
      <c r="I89" t="s">
        <v>964</v>
      </c>
      <c r="J89" t="s">
        <v>965</v>
      </c>
      <c r="K89" t="s">
        <v>148</v>
      </c>
      <c r="L89" t="s">
        <v>1035</v>
      </c>
      <c r="M89" t="s">
        <v>967</v>
      </c>
      <c r="N89" t="s">
        <v>116</v>
      </c>
      <c r="O89" t="s">
        <v>117</v>
      </c>
      <c r="P89" t="s">
        <v>118</v>
      </c>
      <c r="Q89" t="s">
        <v>119</v>
      </c>
      <c r="R89">
        <v>2.4</v>
      </c>
      <c r="S89" t="s">
        <v>120</v>
      </c>
      <c r="T89">
        <v>914.4</v>
      </c>
      <c r="U89" t="s">
        <v>121</v>
      </c>
      <c r="V89">
        <v>913.3</v>
      </c>
      <c r="X89" t="s">
        <v>968</v>
      </c>
      <c r="Y89" t="s">
        <v>969</v>
      </c>
      <c r="Z89">
        <v>1111</v>
      </c>
      <c r="AA89" t="s">
        <v>191</v>
      </c>
      <c r="AB89" t="s">
        <v>970</v>
      </c>
      <c r="AC89" t="s">
        <v>971</v>
      </c>
      <c r="AD89">
        <v>3</v>
      </c>
      <c r="AE89">
        <v>424</v>
      </c>
      <c r="AF89" t="s">
        <v>972</v>
      </c>
      <c r="AG89" t="s">
        <v>654</v>
      </c>
      <c r="AH89" t="s">
        <v>653</v>
      </c>
      <c r="AI89">
        <v>1</v>
      </c>
      <c r="AJ89" t="s">
        <v>973</v>
      </c>
      <c r="AL89">
        <v>5900</v>
      </c>
      <c r="AM89" t="s">
        <v>206</v>
      </c>
      <c r="AN89" t="s">
        <v>131</v>
      </c>
      <c r="AO89">
        <v>1</v>
      </c>
      <c r="AP89">
        <v>0</v>
      </c>
      <c r="AQ89">
        <v>20400</v>
      </c>
      <c r="AR89">
        <v>0</v>
      </c>
      <c r="AS89">
        <v>276223</v>
      </c>
      <c r="AT89" t="s">
        <v>985</v>
      </c>
      <c r="AU89">
        <v>2</v>
      </c>
      <c r="AV89">
        <v>0</v>
      </c>
      <c r="AW89">
        <v>0</v>
      </c>
      <c r="AX89" t="s">
        <v>655</v>
      </c>
      <c r="BB89" t="s">
        <v>1036</v>
      </c>
      <c r="BC89" t="s">
        <v>230</v>
      </c>
      <c r="BE89">
        <v>2.4</v>
      </c>
      <c r="BF89">
        <v>0</v>
      </c>
      <c r="BG89">
        <v>0</v>
      </c>
      <c r="BH89" s="1">
        <v>44348</v>
      </c>
      <c r="BI89" t="s">
        <v>133</v>
      </c>
      <c r="BJ89">
        <v>1111</v>
      </c>
      <c r="BK89" t="s">
        <v>119</v>
      </c>
      <c r="BL89" t="s">
        <v>654</v>
      </c>
      <c r="BM89">
        <v>276223</v>
      </c>
      <c r="BN89">
        <v>1</v>
      </c>
      <c r="BO89">
        <v>7</v>
      </c>
      <c r="BP89">
        <v>1</v>
      </c>
      <c r="BQ89">
        <v>5900</v>
      </c>
      <c r="BR89">
        <v>227</v>
      </c>
      <c r="BS89">
        <v>37.725747926000103</v>
      </c>
      <c r="BT89">
        <v>-82.002068675000004</v>
      </c>
      <c r="BU89">
        <v>2.1180115000000002</v>
      </c>
      <c r="BV89">
        <v>1.1180114746093699</v>
      </c>
      <c r="BW89">
        <v>1</v>
      </c>
      <c r="BX89" t="s">
        <v>656</v>
      </c>
      <c r="BY89">
        <v>624</v>
      </c>
      <c r="BZ89">
        <v>10.1180114746093</v>
      </c>
      <c r="CA89">
        <v>27948.274835510201</v>
      </c>
      <c r="CB89">
        <v>276223</v>
      </c>
      <c r="CC89">
        <v>467</v>
      </c>
      <c r="CD89">
        <v>54.360229492187401</v>
      </c>
      <c r="CE89">
        <v>150155.45671020501</v>
      </c>
      <c r="CF89">
        <v>0</v>
      </c>
      <c r="CG89">
        <v>0</v>
      </c>
      <c r="CH89">
        <v>0</v>
      </c>
      <c r="CI89">
        <v>0</v>
      </c>
      <c r="CJ89" t="s">
        <v>946</v>
      </c>
      <c r="CK89">
        <v>5.9</v>
      </c>
      <c r="CL89">
        <v>0</v>
      </c>
      <c r="CM89">
        <v>0</v>
      </c>
      <c r="CN89">
        <v>5.9</v>
      </c>
      <c r="CO89">
        <v>360</v>
      </c>
      <c r="CP89">
        <v>540</v>
      </c>
      <c r="CQ89" t="s">
        <v>974</v>
      </c>
      <c r="CR89" t="s">
        <v>1037</v>
      </c>
      <c r="CS89" t="s">
        <v>138</v>
      </c>
      <c r="CT89" t="s">
        <v>1038</v>
      </c>
      <c r="CU89" t="s">
        <v>140</v>
      </c>
      <c r="CW89">
        <v>2</v>
      </c>
      <c r="CX89" t="s">
        <v>975</v>
      </c>
      <c r="CY89" t="s">
        <v>976</v>
      </c>
      <c r="CZ89" t="s">
        <v>963</v>
      </c>
      <c r="DA89" t="s">
        <v>977</v>
      </c>
      <c r="DB89">
        <v>0</v>
      </c>
      <c r="DC89">
        <v>20400</v>
      </c>
    </row>
    <row r="90" spans="1:107" x14ac:dyDescent="0.25">
      <c r="A90" t="s">
        <v>1039</v>
      </c>
      <c r="B90" t="s">
        <v>108</v>
      </c>
      <c r="C90" t="s">
        <v>1040</v>
      </c>
      <c r="D90" t="s">
        <v>963</v>
      </c>
      <c r="F90" s="3" t="str">
        <f>HYPERLINK("https://mapwv.gov/flood/map/?wkid=102100&amp;x=-9130256.585625159&amp;y=4545228.93327753&amp;l=13&amp;v=2","FT")</f>
        <v>FT</v>
      </c>
      <c r="G90" s="3" t="str">
        <f>HYPERLINK("https://mapwv.gov/Assessment/Detail/?PID=23030204000100000000","Assessment")</f>
        <v>Assessment</v>
      </c>
      <c r="H90">
        <v>545536</v>
      </c>
      <c r="I90" t="s">
        <v>964</v>
      </c>
      <c r="J90" t="s">
        <v>965</v>
      </c>
      <c r="K90" t="s">
        <v>148</v>
      </c>
      <c r="L90" t="s">
        <v>966</v>
      </c>
      <c r="M90" t="s">
        <v>967</v>
      </c>
      <c r="N90" t="s">
        <v>149</v>
      </c>
      <c r="O90" t="s">
        <v>117</v>
      </c>
      <c r="P90" t="s">
        <v>150</v>
      </c>
      <c r="Q90" t="s">
        <v>119</v>
      </c>
      <c r="R90">
        <v>3.5</v>
      </c>
      <c r="S90" t="s">
        <v>120</v>
      </c>
      <c r="T90">
        <v>869</v>
      </c>
      <c r="U90" t="s">
        <v>121</v>
      </c>
      <c r="V90">
        <v>866.8</v>
      </c>
      <c r="X90" t="s">
        <v>968</v>
      </c>
      <c r="Y90" t="s">
        <v>969</v>
      </c>
      <c r="Z90">
        <v>1111</v>
      </c>
      <c r="AA90" t="s">
        <v>191</v>
      </c>
      <c r="AB90" t="s">
        <v>970</v>
      </c>
      <c r="AC90" t="s">
        <v>971</v>
      </c>
      <c r="AD90">
        <v>3</v>
      </c>
      <c r="AE90">
        <v>424</v>
      </c>
      <c r="AF90" t="s">
        <v>972</v>
      </c>
      <c r="AG90" t="s">
        <v>177</v>
      </c>
      <c r="AH90" t="s">
        <v>129</v>
      </c>
      <c r="AI90">
        <v>1</v>
      </c>
      <c r="AJ90" t="s">
        <v>973</v>
      </c>
      <c r="AL90">
        <v>2000</v>
      </c>
      <c r="AM90" t="s">
        <v>206</v>
      </c>
      <c r="AN90" t="s">
        <v>158</v>
      </c>
      <c r="AO90">
        <v>3</v>
      </c>
      <c r="AP90">
        <v>0</v>
      </c>
      <c r="AQ90">
        <v>20400</v>
      </c>
      <c r="AR90">
        <v>0</v>
      </c>
      <c r="AS90">
        <v>32000</v>
      </c>
      <c r="AT90" t="s">
        <v>762</v>
      </c>
      <c r="AU90">
        <v>2</v>
      </c>
      <c r="AV90">
        <v>0</v>
      </c>
      <c r="AW90">
        <v>0</v>
      </c>
      <c r="BC90" t="s">
        <v>230</v>
      </c>
      <c r="BE90">
        <v>2.4</v>
      </c>
      <c r="BF90">
        <v>1</v>
      </c>
      <c r="BG90">
        <v>2.4</v>
      </c>
      <c r="BH90" s="1">
        <v>44348</v>
      </c>
      <c r="BI90" t="s">
        <v>331</v>
      </c>
      <c r="BJ90">
        <v>1111</v>
      </c>
      <c r="BK90" t="s">
        <v>119</v>
      </c>
      <c r="BL90" t="s">
        <v>177</v>
      </c>
      <c r="BM90">
        <v>32000</v>
      </c>
      <c r="BN90">
        <v>1</v>
      </c>
      <c r="BO90">
        <v>5</v>
      </c>
      <c r="BP90">
        <v>3</v>
      </c>
      <c r="BQ90">
        <v>2000</v>
      </c>
      <c r="BR90">
        <v>941</v>
      </c>
      <c r="BS90">
        <v>37.757527160000102</v>
      </c>
      <c r="BT90">
        <v>-82.018490388000004</v>
      </c>
      <c r="BU90">
        <v>3.5438299999999998</v>
      </c>
      <c r="BV90">
        <v>0.54382991790771495</v>
      </c>
      <c r="BW90">
        <v>1</v>
      </c>
      <c r="BX90" t="s">
        <v>181</v>
      </c>
      <c r="BY90">
        <v>189</v>
      </c>
      <c r="BZ90">
        <v>28.946387290954501</v>
      </c>
      <c r="CA90">
        <v>9262.8439331054597</v>
      </c>
      <c r="CB90">
        <v>16000</v>
      </c>
      <c r="CC90">
        <v>74</v>
      </c>
      <c r="CD90">
        <v>16.051918029785099</v>
      </c>
      <c r="CE90">
        <v>2568.30688476562</v>
      </c>
      <c r="CF90">
        <v>0</v>
      </c>
      <c r="CG90">
        <v>0</v>
      </c>
      <c r="CH90">
        <v>0</v>
      </c>
      <c r="CI90">
        <v>0</v>
      </c>
      <c r="CJ90" t="s">
        <v>263</v>
      </c>
      <c r="CK90">
        <v>8.1999999999999904</v>
      </c>
      <c r="CL90">
        <v>0</v>
      </c>
      <c r="CM90">
        <v>0</v>
      </c>
      <c r="CN90">
        <v>8.1999999999999904</v>
      </c>
      <c r="CO90">
        <v>180</v>
      </c>
      <c r="CP90">
        <v>360</v>
      </c>
      <c r="CQ90" t="s">
        <v>974</v>
      </c>
      <c r="CR90" t="s">
        <v>183</v>
      </c>
      <c r="CS90" t="s">
        <v>138</v>
      </c>
      <c r="CT90" t="s">
        <v>139</v>
      </c>
      <c r="CU90" t="s">
        <v>140</v>
      </c>
      <c r="CW90">
        <v>2</v>
      </c>
      <c r="CX90" t="s">
        <v>975</v>
      </c>
      <c r="CY90" t="s">
        <v>976</v>
      </c>
      <c r="CZ90" t="s">
        <v>963</v>
      </c>
      <c r="DA90" t="s">
        <v>977</v>
      </c>
      <c r="DB90">
        <v>0</v>
      </c>
      <c r="DC90">
        <v>20400</v>
      </c>
    </row>
    <row r="91" spans="1:107" x14ac:dyDescent="0.25">
      <c r="A91" t="s">
        <v>1041</v>
      </c>
      <c r="B91" t="s">
        <v>108</v>
      </c>
      <c r="C91" t="s">
        <v>1042</v>
      </c>
      <c r="D91" t="s">
        <v>963</v>
      </c>
      <c r="F91" s="3" t="str">
        <f>HYPERLINK("https://mapwv.gov/flood/map/?wkid=102100&amp;x=-9128684.12601663&amp;y=4545224.684290988&amp;l=13&amp;v=2","FT")</f>
        <v>FT</v>
      </c>
      <c r="G91" s="3" t="str">
        <f>HYPERLINK("https://mapwv.gov/Assessment/Detail/?PID=23030204000100000000","Assessment")</f>
        <v>Assessment</v>
      </c>
      <c r="H91">
        <v>545536</v>
      </c>
      <c r="I91" t="s">
        <v>964</v>
      </c>
      <c r="J91" t="s">
        <v>965</v>
      </c>
      <c r="K91" t="s">
        <v>148</v>
      </c>
      <c r="L91" t="s">
        <v>966</v>
      </c>
      <c r="M91" t="s">
        <v>967</v>
      </c>
      <c r="N91" t="s">
        <v>199</v>
      </c>
      <c r="O91" t="s">
        <v>117</v>
      </c>
      <c r="P91" t="s">
        <v>150</v>
      </c>
      <c r="Q91" t="s">
        <v>225</v>
      </c>
      <c r="R91" t="s">
        <v>151</v>
      </c>
      <c r="S91" t="s">
        <v>151</v>
      </c>
      <c r="T91" t="s">
        <v>151</v>
      </c>
      <c r="U91" t="s">
        <v>151</v>
      </c>
      <c r="V91">
        <v>820.8</v>
      </c>
      <c r="X91" t="s">
        <v>968</v>
      </c>
      <c r="Y91" t="s">
        <v>969</v>
      </c>
      <c r="Z91">
        <v>0</v>
      </c>
      <c r="AA91" t="s">
        <v>191</v>
      </c>
      <c r="AB91" t="s">
        <v>970</v>
      </c>
      <c r="AC91" t="s">
        <v>971</v>
      </c>
      <c r="AD91">
        <v>3</v>
      </c>
      <c r="AE91">
        <v>424</v>
      </c>
      <c r="AF91" t="s">
        <v>972</v>
      </c>
      <c r="AG91" t="s">
        <v>177</v>
      </c>
      <c r="AH91" t="s">
        <v>129</v>
      </c>
      <c r="AI91">
        <v>1</v>
      </c>
      <c r="AJ91" t="s">
        <v>973</v>
      </c>
      <c r="AL91">
        <v>1000</v>
      </c>
      <c r="AM91" t="s">
        <v>206</v>
      </c>
      <c r="AN91" t="s">
        <v>158</v>
      </c>
      <c r="AO91">
        <v>3.5</v>
      </c>
      <c r="AP91">
        <v>0</v>
      </c>
      <c r="AQ91">
        <v>20400</v>
      </c>
      <c r="AR91">
        <v>0</v>
      </c>
      <c r="AS91">
        <v>16000</v>
      </c>
      <c r="AT91" t="s">
        <v>228</v>
      </c>
      <c r="AU91">
        <v>2</v>
      </c>
      <c r="AV91">
        <v>0</v>
      </c>
      <c r="AW91">
        <v>0</v>
      </c>
      <c r="BC91" t="s">
        <v>230</v>
      </c>
      <c r="BE91">
        <v>2.4</v>
      </c>
      <c r="BF91">
        <v>0</v>
      </c>
      <c r="BG91">
        <v>0</v>
      </c>
      <c r="BH91" s="1">
        <v>44348</v>
      </c>
      <c r="BI91" t="s">
        <v>441</v>
      </c>
      <c r="BJ91">
        <v>0</v>
      </c>
      <c r="BK91" t="s">
        <v>225</v>
      </c>
      <c r="BL91" t="s">
        <v>177</v>
      </c>
      <c r="BM91">
        <v>16000</v>
      </c>
      <c r="BN91">
        <v>1</v>
      </c>
      <c r="BO91">
        <v>5</v>
      </c>
      <c r="BP91">
        <v>3.5</v>
      </c>
      <c r="BQ91">
        <v>1000</v>
      </c>
      <c r="BR91">
        <v>942</v>
      </c>
      <c r="BS91">
        <v>37.757496983000102</v>
      </c>
      <c r="BT91">
        <v>-82.004364742999797</v>
      </c>
      <c r="BU91">
        <v>0</v>
      </c>
      <c r="BV91">
        <v>-3.5</v>
      </c>
      <c r="BW91">
        <v>0</v>
      </c>
      <c r="BX91" t="s">
        <v>181</v>
      </c>
      <c r="BY91">
        <v>0</v>
      </c>
      <c r="BZ91">
        <v>0</v>
      </c>
      <c r="CA91">
        <v>0</v>
      </c>
      <c r="CB91">
        <v>8000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O91">
        <v>0</v>
      </c>
      <c r="CP91">
        <v>0</v>
      </c>
      <c r="CQ91" t="s">
        <v>974</v>
      </c>
      <c r="CR91" t="s">
        <v>160</v>
      </c>
      <c r="CS91" t="s">
        <v>161</v>
      </c>
      <c r="CT91" t="s">
        <v>139</v>
      </c>
      <c r="CU91" t="s">
        <v>163</v>
      </c>
      <c r="CW91">
        <v>2</v>
      </c>
      <c r="CX91" t="s">
        <v>975</v>
      </c>
      <c r="CY91" t="s">
        <v>976</v>
      </c>
      <c r="CZ91" t="s">
        <v>963</v>
      </c>
      <c r="DA91" t="s">
        <v>977</v>
      </c>
      <c r="DB91">
        <v>0</v>
      </c>
      <c r="DC91">
        <v>20400</v>
      </c>
    </row>
    <row r="92" spans="1:107" x14ac:dyDescent="0.25">
      <c r="A92" t="s">
        <v>1043</v>
      </c>
      <c r="B92" t="s">
        <v>108</v>
      </c>
      <c r="C92" t="s">
        <v>1044</v>
      </c>
      <c r="D92" t="s">
        <v>963</v>
      </c>
      <c r="F92" s="3" t="str">
        <f>HYPERLINK("https://mapwv.gov/flood/map/?wkid=102100&amp;x=-9128587.651759172&amp;y=4545196.054752968&amp;l=13&amp;v=2","FT")</f>
        <v>FT</v>
      </c>
      <c r="G92" s="3" t="str">
        <f>HYPERLINK("https://mapwv.gov/Assessment/Detail/?PID=23030204000100000000","Assessment")</f>
        <v>Assessment</v>
      </c>
      <c r="H92">
        <v>545536</v>
      </c>
      <c r="I92" t="s">
        <v>964</v>
      </c>
      <c r="J92" t="s">
        <v>965</v>
      </c>
      <c r="K92" t="s">
        <v>148</v>
      </c>
      <c r="L92" t="s">
        <v>966</v>
      </c>
      <c r="M92" t="s">
        <v>967</v>
      </c>
      <c r="N92" t="s">
        <v>199</v>
      </c>
      <c r="O92" t="s">
        <v>117</v>
      </c>
      <c r="P92" t="s">
        <v>150</v>
      </c>
      <c r="Q92" t="s">
        <v>225</v>
      </c>
      <c r="R92" t="s">
        <v>151</v>
      </c>
      <c r="S92" t="s">
        <v>151</v>
      </c>
      <c r="T92" t="s">
        <v>151</v>
      </c>
      <c r="U92" t="s">
        <v>151</v>
      </c>
      <c r="V92">
        <v>818.8</v>
      </c>
      <c r="X92" t="s">
        <v>968</v>
      </c>
      <c r="Y92" t="s">
        <v>969</v>
      </c>
      <c r="Z92">
        <v>0</v>
      </c>
      <c r="AA92" t="s">
        <v>191</v>
      </c>
      <c r="AB92" t="s">
        <v>970</v>
      </c>
      <c r="AC92" t="s">
        <v>971</v>
      </c>
      <c r="AD92">
        <v>3</v>
      </c>
      <c r="AE92">
        <v>424</v>
      </c>
      <c r="AF92" t="s">
        <v>972</v>
      </c>
      <c r="AG92" t="s">
        <v>177</v>
      </c>
      <c r="AH92" t="s">
        <v>129</v>
      </c>
      <c r="AI92">
        <v>1</v>
      </c>
      <c r="AJ92" t="s">
        <v>973</v>
      </c>
      <c r="AL92">
        <v>1000</v>
      </c>
      <c r="AM92" t="s">
        <v>206</v>
      </c>
      <c r="AN92" t="s">
        <v>158</v>
      </c>
      <c r="AO92">
        <v>3.5</v>
      </c>
      <c r="AP92">
        <v>0</v>
      </c>
      <c r="AQ92">
        <v>20400</v>
      </c>
      <c r="AR92">
        <v>0</v>
      </c>
      <c r="AS92">
        <v>16000</v>
      </c>
      <c r="AT92" t="s">
        <v>228</v>
      </c>
      <c r="AU92">
        <v>2</v>
      </c>
      <c r="AV92">
        <v>0</v>
      </c>
      <c r="AW92">
        <v>0</v>
      </c>
      <c r="BC92" t="s">
        <v>230</v>
      </c>
      <c r="BE92">
        <v>2.4</v>
      </c>
      <c r="BF92">
        <v>0</v>
      </c>
      <c r="BG92">
        <v>0</v>
      </c>
      <c r="BH92" s="1">
        <v>44348</v>
      </c>
      <c r="BI92" t="s">
        <v>441</v>
      </c>
      <c r="BJ92">
        <v>0</v>
      </c>
      <c r="BK92" t="s">
        <v>225</v>
      </c>
      <c r="BL92" t="s">
        <v>177</v>
      </c>
      <c r="BM92">
        <v>16000</v>
      </c>
      <c r="BN92">
        <v>1</v>
      </c>
      <c r="BO92">
        <v>5</v>
      </c>
      <c r="BP92">
        <v>3.5</v>
      </c>
      <c r="BQ92">
        <v>1000</v>
      </c>
      <c r="BR92">
        <v>943</v>
      </c>
      <c r="BS92">
        <v>37.757293650999998</v>
      </c>
      <c r="BT92">
        <v>-82.003498099999902</v>
      </c>
      <c r="BU92">
        <v>0</v>
      </c>
      <c r="BV92">
        <v>-3.5</v>
      </c>
      <c r="BW92">
        <v>0</v>
      </c>
      <c r="BX92" t="s">
        <v>181</v>
      </c>
      <c r="BY92">
        <v>0</v>
      </c>
      <c r="BZ92">
        <v>0</v>
      </c>
      <c r="CA92">
        <v>0</v>
      </c>
      <c r="CB92">
        <v>8000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O92">
        <v>0</v>
      </c>
      <c r="CP92">
        <v>0</v>
      </c>
      <c r="CQ92" t="s">
        <v>974</v>
      </c>
      <c r="CR92" t="s">
        <v>160</v>
      </c>
      <c r="CS92" t="s">
        <v>161</v>
      </c>
      <c r="CT92" t="s">
        <v>139</v>
      </c>
      <c r="CU92" t="s">
        <v>163</v>
      </c>
      <c r="CW92">
        <v>2</v>
      </c>
      <c r="CX92" t="s">
        <v>975</v>
      </c>
      <c r="CY92" t="s">
        <v>976</v>
      </c>
      <c r="CZ92" t="s">
        <v>963</v>
      </c>
      <c r="DA92" t="s">
        <v>977</v>
      </c>
      <c r="DB92">
        <v>0</v>
      </c>
      <c r="DC92">
        <v>20400</v>
      </c>
    </row>
    <row r="93" spans="1:107" x14ac:dyDescent="0.25">
      <c r="A93" t="s">
        <v>1045</v>
      </c>
      <c r="B93" t="s">
        <v>108</v>
      </c>
      <c r="C93" t="s">
        <v>1046</v>
      </c>
      <c r="D93" t="s">
        <v>963</v>
      </c>
      <c r="F93" s="3" t="str">
        <f>HYPERLINK("https://mapwv.gov/flood/map/?wkid=102100&amp;x=-9130361.168171689&amp;y=4545151.478849018&amp;l=13&amp;v=2","FT")</f>
        <v>FT</v>
      </c>
      <c r="G93" s="3" t="str">
        <f>HYPERLINK("https://mapwv.gov/Assessment/Detail/?PID=23030204000100000000","Assessment")</f>
        <v>Assessment</v>
      </c>
      <c r="H93">
        <v>545536</v>
      </c>
      <c r="I93" t="s">
        <v>964</v>
      </c>
      <c r="J93" t="s">
        <v>965</v>
      </c>
      <c r="K93" t="s">
        <v>148</v>
      </c>
      <c r="L93" t="s">
        <v>966</v>
      </c>
      <c r="M93" t="s">
        <v>967</v>
      </c>
      <c r="N93" t="s">
        <v>149</v>
      </c>
      <c r="O93" t="s">
        <v>117</v>
      </c>
      <c r="P93" t="s">
        <v>150</v>
      </c>
      <c r="Q93" t="s">
        <v>225</v>
      </c>
      <c r="R93" t="s">
        <v>151</v>
      </c>
      <c r="S93" t="s">
        <v>151</v>
      </c>
      <c r="T93" t="s">
        <v>151</v>
      </c>
      <c r="U93" t="s">
        <v>151</v>
      </c>
      <c r="V93">
        <v>868.2</v>
      </c>
      <c r="X93" t="s">
        <v>968</v>
      </c>
      <c r="Y93" t="s">
        <v>969</v>
      </c>
      <c r="Z93">
        <v>0</v>
      </c>
      <c r="AA93" t="s">
        <v>191</v>
      </c>
      <c r="AB93" t="s">
        <v>970</v>
      </c>
      <c r="AC93" t="s">
        <v>971</v>
      </c>
      <c r="AD93">
        <v>3</v>
      </c>
      <c r="AE93">
        <v>424</v>
      </c>
      <c r="AF93" t="s">
        <v>972</v>
      </c>
      <c r="AG93" t="s">
        <v>177</v>
      </c>
      <c r="AH93" t="s">
        <v>129</v>
      </c>
      <c r="AI93">
        <v>1</v>
      </c>
      <c r="AJ93" t="s">
        <v>973</v>
      </c>
      <c r="AL93">
        <v>1000</v>
      </c>
      <c r="AM93" t="s">
        <v>206</v>
      </c>
      <c r="AN93" t="s">
        <v>158</v>
      </c>
      <c r="AO93">
        <v>3.5</v>
      </c>
      <c r="AP93">
        <v>0</v>
      </c>
      <c r="AQ93">
        <v>20400</v>
      </c>
      <c r="AR93">
        <v>0</v>
      </c>
      <c r="AS93">
        <v>16000</v>
      </c>
      <c r="AT93" t="s">
        <v>228</v>
      </c>
      <c r="AU93">
        <v>2</v>
      </c>
      <c r="AV93">
        <v>0</v>
      </c>
      <c r="AW93">
        <v>0</v>
      </c>
      <c r="BC93" t="s">
        <v>230</v>
      </c>
      <c r="BE93">
        <v>2.4</v>
      </c>
      <c r="BF93">
        <v>0</v>
      </c>
      <c r="BG93">
        <v>0</v>
      </c>
      <c r="BH93" s="1">
        <v>44348</v>
      </c>
      <c r="BI93" t="s">
        <v>159</v>
      </c>
      <c r="BJ93">
        <v>0</v>
      </c>
      <c r="BK93" t="s">
        <v>225</v>
      </c>
      <c r="BL93" t="s">
        <v>177</v>
      </c>
      <c r="BM93">
        <v>16000</v>
      </c>
      <c r="BN93">
        <v>1</v>
      </c>
      <c r="BO93">
        <v>5</v>
      </c>
      <c r="BP93">
        <v>3.5</v>
      </c>
      <c r="BQ93">
        <v>1000</v>
      </c>
      <c r="BR93">
        <v>944</v>
      </c>
      <c r="BS93">
        <v>37.756977063999997</v>
      </c>
      <c r="BT93">
        <v>-82.019429869000007</v>
      </c>
      <c r="BU93">
        <v>0</v>
      </c>
      <c r="BV93">
        <v>-3.5</v>
      </c>
      <c r="BW93">
        <v>0</v>
      </c>
      <c r="BX93" t="s">
        <v>181</v>
      </c>
      <c r="BY93">
        <v>0</v>
      </c>
      <c r="BZ93">
        <v>0</v>
      </c>
      <c r="CA93">
        <v>0</v>
      </c>
      <c r="CB93">
        <v>8000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O93">
        <v>0</v>
      </c>
      <c r="CP93">
        <v>0</v>
      </c>
      <c r="CQ93" t="s">
        <v>974</v>
      </c>
      <c r="CR93" t="s">
        <v>160</v>
      </c>
      <c r="CS93" t="s">
        <v>161</v>
      </c>
      <c r="CT93" t="s">
        <v>139</v>
      </c>
      <c r="CU93" t="s">
        <v>163</v>
      </c>
      <c r="CW93">
        <v>2</v>
      </c>
      <c r="CX93" t="s">
        <v>975</v>
      </c>
      <c r="CY93" t="s">
        <v>976</v>
      </c>
      <c r="CZ93" t="s">
        <v>963</v>
      </c>
      <c r="DA93" t="s">
        <v>977</v>
      </c>
      <c r="DB93">
        <v>0</v>
      </c>
      <c r="DC93">
        <v>20400</v>
      </c>
    </row>
    <row r="94" spans="1:107" x14ac:dyDescent="0.25">
      <c r="A94" t="s">
        <v>1047</v>
      </c>
      <c r="B94" t="s">
        <v>108</v>
      </c>
      <c r="C94" t="s">
        <v>1048</v>
      </c>
      <c r="D94" t="s">
        <v>963</v>
      </c>
      <c r="F94" s="3" t="str">
        <f>HYPERLINK("https://mapwv.gov/flood/map/?wkid=102100&amp;x=-9128842.114534147&amp;y=4545313.2746885335&amp;l=13&amp;v=2","FT")</f>
        <v>FT</v>
      </c>
      <c r="G94" s="3" t="str">
        <f>HYPERLINK("https://mapwv.gov/Assessment/Detail/?PID=23030204000100000000","Assessment")</f>
        <v>Assessment</v>
      </c>
      <c r="H94">
        <v>545536</v>
      </c>
      <c r="I94" t="s">
        <v>964</v>
      </c>
      <c r="J94" t="s">
        <v>965</v>
      </c>
      <c r="K94" t="s">
        <v>148</v>
      </c>
      <c r="L94" t="s">
        <v>966</v>
      </c>
      <c r="M94" t="s">
        <v>967</v>
      </c>
      <c r="N94" t="s">
        <v>199</v>
      </c>
      <c r="O94" t="s">
        <v>117</v>
      </c>
      <c r="P94" t="s">
        <v>150</v>
      </c>
      <c r="Q94" t="s">
        <v>225</v>
      </c>
      <c r="R94" t="s">
        <v>151</v>
      </c>
      <c r="S94" t="s">
        <v>151</v>
      </c>
      <c r="T94" t="s">
        <v>151</v>
      </c>
      <c r="U94" t="s">
        <v>151</v>
      </c>
      <c r="V94">
        <v>825.1</v>
      </c>
      <c r="X94" t="s">
        <v>968</v>
      </c>
      <c r="Y94" t="s">
        <v>969</v>
      </c>
      <c r="Z94">
        <v>0</v>
      </c>
      <c r="AA94" t="s">
        <v>191</v>
      </c>
      <c r="AB94" t="s">
        <v>970</v>
      </c>
      <c r="AC94" t="s">
        <v>971</v>
      </c>
      <c r="AD94">
        <v>3</v>
      </c>
      <c r="AE94">
        <v>424</v>
      </c>
      <c r="AF94" t="s">
        <v>972</v>
      </c>
      <c r="AG94" t="s">
        <v>177</v>
      </c>
      <c r="AH94" t="s">
        <v>129</v>
      </c>
      <c r="AI94">
        <v>1</v>
      </c>
      <c r="AJ94" t="s">
        <v>973</v>
      </c>
      <c r="AL94">
        <v>1000</v>
      </c>
      <c r="AM94" t="s">
        <v>206</v>
      </c>
      <c r="AN94" t="s">
        <v>158</v>
      </c>
      <c r="AO94">
        <v>3.5</v>
      </c>
      <c r="AP94">
        <v>0</v>
      </c>
      <c r="AQ94">
        <v>20400</v>
      </c>
      <c r="AR94">
        <v>0</v>
      </c>
      <c r="AS94">
        <v>16000</v>
      </c>
      <c r="AT94" t="s">
        <v>228</v>
      </c>
      <c r="AU94">
        <v>2</v>
      </c>
      <c r="AV94">
        <v>0</v>
      </c>
      <c r="AW94">
        <v>0</v>
      </c>
      <c r="BC94" t="s">
        <v>230</v>
      </c>
      <c r="BE94">
        <v>2.4</v>
      </c>
      <c r="BF94">
        <v>0</v>
      </c>
      <c r="BG94">
        <v>0</v>
      </c>
      <c r="BH94" s="1">
        <v>44348</v>
      </c>
      <c r="BI94" t="s">
        <v>441</v>
      </c>
      <c r="BJ94">
        <v>0</v>
      </c>
      <c r="BK94" t="s">
        <v>225</v>
      </c>
      <c r="BL94" t="s">
        <v>177</v>
      </c>
      <c r="BM94">
        <v>16000</v>
      </c>
      <c r="BN94">
        <v>1</v>
      </c>
      <c r="BO94">
        <v>5</v>
      </c>
      <c r="BP94">
        <v>3.5</v>
      </c>
      <c r="BQ94">
        <v>1000</v>
      </c>
      <c r="BR94">
        <v>948</v>
      </c>
      <c r="BS94">
        <v>37.758126163999897</v>
      </c>
      <c r="BT94">
        <v>-82.005783977999897</v>
      </c>
      <c r="BU94">
        <v>0</v>
      </c>
      <c r="BV94">
        <v>-3.5</v>
      </c>
      <c r="BW94">
        <v>0</v>
      </c>
      <c r="BX94" t="s">
        <v>181</v>
      </c>
      <c r="BY94">
        <v>0</v>
      </c>
      <c r="BZ94">
        <v>0</v>
      </c>
      <c r="CA94">
        <v>0</v>
      </c>
      <c r="CB94">
        <v>8000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O94">
        <v>0</v>
      </c>
      <c r="CP94">
        <v>0</v>
      </c>
      <c r="CQ94" t="s">
        <v>974</v>
      </c>
      <c r="CR94" t="s">
        <v>160</v>
      </c>
      <c r="CS94" t="s">
        <v>161</v>
      </c>
      <c r="CT94" t="s">
        <v>139</v>
      </c>
      <c r="CU94" t="s">
        <v>163</v>
      </c>
      <c r="CW94">
        <v>2</v>
      </c>
      <c r="CX94" t="s">
        <v>975</v>
      </c>
      <c r="CY94" t="s">
        <v>976</v>
      </c>
      <c r="CZ94" t="s">
        <v>963</v>
      </c>
      <c r="DA94" t="s">
        <v>977</v>
      </c>
      <c r="DB94">
        <v>0</v>
      </c>
      <c r="DC94">
        <v>20400</v>
      </c>
    </row>
    <row r="95" spans="1:107" x14ac:dyDescent="0.25">
      <c r="A95" t="s">
        <v>1049</v>
      </c>
      <c r="B95" t="s">
        <v>108</v>
      </c>
      <c r="C95" t="s">
        <v>1050</v>
      </c>
      <c r="D95" t="s">
        <v>963</v>
      </c>
      <c r="F95" s="3" t="str">
        <f>HYPERLINK("https://mapwv.gov/flood/map/?wkid=102100&amp;x=-9130185.352171682&amp;y=4545234.529180108&amp;l=13&amp;v=2","FT")</f>
        <v>FT</v>
      </c>
      <c r="G95" s="3" t="str">
        <f>HYPERLINK("https://mapwv.gov/Assessment/Detail/?PID=23030204000100000000","Assessment")</f>
        <v>Assessment</v>
      </c>
      <c r="H95">
        <v>545536</v>
      </c>
      <c r="I95" t="s">
        <v>964</v>
      </c>
      <c r="J95" t="s">
        <v>965</v>
      </c>
      <c r="K95" t="s">
        <v>148</v>
      </c>
      <c r="L95" t="s">
        <v>966</v>
      </c>
      <c r="M95" t="s">
        <v>967</v>
      </c>
      <c r="N95" t="s">
        <v>149</v>
      </c>
      <c r="O95" t="s">
        <v>117</v>
      </c>
      <c r="P95" t="s">
        <v>150</v>
      </c>
      <c r="Q95" t="s">
        <v>260</v>
      </c>
      <c r="R95">
        <v>0.5</v>
      </c>
      <c r="S95" t="s">
        <v>120</v>
      </c>
      <c r="T95">
        <v>867.5</v>
      </c>
      <c r="U95" t="s">
        <v>121</v>
      </c>
      <c r="V95">
        <v>863.3</v>
      </c>
      <c r="X95" t="s">
        <v>968</v>
      </c>
      <c r="Y95" t="s">
        <v>969</v>
      </c>
      <c r="Z95">
        <v>9999</v>
      </c>
      <c r="AA95" t="s">
        <v>191</v>
      </c>
      <c r="AB95" t="s">
        <v>970</v>
      </c>
      <c r="AC95" t="s">
        <v>971</v>
      </c>
      <c r="AD95">
        <v>3</v>
      </c>
      <c r="AE95">
        <v>424</v>
      </c>
      <c r="AF95" t="s">
        <v>972</v>
      </c>
      <c r="AG95" t="s">
        <v>177</v>
      </c>
      <c r="AH95" t="s">
        <v>129</v>
      </c>
      <c r="AI95">
        <v>1</v>
      </c>
      <c r="AJ95" t="s">
        <v>973</v>
      </c>
      <c r="AL95">
        <v>1000</v>
      </c>
      <c r="AM95" t="s">
        <v>206</v>
      </c>
      <c r="AN95" t="s">
        <v>158</v>
      </c>
      <c r="AO95">
        <v>4</v>
      </c>
      <c r="AP95">
        <v>0</v>
      </c>
      <c r="AQ95">
        <v>20400</v>
      </c>
      <c r="AR95">
        <v>0</v>
      </c>
      <c r="AS95">
        <v>16000</v>
      </c>
      <c r="AT95" t="s">
        <v>228</v>
      </c>
      <c r="AU95">
        <v>2</v>
      </c>
      <c r="AV95">
        <v>0</v>
      </c>
      <c r="AW95">
        <v>0</v>
      </c>
      <c r="BC95" t="s">
        <v>230</v>
      </c>
      <c r="BE95">
        <v>2.4</v>
      </c>
      <c r="BF95">
        <v>0</v>
      </c>
      <c r="BG95">
        <v>0</v>
      </c>
      <c r="BH95" s="1">
        <v>44348</v>
      </c>
      <c r="BI95" t="s">
        <v>331</v>
      </c>
      <c r="BJ95">
        <v>9999</v>
      </c>
      <c r="BK95" t="s">
        <v>260</v>
      </c>
      <c r="BL95" t="s">
        <v>177</v>
      </c>
      <c r="BM95">
        <v>16000</v>
      </c>
      <c r="BN95">
        <v>1</v>
      </c>
      <c r="BO95">
        <v>5</v>
      </c>
      <c r="BP95">
        <v>4</v>
      </c>
      <c r="BQ95">
        <v>1000</v>
      </c>
      <c r="BR95">
        <v>949</v>
      </c>
      <c r="BS95">
        <v>37.757566902999997</v>
      </c>
      <c r="BT95">
        <v>-82.017850487000004</v>
      </c>
      <c r="BU95">
        <v>0.5077218</v>
      </c>
      <c r="BV95">
        <v>-3.4922782182693402</v>
      </c>
      <c r="BW95">
        <v>1</v>
      </c>
      <c r="BX95" t="s">
        <v>181</v>
      </c>
      <c r="BY95">
        <v>189</v>
      </c>
      <c r="BZ95">
        <v>0</v>
      </c>
      <c r="CA95">
        <v>0</v>
      </c>
      <c r="CB95">
        <v>8000</v>
      </c>
      <c r="CC95">
        <v>74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O95">
        <v>0</v>
      </c>
      <c r="CP95">
        <v>0</v>
      </c>
      <c r="CQ95" t="s">
        <v>974</v>
      </c>
      <c r="CR95" t="s">
        <v>183</v>
      </c>
      <c r="CS95" t="s">
        <v>138</v>
      </c>
      <c r="CT95" t="s">
        <v>139</v>
      </c>
      <c r="CU95" t="s">
        <v>163</v>
      </c>
      <c r="CW95">
        <v>2</v>
      </c>
      <c r="CX95" t="s">
        <v>975</v>
      </c>
      <c r="CY95" t="s">
        <v>976</v>
      </c>
      <c r="CZ95" t="s">
        <v>963</v>
      </c>
      <c r="DA95" t="s">
        <v>977</v>
      </c>
      <c r="DB95">
        <v>0</v>
      </c>
      <c r="DC95">
        <v>20400</v>
      </c>
    </row>
    <row r="96" spans="1:107" x14ac:dyDescent="0.25">
      <c r="A96" t="s">
        <v>1051</v>
      </c>
      <c r="B96" t="s">
        <v>108</v>
      </c>
      <c r="C96" t="s">
        <v>1052</v>
      </c>
      <c r="D96" t="s">
        <v>963</v>
      </c>
      <c r="F96" s="3" t="str">
        <f>HYPERLINK("https://mapwv.gov/flood/map/?wkid=102100&amp;x=-9130168.448418323&amp;y=4545222.600278963&amp;l=13&amp;v=2","FT")</f>
        <v>FT</v>
      </c>
      <c r="G96" s="3" t="str">
        <f>HYPERLINK("https://mapwv.gov/Assessment/Detail/?PID=23030204000100000000","Assessment")</f>
        <v>Assessment</v>
      </c>
      <c r="H96">
        <v>545536</v>
      </c>
      <c r="I96" t="s">
        <v>964</v>
      </c>
      <c r="J96" t="s">
        <v>965</v>
      </c>
      <c r="K96" t="s">
        <v>148</v>
      </c>
      <c r="L96" t="s">
        <v>966</v>
      </c>
      <c r="M96" t="s">
        <v>967</v>
      </c>
      <c r="N96" t="s">
        <v>149</v>
      </c>
      <c r="O96" t="s">
        <v>117</v>
      </c>
      <c r="P96" t="s">
        <v>150</v>
      </c>
      <c r="Q96" t="s">
        <v>225</v>
      </c>
      <c r="R96">
        <v>2.2000000000000002</v>
      </c>
      <c r="S96" t="s">
        <v>120</v>
      </c>
      <c r="T96">
        <v>867.4</v>
      </c>
      <c r="U96" t="s">
        <v>121</v>
      </c>
      <c r="V96">
        <v>862.9</v>
      </c>
      <c r="X96" t="s">
        <v>968</v>
      </c>
      <c r="Y96" t="s">
        <v>969</v>
      </c>
      <c r="Z96">
        <v>0</v>
      </c>
      <c r="AA96" t="s">
        <v>191</v>
      </c>
      <c r="AB96" t="s">
        <v>970</v>
      </c>
      <c r="AC96" t="s">
        <v>971</v>
      </c>
      <c r="AD96">
        <v>3</v>
      </c>
      <c r="AE96">
        <v>424</v>
      </c>
      <c r="AF96" t="s">
        <v>972</v>
      </c>
      <c r="AG96" t="s">
        <v>177</v>
      </c>
      <c r="AH96" t="s">
        <v>129</v>
      </c>
      <c r="AI96">
        <v>1</v>
      </c>
      <c r="AJ96" t="s">
        <v>973</v>
      </c>
      <c r="AL96">
        <v>1000</v>
      </c>
      <c r="AM96" t="s">
        <v>206</v>
      </c>
      <c r="AN96" t="s">
        <v>158</v>
      </c>
      <c r="AO96">
        <v>3.5</v>
      </c>
      <c r="AP96">
        <v>0</v>
      </c>
      <c r="AQ96">
        <v>20400</v>
      </c>
      <c r="AR96">
        <v>0</v>
      </c>
      <c r="AS96">
        <v>16000</v>
      </c>
      <c r="AT96" t="s">
        <v>228</v>
      </c>
      <c r="AU96">
        <v>2</v>
      </c>
      <c r="AV96">
        <v>0</v>
      </c>
      <c r="AW96">
        <v>0</v>
      </c>
      <c r="BC96" t="s">
        <v>230</v>
      </c>
      <c r="BE96">
        <v>2.4</v>
      </c>
      <c r="BF96">
        <v>1</v>
      </c>
      <c r="BG96">
        <v>2.4</v>
      </c>
      <c r="BH96" s="1">
        <v>44348</v>
      </c>
      <c r="BI96" t="s">
        <v>331</v>
      </c>
      <c r="BJ96">
        <v>0</v>
      </c>
      <c r="BK96" t="s">
        <v>225</v>
      </c>
      <c r="BL96" t="s">
        <v>177</v>
      </c>
      <c r="BM96">
        <v>16000</v>
      </c>
      <c r="BN96">
        <v>1</v>
      </c>
      <c r="BO96">
        <v>5</v>
      </c>
      <c r="BP96">
        <v>3.5</v>
      </c>
      <c r="BQ96">
        <v>1000</v>
      </c>
      <c r="BR96">
        <v>950</v>
      </c>
      <c r="BS96">
        <v>37.757482181999897</v>
      </c>
      <c r="BT96">
        <v>-82.017698637999899</v>
      </c>
      <c r="BU96">
        <v>2.2002926</v>
      </c>
      <c r="BV96">
        <v>-1.2997074127197199</v>
      </c>
      <c r="BW96">
        <v>1</v>
      </c>
      <c r="BX96" t="s">
        <v>181</v>
      </c>
      <c r="BY96">
        <v>189</v>
      </c>
      <c r="BZ96">
        <v>0</v>
      </c>
      <c r="CA96">
        <v>0</v>
      </c>
      <c r="CB96">
        <v>8000</v>
      </c>
      <c r="CC96">
        <v>74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O96">
        <v>0</v>
      </c>
      <c r="CP96">
        <v>0</v>
      </c>
      <c r="CQ96" t="s">
        <v>974</v>
      </c>
      <c r="CR96" t="s">
        <v>183</v>
      </c>
      <c r="CS96" t="s">
        <v>138</v>
      </c>
      <c r="CT96" t="s">
        <v>139</v>
      </c>
      <c r="CU96" t="s">
        <v>163</v>
      </c>
      <c r="CW96">
        <v>2</v>
      </c>
      <c r="CX96" t="s">
        <v>975</v>
      </c>
      <c r="CY96" t="s">
        <v>976</v>
      </c>
      <c r="CZ96" t="s">
        <v>963</v>
      </c>
      <c r="DA96" t="s">
        <v>977</v>
      </c>
      <c r="DB96">
        <v>0</v>
      </c>
      <c r="DC96">
        <v>20400</v>
      </c>
    </row>
    <row r="97" spans="1:107" x14ac:dyDescent="0.25">
      <c r="A97" t="s">
        <v>1053</v>
      </c>
      <c r="B97" t="s">
        <v>108</v>
      </c>
      <c r="C97" t="s">
        <v>1054</v>
      </c>
      <c r="D97" t="s">
        <v>963</v>
      </c>
      <c r="F97" s="3" t="str">
        <f>HYPERLINK("https://mapwv.gov/flood/map/?wkid=102100&amp;x=-9131788.262225037&amp;y=4545477.218917452&amp;l=13&amp;v=2","FT")</f>
        <v>FT</v>
      </c>
      <c r="G97" s="3" t="str">
        <f>HYPERLINK("https://mapwv.gov/Assessment/Detail/?PID=23030204000100000000","Assessment")</f>
        <v>Assessment</v>
      </c>
      <c r="H97">
        <v>545536</v>
      </c>
      <c r="I97" t="s">
        <v>964</v>
      </c>
      <c r="J97" t="s">
        <v>965</v>
      </c>
      <c r="K97" t="s">
        <v>148</v>
      </c>
      <c r="L97" t="s">
        <v>966</v>
      </c>
      <c r="M97" t="s">
        <v>967</v>
      </c>
      <c r="N97" t="s">
        <v>116</v>
      </c>
      <c r="O97" t="s">
        <v>117</v>
      </c>
      <c r="P97" t="s">
        <v>118</v>
      </c>
      <c r="Q97" t="s">
        <v>225</v>
      </c>
      <c r="R97">
        <v>2.4</v>
      </c>
      <c r="S97" t="s">
        <v>120</v>
      </c>
      <c r="T97">
        <v>907.1</v>
      </c>
      <c r="U97" t="s">
        <v>121</v>
      </c>
      <c r="V97">
        <v>903.1</v>
      </c>
      <c r="X97" t="s">
        <v>968</v>
      </c>
      <c r="Y97" t="s">
        <v>969</v>
      </c>
      <c r="Z97">
        <v>0</v>
      </c>
      <c r="AA97" t="s">
        <v>191</v>
      </c>
      <c r="AB97" t="s">
        <v>970</v>
      </c>
      <c r="AC97" t="s">
        <v>971</v>
      </c>
      <c r="AD97">
        <v>3</v>
      </c>
      <c r="AE97">
        <v>424</v>
      </c>
      <c r="AF97" t="s">
        <v>972</v>
      </c>
      <c r="AG97" t="s">
        <v>177</v>
      </c>
      <c r="AH97" t="s">
        <v>129</v>
      </c>
      <c r="AI97">
        <v>1</v>
      </c>
      <c r="AJ97" t="s">
        <v>973</v>
      </c>
      <c r="AL97">
        <v>1000</v>
      </c>
      <c r="AM97" t="s">
        <v>206</v>
      </c>
      <c r="AN97" t="s">
        <v>158</v>
      </c>
      <c r="AO97">
        <v>3.5</v>
      </c>
      <c r="AP97">
        <v>0</v>
      </c>
      <c r="AQ97">
        <v>20400</v>
      </c>
      <c r="AR97">
        <v>0</v>
      </c>
      <c r="AS97">
        <v>16000</v>
      </c>
      <c r="AT97" t="s">
        <v>228</v>
      </c>
      <c r="AU97">
        <v>2</v>
      </c>
      <c r="AV97">
        <v>0</v>
      </c>
      <c r="AW97">
        <v>0</v>
      </c>
      <c r="BC97" t="s">
        <v>230</v>
      </c>
      <c r="BE97">
        <v>2.4</v>
      </c>
      <c r="BF97">
        <v>1</v>
      </c>
      <c r="BG97">
        <v>2.4</v>
      </c>
      <c r="BH97" s="1">
        <v>44348</v>
      </c>
      <c r="BI97" t="s">
        <v>133</v>
      </c>
      <c r="BJ97">
        <v>0</v>
      </c>
      <c r="BK97" t="s">
        <v>225</v>
      </c>
      <c r="BL97" t="s">
        <v>177</v>
      </c>
      <c r="BM97">
        <v>16000</v>
      </c>
      <c r="BN97">
        <v>1</v>
      </c>
      <c r="BO97">
        <v>5</v>
      </c>
      <c r="BP97">
        <v>3.5</v>
      </c>
      <c r="BQ97">
        <v>1000</v>
      </c>
      <c r="BR97">
        <v>1283</v>
      </c>
      <c r="BS97">
        <v>37.7592905039999</v>
      </c>
      <c r="BT97">
        <v>-82.032249672999896</v>
      </c>
      <c r="BU97">
        <v>2.3799765000000002</v>
      </c>
      <c r="BV97">
        <v>-1.12002348899841</v>
      </c>
      <c r="BW97">
        <v>1</v>
      </c>
      <c r="BX97" t="s">
        <v>181</v>
      </c>
      <c r="BY97">
        <v>189</v>
      </c>
      <c r="BZ97">
        <v>0</v>
      </c>
      <c r="CA97">
        <v>0</v>
      </c>
      <c r="CB97">
        <v>8000</v>
      </c>
      <c r="CC97">
        <v>74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O97">
        <v>0</v>
      </c>
      <c r="CP97">
        <v>0</v>
      </c>
      <c r="CQ97" t="s">
        <v>974</v>
      </c>
      <c r="CR97" t="s">
        <v>137</v>
      </c>
      <c r="CS97" t="s">
        <v>138</v>
      </c>
      <c r="CT97" t="s">
        <v>139</v>
      </c>
      <c r="CU97" t="s">
        <v>163</v>
      </c>
      <c r="CW97">
        <v>2</v>
      </c>
      <c r="CX97" t="s">
        <v>975</v>
      </c>
      <c r="CY97" t="s">
        <v>976</v>
      </c>
      <c r="CZ97" t="s">
        <v>963</v>
      </c>
      <c r="DA97" t="s">
        <v>977</v>
      </c>
      <c r="DB97">
        <v>0</v>
      </c>
      <c r="DC97">
        <v>20400</v>
      </c>
    </row>
    <row r="98" spans="1:107" x14ac:dyDescent="0.25">
      <c r="A98" t="s">
        <v>1055</v>
      </c>
      <c r="B98" t="s">
        <v>108</v>
      </c>
      <c r="C98" t="s">
        <v>1056</v>
      </c>
      <c r="D98" t="s">
        <v>963</v>
      </c>
      <c r="F98" s="3" t="str">
        <f>HYPERLINK("https://mapwv.gov/flood/map/?wkid=102100&amp;x=-9128758.576714711&amp;y=4545314.987983484&amp;l=13&amp;v=2","FT")</f>
        <v>FT</v>
      </c>
      <c r="G98" s="3" t="str">
        <f>HYPERLINK("https://mapwv.gov/Assessment/Detail/?PID=23030204000100000000","Assessment")</f>
        <v>Assessment</v>
      </c>
      <c r="H98">
        <v>545536</v>
      </c>
      <c r="I98" t="s">
        <v>964</v>
      </c>
      <c r="J98" t="s">
        <v>965</v>
      </c>
      <c r="K98" t="s">
        <v>148</v>
      </c>
      <c r="L98" t="s">
        <v>966</v>
      </c>
      <c r="M98" t="s">
        <v>967</v>
      </c>
      <c r="N98" t="s">
        <v>199</v>
      </c>
      <c r="O98" t="s">
        <v>117</v>
      </c>
      <c r="P98" t="s">
        <v>150</v>
      </c>
      <c r="Q98" t="s">
        <v>260</v>
      </c>
      <c r="R98" t="s">
        <v>151</v>
      </c>
      <c r="S98" t="s">
        <v>151</v>
      </c>
      <c r="T98" t="s">
        <v>151</v>
      </c>
      <c r="U98" t="s">
        <v>151</v>
      </c>
      <c r="V98">
        <v>822.6</v>
      </c>
      <c r="X98" t="s">
        <v>968</v>
      </c>
      <c r="Y98" t="s">
        <v>969</v>
      </c>
      <c r="Z98">
        <v>9999</v>
      </c>
      <c r="AA98" t="s">
        <v>191</v>
      </c>
      <c r="AB98" t="s">
        <v>970</v>
      </c>
      <c r="AC98" t="s">
        <v>971</v>
      </c>
      <c r="AD98">
        <v>3</v>
      </c>
      <c r="AE98">
        <v>424</v>
      </c>
      <c r="AF98" t="s">
        <v>972</v>
      </c>
      <c r="AG98" t="s">
        <v>177</v>
      </c>
      <c r="AH98" t="s">
        <v>129</v>
      </c>
      <c r="AI98">
        <v>1</v>
      </c>
      <c r="AJ98" t="s">
        <v>973</v>
      </c>
      <c r="AL98">
        <v>2000</v>
      </c>
      <c r="AM98" t="s">
        <v>206</v>
      </c>
      <c r="AN98" t="s">
        <v>158</v>
      </c>
      <c r="AO98">
        <v>4</v>
      </c>
      <c r="AP98">
        <v>0</v>
      </c>
      <c r="AQ98">
        <v>20400</v>
      </c>
      <c r="AR98">
        <v>0</v>
      </c>
      <c r="AS98">
        <v>32000</v>
      </c>
      <c r="AT98" t="s">
        <v>762</v>
      </c>
      <c r="AU98">
        <v>2</v>
      </c>
      <c r="AV98">
        <v>0</v>
      </c>
      <c r="AW98">
        <v>0</v>
      </c>
      <c r="BC98" t="s">
        <v>230</v>
      </c>
      <c r="BE98">
        <v>2.4</v>
      </c>
      <c r="BF98">
        <v>0</v>
      </c>
      <c r="BG98">
        <v>0</v>
      </c>
      <c r="BH98" s="1">
        <v>44348</v>
      </c>
      <c r="BI98" t="s">
        <v>441</v>
      </c>
      <c r="BJ98">
        <v>9999</v>
      </c>
      <c r="BK98" t="s">
        <v>260</v>
      </c>
      <c r="BL98" t="s">
        <v>177</v>
      </c>
      <c r="BM98">
        <v>32000</v>
      </c>
      <c r="BN98">
        <v>1</v>
      </c>
      <c r="BO98">
        <v>5</v>
      </c>
      <c r="BP98">
        <v>4</v>
      </c>
      <c r="BQ98">
        <v>2000</v>
      </c>
      <c r="BR98">
        <v>955</v>
      </c>
      <c r="BS98">
        <v>37.758138332000001</v>
      </c>
      <c r="BT98">
        <v>-82.005033544999904</v>
      </c>
      <c r="BU98">
        <v>0</v>
      </c>
      <c r="BV98">
        <v>-4</v>
      </c>
      <c r="BW98">
        <v>0</v>
      </c>
      <c r="BX98" t="s">
        <v>181</v>
      </c>
      <c r="BY98">
        <v>0</v>
      </c>
      <c r="BZ98">
        <v>0</v>
      </c>
      <c r="CA98">
        <v>0</v>
      </c>
      <c r="CB98">
        <v>16000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O98">
        <v>0</v>
      </c>
      <c r="CP98">
        <v>0</v>
      </c>
      <c r="CQ98" t="s">
        <v>974</v>
      </c>
      <c r="CR98" t="s">
        <v>160</v>
      </c>
      <c r="CS98" t="s">
        <v>161</v>
      </c>
      <c r="CT98" t="s">
        <v>139</v>
      </c>
      <c r="CU98" t="s">
        <v>163</v>
      </c>
      <c r="CW98">
        <v>2</v>
      </c>
      <c r="CX98" t="s">
        <v>975</v>
      </c>
      <c r="CY98" t="s">
        <v>976</v>
      </c>
      <c r="CZ98" t="s">
        <v>963</v>
      </c>
      <c r="DA98" t="s">
        <v>977</v>
      </c>
      <c r="DB98">
        <v>0</v>
      </c>
      <c r="DC98">
        <v>20400</v>
      </c>
    </row>
    <row r="99" spans="1:107" x14ac:dyDescent="0.25">
      <c r="A99" t="s">
        <v>1057</v>
      </c>
      <c r="B99" t="s">
        <v>108</v>
      </c>
      <c r="C99" t="s">
        <v>1058</v>
      </c>
      <c r="D99" t="s">
        <v>963</v>
      </c>
      <c r="F99" s="3" t="str">
        <f>HYPERLINK("https://mapwv.gov/flood/map/?wkid=102100&amp;x=-9128601.8515621&amp;y=4545254.92595576&amp;l=13&amp;v=2","FT")</f>
        <v>FT</v>
      </c>
      <c r="G99" s="3" t="str">
        <f>HYPERLINK("https://mapwv.gov/Assessment/Detail/?PID=23030204000100000000","Assessment")</f>
        <v>Assessment</v>
      </c>
      <c r="H99">
        <v>545536</v>
      </c>
      <c r="I99" t="s">
        <v>964</v>
      </c>
      <c r="J99" t="s">
        <v>965</v>
      </c>
      <c r="K99" t="s">
        <v>148</v>
      </c>
      <c r="L99" t="s">
        <v>966</v>
      </c>
      <c r="M99" t="s">
        <v>967</v>
      </c>
      <c r="N99" t="s">
        <v>199</v>
      </c>
      <c r="O99" t="s">
        <v>117</v>
      </c>
      <c r="P99" t="s">
        <v>150</v>
      </c>
      <c r="Q99" t="s">
        <v>225</v>
      </c>
      <c r="R99" t="s">
        <v>151</v>
      </c>
      <c r="S99" t="s">
        <v>151</v>
      </c>
      <c r="T99" t="s">
        <v>151</v>
      </c>
      <c r="U99" t="s">
        <v>151</v>
      </c>
      <c r="V99">
        <v>817.4</v>
      </c>
      <c r="X99" t="s">
        <v>968</v>
      </c>
      <c r="Y99" t="s">
        <v>969</v>
      </c>
      <c r="Z99">
        <v>0</v>
      </c>
      <c r="AA99" t="s">
        <v>191</v>
      </c>
      <c r="AB99" t="s">
        <v>970</v>
      </c>
      <c r="AC99" t="s">
        <v>971</v>
      </c>
      <c r="AD99">
        <v>3</v>
      </c>
      <c r="AE99">
        <v>424</v>
      </c>
      <c r="AF99" t="s">
        <v>972</v>
      </c>
      <c r="AG99" t="s">
        <v>177</v>
      </c>
      <c r="AH99" t="s">
        <v>129</v>
      </c>
      <c r="AI99">
        <v>1</v>
      </c>
      <c r="AJ99" t="s">
        <v>973</v>
      </c>
      <c r="AL99">
        <v>2000</v>
      </c>
      <c r="AM99" t="s">
        <v>206</v>
      </c>
      <c r="AN99" t="s">
        <v>158</v>
      </c>
      <c r="AO99">
        <v>3.5</v>
      </c>
      <c r="AP99">
        <v>0</v>
      </c>
      <c r="AQ99">
        <v>20400</v>
      </c>
      <c r="AR99">
        <v>0</v>
      </c>
      <c r="AS99">
        <v>32000</v>
      </c>
      <c r="AT99" t="s">
        <v>762</v>
      </c>
      <c r="AU99">
        <v>2</v>
      </c>
      <c r="AV99">
        <v>0</v>
      </c>
      <c r="AW99">
        <v>0</v>
      </c>
      <c r="BC99" t="s">
        <v>230</v>
      </c>
      <c r="BE99">
        <v>2.4</v>
      </c>
      <c r="BF99">
        <v>0</v>
      </c>
      <c r="BG99">
        <v>0</v>
      </c>
      <c r="BH99" s="1">
        <v>44348</v>
      </c>
      <c r="BI99" t="s">
        <v>441</v>
      </c>
      <c r="BJ99">
        <v>0</v>
      </c>
      <c r="BK99" t="s">
        <v>225</v>
      </c>
      <c r="BL99" t="s">
        <v>177</v>
      </c>
      <c r="BM99">
        <v>32000</v>
      </c>
      <c r="BN99">
        <v>1</v>
      </c>
      <c r="BO99">
        <v>5</v>
      </c>
      <c r="BP99">
        <v>3.5</v>
      </c>
      <c r="BQ99">
        <v>2000</v>
      </c>
      <c r="BR99">
        <v>977</v>
      </c>
      <c r="BS99">
        <v>37.757711764</v>
      </c>
      <c r="BT99">
        <v>-82.003625658999894</v>
      </c>
      <c r="BU99">
        <v>0</v>
      </c>
      <c r="BV99">
        <v>-3.5</v>
      </c>
      <c r="BW99">
        <v>0</v>
      </c>
      <c r="BX99" t="s">
        <v>181</v>
      </c>
      <c r="BY99">
        <v>0</v>
      </c>
      <c r="BZ99">
        <v>0</v>
      </c>
      <c r="CA99">
        <v>0</v>
      </c>
      <c r="CB99">
        <v>16000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O99">
        <v>0</v>
      </c>
      <c r="CP99">
        <v>0</v>
      </c>
      <c r="CQ99" t="s">
        <v>974</v>
      </c>
      <c r="CR99" t="s">
        <v>160</v>
      </c>
      <c r="CS99" t="s">
        <v>161</v>
      </c>
      <c r="CT99" t="s">
        <v>139</v>
      </c>
      <c r="CU99" t="s">
        <v>163</v>
      </c>
      <c r="CW99">
        <v>2</v>
      </c>
      <c r="CX99" t="s">
        <v>975</v>
      </c>
      <c r="CY99" t="s">
        <v>976</v>
      </c>
      <c r="CZ99" t="s">
        <v>963</v>
      </c>
      <c r="DA99" t="s">
        <v>977</v>
      </c>
      <c r="DB99">
        <v>0</v>
      </c>
      <c r="DC99">
        <v>20400</v>
      </c>
    </row>
    <row r="100" spans="1:107" x14ac:dyDescent="0.25">
      <c r="A100" t="s">
        <v>1059</v>
      </c>
      <c r="B100" t="s">
        <v>108</v>
      </c>
      <c r="C100" t="s">
        <v>1060</v>
      </c>
      <c r="D100" t="s">
        <v>963</v>
      </c>
      <c r="F100" s="3" t="str">
        <f>HYPERLINK("https://mapwv.gov/flood/map/?wkid=102100&amp;x=-9130193.705586271&amp;y=4545186.029814963&amp;l=13&amp;v=2","FT")</f>
        <v>FT</v>
      </c>
      <c r="G100" s="3" t="str">
        <f>HYPERLINK("https://mapwv.gov/Assessment/Detail/?PID=23030204000100000000","Assessment")</f>
        <v>Assessment</v>
      </c>
      <c r="H100">
        <v>545536</v>
      </c>
      <c r="I100" t="s">
        <v>964</v>
      </c>
      <c r="J100" t="s">
        <v>965</v>
      </c>
      <c r="K100" t="s">
        <v>148</v>
      </c>
      <c r="L100" t="s">
        <v>966</v>
      </c>
      <c r="M100" t="s">
        <v>967</v>
      </c>
      <c r="N100" t="s">
        <v>149</v>
      </c>
      <c r="O100" t="s">
        <v>117</v>
      </c>
      <c r="P100" t="s">
        <v>150</v>
      </c>
      <c r="Q100" t="s">
        <v>225</v>
      </c>
      <c r="R100">
        <v>3.5</v>
      </c>
      <c r="S100" t="s">
        <v>120</v>
      </c>
      <c r="T100">
        <v>867.8</v>
      </c>
      <c r="U100" t="s">
        <v>121</v>
      </c>
      <c r="V100">
        <v>861.2</v>
      </c>
      <c r="X100" t="s">
        <v>968</v>
      </c>
      <c r="Y100" t="s">
        <v>969</v>
      </c>
      <c r="Z100">
        <v>0</v>
      </c>
      <c r="AA100" t="s">
        <v>191</v>
      </c>
      <c r="AB100" t="s">
        <v>970</v>
      </c>
      <c r="AC100" t="s">
        <v>971</v>
      </c>
      <c r="AD100">
        <v>3</v>
      </c>
      <c r="AE100">
        <v>424</v>
      </c>
      <c r="AF100" t="s">
        <v>972</v>
      </c>
      <c r="AG100" t="s">
        <v>177</v>
      </c>
      <c r="AH100" t="s">
        <v>129</v>
      </c>
      <c r="AI100">
        <v>1</v>
      </c>
      <c r="AJ100" t="s">
        <v>973</v>
      </c>
      <c r="AL100">
        <v>1000</v>
      </c>
      <c r="AM100" t="s">
        <v>206</v>
      </c>
      <c r="AN100" t="s">
        <v>158</v>
      </c>
      <c r="AO100">
        <v>3.5</v>
      </c>
      <c r="AP100">
        <v>0</v>
      </c>
      <c r="AQ100">
        <v>20400</v>
      </c>
      <c r="AR100">
        <v>0</v>
      </c>
      <c r="AS100">
        <v>16000</v>
      </c>
      <c r="AT100" t="s">
        <v>228</v>
      </c>
      <c r="AU100">
        <v>2</v>
      </c>
      <c r="AV100">
        <v>0</v>
      </c>
      <c r="AW100">
        <v>0</v>
      </c>
      <c r="BC100" t="s">
        <v>230</v>
      </c>
      <c r="BE100">
        <v>2.4</v>
      </c>
      <c r="BF100">
        <v>1</v>
      </c>
      <c r="BG100">
        <v>2.4</v>
      </c>
      <c r="BH100" s="1">
        <v>44348</v>
      </c>
      <c r="BI100" t="s">
        <v>331</v>
      </c>
      <c r="BJ100">
        <v>0</v>
      </c>
      <c r="BK100" t="s">
        <v>225</v>
      </c>
      <c r="BL100" t="s">
        <v>177</v>
      </c>
      <c r="BM100">
        <v>16000</v>
      </c>
      <c r="BN100">
        <v>1</v>
      </c>
      <c r="BO100">
        <v>5</v>
      </c>
      <c r="BP100">
        <v>3.5</v>
      </c>
      <c r="BQ100">
        <v>1000</v>
      </c>
      <c r="BR100">
        <v>978</v>
      </c>
      <c r="BS100">
        <v>37.7572224520001</v>
      </c>
      <c r="BT100">
        <v>-82.017925527000003</v>
      </c>
      <c r="BU100">
        <v>3.4814842000000001</v>
      </c>
      <c r="BV100">
        <v>-1.8515825271606001E-2</v>
      </c>
      <c r="BW100">
        <v>1</v>
      </c>
      <c r="BX100" t="s">
        <v>181</v>
      </c>
      <c r="BY100">
        <v>189</v>
      </c>
      <c r="BZ100">
        <v>10.796325922012301</v>
      </c>
      <c r="CA100">
        <v>1727.4121475219699</v>
      </c>
      <c r="CB100">
        <v>8000</v>
      </c>
      <c r="CC100">
        <v>74</v>
      </c>
      <c r="CD100">
        <v>2.9444525241851802</v>
      </c>
      <c r="CE100">
        <v>235.556201934814</v>
      </c>
      <c r="CF100">
        <v>0</v>
      </c>
      <c r="CG100">
        <v>0</v>
      </c>
      <c r="CH100">
        <v>0</v>
      </c>
      <c r="CI100">
        <v>0</v>
      </c>
      <c r="CO100">
        <v>0</v>
      </c>
      <c r="CP100">
        <v>0</v>
      </c>
      <c r="CQ100" t="s">
        <v>974</v>
      </c>
      <c r="CR100" t="s">
        <v>183</v>
      </c>
      <c r="CS100" t="s">
        <v>138</v>
      </c>
      <c r="CT100" t="s">
        <v>139</v>
      </c>
      <c r="CU100" t="s">
        <v>140</v>
      </c>
      <c r="CW100">
        <v>2</v>
      </c>
      <c r="CX100" t="s">
        <v>975</v>
      </c>
      <c r="CY100" t="s">
        <v>976</v>
      </c>
      <c r="CZ100" t="s">
        <v>963</v>
      </c>
      <c r="DA100" t="s">
        <v>977</v>
      </c>
      <c r="DB100">
        <v>0</v>
      </c>
      <c r="DC100">
        <v>20400</v>
      </c>
    </row>
    <row r="101" spans="1:107" x14ac:dyDescent="0.25">
      <c r="A101" t="s">
        <v>1080</v>
      </c>
      <c r="B101" t="s">
        <v>108</v>
      </c>
      <c r="C101" t="s">
        <v>1081</v>
      </c>
      <c r="D101" t="s">
        <v>963</v>
      </c>
      <c r="F101" s="3" t="str">
        <f>HYPERLINK("https://mapwv.gov/flood/map/?wkid=102100&amp;x=-9127082.26136461&amp;y=4539077.772667894&amp;l=13&amp;v=2","FT")</f>
        <v>FT</v>
      </c>
      <c r="G101" s="3" t="str">
        <f>HYPERLINK("https://mapwv.gov/Assessment/Detail/?PID=23030204000100000000","Assessment")</f>
        <v>Assessment</v>
      </c>
      <c r="H101">
        <v>545536</v>
      </c>
      <c r="I101" t="s">
        <v>964</v>
      </c>
      <c r="J101" t="s">
        <v>965</v>
      </c>
      <c r="K101" t="s">
        <v>148</v>
      </c>
      <c r="L101" t="s">
        <v>1007</v>
      </c>
      <c r="M101" t="s">
        <v>967</v>
      </c>
      <c r="N101" t="s">
        <v>149</v>
      </c>
      <c r="O101" t="s">
        <v>117</v>
      </c>
      <c r="P101" t="s">
        <v>150</v>
      </c>
      <c r="Q101" t="s">
        <v>260</v>
      </c>
      <c r="R101" t="s">
        <v>151</v>
      </c>
      <c r="S101" t="s">
        <v>151</v>
      </c>
      <c r="T101" t="s">
        <v>151</v>
      </c>
      <c r="U101" t="s">
        <v>151</v>
      </c>
      <c r="V101">
        <v>976.4</v>
      </c>
      <c r="X101" t="s">
        <v>968</v>
      </c>
      <c r="Y101" t="s">
        <v>969</v>
      </c>
      <c r="Z101">
        <v>9999</v>
      </c>
      <c r="AA101" t="s">
        <v>191</v>
      </c>
      <c r="AB101" t="s">
        <v>970</v>
      </c>
      <c r="AC101" t="s">
        <v>971</v>
      </c>
      <c r="AD101">
        <v>3</v>
      </c>
      <c r="AE101">
        <v>424</v>
      </c>
      <c r="AF101" t="s">
        <v>972</v>
      </c>
      <c r="AG101" t="s">
        <v>177</v>
      </c>
      <c r="AH101" t="s">
        <v>129</v>
      </c>
      <c r="AI101">
        <v>1</v>
      </c>
      <c r="AJ101" t="s">
        <v>973</v>
      </c>
      <c r="AL101">
        <v>1000</v>
      </c>
      <c r="AM101" t="s">
        <v>206</v>
      </c>
      <c r="AN101" t="s">
        <v>158</v>
      </c>
      <c r="AO101">
        <v>4</v>
      </c>
      <c r="AP101">
        <v>0</v>
      </c>
      <c r="AQ101">
        <v>20400</v>
      </c>
      <c r="AR101">
        <v>0</v>
      </c>
      <c r="AS101">
        <v>16000</v>
      </c>
      <c r="AT101" t="s">
        <v>228</v>
      </c>
      <c r="AU101">
        <v>2</v>
      </c>
      <c r="AV101">
        <v>0</v>
      </c>
      <c r="AW101">
        <v>0</v>
      </c>
      <c r="BC101" t="s">
        <v>230</v>
      </c>
      <c r="BE101">
        <v>2.4</v>
      </c>
      <c r="BF101">
        <v>0</v>
      </c>
      <c r="BG101">
        <v>0</v>
      </c>
      <c r="BH101" s="1">
        <v>44348</v>
      </c>
      <c r="BI101" t="s">
        <v>159</v>
      </c>
      <c r="BJ101">
        <v>9999</v>
      </c>
      <c r="BK101" t="s">
        <v>260</v>
      </c>
      <c r="BL101" t="s">
        <v>177</v>
      </c>
      <c r="BM101">
        <v>16000</v>
      </c>
      <c r="BN101">
        <v>1</v>
      </c>
      <c r="BO101">
        <v>5</v>
      </c>
      <c r="BP101">
        <v>4</v>
      </c>
      <c r="BQ101">
        <v>1000</v>
      </c>
      <c r="BR101">
        <v>177</v>
      </c>
      <c r="BS101">
        <v>37.713827719000101</v>
      </c>
      <c r="BT101">
        <v>-81.989974947999798</v>
      </c>
      <c r="BU101">
        <v>0</v>
      </c>
      <c r="BV101">
        <v>-4</v>
      </c>
      <c r="BW101">
        <v>0</v>
      </c>
      <c r="BX101" t="s">
        <v>181</v>
      </c>
      <c r="BY101">
        <v>0</v>
      </c>
      <c r="BZ101">
        <v>0</v>
      </c>
      <c r="CA101">
        <v>0</v>
      </c>
      <c r="CB101">
        <v>8000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O101">
        <v>0</v>
      </c>
      <c r="CP101">
        <v>0</v>
      </c>
      <c r="CQ101" t="s">
        <v>974</v>
      </c>
      <c r="CR101" t="s">
        <v>160</v>
      </c>
      <c r="CS101" t="s">
        <v>161</v>
      </c>
      <c r="CT101" t="s">
        <v>139</v>
      </c>
      <c r="CU101" t="s">
        <v>163</v>
      </c>
      <c r="CW101">
        <v>2</v>
      </c>
      <c r="CX101" t="s">
        <v>975</v>
      </c>
      <c r="CY101" t="s">
        <v>976</v>
      </c>
      <c r="CZ101" t="s">
        <v>963</v>
      </c>
      <c r="DA101" t="s">
        <v>977</v>
      </c>
      <c r="DB101">
        <v>0</v>
      </c>
      <c r="DC101">
        <v>20400</v>
      </c>
    </row>
    <row r="102" spans="1:107" x14ac:dyDescent="0.25">
      <c r="A102" t="s">
        <v>1082</v>
      </c>
      <c r="B102" t="s">
        <v>108</v>
      </c>
      <c r="C102" t="s">
        <v>1083</v>
      </c>
      <c r="D102" t="s">
        <v>963</v>
      </c>
      <c r="F102" s="3" t="str">
        <f>HYPERLINK("https://mapwv.gov/flood/map/?wkid=102100&amp;x=-9130842.311716326&amp;y=4541215.7689798&amp;l=13&amp;v=2","FT")</f>
        <v>FT</v>
      </c>
      <c r="G102" s="3" t="str">
        <f>HYPERLINK("https://mapwv.gov/Assessment/Detail/?PID=23030204000100000000","Assessment")</f>
        <v>Assessment</v>
      </c>
      <c r="H102">
        <v>545536</v>
      </c>
      <c r="I102" t="s">
        <v>964</v>
      </c>
      <c r="J102" t="s">
        <v>965</v>
      </c>
      <c r="K102" t="s">
        <v>148</v>
      </c>
      <c r="L102" t="s">
        <v>984</v>
      </c>
      <c r="M102" t="s">
        <v>967</v>
      </c>
      <c r="N102" t="s">
        <v>116</v>
      </c>
      <c r="O102" t="s">
        <v>117</v>
      </c>
      <c r="P102" t="s">
        <v>118</v>
      </c>
      <c r="Q102" t="s">
        <v>119</v>
      </c>
      <c r="R102">
        <v>1.1000000000000001</v>
      </c>
      <c r="S102" t="s">
        <v>120</v>
      </c>
      <c r="T102">
        <v>975.8</v>
      </c>
      <c r="U102" t="s">
        <v>121</v>
      </c>
      <c r="V102">
        <v>973.5</v>
      </c>
      <c r="X102" t="s">
        <v>968</v>
      </c>
      <c r="Y102" t="s">
        <v>969</v>
      </c>
      <c r="Z102">
        <v>1111</v>
      </c>
      <c r="AA102" t="s">
        <v>191</v>
      </c>
      <c r="AB102" t="s">
        <v>970</v>
      </c>
      <c r="AC102" t="s">
        <v>971</v>
      </c>
      <c r="AD102">
        <v>3</v>
      </c>
      <c r="AE102">
        <v>424</v>
      </c>
      <c r="AF102" t="s">
        <v>972</v>
      </c>
      <c r="AG102" t="s">
        <v>128</v>
      </c>
      <c r="AH102" t="s">
        <v>129</v>
      </c>
      <c r="AI102">
        <v>1</v>
      </c>
      <c r="AJ102" t="s">
        <v>973</v>
      </c>
      <c r="AL102">
        <v>2150</v>
      </c>
      <c r="AM102" t="s">
        <v>206</v>
      </c>
      <c r="AN102" t="s">
        <v>131</v>
      </c>
      <c r="AO102">
        <v>1</v>
      </c>
      <c r="AP102">
        <v>0</v>
      </c>
      <c r="AQ102">
        <v>20400</v>
      </c>
      <c r="AR102">
        <v>0</v>
      </c>
      <c r="AS102">
        <v>61875</v>
      </c>
      <c r="AT102" t="s">
        <v>1084</v>
      </c>
      <c r="AU102">
        <v>2</v>
      </c>
      <c r="AV102">
        <v>0</v>
      </c>
      <c r="AW102">
        <v>0</v>
      </c>
      <c r="BB102" t="s">
        <v>1085</v>
      </c>
      <c r="BC102" t="s">
        <v>230</v>
      </c>
      <c r="BE102">
        <v>2.4</v>
      </c>
      <c r="BF102">
        <v>1</v>
      </c>
      <c r="BG102">
        <v>2.4</v>
      </c>
      <c r="BH102" s="1">
        <v>44348</v>
      </c>
      <c r="BI102" t="s">
        <v>133</v>
      </c>
      <c r="BJ102">
        <v>1111</v>
      </c>
      <c r="BK102" t="s">
        <v>119</v>
      </c>
      <c r="BL102" t="s">
        <v>128</v>
      </c>
      <c r="BM102">
        <v>61875</v>
      </c>
      <c r="BN102">
        <v>1</v>
      </c>
      <c r="BO102">
        <v>7</v>
      </c>
      <c r="BP102">
        <v>1</v>
      </c>
      <c r="BQ102">
        <v>2150</v>
      </c>
      <c r="BR102">
        <v>199</v>
      </c>
      <c r="BS102">
        <v>37.729019524000101</v>
      </c>
      <c r="BT102">
        <v>-82.023752055000003</v>
      </c>
      <c r="BU102">
        <v>1.0380206000000001</v>
      </c>
      <c r="BV102">
        <v>3.8020610809325998E-2</v>
      </c>
      <c r="BW102">
        <v>1</v>
      </c>
      <c r="BX102" t="s">
        <v>134</v>
      </c>
      <c r="BY102">
        <v>129</v>
      </c>
      <c r="BZ102">
        <v>13.3802061080932</v>
      </c>
      <c r="CA102">
        <v>8279.0025293827002</v>
      </c>
      <c r="CB102">
        <v>30937.5</v>
      </c>
      <c r="CC102">
        <v>45</v>
      </c>
      <c r="CD102">
        <v>16.380206108093201</v>
      </c>
      <c r="CE102">
        <v>5067.6262646913501</v>
      </c>
      <c r="CF102">
        <v>0</v>
      </c>
      <c r="CG102">
        <v>0</v>
      </c>
      <c r="CH102">
        <v>0</v>
      </c>
      <c r="CI102">
        <v>0</v>
      </c>
      <c r="CJ102" t="s">
        <v>1086</v>
      </c>
      <c r="CK102">
        <v>8.8149999999999995</v>
      </c>
      <c r="CL102">
        <v>0</v>
      </c>
      <c r="CM102">
        <v>0</v>
      </c>
      <c r="CN102">
        <v>8.8149999999999995</v>
      </c>
      <c r="CO102">
        <v>180</v>
      </c>
      <c r="CP102">
        <v>360</v>
      </c>
      <c r="CQ102" t="s">
        <v>974</v>
      </c>
      <c r="CR102" t="s">
        <v>137</v>
      </c>
      <c r="CS102" t="s">
        <v>138</v>
      </c>
      <c r="CT102" t="s">
        <v>162</v>
      </c>
      <c r="CU102" t="s">
        <v>140</v>
      </c>
      <c r="CW102">
        <v>2</v>
      </c>
      <c r="CX102" t="s">
        <v>975</v>
      </c>
      <c r="CY102" t="s">
        <v>976</v>
      </c>
      <c r="CZ102" t="s">
        <v>963</v>
      </c>
      <c r="DA102" t="s">
        <v>977</v>
      </c>
      <c r="DB102">
        <v>0</v>
      </c>
      <c r="DC102">
        <v>20400</v>
      </c>
    </row>
    <row r="103" spans="1:107" x14ac:dyDescent="0.25">
      <c r="A103" t="s">
        <v>688</v>
      </c>
      <c r="B103" t="s">
        <v>108</v>
      </c>
      <c r="C103" t="s">
        <v>689</v>
      </c>
      <c r="D103" t="s">
        <v>690</v>
      </c>
      <c r="F103" s="3" t="str">
        <f>HYPERLINK("https://mapwv.gov/flood/map/?wkid=102100&amp;x=-9139906.80348658&amp;y=4618457.126678291&amp;l=13&amp;v=2","FT")</f>
        <v>FT</v>
      </c>
      <c r="G103" s="3" t="str">
        <f>HYPERLINK("https://mapwv.gov/Assessment/Detail/?PID=22030002010300000000","Assessment")</f>
        <v>Assessment</v>
      </c>
      <c r="H103">
        <v>540089</v>
      </c>
      <c r="I103" t="s">
        <v>691</v>
      </c>
      <c r="J103" t="s">
        <v>633</v>
      </c>
      <c r="K103" t="s">
        <v>113</v>
      </c>
      <c r="L103" t="s">
        <v>557</v>
      </c>
      <c r="M103" t="s">
        <v>550</v>
      </c>
      <c r="N103" t="s">
        <v>199</v>
      </c>
      <c r="O103" t="s">
        <v>117</v>
      </c>
      <c r="P103" t="s">
        <v>150</v>
      </c>
      <c r="Q103" t="s">
        <v>119</v>
      </c>
      <c r="R103">
        <v>1.9</v>
      </c>
      <c r="S103" t="s">
        <v>120</v>
      </c>
      <c r="T103">
        <v>639</v>
      </c>
      <c r="U103" t="s">
        <v>365</v>
      </c>
      <c r="V103">
        <v>636.9</v>
      </c>
      <c r="X103" t="s">
        <v>692</v>
      </c>
      <c r="Y103" t="s">
        <v>693</v>
      </c>
      <c r="Z103">
        <v>1940</v>
      </c>
      <c r="AA103" t="s">
        <v>124</v>
      </c>
      <c r="AB103" t="s">
        <v>155</v>
      </c>
      <c r="AC103" t="s">
        <v>129</v>
      </c>
      <c r="AD103">
        <v>2</v>
      </c>
      <c r="AE103">
        <v>101</v>
      </c>
      <c r="AF103" t="s">
        <v>127</v>
      </c>
      <c r="AG103" t="s">
        <v>128</v>
      </c>
      <c r="AH103" t="s">
        <v>129</v>
      </c>
      <c r="AI103">
        <v>1</v>
      </c>
      <c r="AJ103" t="s">
        <v>694</v>
      </c>
      <c r="AK103" t="s">
        <v>130</v>
      </c>
      <c r="AL103">
        <v>700</v>
      </c>
      <c r="AM103" t="s">
        <v>157</v>
      </c>
      <c r="AN103" t="s">
        <v>158</v>
      </c>
      <c r="AO103">
        <v>3</v>
      </c>
      <c r="AP103">
        <v>19200</v>
      </c>
      <c r="AQ103">
        <v>0</v>
      </c>
      <c r="AR103">
        <v>970</v>
      </c>
      <c r="AS103">
        <v>20200</v>
      </c>
      <c r="AT103" t="s">
        <v>132</v>
      </c>
      <c r="AU103">
        <v>1</v>
      </c>
      <c r="AV103">
        <v>2</v>
      </c>
      <c r="AW103">
        <v>1</v>
      </c>
      <c r="BE103">
        <v>2.7</v>
      </c>
      <c r="BF103">
        <v>1</v>
      </c>
      <c r="BG103">
        <v>2.7</v>
      </c>
      <c r="BH103" s="1">
        <v>44319</v>
      </c>
      <c r="BI103" t="s">
        <v>210</v>
      </c>
      <c r="BJ103">
        <v>1940</v>
      </c>
      <c r="BK103" t="s">
        <v>119</v>
      </c>
      <c r="BL103" t="s">
        <v>128</v>
      </c>
      <c r="BM103">
        <v>20200</v>
      </c>
      <c r="BN103">
        <v>1</v>
      </c>
      <c r="BO103">
        <v>5</v>
      </c>
      <c r="BP103">
        <v>3</v>
      </c>
      <c r="BQ103">
        <v>700</v>
      </c>
      <c r="BR103">
        <v>2665</v>
      </c>
      <c r="BS103">
        <v>38.275774791000103</v>
      </c>
      <c r="BT103">
        <v>-82.105179769999907</v>
      </c>
      <c r="BU103">
        <v>2.1453247000000002</v>
      </c>
      <c r="BV103">
        <v>-0.85467529296875</v>
      </c>
      <c r="BW103">
        <v>1</v>
      </c>
      <c r="BX103" t="s">
        <v>134</v>
      </c>
      <c r="BY103">
        <v>129</v>
      </c>
      <c r="BZ103">
        <v>4.4532470703125</v>
      </c>
      <c r="CA103">
        <v>899.555908203125</v>
      </c>
      <c r="CB103">
        <v>10100</v>
      </c>
      <c r="CC103">
        <v>45</v>
      </c>
      <c r="CD103">
        <v>5.743896484375</v>
      </c>
      <c r="CE103">
        <v>580.133544921875</v>
      </c>
      <c r="CF103">
        <v>0</v>
      </c>
      <c r="CG103">
        <v>0</v>
      </c>
      <c r="CH103">
        <v>0</v>
      </c>
      <c r="CI103">
        <v>0</v>
      </c>
      <c r="CO103">
        <v>0</v>
      </c>
      <c r="CP103">
        <v>0</v>
      </c>
      <c r="CQ103" t="s">
        <v>637</v>
      </c>
      <c r="CR103" t="s">
        <v>183</v>
      </c>
      <c r="CS103" t="s">
        <v>138</v>
      </c>
      <c r="CT103" t="s">
        <v>139</v>
      </c>
      <c r="CU103" t="s">
        <v>267</v>
      </c>
      <c r="CW103">
        <v>2</v>
      </c>
      <c r="CX103" t="s">
        <v>695</v>
      </c>
      <c r="CY103" t="s">
        <v>639</v>
      </c>
      <c r="CZ103" t="s">
        <v>690</v>
      </c>
      <c r="DA103" t="s">
        <v>640</v>
      </c>
      <c r="DB103">
        <v>0</v>
      </c>
      <c r="DC103">
        <v>20200</v>
      </c>
    </row>
    <row r="104" spans="1:107" x14ac:dyDescent="0.25">
      <c r="A104" t="s">
        <v>1097</v>
      </c>
      <c r="B104" t="s">
        <v>108</v>
      </c>
      <c r="C104" t="s">
        <v>1098</v>
      </c>
      <c r="D104" t="s">
        <v>1099</v>
      </c>
      <c r="F104" s="3" t="str">
        <f>HYPERLINK("https://mapwv.gov/flood/map/?wkid=102100&amp;x=-9105100.6539612&amp;y=4541175.667570139&amp;l=13&amp;v=2","FT")</f>
        <v>FT</v>
      </c>
      <c r="G104" s="3" t="str">
        <f>HYPERLINK("https://mapwv.gov/Assessment/Detail/?PID=23080011004400000000","Assessment")</f>
        <v>Assessment</v>
      </c>
      <c r="H104">
        <v>545536</v>
      </c>
      <c r="I104" t="s">
        <v>964</v>
      </c>
      <c r="J104" t="s">
        <v>965</v>
      </c>
      <c r="K104" t="s">
        <v>148</v>
      </c>
      <c r="L104" t="s">
        <v>1070</v>
      </c>
      <c r="M104" t="s">
        <v>967</v>
      </c>
      <c r="N104" t="s">
        <v>199</v>
      </c>
      <c r="O104" t="s">
        <v>117</v>
      </c>
      <c r="P104" t="s">
        <v>150</v>
      </c>
      <c r="Q104" t="s">
        <v>119</v>
      </c>
      <c r="R104">
        <v>0.1</v>
      </c>
      <c r="S104" t="s">
        <v>120</v>
      </c>
      <c r="T104">
        <v>878.6</v>
      </c>
      <c r="U104" t="s">
        <v>365</v>
      </c>
      <c r="V104">
        <v>877.8</v>
      </c>
      <c r="X104" t="s">
        <v>1100</v>
      </c>
      <c r="Y104" t="s">
        <v>1101</v>
      </c>
      <c r="Z104">
        <v>1945</v>
      </c>
      <c r="AA104" t="s">
        <v>154</v>
      </c>
      <c r="AB104" t="s">
        <v>155</v>
      </c>
      <c r="AC104" t="s">
        <v>129</v>
      </c>
      <c r="AD104">
        <v>3</v>
      </c>
      <c r="AE104">
        <v>101</v>
      </c>
      <c r="AF104" t="s">
        <v>127</v>
      </c>
      <c r="AG104" t="s">
        <v>128</v>
      </c>
      <c r="AH104" t="s">
        <v>129</v>
      </c>
      <c r="AI104">
        <v>1</v>
      </c>
      <c r="AJ104" t="s">
        <v>341</v>
      </c>
      <c r="AK104" t="s">
        <v>130</v>
      </c>
      <c r="AL104">
        <v>1008</v>
      </c>
      <c r="AM104" t="s">
        <v>206</v>
      </c>
      <c r="AN104" t="s">
        <v>131</v>
      </c>
      <c r="AO104">
        <v>1</v>
      </c>
      <c r="AP104">
        <v>20200</v>
      </c>
      <c r="AQ104">
        <v>0</v>
      </c>
      <c r="AR104">
        <v>0</v>
      </c>
      <c r="AS104">
        <v>20200</v>
      </c>
      <c r="AT104" t="s">
        <v>132</v>
      </c>
      <c r="AU104">
        <v>1</v>
      </c>
      <c r="AV104">
        <v>0</v>
      </c>
      <c r="AW104">
        <v>1</v>
      </c>
      <c r="BE104">
        <v>2.4</v>
      </c>
      <c r="BF104">
        <v>0</v>
      </c>
      <c r="BG104">
        <v>0</v>
      </c>
      <c r="BH104" s="1">
        <v>44348</v>
      </c>
      <c r="BI104" t="s">
        <v>210</v>
      </c>
      <c r="BJ104">
        <v>1945</v>
      </c>
      <c r="BK104" t="s">
        <v>119</v>
      </c>
      <c r="BL104" t="s">
        <v>128</v>
      </c>
      <c r="BM104">
        <v>20200</v>
      </c>
      <c r="BN104">
        <v>1</v>
      </c>
      <c r="BO104">
        <v>7</v>
      </c>
      <c r="BP104">
        <v>1</v>
      </c>
      <c r="BQ104">
        <v>1008</v>
      </c>
      <c r="BR104">
        <v>715</v>
      </c>
      <c r="BS104">
        <v>37.728734607</v>
      </c>
      <c r="BT104">
        <v>-81.792510809000007</v>
      </c>
      <c r="BU104">
        <v>7.6416016000000003E-2</v>
      </c>
      <c r="BV104">
        <v>-0.923583984375</v>
      </c>
      <c r="BW104">
        <v>1</v>
      </c>
      <c r="BX104" t="s">
        <v>134</v>
      </c>
      <c r="BY104">
        <v>129</v>
      </c>
      <c r="BZ104">
        <v>3.76416015625</v>
      </c>
      <c r="CA104">
        <v>760.3603515625</v>
      </c>
      <c r="CB104">
        <v>10100</v>
      </c>
      <c r="CC104">
        <v>45</v>
      </c>
      <c r="CD104">
        <v>4.9169921875</v>
      </c>
      <c r="CE104">
        <v>496.6162109375</v>
      </c>
      <c r="CF104">
        <v>0</v>
      </c>
      <c r="CG104">
        <v>0</v>
      </c>
      <c r="CH104">
        <v>0</v>
      </c>
      <c r="CI104">
        <v>0</v>
      </c>
      <c r="CO104">
        <v>0</v>
      </c>
      <c r="CP104">
        <v>0</v>
      </c>
      <c r="CQ104" t="s">
        <v>974</v>
      </c>
      <c r="CR104" t="s">
        <v>183</v>
      </c>
      <c r="CS104" t="s">
        <v>138</v>
      </c>
      <c r="CT104" t="s">
        <v>139</v>
      </c>
      <c r="CU104" t="s">
        <v>267</v>
      </c>
      <c r="CW104">
        <v>2</v>
      </c>
      <c r="CX104" t="s">
        <v>975</v>
      </c>
      <c r="CY104" t="s">
        <v>976</v>
      </c>
      <c r="CZ104" t="s">
        <v>1099</v>
      </c>
      <c r="DA104" t="s">
        <v>977</v>
      </c>
      <c r="DB104">
        <v>0</v>
      </c>
      <c r="DC104">
        <v>20200</v>
      </c>
    </row>
    <row r="105" spans="1:107" x14ac:dyDescent="0.25">
      <c r="A105" t="s">
        <v>835</v>
      </c>
      <c r="B105" t="s">
        <v>108</v>
      </c>
      <c r="C105" t="s">
        <v>836</v>
      </c>
      <c r="D105" t="s">
        <v>837</v>
      </c>
      <c r="F105" s="3" t="str">
        <f>HYPERLINK("https://mapwv.gov/flood/map/?wkid=102100&amp;x=-9193597.09858968&amp;y=4596049.5947013935&amp;l=13&amp;v=2","FT")</f>
        <v>FT</v>
      </c>
      <c r="G105" s="3" t="str">
        <f>HYPERLINK("https://mapwv.gov/Assessment/Detail/?PID=50050004000200010000","Assessment")</f>
        <v>Assessment</v>
      </c>
      <c r="H105">
        <v>540202</v>
      </c>
      <c r="I105" t="s">
        <v>838</v>
      </c>
      <c r="J105" t="s">
        <v>774</v>
      </c>
      <c r="K105" t="s">
        <v>113</v>
      </c>
      <c r="L105" t="s">
        <v>793</v>
      </c>
      <c r="M105" t="s">
        <v>787</v>
      </c>
      <c r="N105" t="s">
        <v>199</v>
      </c>
      <c r="O105" t="s">
        <v>117</v>
      </c>
      <c r="P105" t="s">
        <v>150</v>
      </c>
      <c r="Q105" t="s">
        <v>260</v>
      </c>
      <c r="R105" t="s">
        <v>151</v>
      </c>
      <c r="S105" t="s">
        <v>151</v>
      </c>
      <c r="T105">
        <v>575.1</v>
      </c>
      <c r="U105" t="s">
        <v>365</v>
      </c>
      <c r="V105">
        <v>576.79999999999995</v>
      </c>
      <c r="X105" t="s">
        <v>839</v>
      </c>
      <c r="Y105" t="s">
        <v>840</v>
      </c>
      <c r="Z105">
        <v>1997</v>
      </c>
      <c r="AA105" t="s">
        <v>175</v>
      </c>
      <c r="AB105" t="s">
        <v>155</v>
      </c>
      <c r="AC105" t="s">
        <v>129</v>
      </c>
      <c r="AD105">
        <v>2</v>
      </c>
      <c r="AE105">
        <v>108</v>
      </c>
      <c r="AF105" t="s">
        <v>176</v>
      </c>
      <c r="AG105" t="s">
        <v>177</v>
      </c>
      <c r="AH105" t="s">
        <v>129</v>
      </c>
      <c r="AI105">
        <v>1</v>
      </c>
      <c r="AL105">
        <v>784</v>
      </c>
      <c r="AN105" t="s">
        <v>158</v>
      </c>
      <c r="AO105">
        <v>4</v>
      </c>
      <c r="AP105">
        <v>0</v>
      </c>
      <c r="AQ105">
        <v>0</v>
      </c>
      <c r="AR105">
        <v>19980</v>
      </c>
      <c r="AS105">
        <v>20000</v>
      </c>
      <c r="AT105" t="s">
        <v>132</v>
      </c>
      <c r="AU105">
        <v>1</v>
      </c>
      <c r="AV105">
        <v>6</v>
      </c>
      <c r="AW105">
        <v>1</v>
      </c>
      <c r="BC105" t="s">
        <v>841</v>
      </c>
      <c r="BE105">
        <v>2.5</v>
      </c>
      <c r="BF105">
        <v>0</v>
      </c>
      <c r="BG105">
        <v>0</v>
      </c>
      <c r="BH105" s="1">
        <v>44319</v>
      </c>
      <c r="BI105" t="s">
        <v>441</v>
      </c>
      <c r="BJ105">
        <v>1997</v>
      </c>
      <c r="BK105" t="s">
        <v>260</v>
      </c>
      <c r="BL105" t="s">
        <v>177</v>
      </c>
      <c r="BM105">
        <v>20000</v>
      </c>
      <c r="BN105">
        <v>1</v>
      </c>
      <c r="BO105">
        <v>5</v>
      </c>
      <c r="BP105">
        <v>4</v>
      </c>
      <c r="BQ105">
        <v>784</v>
      </c>
      <c r="BR105">
        <v>2538</v>
      </c>
      <c r="BS105">
        <v>38.117582329999998</v>
      </c>
      <c r="BT105">
        <v>-82.587487897000003</v>
      </c>
      <c r="BU105">
        <v>1.9714354999999999E-2</v>
      </c>
      <c r="BV105">
        <v>-3.98028564453125</v>
      </c>
      <c r="BW105">
        <v>1</v>
      </c>
      <c r="BX105" t="s">
        <v>181</v>
      </c>
      <c r="BY105">
        <v>189</v>
      </c>
      <c r="BZ105">
        <v>0</v>
      </c>
      <c r="CA105">
        <v>0</v>
      </c>
      <c r="CB105">
        <v>10000</v>
      </c>
      <c r="CC105">
        <v>74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O105">
        <v>0</v>
      </c>
      <c r="CP105">
        <v>0</v>
      </c>
      <c r="CQ105" t="s">
        <v>779</v>
      </c>
      <c r="CR105" t="s">
        <v>183</v>
      </c>
      <c r="CS105" t="s">
        <v>138</v>
      </c>
      <c r="CT105" t="s">
        <v>139</v>
      </c>
      <c r="CU105" t="s">
        <v>163</v>
      </c>
      <c r="CW105">
        <v>2</v>
      </c>
      <c r="CX105" t="s">
        <v>842</v>
      </c>
      <c r="CY105" t="s">
        <v>781</v>
      </c>
      <c r="CZ105" t="s">
        <v>837</v>
      </c>
      <c r="DA105" t="s">
        <v>782</v>
      </c>
      <c r="DB105">
        <v>0</v>
      </c>
      <c r="DC105">
        <v>20000</v>
      </c>
    </row>
    <row r="106" spans="1:107" x14ac:dyDescent="0.25">
      <c r="A106" t="s">
        <v>678</v>
      </c>
      <c r="B106" t="s">
        <v>108</v>
      </c>
      <c r="C106" t="s">
        <v>679</v>
      </c>
      <c r="D106" t="s">
        <v>680</v>
      </c>
      <c r="F106" s="3" t="str">
        <f>HYPERLINK("https://mapwv.gov/flood/map/?wkid=102100&amp;x=-9141067.304725323&amp;y=4619014.969690248&amp;l=13&amp;v=2","FT")</f>
        <v>FT</v>
      </c>
      <c r="G106" s="3" t="str">
        <f>HYPERLINK("https://mapwv.gov/Assessment/Detail/?PID=22010035001800000000","Assessment")</f>
        <v>Assessment</v>
      </c>
      <c r="H106">
        <v>540088</v>
      </c>
      <c r="I106" t="s">
        <v>632</v>
      </c>
      <c r="J106" t="s">
        <v>633</v>
      </c>
      <c r="K106" t="s">
        <v>148</v>
      </c>
      <c r="L106" t="s">
        <v>557</v>
      </c>
      <c r="M106" t="s">
        <v>550</v>
      </c>
      <c r="N106" t="s">
        <v>199</v>
      </c>
      <c r="O106" t="s">
        <v>117</v>
      </c>
      <c r="P106" t="s">
        <v>150</v>
      </c>
      <c r="Q106" t="s">
        <v>119</v>
      </c>
      <c r="R106">
        <v>3.5</v>
      </c>
      <c r="S106" t="s">
        <v>120</v>
      </c>
      <c r="T106">
        <v>640.9</v>
      </c>
      <c r="U106" t="s">
        <v>365</v>
      </c>
      <c r="V106">
        <v>637.4</v>
      </c>
      <c r="X106" t="s">
        <v>681</v>
      </c>
      <c r="Y106" t="s">
        <v>682</v>
      </c>
      <c r="Z106">
        <v>1924</v>
      </c>
      <c r="AA106" t="s">
        <v>191</v>
      </c>
      <c r="AB106" t="s">
        <v>155</v>
      </c>
      <c r="AC106" t="s">
        <v>129</v>
      </c>
      <c r="AD106">
        <v>2</v>
      </c>
      <c r="AE106">
        <v>101</v>
      </c>
      <c r="AF106" t="s">
        <v>127</v>
      </c>
      <c r="AG106" t="s">
        <v>128</v>
      </c>
      <c r="AH106" t="s">
        <v>129</v>
      </c>
      <c r="AI106">
        <v>1</v>
      </c>
      <c r="AJ106" t="s">
        <v>156</v>
      </c>
      <c r="AK106" t="s">
        <v>130</v>
      </c>
      <c r="AL106">
        <v>1025</v>
      </c>
      <c r="AM106" t="s">
        <v>519</v>
      </c>
      <c r="AN106" t="s">
        <v>208</v>
      </c>
      <c r="AO106">
        <v>4</v>
      </c>
      <c r="AP106">
        <v>19400</v>
      </c>
      <c r="AQ106">
        <v>0</v>
      </c>
      <c r="AR106">
        <v>200</v>
      </c>
      <c r="AS106">
        <v>19600</v>
      </c>
      <c r="AT106" t="s">
        <v>132</v>
      </c>
      <c r="AU106">
        <v>1</v>
      </c>
      <c r="AV106">
        <v>0</v>
      </c>
      <c r="AW106">
        <v>1</v>
      </c>
      <c r="BE106">
        <v>2.6</v>
      </c>
      <c r="BF106">
        <v>1</v>
      </c>
      <c r="BG106">
        <v>2.6</v>
      </c>
      <c r="BH106" s="1">
        <v>44319</v>
      </c>
      <c r="BI106" t="s">
        <v>210</v>
      </c>
      <c r="BJ106">
        <v>1924</v>
      </c>
      <c r="BK106" t="s">
        <v>119</v>
      </c>
      <c r="BL106" t="s">
        <v>128</v>
      </c>
      <c r="BM106">
        <v>19600</v>
      </c>
      <c r="BN106">
        <v>1</v>
      </c>
      <c r="BO106">
        <v>4</v>
      </c>
      <c r="BP106">
        <v>4</v>
      </c>
      <c r="BQ106">
        <v>1025</v>
      </c>
      <c r="BR106">
        <v>2092</v>
      </c>
      <c r="BS106">
        <v>38.279708659999898</v>
      </c>
      <c r="BT106">
        <v>-82.115604730000001</v>
      </c>
      <c r="BU106">
        <v>3.5018310000000001</v>
      </c>
      <c r="BV106">
        <v>-0.4981689453125</v>
      </c>
      <c r="BW106">
        <v>1</v>
      </c>
      <c r="BX106" t="s">
        <v>354</v>
      </c>
      <c r="BY106">
        <v>704</v>
      </c>
      <c r="BZ106">
        <v>22.5128173828125</v>
      </c>
      <c r="CA106">
        <v>4412.51220703125</v>
      </c>
      <c r="CB106">
        <v>9800</v>
      </c>
      <c r="CC106">
        <v>535</v>
      </c>
      <c r="CD106">
        <v>14.5054931640625</v>
      </c>
      <c r="CE106">
        <v>1421.53833007812</v>
      </c>
      <c r="CF106">
        <v>0</v>
      </c>
      <c r="CG106">
        <v>0</v>
      </c>
      <c r="CH106">
        <v>0</v>
      </c>
      <c r="CI106">
        <v>0</v>
      </c>
      <c r="CO106">
        <v>0</v>
      </c>
      <c r="CP106">
        <v>0</v>
      </c>
      <c r="CQ106" t="s">
        <v>637</v>
      </c>
      <c r="CR106" t="s">
        <v>183</v>
      </c>
      <c r="CS106" t="s">
        <v>138</v>
      </c>
      <c r="CT106" t="s">
        <v>139</v>
      </c>
      <c r="CU106" t="s">
        <v>140</v>
      </c>
      <c r="CW106">
        <v>2</v>
      </c>
      <c r="CX106" t="s">
        <v>638</v>
      </c>
      <c r="CY106" t="s">
        <v>639</v>
      </c>
      <c r="CZ106" t="s">
        <v>680</v>
      </c>
      <c r="DA106" t="s">
        <v>640</v>
      </c>
      <c r="DB106">
        <v>0</v>
      </c>
      <c r="DC106">
        <v>19600</v>
      </c>
    </row>
    <row r="107" spans="1:107" x14ac:dyDescent="0.25">
      <c r="A107" t="s">
        <v>275</v>
      </c>
      <c r="B107" t="s">
        <v>108</v>
      </c>
      <c r="C107" t="s">
        <v>276</v>
      </c>
      <c r="D107" t="s">
        <v>277</v>
      </c>
      <c r="F107" s="3" t="str">
        <f>HYPERLINK("https://mapwv.gov/flood/map/?wkid=102100&amp;x=-8868188.458697153&amp;y=4737441.191369965&amp;l=13&amp;v=2","FT")</f>
        <v>FT</v>
      </c>
      <c r="G107" s="3" t="str">
        <f>HYPERLINK("https://mapwv.gov/Assessment/Detail/?PID=47010284001400010000","Assessment")</f>
        <v>Assessment</v>
      </c>
      <c r="H107">
        <v>540191</v>
      </c>
      <c r="I107" t="s">
        <v>245</v>
      </c>
      <c r="J107" t="s">
        <v>246</v>
      </c>
      <c r="K107" t="s">
        <v>148</v>
      </c>
      <c r="L107" t="s">
        <v>278</v>
      </c>
      <c r="M107" t="s">
        <v>248</v>
      </c>
      <c r="N107" t="s">
        <v>199</v>
      </c>
      <c r="O107" t="s">
        <v>117</v>
      </c>
      <c r="P107" t="s">
        <v>150</v>
      </c>
      <c r="Q107" t="s">
        <v>119</v>
      </c>
      <c r="R107">
        <v>4.9000000000000004</v>
      </c>
      <c r="S107" t="s">
        <v>120</v>
      </c>
      <c r="T107" t="s">
        <v>151</v>
      </c>
      <c r="U107" t="s">
        <v>151</v>
      </c>
      <c r="V107">
        <v>1624.1</v>
      </c>
      <c r="X107" t="s">
        <v>279</v>
      </c>
      <c r="Y107" t="s">
        <v>280</v>
      </c>
      <c r="Z107">
        <v>1973</v>
      </c>
      <c r="AA107" t="s">
        <v>175</v>
      </c>
      <c r="AB107" t="s">
        <v>155</v>
      </c>
      <c r="AC107" t="s">
        <v>129</v>
      </c>
      <c r="AD107">
        <v>3</v>
      </c>
      <c r="AE107">
        <v>108</v>
      </c>
      <c r="AF107" t="s">
        <v>176</v>
      </c>
      <c r="AG107" t="s">
        <v>177</v>
      </c>
      <c r="AH107" t="s">
        <v>129</v>
      </c>
      <c r="AI107">
        <v>1</v>
      </c>
      <c r="AL107">
        <v>2636</v>
      </c>
      <c r="AN107" t="s">
        <v>158</v>
      </c>
      <c r="AO107">
        <v>3</v>
      </c>
      <c r="AP107">
        <v>0</v>
      </c>
      <c r="AQ107">
        <v>0</v>
      </c>
      <c r="AR107">
        <v>19200</v>
      </c>
      <c r="AS107">
        <v>29250</v>
      </c>
      <c r="AT107" t="s">
        <v>178</v>
      </c>
      <c r="AU107">
        <v>1</v>
      </c>
      <c r="AV107">
        <v>7</v>
      </c>
      <c r="AW107">
        <v>1</v>
      </c>
      <c r="BC107" t="s">
        <v>281</v>
      </c>
      <c r="BE107">
        <v>2.2999999999999998</v>
      </c>
      <c r="BF107">
        <v>1</v>
      </c>
      <c r="BG107">
        <v>2.2999999999999998</v>
      </c>
      <c r="BH107" s="1">
        <v>44284</v>
      </c>
      <c r="BI107" t="s">
        <v>210</v>
      </c>
      <c r="BJ107">
        <v>1973</v>
      </c>
      <c r="BK107" t="s">
        <v>119</v>
      </c>
      <c r="BL107" t="s">
        <v>177</v>
      </c>
      <c r="BM107">
        <v>29250</v>
      </c>
      <c r="BN107">
        <v>1</v>
      </c>
      <c r="BO107">
        <v>5</v>
      </c>
      <c r="BP107">
        <v>3</v>
      </c>
      <c r="BQ107">
        <v>2636</v>
      </c>
      <c r="BR107">
        <v>189</v>
      </c>
      <c r="BS107">
        <v>39.110005520999998</v>
      </c>
      <c r="BT107">
        <v>-79.664292348999794</v>
      </c>
      <c r="BU107">
        <v>4.9198000000000004</v>
      </c>
      <c r="BV107">
        <v>1.9197998046875</v>
      </c>
      <c r="BW107">
        <v>1</v>
      </c>
      <c r="BX107" t="s">
        <v>181</v>
      </c>
      <c r="BY107">
        <v>189</v>
      </c>
      <c r="BZ107">
        <v>61.4761962890625</v>
      </c>
      <c r="CA107">
        <v>17981.787414550701</v>
      </c>
      <c r="CB107">
        <v>14625</v>
      </c>
      <c r="CC107">
        <v>74</v>
      </c>
      <c r="CD107">
        <v>47.235595703125</v>
      </c>
      <c r="CE107">
        <v>6908.2058715820303</v>
      </c>
      <c r="CF107">
        <v>0</v>
      </c>
      <c r="CG107">
        <v>0</v>
      </c>
      <c r="CH107">
        <v>0</v>
      </c>
      <c r="CI107">
        <v>0</v>
      </c>
      <c r="CJ107" t="s">
        <v>273</v>
      </c>
      <c r="CK107">
        <v>17.134</v>
      </c>
      <c r="CL107">
        <v>26.3599999999999</v>
      </c>
      <c r="CM107">
        <v>31.632000000000001</v>
      </c>
      <c r="CN107">
        <v>75.126000000000005</v>
      </c>
      <c r="CO107">
        <v>360</v>
      </c>
      <c r="CP107">
        <v>720</v>
      </c>
      <c r="CQ107" t="s">
        <v>251</v>
      </c>
      <c r="CR107" t="s">
        <v>183</v>
      </c>
      <c r="CS107" t="s">
        <v>138</v>
      </c>
      <c r="CT107" t="s">
        <v>139</v>
      </c>
      <c r="CU107" t="s">
        <v>274</v>
      </c>
      <c r="CW107">
        <v>7</v>
      </c>
      <c r="CX107" t="s">
        <v>252</v>
      </c>
      <c r="CY107" t="s">
        <v>253</v>
      </c>
      <c r="CZ107" t="s">
        <v>277</v>
      </c>
      <c r="DA107" t="s">
        <v>254</v>
      </c>
      <c r="DB107">
        <v>0</v>
      </c>
      <c r="DC107">
        <v>19200</v>
      </c>
    </row>
    <row r="108" spans="1:107" x14ac:dyDescent="0.25">
      <c r="A108" t="s">
        <v>641</v>
      </c>
      <c r="B108" t="s">
        <v>108</v>
      </c>
      <c r="C108" t="s">
        <v>642</v>
      </c>
      <c r="D108" t="s">
        <v>643</v>
      </c>
      <c r="F108" s="3" t="str">
        <f>HYPERLINK("https://mapwv.gov/flood/map/?wkid=102100&amp;x=-9124285.585248316&amp;y=4610106.008392899&amp;l=13&amp;v=2","FT")</f>
        <v>FT</v>
      </c>
      <c r="G108" s="3" t="str">
        <f>HYPERLINK("https://mapwv.gov/Assessment/Detail/?PID=22020020008700020000","Assessment")</f>
        <v>Assessment</v>
      </c>
      <c r="H108">
        <v>540088</v>
      </c>
      <c r="I108" t="s">
        <v>632</v>
      </c>
      <c r="J108" t="s">
        <v>633</v>
      </c>
      <c r="K108" t="s">
        <v>148</v>
      </c>
      <c r="L108" t="s">
        <v>644</v>
      </c>
      <c r="M108" t="s">
        <v>550</v>
      </c>
      <c r="N108" t="s">
        <v>149</v>
      </c>
      <c r="O108" t="s">
        <v>117</v>
      </c>
      <c r="P108" t="s">
        <v>150</v>
      </c>
      <c r="Q108" t="s">
        <v>119</v>
      </c>
      <c r="R108" t="s">
        <v>151</v>
      </c>
      <c r="S108" t="s">
        <v>151</v>
      </c>
      <c r="T108" t="s">
        <v>151</v>
      </c>
      <c r="U108" t="s">
        <v>151</v>
      </c>
      <c r="V108">
        <v>698.6</v>
      </c>
      <c r="X108" t="s">
        <v>645</v>
      </c>
      <c r="Y108" t="s">
        <v>646</v>
      </c>
      <c r="Z108">
        <v>1970</v>
      </c>
      <c r="AA108" t="s">
        <v>124</v>
      </c>
      <c r="AB108" t="s">
        <v>155</v>
      </c>
      <c r="AC108" t="s">
        <v>129</v>
      </c>
      <c r="AD108">
        <v>3</v>
      </c>
      <c r="AE108">
        <v>101</v>
      </c>
      <c r="AF108" t="s">
        <v>127</v>
      </c>
      <c r="AG108" t="s">
        <v>128</v>
      </c>
      <c r="AH108" t="s">
        <v>129</v>
      </c>
      <c r="AI108">
        <v>1</v>
      </c>
      <c r="AJ108" t="s">
        <v>341</v>
      </c>
      <c r="AK108" t="s">
        <v>130</v>
      </c>
      <c r="AL108">
        <v>1344</v>
      </c>
      <c r="AM108" t="s">
        <v>206</v>
      </c>
      <c r="AN108" t="s">
        <v>131</v>
      </c>
      <c r="AO108">
        <v>1</v>
      </c>
      <c r="AP108">
        <v>19100</v>
      </c>
      <c r="AQ108">
        <v>0</v>
      </c>
      <c r="AR108">
        <v>0</v>
      </c>
      <c r="AS108">
        <v>19100</v>
      </c>
      <c r="AT108" t="s">
        <v>132</v>
      </c>
      <c r="AU108">
        <v>1</v>
      </c>
      <c r="AV108">
        <v>0</v>
      </c>
      <c r="AW108">
        <v>1</v>
      </c>
      <c r="BE108">
        <v>2.6</v>
      </c>
      <c r="BF108">
        <v>0</v>
      </c>
      <c r="BG108">
        <v>0</v>
      </c>
      <c r="BH108" s="1">
        <v>44319</v>
      </c>
      <c r="BI108" t="s">
        <v>159</v>
      </c>
      <c r="BJ108">
        <v>1970</v>
      </c>
      <c r="BK108" t="s">
        <v>119</v>
      </c>
      <c r="BL108" t="s">
        <v>128</v>
      </c>
      <c r="BM108">
        <v>19100</v>
      </c>
      <c r="BN108">
        <v>1</v>
      </c>
      <c r="BO108">
        <v>7</v>
      </c>
      <c r="BP108">
        <v>1</v>
      </c>
      <c r="BQ108">
        <v>1344</v>
      </c>
      <c r="BR108">
        <v>1323</v>
      </c>
      <c r="BS108">
        <v>38.216857828000101</v>
      </c>
      <c r="BT108">
        <v>-81.964851978999903</v>
      </c>
      <c r="BU108">
        <v>0</v>
      </c>
      <c r="BV108">
        <v>-1</v>
      </c>
      <c r="BW108">
        <v>0</v>
      </c>
      <c r="BX108" t="s">
        <v>134</v>
      </c>
      <c r="BY108">
        <v>0</v>
      </c>
      <c r="BZ108">
        <v>0</v>
      </c>
      <c r="CA108">
        <v>0</v>
      </c>
      <c r="CB108">
        <v>9550</v>
      </c>
      <c r="CC108">
        <v>0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O108">
        <v>0</v>
      </c>
      <c r="CP108">
        <v>0</v>
      </c>
      <c r="CQ108" t="s">
        <v>637</v>
      </c>
      <c r="CR108" t="s">
        <v>183</v>
      </c>
      <c r="CS108" t="s">
        <v>161</v>
      </c>
      <c r="CT108" t="s">
        <v>139</v>
      </c>
      <c r="CU108" t="s">
        <v>163</v>
      </c>
      <c r="CW108">
        <v>2</v>
      </c>
      <c r="CX108" t="s">
        <v>638</v>
      </c>
      <c r="CY108" t="s">
        <v>639</v>
      </c>
      <c r="CZ108" t="s">
        <v>643</v>
      </c>
      <c r="DA108" t="s">
        <v>640</v>
      </c>
      <c r="DB108">
        <v>0</v>
      </c>
      <c r="DC108">
        <v>19100</v>
      </c>
    </row>
    <row r="109" spans="1:107" x14ac:dyDescent="0.25">
      <c r="A109" t="s">
        <v>322</v>
      </c>
      <c r="B109" t="s">
        <v>108</v>
      </c>
      <c r="C109" t="s">
        <v>323</v>
      </c>
      <c r="D109" t="s">
        <v>324</v>
      </c>
      <c r="F109" s="3" t="str">
        <f>HYPERLINK("https://mapwv.gov/flood/map/?wkid=102100&amp;x=-8917861.240835931&amp;y=4742102.797482416&amp;l=13&amp;v=2","FT")</f>
        <v>FT</v>
      </c>
      <c r="G109" s="3" t="str">
        <f>HYPERLINK("https://mapwv.gov/Assessment/Detail/?PID=01040012004100000000","Assessment")</f>
        <v>Assessment</v>
      </c>
      <c r="H109">
        <v>540001</v>
      </c>
      <c r="I109" t="s">
        <v>325</v>
      </c>
      <c r="J109" t="s">
        <v>326</v>
      </c>
      <c r="K109" t="s">
        <v>148</v>
      </c>
      <c r="L109" t="s">
        <v>327</v>
      </c>
      <c r="M109" t="s">
        <v>328</v>
      </c>
      <c r="N109" t="s">
        <v>149</v>
      </c>
      <c r="O109" t="s">
        <v>117</v>
      </c>
      <c r="P109" t="s">
        <v>150</v>
      </c>
      <c r="Q109" t="s">
        <v>119</v>
      </c>
      <c r="R109">
        <v>1.3</v>
      </c>
      <c r="S109" t="s">
        <v>120</v>
      </c>
      <c r="T109">
        <v>1072.4000000000001</v>
      </c>
      <c r="U109" t="s">
        <v>121</v>
      </c>
      <c r="V109">
        <v>1071.5</v>
      </c>
      <c r="X109" t="s">
        <v>329</v>
      </c>
      <c r="Y109" t="s">
        <v>330</v>
      </c>
      <c r="Z109">
        <v>1966</v>
      </c>
      <c r="AA109" t="s">
        <v>241</v>
      </c>
      <c r="AB109" t="s">
        <v>155</v>
      </c>
      <c r="AC109" t="s">
        <v>129</v>
      </c>
      <c r="AD109">
        <v>3</v>
      </c>
      <c r="AE109">
        <v>108</v>
      </c>
      <c r="AF109" t="s">
        <v>176</v>
      </c>
      <c r="AG109" t="s">
        <v>177</v>
      </c>
      <c r="AH109" t="s">
        <v>129</v>
      </c>
      <c r="AI109">
        <v>1</v>
      </c>
      <c r="AL109">
        <v>4246</v>
      </c>
      <c r="AN109" t="s">
        <v>158</v>
      </c>
      <c r="AO109">
        <v>3</v>
      </c>
      <c r="AP109">
        <v>0</v>
      </c>
      <c r="AQ109">
        <v>0</v>
      </c>
      <c r="AR109">
        <v>18640</v>
      </c>
      <c r="AS109">
        <v>39800</v>
      </c>
      <c r="AT109" t="s">
        <v>178</v>
      </c>
      <c r="AU109">
        <v>1</v>
      </c>
      <c r="AV109">
        <v>9</v>
      </c>
      <c r="AW109">
        <v>1</v>
      </c>
      <c r="BE109">
        <v>2.7</v>
      </c>
      <c r="BF109">
        <v>1</v>
      </c>
      <c r="BG109">
        <v>2.7</v>
      </c>
      <c r="BH109" s="1">
        <v>44277</v>
      </c>
      <c r="BI109" t="s">
        <v>331</v>
      </c>
      <c r="BJ109">
        <v>1966</v>
      </c>
      <c r="BK109" t="s">
        <v>119</v>
      </c>
      <c r="BL109" t="s">
        <v>177</v>
      </c>
      <c r="BM109">
        <v>39800</v>
      </c>
      <c r="BN109">
        <v>1</v>
      </c>
      <c r="BO109">
        <v>5</v>
      </c>
      <c r="BP109">
        <v>3</v>
      </c>
      <c r="BQ109">
        <v>4246</v>
      </c>
      <c r="BR109">
        <v>290</v>
      </c>
      <c r="BS109">
        <v>39.142491075000102</v>
      </c>
      <c r="BT109">
        <v>-80.110510543000004</v>
      </c>
      <c r="BU109">
        <v>1.3261719000000001</v>
      </c>
      <c r="BV109">
        <v>-1.673828125</v>
      </c>
      <c r="BW109">
        <v>1</v>
      </c>
      <c r="BX109" t="s">
        <v>181</v>
      </c>
      <c r="BY109">
        <v>189</v>
      </c>
      <c r="BZ109">
        <v>0</v>
      </c>
      <c r="CA109">
        <v>0</v>
      </c>
      <c r="CB109">
        <v>19900</v>
      </c>
      <c r="CC109">
        <v>74</v>
      </c>
      <c r="CD109">
        <v>0</v>
      </c>
      <c r="CE109">
        <v>0</v>
      </c>
      <c r="CF109">
        <v>0</v>
      </c>
      <c r="CG109">
        <v>0</v>
      </c>
      <c r="CH109">
        <v>0</v>
      </c>
      <c r="CI109">
        <v>0</v>
      </c>
      <c r="CO109">
        <v>0</v>
      </c>
      <c r="CP109">
        <v>0</v>
      </c>
      <c r="CQ109" t="s">
        <v>332</v>
      </c>
      <c r="CR109" t="s">
        <v>183</v>
      </c>
      <c r="CS109" t="s">
        <v>138</v>
      </c>
      <c r="CT109" t="s">
        <v>139</v>
      </c>
      <c r="CU109" t="s">
        <v>163</v>
      </c>
      <c r="CW109">
        <v>7</v>
      </c>
      <c r="CX109" t="s">
        <v>333</v>
      </c>
      <c r="CY109" t="s">
        <v>334</v>
      </c>
      <c r="CZ109" t="s">
        <v>324</v>
      </c>
      <c r="DA109" t="s">
        <v>335</v>
      </c>
      <c r="DB109">
        <v>0</v>
      </c>
      <c r="DC109">
        <v>18800</v>
      </c>
    </row>
    <row r="110" spans="1:107" x14ac:dyDescent="0.25">
      <c r="A110" t="s">
        <v>1554</v>
      </c>
      <c r="B110" t="s">
        <v>108</v>
      </c>
      <c r="C110" t="s">
        <v>1555</v>
      </c>
      <c r="D110" t="s">
        <v>1556</v>
      </c>
      <c r="F110" s="3" t="str">
        <f>HYPERLINK("https://mapwv.gov/flood/map/?wkid=102100&amp;x=-9080294.43826618&amp;y=4630736.460056202&amp;l=13&amp;v=2","FT")</f>
        <v>FT</v>
      </c>
      <c r="G110" s="3" t="str">
        <f>HYPERLINK("https://mapwv.gov/Assessment/Detail/?PID=20230007002300010000","Assessment")</f>
        <v>Assessment</v>
      </c>
      <c r="H110">
        <v>540070</v>
      </c>
      <c r="I110" t="s">
        <v>1306</v>
      </c>
      <c r="J110" t="s">
        <v>1282</v>
      </c>
      <c r="K110" t="s">
        <v>148</v>
      </c>
      <c r="L110" t="s">
        <v>1316</v>
      </c>
      <c r="M110" t="s">
        <v>172</v>
      </c>
      <c r="N110" t="s">
        <v>149</v>
      </c>
      <c r="O110" t="s">
        <v>117</v>
      </c>
      <c r="P110" t="s">
        <v>150</v>
      </c>
      <c r="Q110" t="s">
        <v>260</v>
      </c>
      <c r="R110">
        <v>2.7</v>
      </c>
      <c r="S110" t="s">
        <v>120</v>
      </c>
      <c r="T110">
        <v>662.6</v>
      </c>
      <c r="U110" t="s">
        <v>121</v>
      </c>
      <c r="V110">
        <v>660.6</v>
      </c>
      <c r="X110" t="s">
        <v>1557</v>
      </c>
      <c r="Y110" t="s">
        <v>1558</v>
      </c>
      <c r="Z110">
        <v>2008</v>
      </c>
      <c r="AA110" t="s">
        <v>241</v>
      </c>
      <c r="AB110" t="s">
        <v>155</v>
      </c>
      <c r="AC110" t="s">
        <v>129</v>
      </c>
      <c r="AD110">
        <v>2</v>
      </c>
      <c r="AE110">
        <v>108</v>
      </c>
      <c r="AF110" t="s">
        <v>176</v>
      </c>
      <c r="AG110" t="s">
        <v>177</v>
      </c>
      <c r="AH110" t="s">
        <v>129</v>
      </c>
      <c r="AI110">
        <v>1</v>
      </c>
      <c r="AL110">
        <v>989</v>
      </c>
      <c r="AN110" t="s">
        <v>158</v>
      </c>
      <c r="AO110">
        <v>4</v>
      </c>
      <c r="AP110">
        <v>0</v>
      </c>
      <c r="AQ110">
        <v>0</v>
      </c>
      <c r="AR110">
        <v>18100</v>
      </c>
      <c r="AS110">
        <v>18570</v>
      </c>
      <c r="AT110" t="s">
        <v>178</v>
      </c>
      <c r="AU110">
        <v>1</v>
      </c>
      <c r="AV110">
        <v>4</v>
      </c>
      <c r="AW110">
        <v>1</v>
      </c>
      <c r="BE110">
        <v>2.4</v>
      </c>
      <c r="BF110">
        <v>1</v>
      </c>
      <c r="BG110">
        <v>2.4</v>
      </c>
      <c r="BH110" s="1">
        <v>44362</v>
      </c>
      <c r="BI110" t="s">
        <v>331</v>
      </c>
      <c r="BJ110">
        <v>2008</v>
      </c>
      <c r="BK110" t="s">
        <v>260</v>
      </c>
      <c r="BL110" t="s">
        <v>177</v>
      </c>
      <c r="BM110">
        <v>18570</v>
      </c>
      <c r="BN110">
        <v>1</v>
      </c>
      <c r="BO110">
        <v>5</v>
      </c>
      <c r="BP110">
        <v>4</v>
      </c>
      <c r="BQ110">
        <v>989</v>
      </c>
      <c r="BR110">
        <v>5165</v>
      </c>
      <c r="BS110">
        <v>38.362318469000101</v>
      </c>
      <c r="BT110">
        <v>-81.569672781999799</v>
      </c>
      <c r="BU110">
        <v>2.6768603</v>
      </c>
      <c r="BV110">
        <v>-1.3231396675109801</v>
      </c>
      <c r="BW110">
        <v>1</v>
      </c>
      <c r="BX110" t="s">
        <v>181</v>
      </c>
      <c r="BY110">
        <v>189</v>
      </c>
      <c r="BZ110">
        <v>0</v>
      </c>
      <c r="CA110">
        <v>0</v>
      </c>
      <c r="CB110">
        <v>9285</v>
      </c>
      <c r="CC110">
        <v>74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O110">
        <v>0</v>
      </c>
      <c r="CP110">
        <v>0</v>
      </c>
      <c r="CQ110" t="s">
        <v>1286</v>
      </c>
      <c r="CR110" t="s">
        <v>183</v>
      </c>
      <c r="CS110" t="s">
        <v>138</v>
      </c>
      <c r="CT110" t="s">
        <v>139</v>
      </c>
      <c r="CU110" t="s">
        <v>163</v>
      </c>
      <c r="CW110">
        <v>3</v>
      </c>
      <c r="CX110" t="s">
        <v>1312</v>
      </c>
      <c r="CY110" t="s">
        <v>1288</v>
      </c>
      <c r="CZ110" t="s">
        <v>1556</v>
      </c>
      <c r="DA110" t="s">
        <v>1289</v>
      </c>
      <c r="DB110">
        <v>0</v>
      </c>
      <c r="DC110">
        <v>18100</v>
      </c>
    </row>
    <row r="111" spans="1:107" x14ac:dyDescent="0.25">
      <c r="A111" t="s">
        <v>1225</v>
      </c>
      <c r="B111" t="s">
        <v>108</v>
      </c>
      <c r="C111" t="s">
        <v>1226</v>
      </c>
      <c r="D111" t="s">
        <v>1227</v>
      </c>
      <c r="F111" s="3" t="str">
        <f>HYPERLINK("https://mapwv.gov/flood/map/?wkid=102100&amp;x=-9086731.061022373&amp;y=4598050.924355827&amp;l=13&amp;v=2","FT")</f>
        <v>FT</v>
      </c>
      <c r="G111" s="3" t="str">
        <f>HYPERLINK("https://mapwv.gov/Assessment/Detail/?PID=0306007F000700000000","Assessment")</f>
        <v>Assessment</v>
      </c>
      <c r="H111">
        <v>540007</v>
      </c>
      <c r="I111" t="s">
        <v>1170</v>
      </c>
      <c r="J111" t="s">
        <v>1171</v>
      </c>
      <c r="K111" t="s">
        <v>148</v>
      </c>
      <c r="L111" t="s">
        <v>1172</v>
      </c>
      <c r="M111" t="s">
        <v>662</v>
      </c>
      <c r="N111" t="s">
        <v>199</v>
      </c>
      <c r="O111" t="s">
        <v>383</v>
      </c>
      <c r="P111" t="s">
        <v>150</v>
      </c>
      <c r="Q111" t="s">
        <v>119</v>
      </c>
      <c r="R111">
        <v>7.5</v>
      </c>
      <c r="S111" t="s">
        <v>120</v>
      </c>
      <c r="T111" t="s">
        <v>151</v>
      </c>
      <c r="U111" t="s">
        <v>151</v>
      </c>
      <c r="V111">
        <v>682.8</v>
      </c>
      <c r="X111" t="s">
        <v>1228</v>
      </c>
      <c r="Y111" t="s">
        <v>1229</v>
      </c>
      <c r="Z111">
        <v>1944</v>
      </c>
      <c r="AA111" t="s">
        <v>241</v>
      </c>
      <c r="AB111" t="s">
        <v>155</v>
      </c>
      <c r="AC111" t="s">
        <v>129</v>
      </c>
      <c r="AD111">
        <v>2</v>
      </c>
      <c r="AE111">
        <v>101</v>
      </c>
      <c r="AF111" t="s">
        <v>127</v>
      </c>
      <c r="AG111" t="s">
        <v>128</v>
      </c>
      <c r="AH111" t="s">
        <v>129</v>
      </c>
      <c r="AI111">
        <v>1</v>
      </c>
      <c r="AJ111" t="s">
        <v>341</v>
      </c>
      <c r="AK111" t="s">
        <v>130</v>
      </c>
      <c r="AL111">
        <v>960</v>
      </c>
      <c r="AM111" t="s">
        <v>157</v>
      </c>
      <c r="AN111" t="s">
        <v>158</v>
      </c>
      <c r="AO111">
        <v>3</v>
      </c>
      <c r="AP111">
        <v>17700</v>
      </c>
      <c r="AQ111">
        <v>0</v>
      </c>
      <c r="AR111">
        <v>0</v>
      </c>
      <c r="AS111">
        <v>17700</v>
      </c>
      <c r="AT111" t="s">
        <v>132</v>
      </c>
      <c r="AU111">
        <v>1</v>
      </c>
      <c r="AV111">
        <v>0</v>
      </c>
      <c r="AW111">
        <v>1</v>
      </c>
      <c r="BB111" t="s">
        <v>1230</v>
      </c>
      <c r="BE111">
        <v>2.5</v>
      </c>
      <c r="BF111">
        <v>1</v>
      </c>
      <c r="BG111">
        <v>2.5</v>
      </c>
      <c r="BH111" s="1">
        <v>44362</v>
      </c>
      <c r="BI111" t="s">
        <v>384</v>
      </c>
      <c r="BJ111">
        <v>1944</v>
      </c>
      <c r="BK111" t="s">
        <v>119</v>
      </c>
      <c r="BL111" t="s">
        <v>128</v>
      </c>
      <c r="BM111">
        <v>17700</v>
      </c>
      <c r="BN111">
        <v>1</v>
      </c>
      <c r="BO111">
        <v>5</v>
      </c>
      <c r="BP111">
        <v>3</v>
      </c>
      <c r="BQ111">
        <v>960</v>
      </c>
      <c r="BR111">
        <v>2811</v>
      </c>
      <c r="BS111">
        <v>38.131725270000103</v>
      </c>
      <c r="BT111">
        <v>-81.627493947999795</v>
      </c>
      <c r="BU111">
        <v>7.5303345000000004</v>
      </c>
      <c r="BV111">
        <v>4.53033447265625</v>
      </c>
      <c r="BW111">
        <v>1</v>
      </c>
      <c r="BX111" t="s">
        <v>134</v>
      </c>
      <c r="BY111">
        <v>129</v>
      </c>
      <c r="BZ111">
        <v>50.1820068359375</v>
      </c>
      <c r="CA111">
        <v>8882.2152099609302</v>
      </c>
      <c r="CB111">
        <v>8850</v>
      </c>
      <c r="CC111">
        <v>45</v>
      </c>
      <c r="CD111">
        <v>55.1820068359375</v>
      </c>
      <c r="CE111">
        <v>4883.6076049804597</v>
      </c>
      <c r="CF111">
        <v>0</v>
      </c>
      <c r="CG111">
        <v>0</v>
      </c>
      <c r="CH111">
        <v>0</v>
      </c>
      <c r="CI111">
        <v>0</v>
      </c>
      <c r="CJ111" t="s">
        <v>343</v>
      </c>
      <c r="CK111">
        <v>6.5279999999999996</v>
      </c>
      <c r="CL111">
        <v>0</v>
      </c>
      <c r="CM111">
        <v>0</v>
      </c>
      <c r="CN111">
        <v>6.5279999999999996</v>
      </c>
      <c r="CO111">
        <v>270</v>
      </c>
      <c r="CP111">
        <v>450</v>
      </c>
      <c r="CQ111" t="s">
        <v>1175</v>
      </c>
      <c r="CR111" t="s">
        <v>385</v>
      </c>
      <c r="CS111" t="s">
        <v>138</v>
      </c>
      <c r="CT111" t="s">
        <v>139</v>
      </c>
      <c r="CU111" t="s">
        <v>274</v>
      </c>
      <c r="CW111">
        <v>3</v>
      </c>
      <c r="CX111" t="s">
        <v>1176</v>
      </c>
      <c r="CY111" t="s">
        <v>1177</v>
      </c>
      <c r="CZ111" t="s">
        <v>1227</v>
      </c>
      <c r="DA111" t="s">
        <v>1178</v>
      </c>
      <c r="DB111">
        <v>0</v>
      </c>
      <c r="DC111">
        <v>17700</v>
      </c>
    </row>
    <row r="112" spans="1:107" x14ac:dyDescent="0.25">
      <c r="A112" t="s">
        <v>1484</v>
      </c>
      <c r="B112" t="s">
        <v>108</v>
      </c>
      <c r="C112" t="s">
        <v>1485</v>
      </c>
      <c r="D112" t="s">
        <v>1486</v>
      </c>
      <c r="F112" s="3" t="str">
        <f>HYPERLINK("https://mapwv.gov/flood/map/?wkid=102100&amp;x=-9057658.075666685&amp;y=4647604.876695819&amp;l=13&amp;v=2","FT")</f>
        <v>FT</v>
      </c>
      <c r="G112" s="3" t="str">
        <f>HYPERLINK("https://mapwv.gov/Assessment/Detail/?PID=20020011010300000000","Assessment")</f>
        <v>Assessment</v>
      </c>
      <c r="H112">
        <v>540075</v>
      </c>
      <c r="I112" t="s">
        <v>1425</v>
      </c>
      <c r="J112" t="s">
        <v>1282</v>
      </c>
      <c r="K112" t="s">
        <v>113</v>
      </c>
      <c r="L112" t="s">
        <v>596</v>
      </c>
      <c r="M112" t="s">
        <v>172</v>
      </c>
      <c r="N112" t="s">
        <v>199</v>
      </c>
      <c r="O112" t="s">
        <v>117</v>
      </c>
      <c r="P112" t="s">
        <v>150</v>
      </c>
      <c r="Q112" t="s">
        <v>119</v>
      </c>
      <c r="R112">
        <v>5.8</v>
      </c>
      <c r="S112" t="s">
        <v>120</v>
      </c>
      <c r="T112" t="s">
        <v>151</v>
      </c>
      <c r="U112" t="s">
        <v>151</v>
      </c>
      <c r="V112">
        <v>622.79999999999995</v>
      </c>
      <c r="X112" t="s">
        <v>1457</v>
      </c>
      <c r="Y112" t="s">
        <v>1458</v>
      </c>
      <c r="Z112">
        <v>1111</v>
      </c>
      <c r="AA112" t="s">
        <v>241</v>
      </c>
      <c r="AB112" t="s">
        <v>125</v>
      </c>
      <c r="AC112" t="s">
        <v>126</v>
      </c>
      <c r="AD112">
        <v>4</v>
      </c>
      <c r="AE112">
        <v>101</v>
      </c>
      <c r="AF112" t="s">
        <v>127</v>
      </c>
      <c r="AG112" t="s">
        <v>128</v>
      </c>
      <c r="AH112" t="s">
        <v>129</v>
      </c>
      <c r="AI112">
        <v>1</v>
      </c>
      <c r="AK112" t="s">
        <v>130</v>
      </c>
      <c r="AL112">
        <v>1850</v>
      </c>
      <c r="AN112" t="s">
        <v>131</v>
      </c>
      <c r="AO112">
        <v>1</v>
      </c>
      <c r="AP112">
        <v>16000</v>
      </c>
      <c r="AQ112">
        <v>0</v>
      </c>
      <c r="AR112">
        <v>1600</v>
      </c>
      <c r="AS112">
        <v>17600</v>
      </c>
      <c r="AT112" t="s">
        <v>132</v>
      </c>
      <c r="AU112">
        <v>1</v>
      </c>
      <c r="AV112">
        <v>5</v>
      </c>
      <c r="AW112">
        <v>1</v>
      </c>
      <c r="BE112">
        <v>2.5</v>
      </c>
      <c r="BF112">
        <v>1</v>
      </c>
      <c r="BG112">
        <v>2.5</v>
      </c>
      <c r="BH112" s="1">
        <v>44362</v>
      </c>
      <c r="BI112" t="s">
        <v>1437</v>
      </c>
      <c r="BJ112">
        <v>1111</v>
      </c>
      <c r="BK112" t="s">
        <v>119</v>
      </c>
      <c r="BL112" t="s">
        <v>128</v>
      </c>
      <c r="BM112">
        <v>17600</v>
      </c>
      <c r="BN112">
        <v>1</v>
      </c>
      <c r="BO112">
        <v>7</v>
      </c>
      <c r="BP112">
        <v>1</v>
      </c>
      <c r="BQ112">
        <v>1850</v>
      </c>
      <c r="BR112">
        <v>11494</v>
      </c>
      <c r="BS112">
        <v>38.481037096999998</v>
      </c>
      <c r="BT112">
        <v>-81.366326876999906</v>
      </c>
      <c r="BU112">
        <v>6.3349000000000002</v>
      </c>
      <c r="BV112">
        <v>5.33489990234375</v>
      </c>
      <c r="BW112">
        <v>1</v>
      </c>
      <c r="BX112" t="s">
        <v>134</v>
      </c>
      <c r="BY112">
        <v>129</v>
      </c>
      <c r="BZ112">
        <v>55.0093994140625</v>
      </c>
      <c r="CA112">
        <v>9681.654296875</v>
      </c>
      <c r="CB112">
        <v>8800</v>
      </c>
      <c r="CC112">
        <v>45</v>
      </c>
      <c r="CD112">
        <v>60.0093994140625</v>
      </c>
      <c r="CE112">
        <v>5280.8271484375</v>
      </c>
      <c r="CF112">
        <v>0</v>
      </c>
      <c r="CG112">
        <v>0</v>
      </c>
      <c r="CH112">
        <v>0</v>
      </c>
      <c r="CI112">
        <v>0</v>
      </c>
      <c r="CJ112" t="s">
        <v>665</v>
      </c>
      <c r="CK112">
        <v>12.58</v>
      </c>
      <c r="CL112">
        <v>0</v>
      </c>
      <c r="CM112">
        <v>0</v>
      </c>
      <c r="CN112">
        <v>12.58</v>
      </c>
      <c r="CO112">
        <v>270</v>
      </c>
      <c r="CP112">
        <v>450</v>
      </c>
      <c r="CQ112" t="s">
        <v>1286</v>
      </c>
      <c r="CR112" t="s">
        <v>183</v>
      </c>
      <c r="CS112" t="s">
        <v>138</v>
      </c>
      <c r="CT112" t="s">
        <v>139</v>
      </c>
      <c r="CU112" t="s">
        <v>274</v>
      </c>
      <c r="CW112">
        <v>3</v>
      </c>
      <c r="CX112" t="s">
        <v>1430</v>
      </c>
      <c r="CY112" t="s">
        <v>1288</v>
      </c>
      <c r="CZ112" t="s">
        <v>1486</v>
      </c>
      <c r="DA112" t="s">
        <v>1289</v>
      </c>
      <c r="DB112">
        <v>0</v>
      </c>
      <c r="DC112">
        <v>17600</v>
      </c>
    </row>
    <row r="113" spans="1:107" x14ac:dyDescent="0.25">
      <c r="A113" t="s">
        <v>599</v>
      </c>
      <c r="B113" t="s">
        <v>108</v>
      </c>
      <c r="C113" t="s">
        <v>600</v>
      </c>
      <c r="D113" t="s">
        <v>601</v>
      </c>
      <c r="F113" s="3" t="str">
        <f>HYPERLINK("https://mapwv.gov/flood/map/?wkid=102100&amp;x=-9040811.286051128&amp;y=4649422.375891597&amp;l=13&amp;v=2","FT")</f>
        <v>FT</v>
      </c>
      <c r="G113" s="3" t="str">
        <f>HYPERLINK("https://mapwv.gov/Assessment/Detail/?PID=08060006004900010000","Assessment")</f>
        <v>Assessment</v>
      </c>
      <c r="H113">
        <v>540022</v>
      </c>
      <c r="I113" t="s">
        <v>584</v>
      </c>
      <c r="J113" t="s">
        <v>585</v>
      </c>
      <c r="K113" t="s">
        <v>148</v>
      </c>
      <c r="L113" t="s">
        <v>596</v>
      </c>
      <c r="M113" t="s">
        <v>172</v>
      </c>
      <c r="N113" t="s">
        <v>199</v>
      </c>
      <c r="O113" t="s">
        <v>117</v>
      </c>
      <c r="P113" t="s">
        <v>150</v>
      </c>
      <c r="Q113" t="s">
        <v>260</v>
      </c>
      <c r="R113">
        <v>3.7</v>
      </c>
      <c r="S113" t="s">
        <v>120</v>
      </c>
      <c r="T113" t="s">
        <v>151</v>
      </c>
      <c r="U113" t="s">
        <v>151</v>
      </c>
      <c r="V113">
        <v>648.5</v>
      </c>
      <c r="X113" t="s">
        <v>602</v>
      </c>
      <c r="Y113" t="s">
        <v>603</v>
      </c>
      <c r="Z113">
        <v>1998</v>
      </c>
      <c r="AA113" t="s">
        <v>175</v>
      </c>
      <c r="AB113" t="s">
        <v>155</v>
      </c>
      <c r="AC113" t="s">
        <v>129</v>
      </c>
      <c r="AD113">
        <v>2</v>
      </c>
      <c r="AE113">
        <v>101</v>
      </c>
      <c r="AF113" t="s">
        <v>127</v>
      </c>
      <c r="AG113" t="s">
        <v>128</v>
      </c>
      <c r="AH113" t="s">
        <v>129</v>
      </c>
      <c r="AI113">
        <v>1</v>
      </c>
      <c r="AJ113" t="s">
        <v>156</v>
      </c>
      <c r="AK113" t="s">
        <v>130</v>
      </c>
      <c r="AL113">
        <v>960</v>
      </c>
      <c r="AM113" t="s">
        <v>157</v>
      </c>
      <c r="AN113" t="s">
        <v>158</v>
      </c>
      <c r="AO113">
        <v>4</v>
      </c>
      <c r="AP113">
        <v>17000</v>
      </c>
      <c r="AQ113">
        <v>0</v>
      </c>
      <c r="AR113">
        <v>0</v>
      </c>
      <c r="AS113">
        <v>17000</v>
      </c>
      <c r="AT113" t="s">
        <v>132</v>
      </c>
      <c r="AU113">
        <v>1</v>
      </c>
      <c r="AV113">
        <v>0</v>
      </c>
      <c r="AW113">
        <v>1</v>
      </c>
      <c r="BE113">
        <v>2.6</v>
      </c>
      <c r="BF113">
        <v>1</v>
      </c>
      <c r="BG113">
        <v>2.6</v>
      </c>
      <c r="BH113" s="1">
        <v>44322</v>
      </c>
      <c r="BI113" t="s">
        <v>210</v>
      </c>
      <c r="BJ113">
        <v>1998</v>
      </c>
      <c r="BK113" t="s">
        <v>260</v>
      </c>
      <c r="BL113" t="s">
        <v>128</v>
      </c>
      <c r="BM113">
        <v>17000</v>
      </c>
      <c r="BN113">
        <v>1</v>
      </c>
      <c r="BO113">
        <v>5</v>
      </c>
      <c r="BP113">
        <v>4</v>
      </c>
      <c r="BQ113">
        <v>960</v>
      </c>
      <c r="BR113">
        <v>606</v>
      </c>
      <c r="BS113">
        <v>38.493816871</v>
      </c>
      <c r="BT113">
        <v>-81.214989590999906</v>
      </c>
      <c r="BU113">
        <v>3.2177123999999999</v>
      </c>
      <c r="BV113">
        <v>-0.78228759765625</v>
      </c>
      <c r="BW113">
        <v>1</v>
      </c>
      <c r="BX113" t="s">
        <v>134</v>
      </c>
      <c r="BY113">
        <v>129</v>
      </c>
      <c r="BZ113">
        <v>5.1771240234375</v>
      </c>
      <c r="CA113">
        <v>880.111083984375</v>
      </c>
      <c r="CB113">
        <v>8500</v>
      </c>
      <c r="CC113">
        <v>45</v>
      </c>
      <c r="CD113">
        <v>6.612548828125</v>
      </c>
      <c r="CE113">
        <v>562.066650390625</v>
      </c>
      <c r="CF113">
        <v>0</v>
      </c>
      <c r="CG113">
        <v>0</v>
      </c>
      <c r="CH113">
        <v>0</v>
      </c>
      <c r="CI113">
        <v>0</v>
      </c>
      <c r="CO113">
        <v>0</v>
      </c>
      <c r="CP113">
        <v>0</v>
      </c>
      <c r="CQ113" t="s">
        <v>589</v>
      </c>
      <c r="CR113" t="s">
        <v>183</v>
      </c>
      <c r="CS113" t="s">
        <v>138</v>
      </c>
      <c r="CT113" t="s">
        <v>139</v>
      </c>
      <c r="CU113" t="s">
        <v>267</v>
      </c>
      <c r="CW113">
        <v>3</v>
      </c>
      <c r="CX113" t="s">
        <v>590</v>
      </c>
      <c r="CY113" t="s">
        <v>591</v>
      </c>
      <c r="CZ113" t="s">
        <v>601</v>
      </c>
      <c r="DA113" t="s">
        <v>592</v>
      </c>
      <c r="DB113">
        <v>0</v>
      </c>
      <c r="DC113">
        <v>17000</v>
      </c>
    </row>
    <row r="114" spans="1:107" x14ac:dyDescent="0.25">
      <c r="A114" t="s">
        <v>886</v>
      </c>
      <c r="B114" t="s">
        <v>108</v>
      </c>
      <c r="C114" t="s">
        <v>887</v>
      </c>
      <c r="D114" t="s">
        <v>888</v>
      </c>
      <c r="F114" s="3" t="str">
        <f>HYPERLINK("https://mapwv.gov/flood/map/?wkid=102100&amp;x=-8864825.251977408&amp;y=4790400.1053262595&amp;l=13&amp;v=2","FT")</f>
        <v>FT</v>
      </c>
      <c r="G114" s="3" t="str">
        <f>HYPERLINK("https://mapwv.gov/Assessment/Detail/?PID=39060023000400000000","Assessment")</f>
        <v>Assessment</v>
      </c>
      <c r="H114">
        <v>540160</v>
      </c>
      <c r="I114" t="s">
        <v>889</v>
      </c>
      <c r="J114" t="s">
        <v>890</v>
      </c>
      <c r="K114" t="s">
        <v>148</v>
      </c>
      <c r="L114" t="s">
        <v>278</v>
      </c>
      <c r="M114" t="s">
        <v>248</v>
      </c>
      <c r="N114" t="s">
        <v>199</v>
      </c>
      <c r="O114" t="s">
        <v>117</v>
      </c>
      <c r="P114" t="s">
        <v>150</v>
      </c>
      <c r="Q114" t="s">
        <v>260</v>
      </c>
      <c r="R114">
        <v>5</v>
      </c>
      <c r="S114" t="s">
        <v>120</v>
      </c>
      <c r="T114">
        <v>1231.7</v>
      </c>
      <c r="U114" t="s">
        <v>365</v>
      </c>
      <c r="V114">
        <v>1226.4000000000001</v>
      </c>
      <c r="X114" t="s">
        <v>891</v>
      </c>
      <c r="Y114" t="s">
        <v>892</v>
      </c>
      <c r="Z114">
        <v>2000</v>
      </c>
      <c r="AA114" t="s">
        <v>175</v>
      </c>
      <c r="AB114" t="s">
        <v>155</v>
      </c>
      <c r="AC114" t="s">
        <v>129</v>
      </c>
      <c r="AD114">
        <v>3</v>
      </c>
      <c r="AE114">
        <v>108</v>
      </c>
      <c r="AF114" t="s">
        <v>176</v>
      </c>
      <c r="AG114" t="s">
        <v>177</v>
      </c>
      <c r="AH114" t="s">
        <v>129</v>
      </c>
      <c r="AI114">
        <v>1</v>
      </c>
      <c r="AL114">
        <v>1308</v>
      </c>
      <c r="AN114" t="s">
        <v>158</v>
      </c>
      <c r="AO114">
        <v>4</v>
      </c>
      <c r="AP114">
        <v>0</v>
      </c>
      <c r="AQ114">
        <v>0</v>
      </c>
      <c r="AR114">
        <v>15400</v>
      </c>
      <c r="AS114">
        <v>17280</v>
      </c>
      <c r="AT114" t="s">
        <v>178</v>
      </c>
      <c r="AU114">
        <v>1</v>
      </c>
      <c r="AV114">
        <v>5</v>
      </c>
      <c r="AW114">
        <v>1</v>
      </c>
      <c r="BE114">
        <v>2.5</v>
      </c>
      <c r="BF114">
        <v>1</v>
      </c>
      <c r="BG114">
        <v>2.5</v>
      </c>
      <c r="BH114" s="1">
        <v>44298</v>
      </c>
      <c r="BI114" t="s">
        <v>210</v>
      </c>
      <c r="BJ114">
        <v>2000</v>
      </c>
      <c r="BK114" t="s">
        <v>260</v>
      </c>
      <c r="BL114" t="s">
        <v>177</v>
      </c>
      <c r="BM114">
        <v>17280</v>
      </c>
      <c r="BN114">
        <v>1</v>
      </c>
      <c r="BO114">
        <v>5</v>
      </c>
      <c r="BP114">
        <v>4</v>
      </c>
      <c r="BQ114">
        <v>1308</v>
      </c>
      <c r="BR114">
        <v>125</v>
      </c>
      <c r="BS114">
        <v>39.478180311000102</v>
      </c>
      <c r="BT114">
        <v>-79.6340801489999</v>
      </c>
      <c r="BU114">
        <v>5.0445557000000001</v>
      </c>
      <c r="BV114">
        <v>1.0445556640625</v>
      </c>
      <c r="BW114">
        <v>1</v>
      </c>
      <c r="BX114" t="s">
        <v>181</v>
      </c>
      <c r="BY114">
        <v>189</v>
      </c>
      <c r="BZ114">
        <v>44.8465576171875</v>
      </c>
      <c r="CA114">
        <v>7749.4851562499898</v>
      </c>
      <c r="CB114">
        <v>8640</v>
      </c>
      <c r="CC114">
        <v>74</v>
      </c>
      <c r="CD114">
        <v>27.980224609375</v>
      </c>
      <c r="CE114">
        <v>2417.4914062499902</v>
      </c>
      <c r="CF114">
        <v>0</v>
      </c>
      <c r="CG114">
        <v>0</v>
      </c>
      <c r="CH114">
        <v>0</v>
      </c>
      <c r="CI114">
        <v>0</v>
      </c>
      <c r="CJ114" t="s">
        <v>273</v>
      </c>
      <c r="CK114">
        <v>8.5020000000000007</v>
      </c>
      <c r="CL114">
        <v>13.08</v>
      </c>
      <c r="CM114">
        <v>15.696</v>
      </c>
      <c r="CN114">
        <v>37.277999999999899</v>
      </c>
      <c r="CO114">
        <v>360</v>
      </c>
      <c r="CP114">
        <v>720</v>
      </c>
      <c r="CQ114" t="s">
        <v>893</v>
      </c>
      <c r="CR114" t="s">
        <v>183</v>
      </c>
      <c r="CS114" t="s">
        <v>138</v>
      </c>
      <c r="CT114" t="s">
        <v>139</v>
      </c>
      <c r="CU114" t="s">
        <v>140</v>
      </c>
      <c r="CW114">
        <v>6</v>
      </c>
      <c r="CX114" t="s">
        <v>894</v>
      </c>
      <c r="CY114" t="s">
        <v>895</v>
      </c>
      <c r="CZ114" t="s">
        <v>888</v>
      </c>
      <c r="DA114" t="s">
        <v>896</v>
      </c>
      <c r="DB114">
        <v>0</v>
      </c>
      <c r="DC114">
        <v>15900</v>
      </c>
    </row>
    <row r="115" spans="1:107" x14ac:dyDescent="0.25">
      <c r="A115" t="s">
        <v>696</v>
      </c>
      <c r="B115" t="s">
        <v>108</v>
      </c>
      <c r="C115" t="s">
        <v>697</v>
      </c>
      <c r="D115" t="s">
        <v>698</v>
      </c>
      <c r="F115" s="3" t="str">
        <f>HYPERLINK("https://mapwv.gov/flood/map/?wkid=102100&amp;x=-9141102.358453738&amp;y=4618970.932835463&amp;l=13&amp;v=2","FT")</f>
        <v>FT</v>
      </c>
      <c r="G115" s="3" t="str">
        <f>HYPERLINK("https://mapwv.gov/Assessment/Detail/?PID=22010035002900000000","Assessment")</f>
        <v>Assessment</v>
      </c>
      <c r="H115">
        <v>540088</v>
      </c>
      <c r="I115" t="s">
        <v>632</v>
      </c>
      <c r="J115" t="s">
        <v>633</v>
      </c>
      <c r="K115" t="s">
        <v>148</v>
      </c>
      <c r="L115" t="s">
        <v>557</v>
      </c>
      <c r="M115" t="s">
        <v>550</v>
      </c>
      <c r="N115" t="s">
        <v>199</v>
      </c>
      <c r="O115" t="s">
        <v>117</v>
      </c>
      <c r="P115" t="s">
        <v>150</v>
      </c>
      <c r="Q115" t="s">
        <v>119</v>
      </c>
      <c r="R115">
        <v>3.8</v>
      </c>
      <c r="S115" t="s">
        <v>120</v>
      </c>
      <c r="T115">
        <v>641</v>
      </c>
      <c r="U115" t="s">
        <v>365</v>
      </c>
      <c r="V115">
        <v>637.29999999999995</v>
      </c>
      <c r="X115" t="s">
        <v>699</v>
      </c>
      <c r="Y115" t="s">
        <v>700</v>
      </c>
      <c r="Z115">
        <v>1930</v>
      </c>
      <c r="AA115" t="s">
        <v>318</v>
      </c>
      <c r="AB115" t="s">
        <v>155</v>
      </c>
      <c r="AC115" t="s">
        <v>129</v>
      </c>
      <c r="AD115">
        <v>2</v>
      </c>
      <c r="AE115">
        <v>101</v>
      </c>
      <c r="AF115" t="s">
        <v>127</v>
      </c>
      <c r="AG115" t="s">
        <v>128</v>
      </c>
      <c r="AH115" t="s">
        <v>129</v>
      </c>
      <c r="AI115">
        <v>1</v>
      </c>
      <c r="AJ115" t="s">
        <v>341</v>
      </c>
      <c r="AK115" t="s">
        <v>130</v>
      </c>
      <c r="AL115">
        <v>692</v>
      </c>
      <c r="AM115" t="s">
        <v>206</v>
      </c>
      <c r="AN115" t="s">
        <v>131</v>
      </c>
      <c r="AO115">
        <v>1</v>
      </c>
      <c r="AP115">
        <v>15500</v>
      </c>
      <c r="AQ115">
        <v>0</v>
      </c>
      <c r="AR115">
        <v>0</v>
      </c>
      <c r="AS115">
        <v>15500</v>
      </c>
      <c r="AT115" t="s">
        <v>132</v>
      </c>
      <c r="AU115">
        <v>1</v>
      </c>
      <c r="AV115">
        <v>0</v>
      </c>
      <c r="AW115">
        <v>1</v>
      </c>
      <c r="BC115" t="s">
        <v>209</v>
      </c>
      <c r="BE115">
        <v>2.6</v>
      </c>
      <c r="BF115">
        <v>1</v>
      </c>
      <c r="BG115">
        <v>2.6</v>
      </c>
      <c r="BH115" s="1">
        <v>44319</v>
      </c>
      <c r="BI115" t="s">
        <v>210</v>
      </c>
      <c r="BJ115">
        <v>1930</v>
      </c>
      <c r="BK115" t="s">
        <v>119</v>
      </c>
      <c r="BL115" t="s">
        <v>128</v>
      </c>
      <c r="BM115">
        <v>15500</v>
      </c>
      <c r="BN115">
        <v>1</v>
      </c>
      <c r="BO115">
        <v>7</v>
      </c>
      <c r="BP115">
        <v>1</v>
      </c>
      <c r="BQ115">
        <v>692</v>
      </c>
      <c r="BR115">
        <v>2127</v>
      </c>
      <c r="BS115">
        <v>38.279398123</v>
      </c>
      <c r="BT115">
        <v>-82.115919622999897</v>
      </c>
      <c r="BU115">
        <v>3.8228759999999999</v>
      </c>
      <c r="BV115">
        <v>2.8228759765625</v>
      </c>
      <c r="BW115">
        <v>1</v>
      </c>
      <c r="BX115" t="s">
        <v>134</v>
      </c>
      <c r="BY115">
        <v>129</v>
      </c>
      <c r="BZ115">
        <v>38.5830078125</v>
      </c>
      <c r="CA115">
        <v>5980.3662109375</v>
      </c>
      <c r="CB115">
        <v>7750</v>
      </c>
      <c r="CC115">
        <v>45</v>
      </c>
      <c r="CD115">
        <v>42.5830078125</v>
      </c>
      <c r="CE115">
        <v>3300.18310546875</v>
      </c>
      <c r="CF115">
        <v>0</v>
      </c>
      <c r="CG115">
        <v>0</v>
      </c>
      <c r="CH115">
        <v>0</v>
      </c>
      <c r="CI115">
        <v>0</v>
      </c>
      <c r="CJ115" t="s">
        <v>135</v>
      </c>
      <c r="CK115">
        <v>2.8372000000000002</v>
      </c>
      <c r="CL115">
        <v>0</v>
      </c>
      <c r="CM115">
        <v>0</v>
      </c>
      <c r="CN115">
        <v>2.8372000000000002</v>
      </c>
      <c r="CO115">
        <v>180</v>
      </c>
      <c r="CP115">
        <v>360</v>
      </c>
      <c r="CQ115" t="s">
        <v>637</v>
      </c>
      <c r="CR115" t="s">
        <v>183</v>
      </c>
      <c r="CS115" t="s">
        <v>138</v>
      </c>
      <c r="CT115" t="s">
        <v>139</v>
      </c>
      <c r="CU115" t="s">
        <v>140</v>
      </c>
      <c r="CW115">
        <v>2</v>
      </c>
      <c r="CX115" t="s">
        <v>638</v>
      </c>
      <c r="CY115" t="s">
        <v>639</v>
      </c>
      <c r="CZ115" t="s">
        <v>698</v>
      </c>
      <c r="DA115" t="s">
        <v>640</v>
      </c>
      <c r="DB115">
        <v>0</v>
      </c>
      <c r="DC115">
        <v>15500</v>
      </c>
    </row>
    <row r="116" spans="1:107" x14ac:dyDescent="0.25">
      <c r="A116" t="s">
        <v>1828</v>
      </c>
      <c r="B116" t="s">
        <v>108</v>
      </c>
      <c r="C116" t="s">
        <v>1829</v>
      </c>
      <c r="D116" t="s">
        <v>1830</v>
      </c>
      <c r="F116" s="3" t="str">
        <f>HYPERLINK("https://mapwv.gov/flood/map/?wkid=102100&amp;x=-8997697.721376605&amp;y=4786358.353520829&amp;l=13&amp;v=2","FT")</f>
        <v>FT</v>
      </c>
      <c r="G116" s="3" t="str">
        <f>HYPERLINK("https://mapwv.gov/Assessment/Detail/?PID=48050010005000000000","Assessment")</f>
        <v>Assessment</v>
      </c>
      <c r="H116">
        <v>540277</v>
      </c>
      <c r="I116" t="s">
        <v>1831</v>
      </c>
      <c r="J116" t="s">
        <v>1832</v>
      </c>
      <c r="K116" t="s">
        <v>148</v>
      </c>
      <c r="L116" t="s">
        <v>1833</v>
      </c>
      <c r="M116" t="s">
        <v>1834</v>
      </c>
      <c r="N116" t="s">
        <v>116</v>
      </c>
      <c r="O116" t="s">
        <v>117</v>
      </c>
      <c r="P116" t="s">
        <v>118</v>
      </c>
      <c r="Q116" t="s">
        <v>119</v>
      </c>
      <c r="R116">
        <v>0.5</v>
      </c>
      <c r="S116" t="s">
        <v>120</v>
      </c>
      <c r="T116">
        <v>711.6</v>
      </c>
      <c r="U116" t="s">
        <v>121</v>
      </c>
      <c r="V116">
        <v>711</v>
      </c>
      <c r="X116" t="s">
        <v>1835</v>
      </c>
      <c r="Y116" t="s">
        <v>1836</v>
      </c>
      <c r="Z116">
        <v>1915</v>
      </c>
      <c r="AB116" t="s">
        <v>303</v>
      </c>
      <c r="AC116" t="s">
        <v>304</v>
      </c>
      <c r="AD116">
        <v>3</v>
      </c>
      <c r="AE116">
        <v>112</v>
      </c>
      <c r="AF116" t="s">
        <v>305</v>
      </c>
      <c r="AG116" t="s">
        <v>128</v>
      </c>
      <c r="AH116" t="s">
        <v>129</v>
      </c>
      <c r="AI116">
        <v>1</v>
      </c>
      <c r="AL116">
        <v>702</v>
      </c>
      <c r="AN116" t="s">
        <v>131</v>
      </c>
      <c r="AO116">
        <v>1</v>
      </c>
      <c r="AP116">
        <v>0</v>
      </c>
      <c r="AQ116">
        <v>0</v>
      </c>
      <c r="AR116">
        <v>0</v>
      </c>
      <c r="AS116">
        <v>8400</v>
      </c>
      <c r="AT116" t="s">
        <v>178</v>
      </c>
      <c r="AU116">
        <v>1</v>
      </c>
      <c r="AV116">
        <v>0</v>
      </c>
      <c r="AW116">
        <v>1</v>
      </c>
      <c r="BB116" t="s">
        <v>1302</v>
      </c>
      <c r="BE116">
        <v>2.5</v>
      </c>
      <c r="BF116">
        <v>0</v>
      </c>
      <c r="BG116">
        <v>0</v>
      </c>
      <c r="BH116" s="1">
        <v>44412</v>
      </c>
      <c r="BI116" t="s">
        <v>133</v>
      </c>
      <c r="BJ116">
        <v>1915</v>
      </c>
      <c r="BK116" t="s">
        <v>119</v>
      </c>
      <c r="BL116" t="s">
        <v>128</v>
      </c>
      <c r="BM116">
        <v>8400</v>
      </c>
      <c r="BN116">
        <v>1</v>
      </c>
      <c r="BO116">
        <v>7</v>
      </c>
      <c r="BP116">
        <v>1</v>
      </c>
      <c r="BQ116">
        <v>702</v>
      </c>
      <c r="BR116">
        <v>24</v>
      </c>
      <c r="BS116">
        <v>39.450149979000102</v>
      </c>
      <c r="BT116">
        <v>-80.827693849999903</v>
      </c>
      <c r="BU116">
        <v>0.44443196000000001</v>
      </c>
      <c r="BV116">
        <v>-0.55556803941726696</v>
      </c>
      <c r="BW116">
        <v>1</v>
      </c>
      <c r="BX116" t="s">
        <v>134</v>
      </c>
      <c r="BY116">
        <v>129</v>
      </c>
      <c r="BZ116">
        <v>7.4443196058273298</v>
      </c>
      <c r="CA116">
        <v>625.32284688949505</v>
      </c>
      <c r="CB116">
        <v>4200</v>
      </c>
      <c r="CC116">
        <v>45</v>
      </c>
      <c r="CD116">
        <v>9.3331835269927907</v>
      </c>
      <c r="CE116">
        <v>391.993708133697</v>
      </c>
      <c r="CF116">
        <v>0</v>
      </c>
      <c r="CG116">
        <v>0</v>
      </c>
      <c r="CH116">
        <v>0</v>
      </c>
      <c r="CI116">
        <v>0</v>
      </c>
      <c r="CO116">
        <v>0</v>
      </c>
      <c r="CP116">
        <v>0</v>
      </c>
      <c r="CQ116" t="s">
        <v>1837</v>
      </c>
      <c r="CR116" t="s">
        <v>183</v>
      </c>
      <c r="CS116" t="s">
        <v>138</v>
      </c>
      <c r="CT116" t="s">
        <v>139</v>
      </c>
      <c r="CU116" t="s">
        <v>267</v>
      </c>
      <c r="CW116">
        <v>5</v>
      </c>
      <c r="CX116" t="s">
        <v>1838</v>
      </c>
      <c r="CY116" t="s">
        <v>1839</v>
      </c>
      <c r="CZ116" t="s">
        <v>1830</v>
      </c>
      <c r="DA116" t="s">
        <v>1840</v>
      </c>
      <c r="DB116">
        <v>0</v>
      </c>
      <c r="DC116">
        <v>15300</v>
      </c>
    </row>
    <row r="117" spans="1:107" x14ac:dyDescent="0.25">
      <c r="A117" t="s">
        <v>1841</v>
      </c>
      <c r="B117" t="s">
        <v>108</v>
      </c>
      <c r="C117" t="s">
        <v>1842</v>
      </c>
      <c r="D117" t="s">
        <v>1830</v>
      </c>
      <c r="F117" s="3" t="str">
        <f>HYPERLINK("https://mapwv.gov/flood/map/?wkid=102100&amp;x=-8997732.946203075&amp;y=4786378.641462668&amp;l=13&amp;v=2","FT")</f>
        <v>FT</v>
      </c>
      <c r="G117" s="3" t="str">
        <f>HYPERLINK("https://mapwv.gov/Assessment/Detail/?PID=48050010005000000000","Assessment")</f>
        <v>Assessment</v>
      </c>
      <c r="H117">
        <v>540277</v>
      </c>
      <c r="I117" t="s">
        <v>1831</v>
      </c>
      <c r="J117" t="s">
        <v>1832</v>
      </c>
      <c r="K117" t="s">
        <v>148</v>
      </c>
      <c r="L117" t="s">
        <v>1833</v>
      </c>
      <c r="M117" t="s">
        <v>1834</v>
      </c>
      <c r="N117" t="s">
        <v>149</v>
      </c>
      <c r="O117" t="s">
        <v>117</v>
      </c>
      <c r="P117" t="s">
        <v>150</v>
      </c>
      <c r="Q117" t="s">
        <v>119</v>
      </c>
      <c r="R117" t="s">
        <v>151</v>
      </c>
      <c r="S117" t="s">
        <v>151</v>
      </c>
      <c r="T117" t="s">
        <v>151</v>
      </c>
      <c r="U117" t="s">
        <v>151</v>
      </c>
      <c r="V117">
        <v>711.8</v>
      </c>
      <c r="X117" t="s">
        <v>1835</v>
      </c>
      <c r="Y117" t="s">
        <v>1836</v>
      </c>
      <c r="Z117">
        <v>1915</v>
      </c>
      <c r="AB117" t="s">
        <v>303</v>
      </c>
      <c r="AC117" t="s">
        <v>304</v>
      </c>
      <c r="AD117">
        <v>3</v>
      </c>
      <c r="AE117">
        <v>112</v>
      </c>
      <c r="AF117" t="s">
        <v>305</v>
      </c>
      <c r="AG117" t="s">
        <v>128</v>
      </c>
      <c r="AH117" t="s">
        <v>129</v>
      </c>
      <c r="AI117">
        <v>1</v>
      </c>
      <c r="AL117">
        <v>876</v>
      </c>
      <c r="AN117" t="s">
        <v>131</v>
      </c>
      <c r="AO117">
        <v>1</v>
      </c>
      <c r="AP117">
        <v>0</v>
      </c>
      <c r="AQ117">
        <v>0</v>
      </c>
      <c r="AR117">
        <v>0</v>
      </c>
      <c r="AS117">
        <v>6800</v>
      </c>
      <c r="AT117" t="s">
        <v>178</v>
      </c>
      <c r="AU117">
        <v>1</v>
      </c>
      <c r="AV117">
        <v>0</v>
      </c>
      <c r="AW117">
        <v>1</v>
      </c>
      <c r="BB117" t="s">
        <v>1295</v>
      </c>
      <c r="BE117">
        <v>2.5</v>
      </c>
      <c r="BF117">
        <v>0</v>
      </c>
      <c r="BG117">
        <v>0</v>
      </c>
      <c r="BH117" s="1">
        <v>44412</v>
      </c>
      <c r="BI117" t="s">
        <v>159</v>
      </c>
      <c r="BJ117">
        <v>1915</v>
      </c>
      <c r="BK117" t="s">
        <v>119</v>
      </c>
      <c r="BL117" t="s">
        <v>128</v>
      </c>
      <c r="BM117">
        <v>6800</v>
      </c>
      <c r="BN117">
        <v>1</v>
      </c>
      <c r="BO117">
        <v>7</v>
      </c>
      <c r="BP117">
        <v>1</v>
      </c>
      <c r="BQ117">
        <v>876</v>
      </c>
      <c r="BR117">
        <v>25</v>
      </c>
      <c r="BS117">
        <v>39.450290707999997</v>
      </c>
      <c r="BT117">
        <v>-80.828010279999901</v>
      </c>
      <c r="BU117">
        <v>0</v>
      </c>
      <c r="BV117">
        <v>-1</v>
      </c>
      <c r="BW117">
        <v>0</v>
      </c>
      <c r="BX117" t="s">
        <v>134</v>
      </c>
      <c r="BY117">
        <v>0</v>
      </c>
      <c r="BZ117">
        <v>0</v>
      </c>
      <c r="CA117">
        <v>0</v>
      </c>
      <c r="CB117">
        <v>3400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O117">
        <v>0</v>
      </c>
      <c r="CP117">
        <v>0</v>
      </c>
      <c r="CQ117" t="s">
        <v>1837</v>
      </c>
      <c r="CR117" t="s">
        <v>183</v>
      </c>
      <c r="CS117" t="s">
        <v>161</v>
      </c>
      <c r="CT117" t="s">
        <v>139</v>
      </c>
      <c r="CU117" t="s">
        <v>163</v>
      </c>
      <c r="CW117">
        <v>5</v>
      </c>
      <c r="CX117" t="s">
        <v>1838</v>
      </c>
      <c r="CY117" t="s">
        <v>1839</v>
      </c>
      <c r="CZ117" t="s">
        <v>1830</v>
      </c>
      <c r="DA117" t="s">
        <v>1840</v>
      </c>
      <c r="DB117">
        <v>0</v>
      </c>
      <c r="DC117">
        <v>15300</v>
      </c>
    </row>
    <row r="118" spans="1:107" x14ac:dyDescent="0.25">
      <c r="A118" t="s">
        <v>1678</v>
      </c>
      <c r="B118" t="s">
        <v>108</v>
      </c>
      <c r="C118" t="s">
        <v>1679</v>
      </c>
      <c r="D118" t="s">
        <v>1680</v>
      </c>
      <c r="F118" s="3" t="str">
        <f>HYPERLINK("https://mapwv.gov/flood/map/?wkid=102100&amp;x=-8984489.866395459&amp;y=4594578.176251561&amp;l=13&amp;v=2","FT")</f>
        <v>FT</v>
      </c>
      <c r="G118" s="3" t="str">
        <f>HYPERLINK("https://mapwv.gov/Assessment/Detail/?PID=34090036002400000000","Assessment")</f>
        <v>Assessment</v>
      </c>
      <c r="H118">
        <v>540146</v>
      </c>
      <c r="I118" t="s">
        <v>1653</v>
      </c>
      <c r="J118" t="s">
        <v>1654</v>
      </c>
      <c r="K118" t="s">
        <v>148</v>
      </c>
      <c r="L118" t="s">
        <v>1681</v>
      </c>
      <c r="M118" t="s">
        <v>1667</v>
      </c>
      <c r="N118" t="s">
        <v>149</v>
      </c>
      <c r="O118" t="s">
        <v>117</v>
      </c>
      <c r="P118" t="s">
        <v>150</v>
      </c>
      <c r="Q118" t="s">
        <v>225</v>
      </c>
      <c r="R118" t="s">
        <v>151</v>
      </c>
      <c r="S118" t="s">
        <v>151</v>
      </c>
      <c r="T118" t="s">
        <v>151</v>
      </c>
      <c r="U118" t="s">
        <v>151</v>
      </c>
      <c r="V118">
        <v>2401.8000000000002</v>
      </c>
      <c r="X118" t="s">
        <v>1682</v>
      </c>
      <c r="Y118" t="s">
        <v>1683</v>
      </c>
      <c r="Z118">
        <v>0</v>
      </c>
      <c r="AB118" t="s">
        <v>155</v>
      </c>
      <c r="AC118" t="s">
        <v>129</v>
      </c>
      <c r="AD118">
        <v>3</v>
      </c>
      <c r="AE118">
        <v>100</v>
      </c>
      <c r="AF118" t="s">
        <v>1507</v>
      </c>
      <c r="AG118" t="s">
        <v>128</v>
      </c>
      <c r="AH118" t="s">
        <v>129</v>
      </c>
      <c r="AI118">
        <v>1</v>
      </c>
      <c r="AL118">
        <v>1167</v>
      </c>
      <c r="AN118" t="s">
        <v>131</v>
      </c>
      <c r="AO118">
        <v>1</v>
      </c>
      <c r="AP118">
        <v>0</v>
      </c>
      <c r="AQ118">
        <v>0</v>
      </c>
      <c r="AR118">
        <v>0</v>
      </c>
      <c r="AS118">
        <v>15200</v>
      </c>
      <c r="AT118" t="s">
        <v>178</v>
      </c>
      <c r="AU118">
        <v>1</v>
      </c>
      <c r="AV118">
        <v>0</v>
      </c>
      <c r="AW118">
        <v>1</v>
      </c>
      <c r="BC118" t="s">
        <v>209</v>
      </c>
      <c r="BD118" t="s">
        <v>230</v>
      </c>
      <c r="BE118">
        <v>2.5</v>
      </c>
      <c r="BF118">
        <v>0</v>
      </c>
      <c r="BG118">
        <v>0</v>
      </c>
      <c r="BH118" s="1">
        <v>44397</v>
      </c>
      <c r="BI118" t="s">
        <v>159</v>
      </c>
      <c r="BJ118">
        <v>0</v>
      </c>
      <c r="BK118" t="s">
        <v>225</v>
      </c>
      <c r="BL118" t="s">
        <v>128</v>
      </c>
      <c r="BM118">
        <v>15200</v>
      </c>
      <c r="BN118">
        <v>1</v>
      </c>
      <c r="BO118">
        <v>7</v>
      </c>
      <c r="BP118">
        <v>1</v>
      </c>
      <c r="BQ118">
        <v>1167</v>
      </c>
      <c r="BR118">
        <v>16</v>
      </c>
      <c r="BS118">
        <v>38.107182404</v>
      </c>
      <c r="BT118">
        <v>-80.709045669999895</v>
      </c>
      <c r="BU118">
        <v>0</v>
      </c>
      <c r="BV118">
        <v>-1</v>
      </c>
      <c r="BW118">
        <v>0</v>
      </c>
      <c r="BX118" t="s">
        <v>134</v>
      </c>
      <c r="BY118">
        <v>0</v>
      </c>
      <c r="BZ118">
        <v>0</v>
      </c>
      <c r="CA118">
        <v>0</v>
      </c>
      <c r="CB118">
        <v>7600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O118">
        <v>0</v>
      </c>
      <c r="CP118">
        <v>0</v>
      </c>
      <c r="CQ118" t="s">
        <v>1659</v>
      </c>
      <c r="CR118" t="s">
        <v>183</v>
      </c>
      <c r="CS118" t="s">
        <v>161</v>
      </c>
      <c r="CT118" t="s">
        <v>139</v>
      </c>
      <c r="CU118" t="s">
        <v>163</v>
      </c>
      <c r="CW118">
        <v>4</v>
      </c>
      <c r="CX118" t="s">
        <v>1660</v>
      </c>
      <c r="CY118" t="s">
        <v>1661</v>
      </c>
      <c r="CZ118" t="s">
        <v>1680</v>
      </c>
      <c r="DA118" t="s">
        <v>1662</v>
      </c>
      <c r="DB118">
        <v>0</v>
      </c>
      <c r="DC118">
        <v>15200</v>
      </c>
    </row>
    <row r="119" spans="1:107" x14ac:dyDescent="0.25">
      <c r="A119" t="s">
        <v>1454</v>
      </c>
      <c r="B119" t="s">
        <v>108</v>
      </c>
      <c r="C119" t="s">
        <v>1455</v>
      </c>
      <c r="D119" t="s">
        <v>1456</v>
      </c>
      <c r="F119" s="3" t="str">
        <f>HYPERLINK("https://mapwv.gov/flood/map/?wkid=102100&amp;x=-9056389.009760588&amp;y=4648348.508415076&amp;l=13&amp;v=2","FT")</f>
        <v>FT</v>
      </c>
      <c r="G119" s="3" t="str">
        <f>HYPERLINK("https://mapwv.gov/Assessment/Detail/?PID=20020006000100000000","Assessment")</f>
        <v>Assessment</v>
      </c>
      <c r="H119">
        <v>540075</v>
      </c>
      <c r="I119" t="s">
        <v>1425</v>
      </c>
      <c r="J119" t="s">
        <v>1282</v>
      </c>
      <c r="K119" t="s">
        <v>113</v>
      </c>
      <c r="L119" t="s">
        <v>596</v>
      </c>
      <c r="M119" t="s">
        <v>172</v>
      </c>
      <c r="N119" t="s">
        <v>199</v>
      </c>
      <c r="O119" t="s">
        <v>117</v>
      </c>
      <c r="P119" t="s">
        <v>150</v>
      </c>
      <c r="Q119" t="s">
        <v>119</v>
      </c>
      <c r="R119">
        <v>11.1</v>
      </c>
      <c r="S119" t="s">
        <v>120</v>
      </c>
      <c r="T119" t="s">
        <v>151</v>
      </c>
      <c r="U119" t="s">
        <v>151</v>
      </c>
      <c r="V119">
        <v>619.29999999999995</v>
      </c>
      <c r="X119" t="s">
        <v>1457</v>
      </c>
      <c r="Y119" t="s">
        <v>1458</v>
      </c>
      <c r="Z119">
        <v>1937</v>
      </c>
      <c r="AA119" t="s">
        <v>175</v>
      </c>
      <c r="AB119" t="s">
        <v>125</v>
      </c>
      <c r="AC119" t="s">
        <v>126</v>
      </c>
      <c r="AD119">
        <v>4</v>
      </c>
      <c r="AE119">
        <v>101</v>
      </c>
      <c r="AF119" t="s">
        <v>127</v>
      </c>
      <c r="AG119" t="s">
        <v>128</v>
      </c>
      <c r="AH119" t="s">
        <v>129</v>
      </c>
      <c r="AI119">
        <v>1</v>
      </c>
      <c r="AK119" t="s">
        <v>545</v>
      </c>
      <c r="AL119">
        <v>1100</v>
      </c>
      <c r="AN119" t="s">
        <v>131</v>
      </c>
      <c r="AO119">
        <v>1</v>
      </c>
      <c r="AP119">
        <v>15100</v>
      </c>
      <c r="AQ119">
        <v>0</v>
      </c>
      <c r="AR119">
        <v>0</v>
      </c>
      <c r="AS119">
        <v>15100</v>
      </c>
      <c r="AT119" t="s">
        <v>132</v>
      </c>
      <c r="AU119">
        <v>1</v>
      </c>
      <c r="AV119">
        <v>0</v>
      </c>
      <c r="AW119">
        <v>1</v>
      </c>
      <c r="BE119">
        <v>2.5</v>
      </c>
      <c r="BF119">
        <v>1</v>
      </c>
      <c r="BG119">
        <v>2.5</v>
      </c>
      <c r="BH119" s="1">
        <v>44362</v>
      </c>
      <c r="BI119" t="s">
        <v>1428</v>
      </c>
      <c r="BJ119">
        <v>1937</v>
      </c>
      <c r="BK119" t="s">
        <v>119</v>
      </c>
      <c r="BL119" t="s">
        <v>128</v>
      </c>
      <c r="BM119">
        <v>15100</v>
      </c>
      <c r="BN119">
        <v>1</v>
      </c>
      <c r="BO119">
        <v>7</v>
      </c>
      <c r="BP119">
        <v>1</v>
      </c>
      <c r="BQ119">
        <v>1100</v>
      </c>
      <c r="BR119">
        <v>11447</v>
      </c>
      <c r="BS119">
        <v>38.486266229000101</v>
      </c>
      <c r="BT119">
        <v>-81.354926663999905</v>
      </c>
      <c r="BU119">
        <v>10.9575809999999</v>
      </c>
      <c r="BV119">
        <v>9.95758056640625</v>
      </c>
      <c r="BW119">
        <v>1</v>
      </c>
      <c r="BX119" t="s">
        <v>134</v>
      </c>
      <c r="BY119">
        <v>129</v>
      </c>
      <c r="BZ119">
        <v>72.9151611328125</v>
      </c>
      <c r="CA119">
        <v>11010.1893310546</v>
      </c>
      <c r="CB119">
        <v>7550</v>
      </c>
      <c r="CC119">
        <v>45</v>
      </c>
      <c r="CD119">
        <v>75.9151611328125</v>
      </c>
      <c r="CE119">
        <v>5731.5946655273401</v>
      </c>
      <c r="CF119">
        <v>0</v>
      </c>
      <c r="CG119">
        <v>0</v>
      </c>
      <c r="CH119">
        <v>0</v>
      </c>
      <c r="CI119">
        <v>0</v>
      </c>
      <c r="CJ119" t="s">
        <v>850</v>
      </c>
      <c r="CK119">
        <v>7.48</v>
      </c>
      <c r="CL119">
        <v>7.15</v>
      </c>
      <c r="CM119">
        <v>27.5</v>
      </c>
      <c r="CN119">
        <v>42.13</v>
      </c>
      <c r="CO119">
        <v>360</v>
      </c>
      <c r="CP119">
        <v>720</v>
      </c>
      <c r="CQ119" t="s">
        <v>1286</v>
      </c>
      <c r="CR119" t="s">
        <v>385</v>
      </c>
      <c r="CS119" t="s">
        <v>138</v>
      </c>
      <c r="CT119" t="s">
        <v>139</v>
      </c>
      <c r="CU119" t="s">
        <v>274</v>
      </c>
      <c r="CW119">
        <v>3</v>
      </c>
      <c r="CX119" t="s">
        <v>1430</v>
      </c>
      <c r="CY119" t="s">
        <v>1288</v>
      </c>
      <c r="CZ119" t="s">
        <v>1456</v>
      </c>
      <c r="DA119" t="s">
        <v>1289</v>
      </c>
      <c r="DB119">
        <v>0</v>
      </c>
      <c r="DC119">
        <v>15100</v>
      </c>
    </row>
    <row r="120" spans="1:107" x14ac:dyDescent="0.25">
      <c r="A120" t="s">
        <v>947</v>
      </c>
      <c r="B120" t="s">
        <v>108</v>
      </c>
      <c r="C120" t="s">
        <v>948</v>
      </c>
      <c r="D120" t="s">
        <v>949</v>
      </c>
      <c r="F120" s="3" t="str">
        <f>HYPERLINK("https://mapwv.gov/flood/map/?wkid=102100&amp;x=-9143773.549451396&amp;y=4697678.038927909&amp;l=13&amp;v=2","FT")</f>
        <v>FT</v>
      </c>
      <c r="G120" s="3" t="str">
        <f>HYPERLINK("https://mapwv.gov/Assessment/Detail/?PID=26080001011200010000","Assessment")</f>
        <v>Assessment</v>
      </c>
      <c r="H120">
        <v>540251</v>
      </c>
      <c r="I120" t="s">
        <v>950</v>
      </c>
      <c r="J120" t="s">
        <v>907</v>
      </c>
      <c r="K120" t="s">
        <v>113</v>
      </c>
      <c r="L120" t="s">
        <v>920</v>
      </c>
      <c r="M120" t="s">
        <v>577</v>
      </c>
      <c r="N120" t="s">
        <v>199</v>
      </c>
      <c r="O120" t="s">
        <v>117</v>
      </c>
      <c r="P120" t="s">
        <v>150</v>
      </c>
      <c r="Q120" t="s">
        <v>260</v>
      </c>
      <c r="R120">
        <v>6.5</v>
      </c>
      <c r="S120" t="s">
        <v>120</v>
      </c>
      <c r="T120" t="s">
        <v>151</v>
      </c>
      <c r="U120" t="s">
        <v>151</v>
      </c>
      <c r="V120">
        <v>562.79999999999995</v>
      </c>
      <c r="X120" t="s">
        <v>951</v>
      </c>
      <c r="Y120" t="s">
        <v>952</v>
      </c>
      <c r="Z120">
        <v>1997</v>
      </c>
      <c r="AA120" t="s">
        <v>175</v>
      </c>
      <c r="AB120" t="s">
        <v>155</v>
      </c>
      <c r="AC120" t="s">
        <v>129</v>
      </c>
      <c r="AD120">
        <v>2</v>
      </c>
      <c r="AE120">
        <v>108</v>
      </c>
      <c r="AF120" t="s">
        <v>176</v>
      </c>
      <c r="AG120" t="s">
        <v>177</v>
      </c>
      <c r="AH120" t="s">
        <v>129</v>
      </c>
      <c r="AI120">
        <v>1</v>
      </c>
      <c r="AL120">
        <v>1064</v>
      </c>
      <c r="AN120" t="s">
        <v>158</v>
      </c>
      <c r="AO120">
        <v>4</v>
      </c>
      <c r="AP120">
        <v>0</v>
      </c>
      <c r="AQ120">
        <v>0</v>
      </c>
      <c r="AR120">
        <v>14860</v>
      </c>
      <c r="AS120">
        <v>14900</v>
      </c>
      <c r="AT120" t="s">
        <v>132</v>
      </c>
      <c r="AU120">
        <v>1</v>
      </c>
      <c r="AV120">
        <v>5</v>
      </c>
      <c r="AW120">
        <v>1</v>
      </c>
      <c r="BE120">
        <v>2.7</v>
      </c>
      <c r="BF120">
        <v>1</v>
      </c>
      <c r="BG120">
        <v>2.7</v>
      </c>
      <c r="BH120" s="1">
        <v>44335</v>
      </c>
      <c r="BI120" t="s">
        <v>210</v>
      </c>
      <c r="BJ120">
        <v>1997</v>
      </c>
      <c r="BK120" t="s">
        <v>260</v>
      </c>
      <c r="BL120" t="s">
        <v>177</v>
      </c>
      <c r="BM120">
        <v>14900</v>
      </c>
      <c r="BN120">
        <v>1</v>
      </c>
      <c r="BO120">
        <v>5</v>
      </c>
      <c r="BP120">
        <v>4</v>
      </c>
      <c r="BQ120">
        <v>1064</v>
      </c>
      <c r="BR120">
        <v>1475</v>
      </c>
      <c r="BS120">
        <v>38.8322976480001</v>
      </c>
      <c r="BT120">
        <v>-82.139915340000002</v>
      </c>
      <c r="BU120">
        <v>6.3865967000000001</v>
      </c>
      <c r="BV120">
        <v>2.3865966796875</v>
      </c>
      <c r="BW120">
        <v>1</v>
      </c>
      <c r="BX120" t="s">
        <v>181</v>
      </c>
      <c r="BY120">
        <v>189</v>
      </c>
      <c r="BZ120">
        <v>66.865966796875</v>
      </c>
      <c r="CA120">
        <v>9963.0290527343695</v>
      </c>
      <c r="CB120">
        <v>7450</v>
      </c>
      <c r="CC120">
        <v>74</v>
      </c>
      <c r="CD120">
        <v>54.7989501953125</v>
      </c>
      <c r="CE120">
        <v>4082.5217895507799</v>
      </c>
      <c r="CF120">
        <v>0</v>
      </c>
      <c r="CG120">
        <v>0</v>
      </c>
      <c r="CH120">
        <v>0</v>
      </c>
      <c r="CI120">
        <v>0</v>
      </c>
      <c r="CJ120" t="s">
        <v>273</v>
      </c>
      <c r="CK120">
        <v>6.9160000000000004</v>
      </c>
      <c r="CL120">
        <v>10.64</v>
      </c>
      <c r="CM120">
        <v>12.768000000000001</v>
      </c>
      <c r="CN120">
        <v>30.324000000000002</v>
      </c>
      <c r="CO120">
        <v>360</v>
      </c>
      <c r="CP120">
        <v>720</v>
      </c>
      <c r="CQ120" t="s">
        <v>912</v>
      </c>
      <c r="CR120" t="s">
        <v>183</v>
      </c>
      <c r="CS120" t="s">
        <v>138</v>
      </c>
      <c r="CT120" t="s">
        <v>139</v>
      </c>
      <c r="CU120" t="s">
        <v>274</v>
      </c>
      <c r="CW120">
        <v>2</v>
      </c>
      <c r="CX120" t="s">
        <v>953</v>
      </c>
      <c r="CY120" t="s">
        <v>914</v>
      </c>
      <c r="CZ120" t="s">
        <v>949</v>
      </c>
      <c r="DA120" t="s">
        <v>915</v>
      </c>
      <c r="DB120">
        <v>0</v>
      </c>
      <c r="DC120">
        <v>14900</v>
      </c>
    </row>
    <row r="121" spans="1:107" x14ac:dyDescent="0.25">
      <c r="A121" t="s">
        <v>925</v>
      </c>
      <c r="B121" t="s">
        <v>108</v>
      </c>
      <c r="C121" t="s">
        <v>926</v>
      </c>
      <c r="D121" t="s">
        <v>927</v>
      </c>
      <c r="F121" s="3" t="str">
        <f>HYPERLINK("https://mapwv.gov/flood/map/?wkid=102100&amp;x=-9134607.370331924&amp;y=4719881.5327664055&amp;l=13&amp;v=2","FT")</f>
        <v>FT</v>
      </c>
      <c r="G121" s="3" t="str">
        <f>HYPERLINK("https://mapwv.gov/Assessment/Detail/?PID=26160144001200000000","Assessment")</f>
        <v>Assessment</v>
      </c>
      <c r="H121">
        <v>540112</v>
      </c>
      <c r="I121" t="s">
        <v>928</v>
      </c>
      <c r="J121" t="s">
        <v>907</v>
      </c>
      <c r="K121" t="s">
        <v>148</v>
      </c>
      <c r="L121" t="s">
        <v>920</v>
      </c>
      <c r="M121" t="s">
        <v>921</v>
      </c>
      <c r="N121" t="s">
        <v>199</v>
      </c>
      <c r="O121" t="s">
        <v>383</v>
      </c>
      <c r="P121" t="s">
        <v>150</v>
      </c>
      <c r="Q121" t="s">
        <v>260</v>
      </c>
      <c r="R121">
        <v>13.1</v>
      </c>
      <c r="S121" t="s">
        <v>120</v>
      </c>
      <c r="T121" t="s">
        <v>151</v>
      </c>
      <c r="U121" t="s">
        <v>151</v>
      </c>
      <c r="V121">
        <v>562.1</v>
      </c>
      <c r="X121" t="s">
        <v>929</v>
      </c>
      <c r="Y121" t="s">
        <v>930</v>
      </c>
      <c r="Z121">
        <v>1985</v>
      </c>
      <c r="AA121" t="s">
        <v>175</v>
      </c>
      <c r="AB121" t="s">
        <v>155</v>
      </c>
      <c r="AC121" t="s">
        <v>129</v>
      </c>
      <c r="AD121">
        <v>2</v>
      </c>
      <c r="AE121">
        <v>108</v>
      </c>
      <c r="AF121" t="s">
        <v>176</v>
      </c>
      <c r="AG121" t="s">
        <v>177</v>
      </c>
      <c r="AH121" t="s">
        <v>129</v>
      </c>
      <c r="AI121">
        <v>1</v>
      </c>
      <c r="AL121">
        <v>1000</v>
      </c>
      <c r="AN121" t="s">
        <v>158</v>
      </c>
      <c r="AO121">
        <v>4</v>
      </c>
      <c r="AP121">
        <v>0</v>
      </c>
      <c r="AQ121">
        <v>0</v>
      </c>
      <c r="AR121">
        <v>14700</v>
      </c>
      <c r="AS121">
        <v>14000</v>
      </c>
      <c r="AT121" t="s">
        <v>228</v>
      </c>
      <c r="AU121">
        <v>1</v>
      </c>
      <c r="AV121">
        <v>2</v>
      </c>
      <c r="AW121">
        <v>1</v>
      </c>
      <c r="BB121" t="s">
        <v>931</v>
      </c>
      <c r="BC121" t="s">
        <v>614</v>
      </c>
      <c r="BD121" t="s">
        <v>230</v>
      </c>
      <c r="BE121">
        <v>2.4</v>
      </c>
      <c r="BF121">
        <v>1</v>
      </c>
      <c r="BG121">
        <v>2.4</v>
      </c>
      <c r="BH121" s="1">
        <v>44335</v>
      </c>
      <c r="BI121" t="s">
        <v>384</v>
      </c>
      <c r="BJ121">
        <v>1985</v>
      </c>
      <c r="BK121" t="s">
        <v>260</v>
      </c>
      <c r="BL121" t="s">
        <v>177</v>
      </c>
      <c r="BM121">
        <v>14000</v>
      </c>
      <c r="BN121">
        <v>1</v>
      </c>
      <c r="BO121">
        <v>5</v>
      </c>
      <c r="BP121">
        <v>4</v>
      </c>
      <c r="BQ121">
        <v>1000</v>
      </c>
      <c r="BR121">
        <v>725</v>
      </c>
      <c r="BS121">
        <v>38.987502233000001</v>
      </c>
      <c r="BT121">
        <v>-82.057574152000001</v>
      </c>
      <c r="BU121">
        <v>12.938477000000001</v>
      </c>
      <c r="BV121">
        <v>8.9384765625</v>
      </c>
      <c r="BW121">
        <v>1</v>
      </c>
      <c r="BX121" t="s">
        <v>181</v>
      </c>
      <c r="BY121">
        <v>189</v>
      </c>
      <c r="BZ121">
        <v>83.9384765625</v>
      </c>
      <c r="CA121">
        <v>11751.38671875</v>
      </c>
      <c r="CB121">
        <v>7000</v>
      </c>
      <c r="CC121">
        <v>74</v>
      </c>
      <c r="CD121">
        <v>82.876953125</v>
      </c>
      <c r="CE121">
        <v>5801.38671875</v>
      </c>
      <c r="CF121">
        <v>0</v>
      </c>
      <c r="CG121">
        <v>0</v>
      </c>
      <c r="CH121">
        <v>0</v>
      </c>
      <c r="CI121">
        <v>0</v>
      </c>
      <c r="CJ121" t="s">
        <v>811</v>
      </c>
      <c r="CK121">
        <v>6.5</v>
      </c>
      <c r="CL121">
        <v>10</v>
      </c>
      <c r="CM121">
        <v>12</v>
      </c>
      <c r="CN121">
        <v>28.5</v>
      </c>
      <c r="CO121">
        <v>360</v>
      </c>
      <c r="CP121">
        <v>720</v>
      </c>
      <c r="CQ121" t="s">
        <v>912</v>
      </c>
      <c r="CR121" t="s">
        <v>385</v>
      </c>
      <c r="CS121" t="s">
        <v>138</v>
      </c>
      <c r="CT121" t="s">
        <v>139</v>
      </c>
      <c r="CU121" t="s">
        <v>274</v>
      </c>
      <c r="CW121">
        <v>2</v>
      </c>
      <c r="CX121" t="s">
        <v>932</v>
      </c>
      <c r="CY121" t="s">
        <v>914</v>
      </c>
      <c r="CZ121" t="s">
        <v>927</v>
      </c>
      <c r="DA121" t="s">
        <v>915</v>
      </c>
      <c r="DB121">
        <v>0</v>
      </c>
      <c r="DC121">
        <v>14700</v>
      </c>
    </row>
    <row r="122" spans="1:107" x14ac:dyDescent="0.25">
      <c r="A122" t="s">
        <v>959</v>
      </c>
      <c r="B122" t="s">
        <v>108</v>
      </c>
      <c r="C122" t="s">
        <v>960</v>
      </c>
      <c r="D122" t="s">
        <v>927</v>
      </c>
      <c r="F122" s="3" t="str">
        <f>HYPERLINK("https://mapwv.gov/flood/map/?wkid=102100&amp;x=-9134585.755649036&amp;y=4719894.879085972&amp;l=13&amp;v=2","FT")</f>
        <v>FT</v>
      </c>
      <c r="G122" s="3" t="str">
        <f>HYPERLINK("https://mapwv.gov/Assessment/Detail/?PID=26160144001200000000","Assessment")</f>
        <v>Assessment</v>
      </c>
      <c r="H122">
        <v>540112</v>
      </c>
      <c r="I122" t="s">
        <v>928</v>
      </c>
      <c r="J122" t="s">
        <v>907</v>
      </c>
      <c r="K122" t="s">
        <v>148</v>
      </c>
      <c r="L122" t="s">
        <v>920</v>
      </c>
      <c r="M122" t="s">
        <v>921</v>
      </c>
      <c r="N122" t="s">
        <v>199</v>
      </c>
      <c r="O122" t="s">
        <v>383</v>
      </c>
      <c r="P122" t="s">
        <v>150</v>
      </c>
      <c r="Q122" t="s">
        <v>260</v>
      </c>
      <c r="R122">
        <v>11.9</v>
      </c>
      <c r="S122" t="s">
        <v>120</v>
      </c>
      <c r="T122" t="s">
        <v>151</v>
      </c>
      <c r="U122" t="s">
        <v>151</v>
      </c>
      <c r="V122">
        <v>563.20000000000005</v>
      </c>
      <c r="X122" t="s">
        <v>929</v>
      </c>
      <c r="Y122" t="s">
        <v>930</v>
      </c>
      <c r="Z122">
        <v>1985</v>
      </c>
      <c r="AA122" t="s">
        <v>175</v>
      </c>
      <c r="AB122" t="s">
        <v>155</v>
      </c>
      <c r="AC122" t="s">
        <v>129</v>
      </c>
      <c r="AD122">
        <v>2</v>
      </c>
      <c r="AE122">
        <v>108</v>
      </c>
      <c r="AF122" t="s">
        <v>176</v>
      </c>
      <c r="AG122" t="s">
        <v>177</v>
      </c>
      <c r="AH122" t="s">
        <v>129</v>
      </c>
      <c r="AI122">
        <v>1</v>
      </c>
      <c r="AL122">
        <v>1152</v>
      </c>
      <c r="AN122" t="s">
        <v>158</v>
      </c>
      <c r="AO122">
        <v>4</v>
      </c>
      <c r="AP122">
        <v>0</v>
      </c>
      <c r="AQ122">
        <v>0</v>
      </c>
      <c r="AR122">
        <v>14700</v>
      </c>
      <c r="AS122">
        <v>14700</v>
      </c>
      <c r="AT122" t="s">
        <v>132</v>
      </c>
      <c r="AU122">
        <v>1</v>
      </c>
      <c r="AV122">
        <v>2</v>
      </c>
      <c r="AW122">
        <v>1</v>
      </c>
      <c r="BE122">
        <v>2.4</v>
      </c>
      <c r="BF122">
        <v>1</v>
      </c>
      <c r="BG122">
        <v>2.4</v>
      </c>
      <c r="BH122" s="1">
        <v>44335</v>
      </c>
      <c r="BI122" t="s">
        <v>384</v>
      </c>
      <c r="BJ122">
        <v>1985</v>
      </c>
      <c r="BK122" t="s">
        <v>260</v>
      </c>
      <c r="BL122" t="s">
        <v>177</v>
      </c>
      <c r="BM122">
        <v>14700</v>
      </c>
      <c r="BN122">
        <v>1</v>
      </c>
      <c r="BO122">
        <v>5</v>
      </c>
      <c r="BP122">
        <v>4</v>
      </c>
      <c r="BQ122">
        <v>1152</v>
      </c>
      <c r="BR122">
        <v>734</v>
      </c>
      <c r="BS122">
        <v>38.987595423000101</v>
      </c>
      <c r="BT122">
        <v>-82.057379983999894</v>
      </c>
      <c r="BU122">
        <v>11.718567</v>
      </c>
      <c r="BV122">
        <v>7.71856689453125</v>
      </c>
      <c r="BW122">
        <v>1</v>
      </c>
      <c r="BX122" t="s">
        <v>181</v>
      </c>
      <c r="BY122">
        <v>189</v>
      </c>
      <c r="BZ122">
        <v>82.718566894531193</v>
      </c>
      <c r="CA122">
        <v>12159.629333495999</v>
      </c>
      <c r="CB122">
        <v>7350</v>
      </c>
      <c r="CC122">
        <v>74</v>
      </c>
      <c r="CD122">
        <v>80.4371337890625</v>
      </c>
      <c r="CE122">
        <v>5912.1293334960901</v>
      </c>
      <c r="CF122">
        <v>0</v>
      </c>
      <c r="CG122">
        <v>0</v>
      </c>
      <c r="CH122">
        <v>0</v>
      </c>
      <c r="CI122">
        <v>0</v>
      </c>
      <c r="CJ122" t="s">
        <v>826</v>
      </c>
      <c r="CK122">
        <v>7.4880000000000004</v>
      </c>
      <c r="CL122">
        <v>11.52</v>
      </c>
      <c r="CM122">
        <v>13.824</v>
      </c>
      <c r="CN122">
        <v>32.832000000000001</v>
      </c>
      <c r="CO122">
        <v>360</v>
      </c>
      <c r="CP122">
        <v>720</v>
      </c>
      <c r="CQ122" t="s">
        <v>912</v>
      </c>
      <c r="CR122" t="s">
        <v>385</v>
      </c>
      <c r="CS122" t="s">
        <v>138</v>
      </c>
      <c r="CT122" t="s">
        <v>139</v>
      </c>
      <c r="CU122" t="s">
        <v>274</v>
      </c>
      <c r="CW122">
        <v>2</v>
      </c>
      <c r="CX122" t="s">
        <v>932</v>
      </c>
      <c r="CY122" t="s">
        <v>914</v>
      </c>
      <c r="CZ122" t="s">
        <v>927</v>
      </c>
      <c r="DA122" t="s">
        <v>915</v>
      </c>
      <c r="DB122">
        <v>0</v>
      </c>
      <c r="DC122">
        <v>14700</v>
      </c>
    </row>
    <row r="123" spans="1:107" x14ac:dyDescent="0.25">
      <c r="A123" t="s">
        <v>1858</v>
      </c>
      <c r="B123" t="s">
        <v>108</v>
      </c>
      <c r="C123" t="s">
        <v>1859</v>
      </c>
      <c r="D123" t="s">
        <v>1860</v>
      </c>
      <c r="F123" s="3" t="str">
        <f>HYPERLINK("https://mapwv.gov/flood/map/?wkid=102100&amp;x=-9007226.60856279&amp;y=4792205.652484419&amp;l=13&amp;v=2","FT")</f>
        <v>FT</v>
      </c>
      <c r="G123" s="3" t="str">
        <f>HYPERLINK("https://mapwv.gov/Assessment/Detail/?PID=48070003017600000000","Assessment")</f>
        <v>Assessment</v>
      </c>
      <c r="H123">
        <v>540195</v>
      </c>
      <c r="I123" t="s">
        <v>1861</v>
      </c>
      <c r="J123" t="s">
        <v>1832</v>
      </c>
      <c r="K123" t="s">
        <v>113</v>
      </c>
      <c r="L123" t="s">
        <v>1833</v>
      </c>
      <c r="M123" t="s">
        <v>1834</v>
      </c>
      <c r="N123" t="s">
        <v>199</v>
      </c>
      <c r="O123" t="s">
        <v>117</v>
      </c>
      <c r="P123" t="s">
        <v>150</v>
      </c>
      <c r="Q123" t="s">
        <v>225</v>
      </c>
      <c r="R123" t="s">
        <v>151</v>
      </c>
      <c r="S123" t="s">
        <v>151</v>
      </c>
      <c r="T123" t="s">
        <v>151</v>
      </c>
      <c r="U123" t="s">
        <v>151</v>
      </c>
      <c r="V123">
        <v>688.7</v>
      </c>
      <c r="X123" t="s">
        <v>1862</v>
      </c>
      <c r="Y123" t="s">
        <v>1863</v>
      </c>
      <c r="Z123">
        <v>0</v>
      </c>
      <c r="AB123" t="s">
        <v>155</v>
      </c>
      <c r="AC123" t="s">
        <v>129</v>
      </c>
      <c r="AD123">
        <v>4</v>
      </c>
      <c r="AE123">
        <v>108</v>
      </c>
      <c r="AF123" t="s">
        <v>176</v>
      </c>
      <c r="AG123" t="s">
        <v>177</v>
      </c>
      <c r="AH123" t="s">
        <v>129</v>
      </c>
      <c r="AI123">
        <v>1</v>
      </c>
      <c r="AL123">
        <v>1524</v>
      </c>
      <c r="AN123" t="s">
        <v>158</v>
      </c>
      <c r="AO123">
        <v>3.5</v>
      </c>
      <c r="AP123">
        <v>0</v>
      </c>
      <c r="AQ123">
        <v>0</v>
      </c>
      <c r="AR123">
        <v>0</v>
      </c>
      <c r="AS123">
        <v>27440</v>
      </c>
      <c r="AT123" t="s">
        <v>178</v>
      </c>
      <c r="AU123">
        <v>1</v>
      </c>
      <c r="AV123">
        <v>0</v>
      </c>
      <c r="AW123">
        <v>1</v>
      </c>
      <c r="BE123">
        <v>2.2000000000000002</v>
      </c>
      <c r="BF123">
        <v>0</v>
      </c>
      <c r="BG123">
        <v>0</v>
      </c>
      <c r="BH123" s="1">
        <v>44412</v>
      </c>
      <c r="BI123" t="s">
        <v>441</v>
      </c>
      <c r="BJ123">
        <v>0</v>
      </c>
      <c r="BK123" t="s">
        <v>225</v>
      </c>
      <c r="BL123" t="s">
        <v>177</v>
      </c>
      <c r="BM123">
        <v>27440</v>
      </c>
      <c r="BN123">
        <v>1</v>
      </c>
      <c r="BO123">
        <v>5</v>
      </c>
      <c r="BP123">
        <v>3.5</v>
      </c>
      <c r="BQ123">
        <v>1524</v>
      </c>
      <c r="BR123">
        <v>672</v>
      </c>
      <c r="BS123">
        <v>39.4906984819999</v>
      </c>
      <c r="BT123">
        <v>-80.913293300000007</v>
      </c>
      <c r="BU123">
        <v>0</v>
      </c>
      <c r="BV123">
        <v>-3.5</v>
      </c>
      <c r="BW123">
        <v>0</v>
      </c>
      <c r="BX123" t="s">
        <v>181</v>
      </c>
      <c r="BY123">
        <v>0</v>
      </c>
      <c r="BZ123">
        <v>0</v>
      </c>
      <c r="CA123">
        <v>0</v>
      </c>
      <c r="CB123">
        <v>13720</v>
      </c>
      <c r="CC123">
        <v>0</v>
      </c>
      <c r="CD123">
        <v>0</v>
      </c>
      <c r="CE123">
        <v>0</v>
      </c>
      <c r="CF123">
        <v>0</v>
      </c>
      <c r="CG123">
        <v>0</v>
      </c>
      <c r="CH123">
        <v>0</v>
      </c>
      <c r="CI123">
        <v>0</v>
      </c>
      <c r="CO123">
        <v>0</v>
      </c>
      <c r="CP123">
        <v>0</v>
      </c>
      <c r="CQ123" t="s">
        <v>1837</v>
      </c>
      <c r="CR123" t="s">
        <v>160</v>
      </c>
      <c r="CS123" t="s">
        <v>161</v>
      </c>
      <c r="CT123" t="s">
        <v>139</v>
      </c>
      <c r="CU123" t="s">
        <v>163</v>
      </c>
      <c r="CW123">
        <v>5</v>
      </c>
      <c r="CX123" t="s">
        <v>1864</v>
      </c>
      <c r="CY123" t="s">
        <v>1839</v>
      </c>
      <c r="CZ123" t="s">
        <v>1860</v>
      </c>
      <c r="DA123" t="s">
        <v>1840</v>
      </c>
      <c r="DB123">
        <v>0</v>
      </c>
      <c r="DC123">
        <v>14700</v>
      </c>
    </row>
    <row r="124" spans="1:107" x14ac:dyDescent="0.25">
      <c r="A124" t="s">
        <v>1699</v>
      </c>
      <c r="B124" t="s">
        <v>108</v>
      </c>
      <c r="C124" t="s">
        <v>1700</v>
      </c>
      <c r="D124" t="s">
        <v>1701</v>
      </c>
      <c r="F124" s="3" t="str">
        <f>HYPERLINK("https://mapwv.gov/flood/map/?wkid=102100&amp;x=-9049983.066878697&amp;y=4606185.574340475&amp;l=13&amp;v=2","FT")</f>
        <v>FT</v>
      </c>
      <c r="G124" s="3" t="str">
        <f>HYPERLINK("https://mapwv.gov/Assessment/Detail/?PID=1003013R001300000000","Assessment")</f>
        <v>Assessment</v>
      </c>
      <c r="H124">
        <v>540026</v>
      </c>
      <c r="I124" t="s">
        <v>1702</v>
      </c>
      <c r="J124" t="s">
        <v>1703</v>
      </c>
      <c r="K124" t="s">
        <v>148</v>
      </c>
      <c r="L124" t="s">
        <v>1704</v>
      </c>
      <c r="M124" t="s">
        <v>1308</v>
      </c>
      <c r="N124" t="s">
        <v>149</v>
      </c>
      <c r="O124" t="s">
        <v>117</v>
      </c>
      <c r="P124" t="s">
        <v>150</v>
      </c>
      <c r="Q124" t="s">
        <v>225</v>
      </c>
      <c r="R124" t="s">
        <v>151</v>
      </c>
      <c r="S124" t="s">
        <v>151</v>
      </c>
      <c r="T124">
        <v>657.1</v>
      </c>
      <c r="U124" t="s">
        <v>121</v>
      </c>
      <c r="V124">
        <v>657.5</v>
      </c>
      <c r="X124" t="s">
        <v>1705</v>
      </c>
      <c r="Y124" t="s">
        <v>1706</v>
      </c>
      <c r="Z124">
        <v>0</v>
      </c>
      <c r="AB124" t="s">
        <v>155</v>
      </c>
      <c r="AC124" t="s">
        <v>129</v>
      </c>
      <c r="AD124">
        <v>3</v>
      </c>
      <c r="AE124">
        <v>100</v>
      </c>
      <c r="AF124" t="s">
        <v>1507</v>
      </c>
      <c r="AG124" t="s">
        <v>128</v>
      </c>
      <c r="AH124" t="s">
        <v>129</v>
      </c>
      <c r="AI124">
        <v>1</v>
      </c>
      <c r="AL124">
        <v>1217</v>
      </c>
      <c r="AN124" t="s">
        <v>131</v>
      </c>
      <c r="AO124">
        <v>1</v>
      </c>
      <c r="AP124">
        <v>0</v>
      </c>
      <c r="AQ124">
        <v>0</v>
      </c>
      <c r="AR124">
        <v>0</v>
      </c>
      <c r="AS124">
        <v>18933</v>
      </c>
      <c r="AT124" t="s">
        <v>1084</v>
      </c>
      <c r="AU124">
        <v>1</v>
      </c>
      <c r="AV124">
        <v>0</v>
      </c>
      <c r="BB124" t="s">
        <v>1707</v>
      </c>
      <c r="BC124" t="s">
        <v>230</v>
      </c>
      <c r="BE124">
        <v>2.5</v>
      </c>
      <c r="BF124">
        <v>0</v>
      </c>
      <c r="BG124">
        <v>0</v>
      </c>
      <c r="BH124" s="1">
        <v>44399</v>
      </c>
      <c r="BI124" t="s">
        <v>1708</v>
      </c>
      <c r="BJ124">
        <v>0</v>
      </c>
      <c r="BK124" t="s">
        <v>225</v>
      </c>
      <c r="BL124" t="s">
        <v>128</v>
      </c>
      <c r="BM124">
        <v>18933</v>
      </c>
      <c r="BN124">
        <v>1</v>
      </c>
      <c r="BO124">
        <v>7</v>
      </c>
      <c r="BP124">
        <v>1</v>
      </c>
      <c r="BQ124">
        <v>1217</v>
      </c>
      <c r="BR124">
        <v>1560</v>
      </c>
      <c r="BS124">
        <v>38.189182780000102</v>
      </c>
      <c r="BT124">
        <v>-81.297381099999797</v>
      </c>
      <c r="BU124">
        <v>0</v>
      </c>
      <c r="BV124">
        <v>-1</v>
      </c>
      <c r="BW124">
        <v>0</v>
      </c>
      <c r="BX124" t="s">
        <v>134</v>
      </c>
      <c r="BY124">
        <v>0</v>
      </c>
      <c r="BZ124">
        <v>0</v>
      </c>
      <c r="CA124">
        <v>0</v>
      </c>
      <c r="CB124">
        <v>9466.5</v>
      </c>
      <c r="CC124">
        <v>0</v>
      </c>
      <c r="CD124">
        <v>0</v>
      </c>
      <c r="CE124">
        <v>0</v>
      </c>
      <c r="CF124">
        <v>0</v>
      </c>
      <c r="CG124">
        <v>0</v>
      </c>
      <c r="CH124">
        <v>0</v>
      </c>
      <c r="CI124">
        <v>0</v>
      </c>
      <c r="CO124">
        <v>0</v>
      </c>
      <c r="CP124">
        <v>0</v>
      </c>
      <c r="CQ124" t="s">
        <v>1709</v>
      </c>
      <c r="CR124" t="s">
        <v>183</v>
      </c>
      <c r="CS124" t="s">
        <v>161</v>
      </c>
      <c r="CT124" t="s">
        <v>139</v>
      </c>
      <c r="CU124" t="s">
        <v>163</v>
      </c>
      <c r="CW124">
        <v>4</v>
      </c>
      <c r="CX124" t="s">
        <v>1710</v>
      </c>
      <c r="CY124" t="s">
        <v>1711</v>
      </c>
      <c r="CZ124" t="s">
        <v>1701</v>
      </c>
      <c r="DA124" t="s">
        <v>1712</v>
      </c>
      <c r="DB124">
        <v>0</v>
      </c>
      <c r="DC124">
        <v>14200</v>
      </c>
    </row>
    <row r="125" spans="1:107" x14ac:dyDescent="0.25">
      <c r="A125" t="s">
        <v>568</v>
      </c>
      <c r="B125" t="s">
        <v>108</v>
      </c>
      <c r="C125" t="s">
        <v>569</v>
      </c>
      <c r="D125" t="s">
        <v>570</v>
      </c>
      <c r="F125" s="3" t="str">
        <f>HYPERLINK("https://mapwv.gov/flood/map/?wkid=102100&amp;x=-9144434.147696232&amp;y=4640850.715310525&amp;l=13&amp;v=2","FT")</f>
        <v>FT</v>
      </c>
      <c r="G125" s="3" t="str">
        <f>HYPERLINK("https://mapwv.gov/Assessment/Detail/?PID=06090007000800000000","Assessment")</f>
        <v>Assessment</v>
      </c>
      <c r="H125">
        <v>540019</v>
      </c>
      <c r="I125" t="s">
        <v>556</v>
      </c>
      <c r="J125" t="s">
        <v>530</v>
      </c>
      <c r="K125" t="s">
        <v>113</v>
      </c>
      <c r="L125" t="s">
        <v>557</v>
      </c>
      <c r="M125" t="s">
        <v>550</v>
      </c>
      <c r="N125" t="s">
        <v>199</v>
      </c>
      <c r="O125" t="s">
        <v>117</v>
      </c>
      <c r="P125" t="s">
        <v>150</v>
      </c>
      <c r="Q125" t="s">
        <v>119</v>
      </c>
      <c r="R125" t="s">
        <v>151</v>
      </c>
      <c r="S125" t="s">
        <v>151</v>
      </c>
      <c r="T125" t="s">
        <v>151</v>
      </c>
      <c r="U125" t="s">
        <v>151</v>
      </c>
      <c r="V125">
        <v>586.20000000000005</v>
      </c>
      <c r="X125" t="s">
        <v>571</v>
      </c>
      <c r="Y125" t="s">
        <v>572</v>
      </c>
      <c r="Z125">
        <v>1920</v>
      </c>
      <c r="AA125" t="s">
        <v>124</v>
      </c>
      <c r="AB125" t="s">
        <v>155</v>
      </c>
      <c r="AC125" t="s">
        <v>129</v>
      </c>
      <c r="AD125">
        <v>4</v>
      </c>
      <c r="AE125">
        <v>101</v>
      </c>
      <c r="AF125" t="s">
        <v>127</v>
      </c>
      <c r="AG125" t="s">
        <v>128</v>
      </c>
      <c r="AH125" t="s">
        <v>129</v>
      </c>
      <c r="AI125">
        <v>1</v>
      </c>
      <c r="AJ125" t="s">
        <v>156</v>
      </c>
      <c r="AK125" t="s">
        <v>130</v>
      </c>
      <c r="AL125">
        <v>936</v>
      </c>
      <c r="AM125" t="s">
        <v>519</v>
      </c>
      <c r="AN125" t="s">
        <v>208</v>
      </c>
      <c r="AO125">
        <v>4</v>
      </c>
      <c r="AP125">
        <v>13800</v>
      </c>
      <c r="AQ125">
        <v>0</v>
      </c>
      <c r="AR125">
        <v>0</v>
      </c>
      <c r="AS125">
        <v>13800</v>
      </c>
      <c r="AT125" t="s">
        <v>132</v>
      </c>
      <c r="AU125">
        <v>1</v>
      </c>
      <c r="AV125">
        <v>0</v>
      </c>
      <c r="AW125">
        <v>1</v>
      </c>
      <c r="BE125">
        <v>2.2000000000000002</v>
      </c>
      <c r="BF125">
        <v>0</v>
      </c>
      <c r="BG125">
        <v>0</v>
      </c>
      <c r="BH125" s="1">
        <v>44319</v>
      </c>
      <c r="BI125" t="s">
        <v>441</v>
      </c>
      <c r="BJ125">
        <v>1920</v>
      </c>
      <c r="BK125" t="s">
        <v>119</v>
      </c>
      <c r="BL125" t="s">
        <v>128</v>
      </c>
      <c r="BM125">
        <v>13800</v>
      </c>
      <c r="BN125">
        <v>1</v>
      </c>
      <c r="BO125">
        <v>4</v>
      </c>
      <c r="BP125">
        <v>4</v>
      </c>
      <c r="BQ125">
        <v>936</v>
      </c>
      <c r="BR125">
        <v>2920</v>
      </c>
      <c r="BS125">
        <v>38.433525248000102</v>
      </c>
      <c r="BT125">
        <v>-82.145849595000001</v>
      </c>
      <c r="BU125">
        <v>0</v>
      </c>
      <c r="BV125">
        <v>-4</v>
      </c>
      <c r="BW125">
        <v>0</v>
      </c>
      <c r="BX125" t="s">
        <v>354</v>
      </c>
      <c r="BY125">
        <v>0</v>
      </c>
      <c r="BZ125">
        <v>0</v>
      </c>
      <c r="CA125">
        <v>0</v>
      </c>
      <c r="CB125">
        <v>6900</v>
      </c>
      <c r="CC125">
        <v>0</v>
      </c>
      <c r="CD125">
        <v>0</v>
      </c>
      <c r="CE125">
        <v>0</v>
      </c>
      <c r="CF125">
        <v>0</v>
      </c>
      <c r="CG125">
        <v>0</v>
      </c>
      <c r="CH125">
        <v>0</v>
      </c>
      <c r="CI125">
        <v>0</v>
      </c>
      <c r="CO125">
        <v>0</v>
      </c>
      <c r="CP125">
        <v>0</v>
      </c>
      <c r="CQ125" t="s">
        <v>535</v>
      </c>
      <c r="CR125" t="s">
        <v>160</v>
      </c>
      <c r="CS125" t="s">
        <v>161</v>
      </c>
      <c r="CT125" t="s">
        <v>139</v>
      </c>
      <c r="CU125" t="s">
        <v>163</v>
      </c>
      <c r="CW125">
        <v>2</v>
      </c>
      <c r="CX125" t="s">
        <v>562</v>
      </c>
      <c r="CY125" t="s">
        <v>537</v>
      </c>
      <c r="CZ125" t="s">
        <v>570</v>
      </c>
      <c r="DA125" t="s">
        <v>538</v>
      </c>
      <c r="DB125">
        <v>0</v>
      </c>
      <c r="DC125">
        <v>13800</v>
      </c>
    </row>
    <row r="126" spans="1:107" x14ac:dyDescent="0.25">
      <c r="A126" t="s">
        <v>165</v>
      </c>
      <c r="B126" t="s">
        <v>108</v>
      </c>
      <c r="C126" t="s">
        <v>166</v>
      </c>
      <c r="D126" t="s">
        <v>167</v>
      </c>
      <c r="E126" t="s">
        <v>168</v>
      </c>
      <c r="F126" s="3" t="str">
        <f>HYPERLINK("https://mapwv.gov/flood/map/?wkid=102100&amp;x=-8990982.61232009&amp;y=4676907.34763848&amp;l=13&amp;v=2","FT")</f>
        <v>FT</v>
      </c>
      <c r="G126" s="3" t="str">
        <f>HYPERLINK("https://mapwv.gov/Assessment/Detail/?PID=04060001003400000000","Assessment")</f>
        <v>Assessment</v>
      </c>
      <c r="H126">
        <v>540009</v>
      </c>
      <c r="I126" t="s">
        <v>169</v>
      </c>
      <c r="J126" t="s">
        <v>170</v>
      </c>
      <c r="K126" t="s">
        <v>148</v>
      </c>
      <c r="L126" t="s">
        <v>171</v>
      </c>
      <c r="M126" t="s">
        <v>172</v>
      </c>
      <c r="N126" t="s">
        <v>149</v>
      </c>
      <c r="O126" t="s">
        <v>117</v>
      </c>
      <c r="P126" t="s">
        <v>150</v>
      </c>
      <c r="Q126" t="s">
        <v>119</v>
      </c>
      <c r="R126" t="s">
        <v>151</v>
      </c>
      <c r="S126" t="s">
        <v>151</v>
      </c>
      <c r="T126" t="s">
        <v>151</v>
      </c>
      <c r="U126" t="s">
        <v>151</v>
      </c>
      <c r="V126">
        <v>826.2</v>
      </c>
      <c r="X126" t="s">
        <v>173</v>
      </c>
      <c r="Y126" t="s">
        <v>174</v>
      </c>
      <c r="Z126">
        <v>1983</v>
      </c>
      <c r="AA126" t="s">
        <v>175</v>
      </c>
      <c r="AB126" t="s">
        <v>155</v>
      </c>
      <c r="AC126" t="s">
        <v>129</v>
      </c>
      <c r="AD126">
        <v>2</v>
      </c>
      <c r="AE126">
        <v>108</v>
      </c>
      <c r="AF126" t="s">
        <v>176</v>
      </c>
      <c r="AG126" t="s">
        <v>177</v>
      </c>
      <c r="AH126" t="s">
        <v>129</v>
      </c>
      <c r="AI126">
        <v>1</v>
      </c>
      <c r="AL126">
        <v>1148</v>
      </c>
      <c r="AN126" t="s">
        <v>158</v>
      </c>
      <c r="AO126">
        <v>3</v>
      </c>
      <c r="AP126">
        <v>0</v>
      </c>
      <c r="AQ126">
        <v>0</v>
      </c>
      <c r="AR126">
        <v>19910</v>
      </c>
      <c r="AS126">
        <v>14130</v>
      </c>
      <c r="AT126" t="s">
        <v>178</v>
      </c>
      <c r="AU126">
        <v>1</v>
      </c>
      <c r="AV126">
        <v>6</v>
      </c>
      <c r="AW126">
        <v>2</v>
      </c>
      <c r="BB126" t="s">
        <v>179</v>
      </c>
      <c r="BC126" t="s">
        <v>180</v>
      </c>
      <c r="BE126">
        <v>2.5</v>
      </c>
      <c r="BF126">
        <v>0</v>
      </c>
      <c r="BG126">
        <v>0</v>
      </c>
      <c r="BH126" s="1">
        <v>44278</v>
      </c>
      <c r="BI126" t="s">
        <v>159</v>
      </c>
      <c r="BJ126">
        <v>1983</v>
      </c>
      <c r="BK126" t="s">
        <v>119</v>
      </c>
      <c r="BL126" t="s">
        <v>177</v>
      </c>
      <c r="BM126">
        <v>14130</v>
      </c>
      <c r="BN126">
        <v>1</v>
      </c>
      <c r="BO126">
        <v>5</v>
      </c>
      <c r="BP126">
        <v>3</v>
      </c>
      <c r="BQ126">
        <v>1148</v>
      </c>
      <c r="BR126">
        <v>388</v>
      </c>
      <c r="BS126">
        <v>38.686801449000001</v>
      </c>
      <c r="BT126">
        <v>-80.767370998999894</v>
      </c>
      <c r="BU126">
        <v>0</v>
      </c>
      <c r="BV126">
        <v>-3</v>
      </c>
      <c r="BW126">
        <v>0</v>
      </c>
      <c r="BX126" t="s">
        <v>181</v>
      </c>
      <c r="BY126">
        <v>0</v>
      </c>
      <c r="BZ126">
        <v>0</v>
      </c>
      <c r="CA126">
        <v>0</v>
      </c>
      <c r="CB126">
        <v>7065</v>
      </c>
      <c r="CC126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0</v>
      </c>
      <c r="CO126">
        <v>0</v>
      </c>
      <c r="CP126">
        <v>0</v>
      </c>
      <c r="CQ126" t="s">
        <v>182</v>
      </c>
      <c r="CR126" t="s">
        <v>183</v>
      </c>
      <c r="CS126" t="s">
        <v>161</v>
      </c>
      <c r="CT126" t="s">
        <v>139</v>
      </c>
      <c r="CU126" t="s">
        <v>163</v>
      </c>
      <c r="CW126">
        <v>7</v>
      </c>
      <c r="CX126" t="s">
        <v>184</v>
      </c>
      <c r="CY126" t="s">
        <v>185</v>
      </c>
      <c r="CZ126" t="s">
        <v>167</v>
      </c>
      <c r="DA126" t="s">
        <v>186</v>
      </c>
      <c r="DB126">
        <v>0</v>
      </c>
      <c r="DC126">
        <v>13400</v>
      </c>
    </row>
    <row r="127" spans="1:107" x14ac:dyDescent="0.25">
      <c r="A127" t="s">
        <v>187</v>
      </c>
      <c r="B127" t="s">
        <v>108</v>
      </c>
      <c r="C127" t="s">
        <v>188</v>
      </c>
      <c r="D127" t="s">
        <v>167</v>
      </c>
      <c r="F127" s="3" t="str">
        <f>HYPERLINK("https://mapwv.gov/flood/map/?wkid=102100&amp;x=-8990952.304475522&amp;y=4676908.797862776&amp;l=13&amp;v=2","FT")</f>
        <v>FT</v>
      </c>
      <c r="G127" s="3" t="str">
        <f>HYPERLINK("https://mapwv.gov/Assessment/Detail/?PID=04060001003600000000","Assessment")</f>
        <v>Assessment</v>
      </c>
      <c r="H127">
        <v>540009</v>
      </c>
      <c r="I127" t="s">
        <v>169</v>
      </c>
      <c r="J127" t="s">
        <v>170</v>
      </c>
      <c r="K127" t="s">
        <v>148</v>
      </c>
      <c r="L127" t="s">
        <v>171</v>
      </c>
      <c r="M127" t="s">
        <v>172</v>
      </c>
      <c r="N127" t="s">
        <v>149</v>
      </c>
      <c r="O127" t="s">
        <v>117</v>
      </c>
      <c r="P127" t="s">
        <v>150</v>
      </c>
      <c r="Q127" t="s">
        <v>119</v>
      </c>
      <c r="R127" t="s">
        <v>151</v>
      </c>
      <c r="S127" t="s">
        <v>151</v>
      </c>
      <c r="T127" t="s">
        <v>151</v>
      </c>
      <c r="U127" t="s">
        <v>151</v>
      </c>
      <c r="V127">
        <v>826.9</v>
      </c>
      <c r="X127" t="s">
        <v>189</v>
      </c>
      <c r="Y127" t="s">
        <v>190</v>
      </c>
      <c r="Z127">
        <v>1915</v>
      </c>
      <c r="AA127" t="s">
        <v>191</v>
      </c>
      <c r="AB127" t="s">
        <v>155</v>
      </c>
      <c r="AC127" t="s">
        <v>129</v>
      </c>
      <c r="AD127">
        <v>3</v>
      </c>
      <c r="AE127">
        <v>101</v>
      </c>
      <c r="AF127" t="s">
        <v>127</v>
      </c>
      <c r="AG127" t="s">
        <v>128</v>
      </c>
      <c r="AH127" t="s">
        <v>129</v>
      </c>
      <c r="AI127">
        <v>1</v>
      </c>
      <c r="AJ127" t="s">
        <v>156</v>
      </c>
      <c r="AK127" t="s">
        <v>130</v>
      </c>
      <c r="AL127">
        <v>861</v>
      </c>
      <c r="AM127" t="s">
        <v>157</v>
      </c>
      <c r="AN127" t="s">
        <v>158</v>
      </c>
      <c r="AO127">
        <v>3</v>
      </c>
      <c r="AP127">
        <v>13400</v>
      </c>
      <c r="AQ127">
        <v>0</v>
      </c>
      <c r="AR127">
        <v>0</v>
      </c>
      <c r="AS127">
        <v>13400</v>
      </c>
      <c r="AT127" t="s">
        <v>132</v>
      </c>
      <c r="AU127">
        <v>1</v>
      </c>
      <c r="AV127">
        <v>0</v>
      </c>
      <c r="AW127">
        <v>1</v>
      </c>
      <c r="BE127">
        <v>2.5</v>
      </c>
      <c r="BF127">
        <v>0</v>
      </c>
      <c r="BG127">
        <v>0</v>
      </c>
      <c r="BH127" s="1">
        <v>44278</v>
      </c>
      <c r="BI127" t="s">
        <v>159</v>
      </c>
      <c r="BJ127">
        <v>1915</v>
      </c>
      <c r="BK127" t="s">
        <v>119</v>
      </c>
      <c r="BL127" t="s">
        <v>128</v>
      </c>
      <c r="BM127">
        <v>13400</v>
      </c>
      <c r="BN127">
        <v>1</v>
      </c>
      <c r="BO127">
        <v>5</v>
      </c>
      <c r="BP127">
        <v>3</v>
      </c>
      <c r="BQ127">
        <v>861</v>
      </c>
      <c r="BR127">
        <v>402</v>
      </c>
      <c r="BS127">
        <v>38.686811618</v>
      </c>
      <c r="BT127">
        <v>-80.767098738999906</v>
      </c>
      <c r="BU127">
        <v>0</v>
      </c>
      <c r="BV127">
        <v>-3</v>
      </c>
      <c r="BW127">
        <v>0</v>
      </c>
      <c r="BX127" t="s">
        <v>134</v>
      </c>
      <c r="BY127">
        <v>0</v>
      </c>
      <c r="BZ127">
        <v>0</v>
      </c>
      <c r="CA127">
        <v>0</v>
      </c>
      <c r="CB127">
        <v>6700</v>
      </c>
      <c r="CC127">
        <v>0</v>
      </c>
      <c r="CD127">
        <v>0</v>
      </c>
      <c r="CE127">
        <v>0</v>
      </c>
      <c r="CF127">
        <v>0</v>
      </c>
      <c r="CG127">
        <v>0</v>
      </c>
      <c r="CH127">
        <v>0</v>
      </c>
      <c r="CI127">
        <v>0</v>
      </c>
      <c r="CO127">
        <v>0</v>
      </c>
      <c r="CP127">
        <v>0</v>
      </c>
      <c r="CQ127" t="s">
        <v>182</v>
      </c>
      <c r="CR127" t="s">
        <v>183</v>
      </c>
      <c r="CS127" t="s">
        <v>161</v>
      </c>
      <c r="CT127" t="s">
        <v>139</v>
      </c>
      <c r="CU127" t="s">
        <v>163</v>
      </c>
      <c r="CW127">
        <v>7</v>
      </c>
      <c r="CX127" t="s">
        <v>184</v>
      </c>
      <c r="CY127" t="s">
        <v>185</v>
      </c>
      <c r="CZ127" t="s">
        <v>167</v>
      </c>
      <c r="DA127" t="s">
        <v>186</v>
      </c>
      <c r="DB127">
        <v>0</v>
      </c>
      <c r="DC127">
        <v>13400</v>
      </c>
    </row>
    <row r="128" spans="1:107" x14ac:dyDescent="0.25">
      <c r="A128" t="s">
        <v>1109</v>
      </c>
      <c r="B128" t="s">
        <v>108</v>
      </c>
      <c r="C128" t="s">
        <v>1110</v>
      </c>
      <c r="D128" t="s">
        <v>1111</v>
      </c>
      <c r="F128" s="3" t="str">
        <f>HYPERLINK("https://mapwv.gov/flood/map/?wkid=102100&amp;x=-9109126.128718147&amp;y=4561601.202546353&amp;l=13&amp;v=2","FT")</f>
        <v>FT</v>
      </c>
      <c r="G128" s="3" t="str">
        <f>HYPERLINK("https://mapwv.gov/Assessment/Detail/?PID=23040040008200000000","Assessment")</f>
        <v>Assessment</v>
      </c>
      <c r="H128">
        <v>545536</v>
      </c>
      <c r="I128" t="s">
        <v>964</v>
      </c>
      <c r="J128" t="s">
        <v>965</v>
      </c>
      <c r="K128" t="s">
        <v>148</v>
      </c>
      <c r="L128" t="s">
        <v>1112</v>
      </c>
      <c r="M128" t="s">
        <v>662</v>
      </c>
      <c r="N128" t="s">
        <v>149</v>
      </c>
      <c r="O128" t="s">
        <v>117</v>
      </c>
      <c r="P128" t="s">
        <v>150</v>
      </c>
      <c r="Q128" t="s">
        <v>119</v>
      </c>
      <c r="R128">
        <v>1.9</v>
      </c>
      <c r="S128" t="s">
        <v>120</v>
      </c>
      <c r="T128">
        <v>996.4</v>
      </c>
      <c r="U128" t="s">
        <v>121</v>
      </c>
      <c r="V128">
        <v>992.6</v>
      </c>
      <c r="X128" t="s">
        <v>1113</v>
      </c>
      <c r="Y128" t="s">
        <v>1114</v>
      </c>
      <c r="Z128">
        <v>1919</v>
      </c>
      <c r="AA128" t="s">
        <v>124</v>
      </c>
      <c r="AB128" t="s">
        <v>155</v>
      </c>
      <c r="AC128" t="s">
        <v>129</v>
      </c>
      <c r="AD128">
        <v>3</v>
      </c>
      <c r="AE128">
        <v>101</v>
      </c>
      <c r="AF128" t="s">
        <v>127</v>
      </c>
      <c r="AG128" t="s">
        <v>128</v>
      </c>
      <c r="AH128" t="s">
        <v>129</v>
      </c>
      <c r="AI128">
        <v>1</v>
      </c>
      <c r="AJ128" t="s">
        <v>156</v>
      </c>
      <c r="AK128" t="s">
        <v>130</v>
      </c>
      <c r="AL128">
        <v>1144</v>
      </c>
      <c r="AM128" t="s">
        <v>157</v>
      </c>
      <c r="AN128" t="s">
        <v>158</v>
      </c>
      <c r="AO128">
        <v>3</v>
      </c>
      <c r="AP128">
        <v>13400</v>
      </c>
      <c r="AQ128">
        <v>0</v>
      </c>
      <c r="AR128">
        <v>0</v>
      </c>
      <c r="AS128">
        <v>13400</v>
      </c>
      <c r="AT128" t="s">
        <v>132</v>
      </c>
      <c r="AU128">
        <v>1</v>
      </c>
      <c r="AV128">
        <v>0</v>
      </c>
      <c r="AW128">
        <v>1</v>
      </c>
      <c r="BC128" t="s">
        <v>614</v>
      </c>
      <c r="BE128">
        <v>2.4</v>
      </c>
      <c r="BF128">
        <v>1</v>
      </c>
      <c r="BG128">
        <v>2.4</v>
      </c>
      <c r="BH128" s="1">
        <v>44348</v>
      </c>
      <c r="BI128" t="s">
        <v>331</v>
      </c>
      <c r="BJ128">
        <v>1919</v>
      </c>
      <c r="BK128" t="s">
        <v>119</v>
      </c>
      <c r="BL128" t="s">
        <v>128</v>
      </c>
      <c r="BM128">
        <v>13400</v>
      </c>
      <c r="BN128">
        <v>1</v>
      </c>
      <c r="BO128">
        <v>5</v>
      </c>
      <c r="BP128">
        <v>3</v>
      </c>
      <c r="BQ128">
        <v>1144</v>
      </c>
      <c r="BR128">
        <v>4283</v>
      </c>
      <c r="BS128">
        <v>37.873714266</v>
      </c>
      <c r="BT128">
        <v>-81.828672264000005</v>
      </c>
      <c r="BU128">
        <v>1.8796417000000001</v>
      </c>
      <c r="BV128">
        <v>-1.1203583478927599</v>
      </c>
      <c r="BW128">
        <v>1</v>
      </c>
      <c r="BX128" t="s">
        <v>134</v>
      </c>
      <c r="BY128">
        <v>129</v>
      </c>
      <c r="BZ128">
        <v>2.6389249563217101</v>
      </c>
      <c r="CA128">
        <v>353.61594414710902</v>
      </c>
      <c r="CB128">
        <v>6700</v>
      </c>
      <c r="CC128">
        <v>45</v>
      </c>
      <c r="CD128">
        <v>3.5185666084289502</v>
      </c>
      <c r="CE128">
        <v>235.743962764739</v>
      </c>
      <c r="CF128">
        <v>0</v>
      </c>
      <c r="CG128">
        <v>0</v>
      </c>
      <c r="CH128">
        <v>0</v>
      </c>
      <c r="CI128">
        <v>0</v>
      </c>
      <c r="CO128">
        <v>0</v>
      </c>
      <c r="CP128">
        <v>0</v>
      </c>
      <c r="CQ128" t="s">
        <v>974</v>
      </c>
      <c r="CR128" t="s">
        <v>183</v>
      </c>
      <c r="CS128" t="s">
        <v>138</v>
      </c>
      <c r="CT128" t="s">
        <v>139</v>
      </c>
      <c r="CU128" t="s">
        <v>267</v>
      </c>
      <c r="CW128">
        <v>2</v>
      </c>
      <c r="CX128" t="s">
        <v>975</v>
      </c>
      <c r="CY128" t="s">
        <v>976</v>
      </c>
      <c r="CZ128" t="s">
        <v>1111</v>
      </c>
      <c r="DA128" t="s">
        <v>977</v>
      </c>
      <c r="DB128">
        <v>0</v>
      </c>
      <c r="DC128">
        <v>13400</v>
      </c>
    </row>
    <row r="129" spans="1:107" x14ac:dyDescent="0.25">
      <c r="A129" t="s">
        <v>1843</v>
      </c>
      <c r="B129" t="s">
        <v>108</v>
      </c>
      <c r="C129" t="s">
        <v>1844</v>
      </c>
      <c r="D129" t="s">
        <v>1845</v>
      </c>
      <c r="F129" s="3" t="str">
        <f>HYPERLINK("https://mapwv.gov/flood/map/?wkid=102100&amp;x=-9011031.938562654&amp;y=4807587.471937376&amp;l=13&amp;v=2","FT")</f>
        <v>FT</v>
      </c>
      <c r="G129" s="3" t="str">
        <f>HYPERLINK("https://mapwv.gov/Assessment/Detail/?PID=48080003013400020000","Assessment")</f>
        <v>Assessment</v>
      </c>
      <c r="H129">
        <v>540196</v>
      </c>
      <c r="I129" t="s">
        <v>1846</v>
      </c>
      <c r="J129" t="s">
        <v>1832</v>
      </c>
      <c r="K129" t="s">
        <v>113</v>
      </c>
      <c r="L129" t="s">
        <v>920</v>
      </c>
      <c r="M129" t="s">
        <v>1834</v>
      </c>
      <c r="N129" t="s">
        <v>199</v>
      </c>
      <c r="O129" t="s">
        <v>117</v>
      </c>
      <c r="P129" t="s">
        <v>150</v>
      </c>
      <c r="Q129" t="s">
        <v>225</v>
      </c>
      <c r="R129" t="s">
        <v>151</v>
      </c>
      <c r="S129" t="s">
        <v>151</v>
      </c>
      <c r="T129" t="s">
        <v>151</v>
      </c>
      <c r="U129" t="s">
        <v>151</v>
      </c>
      <c r="V129">
        <v>645.5</v>
      </c>
      <c r="X129" t="s">
        <v>1847</v>
      </c>
      <c r="Y129" t="s">
        <v>1848</v>
      </c>
      <c r="Z129">
        <v>0</v>
      </c>
      <c r="AB129" t="s">
        <v>155</v>
      </c>
      <c r="AC129" t="s">
        <v>129</v>
      </c>
      <c r="AD129">
        <v>2</v>
      </c>
      <c r="AE129">
        <v>108</v>
      </c>
      <c r="AF129" t="s">
        <v>176</v>
      </c>
      <c r="AG129" t="s">
        <v>177</v>
      </c>
      <c r="AH129" t="s">
        <v>129</v>
      </c>
      <c r="AI129">
        <v>1</v>
      </c>
      <c r="AL129">
        <v>1564</v>
      </c>
      <c r="AN129" t="s">
        <v>158</v>
      </c>
      <c r="AO129">
        <v>3.5</v>
      </c>
      <c r="AP129">
        <v>0</v>
      </c>
      <c r="AQ129">
        <v>0</v>
      </c>
      <c r="AR129">
        <v>0</v>
      </c>
      <c r="AS129">
        <v>20420</v>
      </c>
      <c r="AT129" t="s">
        <v>178</v>
      </c>
      <c r="AU129">
        <v>1</v>
      </c>
      <c r="AV129">
        <v>0</v>
      </c>
      <c r="AW129">
        <v>1</v>
      </c>
      <c r="BE129">
        <v>2.5</v>
      </c>
      <c r="BF129">
        <v>0</v>
      </c>
      <c r="BG129">
        <v>0</v>
      </c>
      <c r="BH129" s="1">
        <v>44412</v>
      </c>
      <c r="BI129" t="s">
        <v>441</v>
      </c>
      <c r="BJ129">
        <v>0</v>
      </c>
      <c r="BK129" t="s">
        <v>225</v>
      </c>
      <c r="BL129" t="s">
        <v>177</v>
      </c>
      <c r="BM129">
        <v>20420</v>
      </c>
      <c r="BN129">
        <v>1</v>
      </c>
      <c r="BO129">
        <v>5</v>
      </c>
      <c r="BP129">
        <v>3.5</v>
      </c>
      <c r="BQ129">
        <v>1564</v>
      </c>
      <c r="BR129">
        <v>673</v>
      </c>
      <c r="BS129">
        <v>39.597251907999897</v>
      </c>
      <c r="BT129">
        <v>-80.947477160999796</v>
      </c>
      <c r="BU129">
        <v>0</v>
      </c>
      <c r="BV129">
        <v>-3.5</v>
      </c>
      <c r="BW129">
        <v>0</v>
      </c>
      <c r="BX129" t="s">
        <v>181</v>
      </c>
      <c r="BY129">
        <v>0</v>
      </c>
      <c r="BZ129">
        <v>0</v>
      </c>
      <c r="CA129">
        <v>0</v>
      </c>
      <c r="CB129">
        <v>10210</v>
      </c>
      <c r="CC129">
        <v>0</v>
      </c>
      <c r="CD129">
        <v>0</v>
      </c>
      <c r="CE129">
        <v>0</v>
      </c>
      <c r="CF129">
        <v>0</v>
      </c>
      <c r="CG129">
        <v>0</v>
      </c>
      <c r="CH129">
        <v>0</v>
      </c>
      <c r="CI129">
        <v>0</v>
      </c>
      <c r="CO129">
        <v>0</v>
      </c>
      <c r="CP129">
        <v>0</v>
      </c>
      <c r="CQ129" t="s">
        <v>1837</v>
      </c>
      <c r="CR129" t="s">
        <v>160</v>
      </c>
      <c r="CS129" t="s">
        <v>161</v>
      </c>
      <c r="CT129" t="s">
        <v>139</v>
      </c>
      <c r="CU129" t="s">
        <v>163</v>
      </c>
      <c r="CW129">
        <v>5</v>
      </c>
      <c r="CX129" t="s">
        <v>1849</v>
      </c>
      <c r="CY129" t="s">
        <v>1839</v>
      </c>
      <c r="CZ129" t="s">
        <v>1845</v>
      </c>
      <c r="DA129" t="s">
        <v>1840</v>
      </c>
      <c r="DB129">
        <v>0</v>
      </c>
      <c r="DC129">
        <v>13100</v>
      </c>
    </row>
    <row r="130" spans="1:107" x14ac:dyDescent="0.25">
      <c r="A130" t="s">
        <v>1132</v>
      </c>
      <c r="B130" t="s">
        <v>108</v>
      </c>
      <c r="C130" t="s">
        <v>1133</v>
      </c>
      <c r="D130" t="s">
        <v>1134</v>
      </c>
      <c r="F130" s="3" t="str">
        <f>HYPERLINK("https://mapwv.gov/flood/map/?wkid=102100&amp;x=-9106419.298340231&amp;y=4549565.086891881&amp;l=13&amp;v=2","FT")</f>
        <v>FT</v>
      </c>
      <c r="G130" s="3" t="str">
        <f>HYPERLINK("https://mapwv.gov/Assessment/Detail/?PID=23080027002500000000","Assessment")</f>
        <v>Assessment</v>
      </c>
      <c r="H130">
        <v>545536</v>
      </c>
      <c r="I130" t="s">
        <v>964</v>
      </c>
      <c r="J130" t="s">
        <v>965</v>
      </c>
      <c r="K130" t="s">
        <v>148</v>
      </c>
      <c r="L130" t="s">
        <v>1064</v>
      </c>
      <c r="M130" t="s">
        <v>967</v>
      </c>
      <c r="N130" t="s">
        <v>704</v>
      </c>
      <c r="O130" t="s">
        <v>117</v>
      </c>
      <c r="P130" t="s">
        <v>118</v>
      </c>
      <c r="Q130" t="s">
        <v>119</v>
      </c>
      <c r="R130">
        <v>0.3</v>
      </c>
      <c r="S130" t="s">
        <v>120</v>
      </c>
      <c r="T130">
        <v>913.8</v>
      </c>
      <c r="U130" t="s">
        <v>365</v>
      </c>
      <c r="V130">
        <v>912</v>
      </c>
      <c r="X130" t="s">
        <v>1135</v>
      </c>
      <c r="Y130" t="s">
        <v>1136</v>
      </c>
      <c r="Z130">
        <v>1910</v>
      </c>
      <c r="AA130" t="s">
        <v>124</v>
      </c>
      <c r="AB130" t="s">
        <v>155</v>
      </c>
      <c r="AC130" t="s">
        <v>129</v>
      </c>
      <c r="AD130">
        <v>3</v>
      </c>
      <c r="AE130">
        <v>101</v>
      </c>
      <c r="AF130" t="s">
        <v>127</v>
      </c>
      <c r="AG130" t="s">
        <v>128</v>
      </c>
      <c r="AH130" t="s">
        <v>129</v>
      </c>
      <c r="AI130">
        <v>1</v>
      </c>
      <c r="AJ130" t="s">
        <v>156</v>
      </c>
      <c r="AK130" t="s">
        <v>130</v>
      </c>
      <c r="AL130">
        <v>792</v>
      </c>
      <c r="AM130" t="s">
        <v>157</v>
      </c>
      <c r="AN130" t="s">
        <v>158</v>
      </c>
      <c r="AO130">
        <v>3</v>
      </c>
      <c r="AP130">
        <v>12600</v>
      </c>
      <c r="AQ130">
        <v>0</v>
      </c>
      <c r="AR130">
        <v>0</v>
      </c>
      <c r="AS130">
        <v>12600</v>
      </c>
      <c r="AT130" t="s">
        <v>132</v>
      </c>
      <c r="AU130">
        <v>1</v>
      </c>
      <c r="AV130">
        <v>0</v>
      </c>
      <c r="AW130">
        <v>1</v>
      </c>
      <c r="BE130">
        <v>2.4</v>
      </c>
      <c r="BF130">
        <v>0</v>
      </c>
      <c r="BG130">
        <v>0</v>
      </c>
      <c r="BH130" s="1">
        <v>44348</v>
      </c>
      <c r="BI130" t="s">
        <v>1079</v>
      </c>
      <c r="BJ130">
        <v>1910</v>
      </c>
      <c r="BK130" t="s">
        <v>119</v>
      </c>
      <c r="BL130" t="s">
        <v>128</v>
      </c>
      <c r="BM130">
        <v>12600</v>
      </c>
      <c r="BN130">
        <v>1</v>
      </c>
      <c r="BO130">
        <v>5</v>
      </c>
      <c r="BP130">
        <v>3</v>
      </c>
      <c r="BQ130">
        <v>792</v>
      </c>
      <c r="BR130">
        <v>2067</v>
      </c>
      <c r="BS130">
        <v>37.788316817999998</v>
      </c>
      <c r="BT130">
        <v>-81.804356393000006</v>
      </c>
      <c r="BU130">
        <v>1.1483154</v>
      </c>
      <c r="BV130">
        <v>-1.8516845703125</v>
      </c>
      <c r="BW130">
        <v>1</v>
      </c>
      <c r="BX130" t="s">
        <v>134</v>
      </c>
      <c r="BY130">
        <v>129</v>
      </c>
      <c r="BZ130">
        <v>0.4449462890625</v>
      </c>
      <c r="CA130">
        <v>56.063232421875</v>
      </c>
      <c r="CB130">
        <v>6300</v>
      </c>
      <c r="CC130">
        <v>45</v>
      </c>
      <c r="CD130">
        <v>0.59326171875</v>
      </c>
      <c r="CE130">
        <v>37.37548828125</v>
      </c>
      <c r="CF130">
        <v>0</v>
      </c>
      <c r="CG130">
        <v>0</v>
      </c>
      <c r="CH130">
        <v>0</v>
      </c>
      <c r="CI130">
        <v>0</v>
      </c>
      <c r="CO130">
        <v>0</v>
      </c>
      <c r="CP130">
        <v>0</v>
      </c>
      <c r="CQ130" t="s">
        <v>974</v>
      </c>
      <c r="CR130" t="s">
        <v>183</v>
      </c>
      <c r="CS130" t="s">
        <v>138</v>
      </c>
      <c r="CT130" t="s">
        <v>139</v>
      </c>
      <c r="CU130" t="s">
        <v>163</v>
      </c>
      <c r="CW130">
        <v>2</v>
      </c>
      <c r="CX130" t="s">
        <v>975</v>
      </c>
      <c r="CY130" t="s">
        <v>976</v>
      </c>
      <c r="CZ130" t="s">
        <v>1134</v>
      </c>
      <c r="DA130" t="s">
        <v>977</v>
      </c>
      <c r="DB130">
        <v>0</v>
      </c>
      <c r="DC130">
        <v>12600</v>
      </c>
    </row>
    <row r="131" spans="1:107" x14ac:dyDescent="0.25">
      <c r="A131" t="s">
        <v>1362</v>
      </c>
      <c r="B131" t="s">
        <v>108</v>
      </c>
      <c r="C131" t="s">
        <v>1363</v>
      </c>
      <c r="D131" t="s">
        <v>1364</v>
      </c>
      <c r="F131" s="3" t="str">
        <f>HYPERLINK("https://mapwv.gov/flood/map/?wkid=102100&amp;x=-9070188.87593135&amp;y=4605203.004872055&amp;l=13&amp;v=2","FT")</f>
        <v>FT</v>
      </c>
      <c r="G131" s="3" t="str">
        <f>HYPERLINK("https://mapwv.gov/Assessment/Detail/?PID=20030043001000000000","Assessment")</f>
        <v>Assessment</v>
      </c>
      <c r="H131">
        <v>540070</v>
      </c>
      <c r="I131" t="s">
        <v>1306</v>
      </c>
      <c r="J131" t="s">
        <v>1282</v>
      </c>
      <c r="K131" t="s">
        <v>148</v>
      </c>
      <c r="L131" t="s">
        <v>1365</v>
      </c>
      <c r="M131" t="s">
        <v>1308</v>
      </c>
      <c r="N131" t="s">
        <v>199</v>
      </c>
      <c r="O131" t="s">
        <v>117</v>
      </c>
      <c r="P131" t="s">
        <v>150</v>
      </c>
      <c r="Q131" t="s">
        <v>119</v>
      </c>
      <c r="R131">
        <v>7.2</v>
      </c>
      <c r="S131" t="s">
        <v>120</v>
      </c>
      <c r="T131" t="s">
        <v>151</v>
      </c>
      <c r="U131" t="s">
        <v>151</v>
      </c>
      <c r="V131">
        <v>606.79999999999995</v>
      </c>
      <c r="X131" t="s">
        <v>1366</v>
      </c>
      <c r="Y131" t="s">
        <v>1367</v>
      </c>
      <c r="Z131">
        <v>1980</v>
      </c>
      <c r="AA131" t="s">
        <v>241</v>
      </c>
      <c r="AB131" t="s">
        <v>155</v>
      </c>
      <c r="AC131" t="s">
        <v>129</v>
      </c>
      <c r="AD131">
        <v>2</v>
      </c>
      <c r="AE131">
        <v>108</v>
      </c>
      <c r="AF131" t="s">
        <v>176</v>
      </c>
      <c r="AG131" t="s">
        <v>177</v>
      </c>
      <c r="AH131" t="s">
        <v>129</v>
      </c>
      <c r="AI131">
        <v>1</v>
      </c>
      <c r="AL131">
        <v>980</v>
      </c>
      <c r="AN131" t="s">
        <v>158</v>
      </c>
      <c r="AO131">
        <v>3</v>
      </c>
      <c r="AP131">
        <v>0</v>
      </c>
      <c r="AQ131">
        <v>0</v>
      </c>
      <c r="AR131">
        <v>12440</v>
      </c>
      <c r="AS131">
        <v>12400</v>
      </c>
      <c r="AT131" t="s">
        <v>132</v>
      </c>
      <c r="AU131">
        <v>1</v>
      </c>
      <c r="AV131">
        <v>4</v>
      </c>
      <c r="AW131">
        <v>1</v>
      </c>
      <c r="BE131">
        <v>2.4</v>
      </c>
      <c r="BF131">
        <v>1</v>
      </c>
      <c r="BG131">
        <v>2.4</v>
      </c>
      <c r="BH131" s="1">
        <v>44362</v>
      </c>
      <c r="BI131" t="s">
        <v>210</v>
      </c>
      <c r="BJ131">
        <v>1980</v>
      </c>
      <c r="BK131" t="s">
        <v>119</v>
      </c>
      <c r="BL131" t="s">
        <v>177</v>
      </c>
      <c r="BM131">
        <v>12400</v>
      </c>
      <c r="BN131">
        <v>1</v>
      </c>
      <c r="BO131">
        <v>5</v>
      </c>
      <c r="BP131">
        <v>3</v>
      </c>
      <c r="BQ131">
        <v>980</v>
      </c>
      <c r="BR131">
        <v>911</v>
      </c>
      <c r="BS131">
        <v>38.182244996999998</v>
      </c>
      <c r="BT131">
        <v>-81.478892970999794</v>
      </c>
      <c r="BU131">
        <v>7.1088867000000002</v>
      </c>
      <c r="BV131">
        <v>4.10888671875</v>
      </c>
      <c r="BW131">
        <v>1</v>
      </c>
      <c r="BX131" t="s">
        <v>181</v>
      </c>
      <c r="BY131">
        <v>189</v>
      </c>
      <c r="BZ131">
        <v>78.10888671875</v>
      </c>
      <c r="CA131">
        <v>9685.501953125</v>
      </c>
      <c r="CB131">
        <v>6200</v>
      </c>
      <c r="CC131">
        <v>74</v>
      </c>
      <c r="CD131">
        <v>70.6533203125</v>
      </c>
      <c r="CE131">
        <v>4380.505859375</v>
      </c>
      <c r="CF131">
        <v>0</v>
      </c>
      <c r="CG131">
        <v>0</v>
      </c>
      <c r="CH131">
        <v>0</v>
      </c>
      <c r="CI131">
        <v>0</v>
      </c>
      <c r="CJ131" t="s">
        <v>826</v>
      </c>
      <c r="CK131">
        <v>6.37</v>
      </c>
      <c r="CL131">
        <v>9.8000000000000007</v>
      </c>
      <c r="CM131">
        <v>11.76</v>
      </c>
      <c r="CN131">
        <v>27.93</v>
      </c>
      <c r="CO131">
        <v>360</v>
      </c>
      <c r="CP131">
        <v>720</v>
      </c>
      <c r="CQ131" t="s">
        <v>1286</v>
      </c>
      <c r="CR131" t="s">
        <v>183</v>
      </c>
      <c r="CS131" t="s">
        <v>138</v>
      </c>
      <c r="CT131" t="s">
        <v>139</v>
      </c>
      <c r="CU131" t="s">
        <v>274</v>
      </c>
      <c r="CW131">
        <v>3</v>
      </c>
      <c r="CX131" t="s">
        <v>1312</v>
      </c>
      <c r="CY131" t="s">
        <v>1288</v>
      </c>
      <c r="CZ131" t="s">
        <v>1364</v>
      </c>
      <c r="DA131" t="s">
        <v>1289</v>
      </c>
      <c r="DB131">
        <v>0</v>
      </c>
      <c r="DC131">
        <v>12400</v>
      </c>
    </row>
    <row r="132" spans="1:107" x14ac:dyDescent="0.25">
      <c r="A132" t="s">
        <v>1496</v>
      </c>
      <c r="B132" t="s">
        <v>108</v>
      </c>
      <c r="C132" t="s">
        <v>1497</v>
      </c>
      <c r="D132" t="s">
        <v>1498</v>
      </c>
      <c r="F132" s="3" t="str">
        <f>HYPERLINK("https://mapwv.gov/flood/map/?wkid=102100&amp;x=-9064280.636147588&amp;y=4644740.265524082&amp;l=13&amp;v=2","FT")</f>
        <v>FT</v>
      </c>
      <c r="G132" s="3" t="str">
        <f>HYPERLINK("https://mapwv.gov/Assessment/Detail/?PID=2001023C006600020000","Assessment")</f>
        <v>Assessment</v>
      </c>
      <c r="H132">
        <v>540070</v>
      </c>
      <c r="I132" t="s">
        <v>1306</v>
      </c>
      <c r="J132" t="s">
        <v>1282</v>
      </c>
      <c r="K132" t="s">
        <v>148</v>
      </c>
      <c r="L132" t="s">
        <v>596</v>
      </c>
      <c r="M132" t="s">
        <v>172</v>
      </c>
      <c r="N132" t="s">
        <v>199</v>
      </c>
      <c r="O132" t="s">
        <v>117</v>
      </c>
      <c r="P132" t="s">
        <v>150</v>
      </c>
      <c r="Q132" t="s">
        <v>260</v>
      </c>
      <c r="R132">
        <v>2.6</v>
      </c>
      <c r="S132" t="s">
        <v>120</v>
      </c>
      <c r="T132" t="s">
        <v>151</v>
      </c>
      <c r="U132" t="s">
        <v>151</v>
      </c>
      <c r="V132">
        <v>619.79999999999995</v>
      </c>
      <c r="X132" t="s">
        <v>1499</v>
      </c>
      <c r="Y132" t="s">
        <v>1500</v>
      </c>
      <c r="Z132">
        <v>1989</v>
      </c>
      <c r="AA132" t="s">
        <v>175</v>
      </c>
      <c r="AB132" t="s">
        <v>155</v>
      </c>
      <c r="AC132" t="s">
        <v>129</v>
      </c>
      <c r="AD132">
        <v>2</v>
      </c>
      <c r="AE132">
        <v>108</v>
      </c>
      <c r="AF132" t="s">
        <v>176</v>
      </c>
      <c r="AG132" t="s">
        <v>177</v>
      </c>
      <c r="AH132" t="s">
        <v>129</v>
      </c>
      <c r="AI132">
        <v>1</v>
      </c>
      <c r="AL132">
        <v>952</v>
      </c>
      <c r="AN132" t="s">
        <v>158</v>
      </c>
      <c r="AO132">
        <v>4</v>
      </c>
      <c r="AP132">
        <v>0</v>
      </c>
      <c r="AQ132">
        <v>0</v>
      </c>
      <c r="AR132">
        <v>16390</v>
      </c>
      <c r="AS132">
        <v>12300</v>
      </c>
      <c r="AT132" t="s">
        <v>132</v>
      </c>
      <c r="AU132">
        <v>1</v>
      </c>
      <c r="AV132">
        <v>3</v>
      </c>
      <c r="AW132">
        <v>1</v>
      </c>
      <c r="BE132">
        <v>2.4</v>
      </c>
      <c r="BF132">
        <v>1</v>
      </c>
      <c r="BG132">
        <v>2.4</v>
      </c>
      <c r="BH132" s="1">
        <v>44362</v>
      </c>
      <c r="BI132" t="s">
        <v>1437</v>
      </c>
      <c r="BJ132">
        <v>1989</v>
      </c>
      <c r="BK132" t="s">
        <v>260</v>
      </c>
      <c r="BL132" t="s">
        <v>177</v>
      </c>
      <c r="BM132">
        <v>12300</v>
      </c>
      <c r="BN132">
        <v>1</v>
      </c>
      <c r="BO132">
        <v>5</v>
      </c>
      <c r="BP132">
        <v>4</v>
      </c>
      <c r="BQ132">
        <v>952</v>
      </c>
      <c r="BR132">
        <v>7720</v>
      </c>
      <c r="BS132">
        <v>38.460889938000001</v>
      </c>
      <c r="BT132">
        <v>-81.42581835</v>
      </c>
      <c r="BU132">
        <v>2.5257567999999999</v>
      </c>
      <c r="BV132">
        <v>-1.4742431640625</v>
      </c>
      <c r="BW132">
        <v>1</v>
      </c>
      <c r="BX132" t="s">
        <v>181</v>
      </c>
      <c r="BY132">
        <v>189</v>
      </c>
      <c r="BZ132">
        <v>0</v>
      </c>
      <c r="CA132">
        <v>0</v>
      </c>
      <c r="CB132">
        <v>6150</v>
      </c>
      <c r="CC132">
        <v>74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0</v>
      </c>
      <c r="CO132">
        <v>0</v>
      </c>
      <c r="CP132">
        <v>0</v>
      </c>
      <c r="CQ132" t="s">
        <v>1286</v>
      </c>
      <c r="CR132" t="s">
        <v>183</v>
      </c>
      <c r="CS132" t="s">
        <v>138</v>
      </c>
      <c r="CT132" t="s">
        <v>139</v>
      </c>
      <c r="CU132" t="s">
        <v>163</v>
      </c>
      <c r="CW132">
        <v>3</v>
      </c>
      <c r="CX132" t="s">
        <v>1312</v>
      </c>
      <c r="CY132" t="s">
        <v>1288</v>
      </c>
      <c r="CZ132" t="s">
        <v>1498</v>
      </c>
      <c r="DA132" t="s">
        <v>1289</v>
      </c>
      <c r="DB132">
        <v>0</v>
      </c>
      <c r="DC132">
        <v>12300</v>
      </c>
    </row>
    <row r="133" spans="1:107" x14ac:dyDescent="0.25">
      <c r="A133" t="s">
        <v>1122</v>
      </c>
      <c r="B133" t="s">
        <v>108</v>
      </c>
      <c r="C133" t="s">
        <v>1123</v>
      </c>
      <c r="D133" t="s">
        <v>1124</v>
      </c>
      <c r="F133" s="3" t="str">
        <f>HYPERLINK("https://mapwv.gov/flood/map/?wkid=102100&amp;x=-9107686.404021412&amp;y=4548767.777250662&amp;l=13&amp;v=2","FT")</f>
        <v>FT</v>
      </c>
      <c r="G133" s="3" t="str">
        <f>HYPERLINK("https://mapwv.gov/Assessment/Detail/?PID=23080026006800000000","Assessment")</f>
        <v>Assessment</v>
      </c>
      <c r="H133">
        <v>545536</v>
      </c>
      <c r="I133" t="s">
        <v>964</v>
      </c>
      <c r="J133" t="s">
        <v>965</v>
      </c>
      <c r="K133" t="s">
        <v>148</v>
      </c>
      <c r="L133" t="s">
        <v>1064</v>
      </c>
      <c r="M133" t="s">
        <v>967</v>
      </c>
      <c r="N133" t="s">
        <v>199</v>
      </c>
      <c r="O133" t="s">
        <v>117</v>
      </c>
      <c r="P133" t="s">
        <v>150</v>
      </c>
      <c r="Q133" t="s">
        <v>119</v>
      </c>
      <c r="R133">
        <v>4.3</v>
      </c>
      <c r="S133" t="s">
        <v>120</v>
      </c>
      <c r="T133">
        <v>888.6</v>
      </c>
      <c r="U133" t="s">
        <v>365</v>
      </c>
      <c r="V133">
        <v>883.5</v>
      </c>
      <c r="X133" t="s">
        <v>1125</v>
      </c>
      <c r="Y133" t="s">
        <v>1126</v>
      </c>
      <c r="Z133">
        <v>1910</v>
      </c>
      <c r="AA133" t="s">
        <v>191</v>
      </c>
      <c r="AB133" t="s">
        <v>155</v>
      </c>
      <c r="AC133" t="s">
        <v>129</v>
      </c>
      <c r="AD133">
        <v>2</v>
      </c>
      <c r="AE133">
        <v>101</v>
      </c>
      <c r="AF133" t="s">
        <v>127</v>
      </c>
      <c r="AG133" t="s">
        <v>128</v>
      </c>
      <c r="AH133" t="s">
        <v>129</v>
      </c>
      <c r="AI133">
        <v>2</v>
      </c>
      <c r="AJ133" t="s">
        <v>341</v>
      </c>
      <c r="AK133" t="s">
        <v>130</v>
      </c>
      <c r="AL133">
        <v>1320</v>
      </c>
      <c r="AM133" t="s">
        <v>206</v>
      </c>
      <c r="AN133" t="s">
        <v>131</v>
      </c>
      <c r="AO133">
        <v>1</v>
      </c>
      <c r="AP133">
        <v>12100</v>
      </c>
      <c r="AQ133">
        <v>0</v>
      </c>
      <c r="AR133">
        <v>0</v>
      </c>
      <c r="AS133">
        <v>12100</v>
      </c>
      <c r="AT133" t="s">
        <v>132</v>
      </c>
      <c r="AU133">
        <v>1</v>
      </c>
      <c r="AV133">
        <v>0</v>
      </c>
      <c r="AW133">
        <v>1</v>
      </c>
      <c r="BE133">
        <v>2.4</v>
      </c>
      <c r="BF133">
        <v>1</v>
      </c>
      <c r="BG133">
        <v>2.4</v>
      </c>
      <c r="BH133" s="1">
        <v>44348</v>
      </c>
      <c r="BI133" t="s">
        <v>210</v>
      </c>
      <c r="BJ133">
        <v>1910</v>
      </c>
      <c r="BK133" t="s">
        <v>119</v>
      </c>
      <c r="BL133" t="s">
        <v>128</v>
      </c>
      <c r="BM133">
        <v>12100</v>
      </c>
      <c r="BN133">
        <v>2</v>
      </c>
      <c r="BO133">
        <v>7</v>
      </c>
      <c r="BP133">
        <v>1</v>
      </c>
      <c r="BQ133">
        <v>1320</v>
      </c>
      <c r="BR133">
        <v>1868</v>
      </c>
      <c r="BS133">
        <v>37.782656336000102</v>
      </c>
      <c r="BT133">
        <v>-81.815738996999897</v>
      </c>
      <c r="BU133">
        <v>4.3992310000000003</v>
      </c>
      <c r="BV133">
        <v>3.39923095703125</v>
      </c>
      <c r="BW133">
        <v>1</v>
      </c>
      <c r="BX133" t="s">
        <v>306</v>
      </c>
      <c r="BY133">
        <v>107</v>
      </c>
      <c r="BZ133">
        <v>18.7984619140625</v>
      </c>
      <c r="CA133">
        <v>2274.6138916015602</v>
      </c>
      <c r="CB133">
        <v>6050</v>
      </c>
      <c r="CC133">
        <v>23</v>
      </c>
      <c r="CD133">
        <v>24.9961547851562</v>
      </c>
      <c r="CE133">
        <v>1512.2673645019499</v>
      </c>
      <c r="CF133">
        <v>0</v>
      </c>
      <c r="CG133">
        <v>0</v>
      </c>
      <c r="CH133">
        <v>0</v>
      </c>
      <c r="CI133">
        <v>0</v>
      </c>
      <c r="CJ133" t="s">
        <v>135</v>
      </c>
      <c r="CK133">
        <v>5.4119999999999902</v>
      </c>
      <c r="CL133">
        <v>0</v>
      </c>
      <c r="CM133">
        <v>0</v>
      </c>
      <c r="CN133">
        <v>5.4119999999999902</v>
      </c>
      <c r="CO133">
        <v>180</v>
      </c>
      <c r="CP133">
        <v>360</v>
      </c>
      <c r="CQ133" t="s">
        <v>974</v>
      </c>
      <c r="CR133" t="s">
        <v>183</v>
      </c>
      <c r="CS133" t="s">
        <v>138</v>
      </c>
      <c r="CT133" t="s">
        <v>139</v>
      </c>
      <c r="CU133" t="s">
        <v>140</v>
      </c>
      <c r="CW133">
        <v>2</v>
      </c>
      <c r="CX133" t="s">
        <v>975</v>
      </c>
      <c r="CY133" t="s">
        <v>976</v>
      </c>
      <c r="CZ133" t="s">
        <v>1124</v>
      </c>
      <c r="DA133" t="s">
        <v>977</v>
      </c>
      <c r="DB133">
        <v>0</v>
      </c>
      <c r="DC133">
        <v>12100</v>
      </c>
    </row>
    <row r="134" spans="1:107" x14ac:dyDescent="0.25">
      <c r="A134" t="s">
        <v>1806</v>
      </c>
      <c r="B134" t="s">
        <v>108</v>
      </c>
      <c r="C134" t="s">
        <v>1807</v>
      </c>
      <c r="D134" t="s">
        <v>1808</v>
      </c>
      <c r="F134" s="3" t="str">
        <f>HYPERLINK("https://mapwv.gov/flood/map/?wkid=102100&amp;x=-9103255.50156393&amp;y=4487823.235633218&amp;l=13&amp;v=2","FT")</f>
        <v>FT</v>
      </c>
      <c r="G134" s="3" t="str">
        <f>HYPERLINK("https://mapwv.gov/Assessment/Detail/?PID=27030047000100000000","Assessment")</f>
        <v>Assessment</v>
      </c>
      <c r="H134">
        <v>540114</v>
      </c>
      <c r="I134" t="s">
        <v>1780</v>
      </c>
      <c r="J134" t="s">
        <v>1781</v>
      </c>
      <c r="K134" t="s">
        <v>148</v>
      </c>
      <c r="L134" t="s">
        <v>1792</v>
      </c>
      <c r="M134" t="s">
        <v>787</v>
      </c>
      <c r="N134" t="s">
        <v>199</v>
      </c>
      <c r="O134" t="s">
        <v>117</v>
      </c>
      <c r="P134" t="s">
        <v>150</v>
      </c>
      <c r="Q134" t="s">
        <v>225</v>
      </c>
      <c r="R134">
        <v>1.9</v>
      </c>
      <c r="S134" t="s">
        <v>120</v>
      </c>
      <c r="T134">
        <v>1202.8</v>
      </c>
      <c r="U134" t="s">
        <v>365</v>
      </c>
      <c r="V134">
        <v>1199.8</v>
      </c>
      <c r="X134" t="s">
        <v>1809</v>
      </c>
      <c r="Y134" t="s">
        <v>1810</v>
      </c>
      <c r="Z134">
        <v>0</v>
      </c>
      <c r="AB134" t="s">
        <v>155</v>
      </c>
      <c r="AC134" t="s">
        <v>129</v>
      </c>
      <c r="AD134">
        <v>3</v>
      </c>
      <c r="AE134">
        <v>100</v>
      </c>
      <c r="AF134" t="s">
        <v>1507</v>
      </c>
      <c r="AG134" t="s">
        <v>177</v>
      </c>
      <c r="AH134" t="s">
        <v>129</v>
      </c>
      <c r="AI134">
        <v>1</v>
      </c>
      <c r="AL134">
        <v>1000</v>
      </c>
      <c r="AN134" t="s">
        <v>158</v>
      </c>
      <c r="AO134">
        <v>3.5</v>
      </c>
      <c r="AP134">
        <v>0</v>
      </c>
      <c r="AQ134">
        <v>0</v>
      </c>
      <c r="AR134">
        <v>0</v>
      </c>
      <c r="AS134">
        <v>7000</v>
      </c>
      <c r="AT134" t="s">
        <v>228</v>
      </c>
      <c r="AU134">
        <v>1</v>
      </c>
      <c r="AV134">
        <v>0</v>
      </c>
      <c r="AW134">
        <v>1</v>
      </c>
      <c r="BE134">
        <v>2.4</v>
      </c>
      <c r="BF134">
        <v>0</v>
      </c>
      <c r="BG134">
        <v>0</v>
      </c>
      <c r="BH134" s="1">
        <v>44399</v>
      </c>
      <c r="BI134" t="s">
        <v>210</v>
      </c>
      <c r="BJ134">
        <v>0</v>
      </c>
      <c r="BK134" t="s">
        <v>225</v>
      </c>
      <c r="BL134" t="s">
        <v>177</v>
      </c>
      <c r="BM134">
        <v>7000</v>
      </c>
      <c r="BN134">
        <v>1</v>
      </c>
      <c r="BO134">
        <v>5</v>
      </c>
      <c r="BP134">
        <v>3.5</v>
      </c>
      <c r="BQ134">
        <v>1000</v>
      </c>
      <c r="BR134">
        <v>877</v>
      </c>
      <c r="BS134">
        <v>37.3487004959999</v>
      </c>
      <c r="BT134">
        <v>-81.775935523000001</v>
      </c>
      <c r="BU134">
        <v>1.8968506000000001</v>
      </c>
      <c r="BV134">
        <v>-1.6031494140625</v>
      </c>
      <c r="BW134">
        <v>1</v>
      </c>
      <c r="BX134" t="s">
        <v>181</v>
      </c>
      <c r="BY134">
        <v>189</v>
      </c>
      <c r="BZ134">
        <v>0</v>
      </c>
      <c r="CA134">
        <v>0</v>
      </c>
      <c r="CB134">
        <v>3500</v>
      </c>
      <c r="CC134">
        <v>74</v>
      </c>
      <c r="CD134">
        <v>0</v>
      </c>
      <c r="CE134">
        <v>0</v>
      </c>
      <c r="CF134">
        <v>0</v>
      </c>
      <c r="CG134">
        <v>0</v>
      </c>
      <c r="CH134">
        <v>0</v>
      </c>
      <c r="CI134">
        <v>0</v>
      </c>
      <c r="CO134">
        <v>0</v>
      </c>
      <c r="CP134">
        <v>0</v>
      </c>
      <c r="CQ134" t="s">
        <v>1785</v>
      </c>
      <c r="CR134" t="s">
        <v>183</v>
      </c>
      <c r="CS134" t="s">
        <v>138</v>
      </c>
      <c r="CT134" t="s">
        <v>139</v>
      </c>
      <c r="CU134" t="s">
        <v>163</v>
      </c>
      <c r="CW134">
        <v>1</v>
      </c>
      <c r="CX134" t="s">
        <v>1786</v>
      </c>
      <c r="CY134" t="s">
        <v>1787</v>
      </c>
      <c r="CZ134" t="s">
        <v>1808</v>
      </c>
      <c r="DA134" t="s">
        <v>1788</v>
      </c>
      <c r="DB134">
        <v>0</v>
      </c>
      <c r="DC134">
        <v>12100</v>
      </c>
    </row>
    <row r="135" spans="1:107" x14ac:dyDescent="0.25">
      <c r="A135" t="s">
        <v>629</v>
      </c>
      <c r="B135" t="s">
        <v>108</v>
      </c>
      <c r="C135" t="s">
        <v>630</v>
      </c>
      <c r="D135" t="s">
        <v>631</v>
      </c>
      <c r="F135" s="3" t="str">
        <f>HYPERLINK("https://mapwv.gov/flood/map/?wkid=102100&amp;x=-9154812.552321887&amp;y=4604795.012802478&amp;l=13&amp;v=2","FT")</f>
        <v>FT</v>
      </c>
      <c r="G135" s="3" t="str">
        <f>HYPERLINK("https://mapwv.gov/Assessment/Detail/?PID=22060005000700010000","Assessment")</f>
        <v>Assessment</v>
      </c>
      <c r="H135">
        <v>540088</v>
      </c>
      <c r="I135" t="s">
        <v>632</v>
      </c>
      <c r="J135" t="s">
        <v>633</v>
      </c>
      <c r="K135" t="s">
        <v>148</v>
      </c>
      <c r="L135" t="s">
        <v>634</v>
      </c>
      <c r="M135" t="s">
        <v>550</v>
      </c>
      <c r="N135" t="s">
        <v>149</v>
      </c>
      <c r="O135" t="s">
        <v>117</v>
      </c>
      <c r="P135" t="s">
        <v>150</v>
      </c>
      <c r="Q135" t="s">
        <v>260</v>
      </c>
      <c r="R135" t="s">
        <v>151</v>
      </c>
      <c r="S135" t="s">
        <v>151</v>
      </c>
      <c r="T135" t="s">
        <v>151</v>
      </c>
      <c r="U135" t="s">
        <v>151</v>
      </c>
      <c r="V135">
        <v>644.29999999999995</v>
      </c>
      <c r="X135" t="s">
        <v>635</v>
      </c>
      <c r="Y135" t="s">
        <v>636</v>
      </c>
      <c r="Z135">
        <v>1990</v>
      </c>
      <c r="AA135" t="s">
        <v>241</v>
      </c>
      <c r="AB135" t="s">
        <v>155</v>
      </c>
      <c r="AC135" t="s">
        <v>129</v>
      </c>
      <c r="AD135">
        <v>2</v>
      </c>
      <c r="AE135">
        <v>108</v>
      </c>
      <c r="AF135" t="s">
        <v>176</v>
      </c>
      <c r="AG135" t="s">
        <v>177</v>
      </c>
      <c r="AH135" t="s">
        <v>129</v>
      </c>
      <c r="AI135">
        <v>1</v>
      </c>
      <c r="AL135">
        <v>720</v>
      </c>
      <c r="AN135" t="s">
        <v>158</v>
      </c>
      <c r="AO135">
        <v>4</v>
      </c>
      <c r="AP135">
        <v>0</v>
      </c>
      <c r="AQ135">
        <v>0</v>
      </c>
      <c r="AR135">
        <v>11780</v>
      </c>
      <c r="AS135">
        <v>11800</v>
      </c>
      <c r="AT135" t="s">
        <v>132</v>
      </c>
      <c r="AU135">
        <v>1</v>
      </c>
      <c r="AV135">
        <v>4</v>
      </c>
      <c r="AW135">
        <v>1</v>
      </c>
      <c r="BC135" t="s">
        <v>209</v>
      </c>
      <c r="BE135">
        <v>2.6</v>
      </c>
      <c r="BF135">
        <v>0</v>
      </c>
      <c r="BG135">
        <v>0</v>
      </c>
      <c r="BH135" s="1">
        <v>44319</v>
      </c>
      <c r="BI135" t="s">
        <v>159</v>
      </c>
      <c r="BJ135">
        <v>1990</v>
      </c>
      <c r="BK135" t="s">
        <v>260</v>
      </c>
      <c r="BL135" t="s">
        <v>177</v>
      </c>
      <c r="BM135">
        <v>11800</v>
      </c>
      <c r="BN135">
        <v>1</v>
      </c>
      <c r="BO135">
        <v>5</v>
      </c>
      <c r="BP135">
        <v>4</v>
      </c>
      <c r="BQ135">
        <v>720</v>
      </c>
      <c r="BR135">
        <v>997</v>
      </c>
      <c r="BS135">
        <v>38.179364028999998</v>
      </c>
      <c r="BT135">
        <v>-82.239080389999899</v>
      </c>
      <c r="BU135">
        <v>0</v>
      </c>
      <c r="BV135">
        <v>-4</v>
      </c>
      <c r="BW135">
        <v>0</v>
      </c>
      <c r="BX135" t="s">
        <v>181</v>
      </c>
      <c r="BY135">
        <v>0</v>
      </c>
      <c r="BZ135">
        <v>0</v>
      </c>
      <c r="CA135">
        <v>0</v>
      </c>
      <c r="CB135">
        <v>5900</v>
      </c>
      <c r="CC135">
        <v>0</v>
      </c>
      <c r="CD135">
        <v>0</v>
      </c>
      <c r="CE135">
        <v>0</v>
      </c>
      <c r="CF135">
        <v>0</v>
      </c>
      <c r="CG135">
        <v>0</v>
      </c>
      <c r="CH135">
        <v>0</v>
      </c>
      <c r="CI135">
        <v>0</v>
      </c>
      <c r="CO135">
        <v>0</v>
      </c>
      <c r="CP135">
        <v>0</v>
      </c>
      <c r="CQ135" t="s">
        <v>637</v>
      </c>
      <c r="CR135" t="s">
        <v>183</v>
      </c>
      <c r="CS135" t="s">
        <v>161</v>
      </c>
      <c r="CT135" t="s">
        <v>139</v>
      </c>
      <c r="CU135" t="s">
        <v>163</v>
      </c>
      <c r="CW135">
        <v>2</v>
      </c>
      <c r="CX135" t="s">
        <v>638</v>
      </c>
      <c r="CY135" t="s">
        <v>639</v>
      </c>
      <c r="CZ135" t="s">
        <v>631</v>
      </c>
      <c r="DA135" t="s">
        <v>640</v>
      </c>
      <c r="DB135">
        <v>0</v>
      </c>
      <c r="DC135">
        <v>11800</v>
      </c>
    </row>
    <row r="136" spans="1:107" x14ac:dyDescent="0.25">
      <c r="A136" t="s">
        <v>593</v>
      </c>
      <c r="B136" t="s">
        <v>108</v>
      </c>
      <c r="C136" t="s">
        <v>594</v>
      </c>
      <c r="D136" t="s">
        <v>595</v>
      </c>
      <c r="F136" s="3" t="str">
        <f>HYPERLINK("https://mapwv.gov/flood/map/?wkid=102100&amp;x=-9028917.137761673&amp;y=4640448.2723333845&amp;l=13&amp;v=2","FT")</f>
        <v>FT</v>
      </c>
      <c r="G136" s="3" t="str">
        <f>HYPERLINK("https://mapwv.gov/Assessment/Detail/?PID=0803033A006100000000","Assessment")</f>
        <v>Assessment</v>
      </c>
      <c r="H136">
        <v>540022</v>
      </c>
      <c r="I136" t="s">
        <v>584</v>
      </c>
      <c r="J136" t="s">
        <v>585</v>
      </c>
      <c r="K136" t="s">
        <v>148</v>
      </c>
      <c r="L136" t="s">
        <v>596</v>
      </c>
      <c r="M136" t="s">
        <v>172</v>
      </c>
      <c r="N136" t="s">
        <v>199</v>
      </c>
      <c r="O136" t="s">
        <v>117</v>
      </c>
      <c r="P136" t="s">
        <v>150</v>
      </c>
      <c r="Q136" t="s">
        <v>119</v>
      </c>
      <c r="R136" t="s">
        <v>151</v>
      </c>
      <c r="S136" t="s">
        <v>151</v>
      </c>
      <c r="T136" t="s">
        <v>151</v>
      </c>
      <c r="U136" t="s">
        <v>151</v>
      </c>
      <c r="V136">
        <v>697.3</v>
      </c>
      <c r="X136" t="s">
        <v>597</v>
      </c>
      <c r="Y136" t="s">
        <v>598</v>
      </c>
      <c r="Z136">
        <v>1979</v>
      </c>
      <c r="AA136" t="s">
        <v>241</v>
      </c>
      <c r="AB136" t="s">
        <v>155</v>
      </c>
      <c r="AC136" t="s">
        <v>129</v>
      </c>
      <c r="AD136">
        <v>3</v>
      </c>
      <c r="AE136">
        <v>101</v>
      </c>
      <c r="AF136" t="s">
        <v>127</v>
      </c>
      <c r="AG136" t="s">
        <v>128</v>
      </c>
      <c r="AH136" t="s">
        <v>129</v>
      </c>
      <c r="AI136">
        <v>1</v>
      </c>
      <c r="AJ136" t="s">
        <v>156</v>
      </c>
      <c r="AK136" t="s">
        <v>130</v>
      </c>
      <c r="AL136">
        <v>1132</v>
      </c>
      <c r="AM136" t="s">
        <v>157</v>
      </c>
      <c r="AN136" t="s">
        <v>158</v>
      </c>
      <c r="AO136">
        <v>3</v>
      </c>
      <c r="AP136">
        <v>11700</v>
      </c>
      <c r="AQ136">
        <v>0</v>
      </c>
      <c r="AR136">
        <v>0</v>
      </c>
      <c r="AS136">
        <v>11700</v>
      </c>
      <c r="AT136" t="s">
        <v>132</v>
      </c>
      <c r="AU136">
        <v>1</v>
      </c>
      <c r="AV136">
        <v>0</v>
      </c>
      <c r="AW136">
        <v>1</v>
      </c>
      <c r="BE136">
        <v>2.6</v>
      </c>
      <c r="BF136">
        <v>0</v>
      </c>
      <c r="BG136">
        <v>0</v>
      </c>
      <c r="BH136" s="1">
        <v>44322</v>
      </c>
      <c r="BI136" t="s">
        <v>441</v>
      </c>
      <c r="BJ136">
        <v>1979</v>
      </c>
      <c r="BK136" t="s">
        <v>119</v>
      </c>
      <c r="BL136" t="s">
        <v>128</v>
      </c>
      <c r="BM136">
        <v>11700</v>
      </c>
      <c r="BN136">
        <v>1</v>
      </c>
      <c r="BO136">
        <v>5</v>
      </c>
      <c r="BP136">
        <v>3</v>
      </c>
      <c r="BQ136">
        <v>1132</v>
      </c>
      <c r="BR136">
        <v>371</v>
      </c>
      <c r="BS136">
        <v>38.430693292999898</v>
      </c>
      <c r="BT136">
        <v>-81.108142638999794</v>
      </c>
      <c r="BU136">
        <v>0</v>
      </c>
      <c r="BV136">
        <v>-3</v>
      </c>
      <c r="BW136">
        <v>0</v>
      </c>
      <c r="BX136" t="s">
        <v>134</v>
      </c>
      <c r="BY136">
        <v>0</v>
      </c>
      <c r="BZ136">
        <v>0</v>
      </c>
      <c r="CA136">
        <v>0</v>
      </c>
      <c r="CB136">
        <v>5850</v>
      </c>
      <c r="CC136">
        <v>0</v>
      </c>
      <c r="CD136">
        <v>0</v>
      </c>
      <c r="CE136">
        <v>0</v>
      </c>
      <c r="CF136">
        <v>0</v>
      </c>
      <c r="CG136">
        <v>0</v>
      </c>
      <c r="CH136">
        <v>0</v>
      </c>
      <c r="CI136">
        <v>0</v>
      </c>
      <c r="CO136">
        <v>0</v>
      </c>
      <c r="CP136">
        <v>0</v>
      </c>
      <c r="CQ136" t="s">
        <v>589</v>
      </c>
      <c r="CR136" t="s">
        <v>160</v>
      </c>
      <c r="CS136" t="s">
        <v>161</v>
      </c>
      <c r="CT136" t="s">
        <v>139</v>
      </c>
      <c r="CU136" t="s">
        <v>163</v>
      </c>
      <c r="CW136">
        <v>3</v>
      </c>
      <c r="CX136" t="s">
        <v>590</v>
      </c>
      <c r="CY136" t="s">
        <v>591</v>
      </c>
      <c r="CZ136" t="s">
        <v>595</v>
      </c>
      <c r="DA136" t="s">
        <v>592</v>
      </c>
      <c r="DB136">
        <v>0</v>
      </c>
      <c r="DC136">
        <v>11700</v>
      </c>
    </row>
    <row r="137" spans="1:107" x14ac:dyDescent="0.25">
      <c r="A137" t="s">
        <v>604</v>
      </c>
      <c r="B137" t="s">
        <v>108</v>
      </c>
      <c r="C137" t="s">
        <v>605</v>
      </c>
      <c r="D137" t="s">
        <v>606</v>
      </c>
      <c r="F137" s="3" t="str">
        <f>HYPERLINK("https://mapwv.gov/flood/map/?wkid=102100&amp;x=-9020374.384080801&amp;y=4653444.868181294&amp;l=13&amp;v=2","FT")</f>
        <v>FT</v>
      </c>
      <c r="G137" s="3" t="str">
        <f>HYPERLINK("https://mapwv.gov/Assessment/Detail/?PID=08010006003300000000","Assessment")</f>
        <v>Assessment</v>
      </c>
      <c r="H137">
        <v>540022</v>
      </c>
      <c r="I137" t="s">
        <v>584</v>
      </c>
      <c r="J137" t="s">
        <v>585</v>
      </c>
      <c r="K137" t="s">
        <v>148</v>
      </c>
      <c r="L137" t="s">
        <v>596</v>
      </c>
      <c r="M137" t="s">
        <v>172</v>
      </c>
      <c r="N137" t="s">
        <v>199</v>
      </c>
      <c r="O137" t="s">
        <v>117</v>
      </c>
      <c r="P137" t="s">
        <v>150</v>
      </c>
      <c r="Q137" t="s">
        <v>260</v>
      </c>
      <c r="R137" t="s">
        <v>151</v>
      </c>
      <c r="S137" t="s">
        <v>151</v>
      </c>
      <c r="T137" t="s">
        <v>151</v>
      </c>
      <c r="U137" t="s">
        <v>151</v>
      </c>
      <c r="V137">
        <v>753.1</v>
      </c>
      <c r="X137" t="s">
        <v>607</v>
      </c>
      <c r="Y137" t="s">
        <v>608</v>
      </c>
      <c r="Z137">
        <v>2016</v>
      </c>
      <c r="AA137" t="s">
        <v>318</v>
      </c>
      <c r="AB137" t="s">
        <v>155</v>
      </c>
      <c r="AC137" t="s">
        <v>129</v>
      </c>
      <c r="AD137">
        <v>3</v>
      </c>
      <c r="AE137">
        <v>101</v>
      </c>
      <c r="AF137" t="s">
        <v>127</v>
      </c>
      <c r="AG137" t="s">
        <v>177</v>
      </c>
      <c r="AH137" t="s">
        <v>129</v>
      </c>
      <c r="AI137">
        <v>1</v>
      </c>
      <c r="AJ137" t="s">
        <v>156</v>
      </c>
      <c r="AK137" t="s">
        <v>130</v>
      </c>
      <c r="AL137">
        <v>1000</v>
      </c>
      <c r="AM137" t="s">
        <v>206</v>
      </c>
      <c r="AN137" t="s">
        <v>158</v>
      </c>
      <c r="AO137">
        <v>4</v>
      </c>
      <c r="AP137">
        <v>11300</v>
      </c>
      <c r="AQ137">
        <v>0</v>
      </c>
      <c r="AR137">
        <v>200</v>
      </c>
      <c r="AS137">
        <v>7000</v>
      </c>
      <c r="AT137" t="s">
        <v>228</v>
      </c>
      <c r="AU137">
        <v>1</v>
      </c>
      <c r="AV137">
        <v>0</v>
      </c>
      <c r="AW137">
        <v>1</v>
      </c>
      <c r="BC137" t="s">
        <v>230</v>
      </c>
      <c r="BE137">
        <v>2.6</v>
      </c>
      <c r="BF137">
        <v>0</v>
      </c>
      <c r="BG137">
        <v>0</v>
      </c>
      <c r="BH137" s="1">
        <v>44322</v>
      </c>
      <c r="BI137" t="s">
        <v>441</v>
      </c>
      <c r="BJ137">
        <v>2016</v>
      </c>
      <c r="BK137" t="s">
        <v>260</v>
      </c>
      <c r="BL137" t="s">
        <v>177</v>
      </c>
      <c r="BM137">
        <v>7000</v>
      </c>
      <c r="BN137">
        <v>1</v>
      </c>
      <c r="BO137">
        <v>5</v>
      </c>
      <c r="BP137">
        <v>4</v>
      </c>
      <c r="BQ137">
        <v>1000</v>
      </c>
      <c r="BR137">
        <v>790</v>
      </c>
      <c r="BS137">
        <v>38.522093028999997</v>
      </c>
      <c r="BT137">
        <v>-81.0314017769999</v>
      </c>
      <c r="BU137">
        <v>0</v>
      </c>
      <c r="BV137">
        <v>-4</v>
      </c>
      <c r="BW137">
        <v>0</v>
      </c>
      <c r="BX137" t="s">
        <v>181</v>
      </c>
      <c r="BY137">
        <v>0</v>
      </c>
      <c r="BZ137">
        <v>0</v>
      </c>
      <c r="CA137">
        <v>0</v>
      </c>
      <c r="CB137">
        <v>3500</v>
      </c>
      <c r="CC137">
        <v>0</v>
      </c>
      <c r="CD137">
        <v>0</v>
      </c>
      <c r="CE137">
        <v>0</v>
      </c>
      <c r="CF137">
        <v>0</v>
      </c>
      <c r="CG137">
        <v>0</v>
      </c>
      <c r="CH137">
        <v>0</v>
      </c>
      <c r="CI137">
        <v>0</v>
      </c>
      <c r="CO137">
        <v>0</v>
      </c>
      <c r="CP137">
        <v>0</v>
      </c>
      <c r="CQ137" t="s">
        <v>589</v>
      </c>
      <c r="CR137" t="s">
        <v>160</v>
      </c>
      <c r="CS137" t="s">
        <v>161</v>
      </c>
      <c r="CT137" t="s">
        <v>139</v>
      </c>
      <c r="CU137" t="s">
        <v>163</v>
      </c>
      <c r="CW137">
        <v>3</v>
      </c>
      <c r="CX137" t="s">
        <v>590</v>
      </c>
      <c r="CY137" t="s">
        <v>591</v>
      </c>
      <c r="CZ137" t="s">
        <v>606</v>
      </c>
      <c r="DA137" t="s">
        <v>592</v>
      </c>
      <c r="DB137">
        <v>0</v>
      </c>
      <c r="DC137">
        <v>11500</v>
      </c>
    </row>
    <row r="138" spans="1:107" x14ac:dyDescent="0.25">
      <c r="A138" t="s">
        <v>627</v>
      </c>
      <c r="B138" t="s">
        <v>108</v>
      </c>
      <c r="C138" t="s">
        <v>628</v>
      </c>
      <c r="D138" t="s">
        <v>606</v>
      </c>
      <c r="F138" s="3" t="str">
        <f>HYPERLINK("https://mapwv.gov/flood/map/?wkid=102100&amp;x=-9020144.161792861&amp;y=4653440.914499828&amp;l=13&amp;v=2","FT")</f>
        <v>FT</v>
      </c>
      <c r="G138" s="3" t="str">
        <f>HYPERLINK("https://mapwv.gov/Assessment/Detail/?PID=08010006003300000000","Assessment")</f>
        <v>Assessment</v>
      </c>
      <c r="H138">
        <v>540022</v>
      </c>
      <c r="I138" t="s">
        <v>584</v>
      </c>
      <c r="J138" t="s">
        <v>585</v>
      </c>
      <c r="K138" t="s">
        <v>148</v>
      </c>
      <c r="L138" t="s">
        <v>596</v>
      </c>
      <c r="M138" t="s">
        <v>172</v>
      </c>
      <c r="N138" t="s">
        <v>199</v>
      </c>
      <c r="O138" t="s">
        <v>117</v>
      </c>
      <c r="P138" t="s">
        <v>150</v>
      </c>
      <c r="Q138" t="s">
        <v>119</v>
      </c>
      <c r="R138" t="s">
        <v>151</v>
      </c>
      <c r="S138" t="s">
        <v>151</v>
      </c>
      <c r="T138" t="s">
        <v>151</v>
      </c>
      <c r="U138" t="s">
        <v>151</v>
      </c>
      <c r="V138">
        <v>747.4</v>
      </c>
      <c r="X138" t="s">
        <v>607</v>
      </c>
      <c r="Y138" t="s">
        <v>608</v>
      </c>
      <c r="Z138">
        <v>1111</v>
      </c>
      <c r="AA138" t="s">
        <v>318</v>
      </c>
      <c r="AB138" t="s">
        <v>155</v>
      </c>
      <c r="AC138" t="s">
        <v>129</v>
      </c>
      <c r="AD138">
        <v>3</v>
      </c>
      <c r="AE138">
        <v>101</v>
      </c>
      <c r="AF138" t="s">
        <v>127</v>
      </c>
      <c r="AG138" t="s">
        <v>177</v>
      </c>
      <c r="AH138" t="s">
        <v>129</v>
      </c>
      <c r="AI138">
        <v>1</v>
      </c>
      <c r="AJ138" t="s">
        <v>156</v>
      </c>
      <c r="AK138" t="s">
        <v>130</v>
      </c>
      <c r="AL138">
        <v>1000</v>
      </c>
      <c r="AM138" t="s">
        <v>206</v>
      </c>
      <c r="AN138" t="s">
        <v>158</v>
      </c>
      <c r="AO138">
        <v>3</v>
      </c>
      <c r="AP138">
        <v>11300</v>
      </c>
      <c r="AQ138">
        <v>0</v>
      </c>
      <c r="AR138">
        <v>200</v>
      </c>
      <c r="AS138">
        <v>7000</v>
      </c>
      <c r="AT138" t="s">
        <v>228</v>
      </c>
      <c r="AU138">
        <v>1</v>
      </c>
      <c r="AV138">
        <v>0</v>
      </c>
      <c r="AW138">
        <v>1</v>
      </c>
      <c r="BC138" t="s">
        <v>230</v>
      </c>
      <c r="BE138">
        <v>2.6</v>
      </c>
      <c r="BF138">
        <v>0</v>
      </c>
      <c r="BG138">
        <v>0</v>
      </c>
      <c r="BH138" s="1">
        <v>44322</v>
      </c>
      <c r="BI138" t="s">
        <v>441</v>
      </c>
      <c r="BJ138">
        <v>1111</v>
      </c>
      <c r="BK138" t="s">
        <v>119</v>
      </c>
      <c r="BL138" t="s">
        <v>177</v>
      </c>
      <c r="BM138">
        <v>7000</v>
      </c>
      <c r="BN138">
        <v>1</v>
      </c>
      <c r="BO138">
        <v>5</v>
      </c>
      <c r="BP138">
        <v>3</v>
      </c>
      <c r="BQ138">
        <v>1000</v>
      </c>
      <c r="BR138">
        <v>805</v>
      </c>
      <c r="BS138">
        <v>38.522065242000103</v>
      </c>
      <c r="BT138">
        <v>-81.029333655000002</v>
      </c>
      <c r="BU138">
        <v>0</v>
      </c>
      <c r="BV138">
        <v>-3</v>
      </c>
      <c r="BW138">
        <v>0</v>
      </c>
      <c r="BX138" t="s">
        <v>181</v>
      </c>
      <c r="BY138">
        <v>0</v>
      </c>
      <c r="BZ138">
        <v>0</v>
      </c>
      <c r="CA138">
        <v>0</v>
      </c>
      <c r="CB138">
        <v>3500</v>
      </c>
      <c r="CC138">
        <v>0</v>
      </c>
      <c r="CD138">
        <v>0</v>
      </c>
      <c r="CE138">
        <v>0</v>
      </c>
      <c r="CF138">
        <v>0</v>
      </c>
      <c r="CG138">
        <v>0</v>
      </c>
      <c r="CH138">
        <v>0</v>
      </c>
      <c r="CI138">
        <v>0</v>
      </c>
      <c r="CO138">
        <v>0</v>
      </c>
      <c r="CP138">
        <v>0</v>
      </c>
      <c r="CQ138" t="s">
        <v>589</v>
      </c>
      <c r="CR138" t="s">
        <v>160</v>
      </c>
      <c r="CS138" t="s">
        <v>161</v>
      </c>
      <c r="CT138" t="s">
        <v>139</v>
      </c>
      <c r="CU138" t="s">
        <v>163</v>
      </c>
      <c r="CW138">
        <v>3</v>
      </c>
      <c r="CX138" t="s">
        <v>590</v>
      </c>
      <c r="CY138" t="s">
        <v>591</v>
      </c>
      <c r="CZ138" t="s">
        <v>606</v>
      </c>
      <c r="DA138" t="s">
        <v>592</v>
      </c>
      <c r="DB138">
        <v>0</v>
      </c>
      <c r="DC138">
        <v>11500</v>
      </c>
    </row>
    <row r="139" spans="1:107" x14ac:dyDescent="0.25">
      <c r="A139" t="s">
        <v>827</v>
      </c>
      <c r="B139" t="s">
        <v>108</v>
      </c>
      <c r="C139" t="s">
        <v>828</v>
      </c>
      <c r="D139" t="s">
        <v>829</v>
      </c>
      <c r="F139" s="3" t="str">
        <f>HYPERLINK("https://mapwv.gov/flood/map/?wkid=102100&amp;x=-9174650.569012724&amp;y=4562548.61196652&amp;l=13&amp;v=2","FT")</f>
        <v>FT</v>
      </c>
      <c r="G139" s="3" t="str">
        <f>HYPERLINK("https://mapwv.gov/Assessment/Detail/?PID=50080043003800000000","Assessment")</f>
        <v>Assessment</v>
      </c>
      <c r="H139">
        <v>540200</v>
      </c>
      <c r="I139" t="s">
        <v>773</v>
      </c>
      <c r="J139" t="s">
        <v>774</v>
      </c>
      <c r="K139" t="s">
        <v>148</v>
      </c>
      <c r="L139" t="s">
        <v>830</v>
      </c>
      <c r="M139" t="s">
        <v>787</v>
      </c>
      <c r="N139" t="s">
        <v>199</v>
      </c>
      <c r="O139" t="s">
        <v>117</v>
      </c>
      <c r="P139" t="s">
        <v>150</v>
      </c>
      <c r="Q139" t="s">
        <v>260</v>
      </c>
      <c r="R139" t="s">
        <v>151</v>
      </c>
      <c r="S139" t="s">
        <v>151</v>
      </c>
      <c r="T139">
        <v>619.70000000000005</v>
      </c>
      <c r="U139" t="s">
        <v>365</v>
      </c>
      <c r="V139">
        <v>618.6</v>
      </c>
      <c r="X139" t="s">
        <v>831</v>
      </c>
      <c r="Y139" t="s">
        <v>832</v>
      </c>
      <c r="Z139">
        <v>1993</v>
      </c>
      <c r="AA139" t="s">
        <v>175</v>
      </c>
      <c r="AB139" t="s">
        <v>155</v>
      </c>
      <c r="AC139" t="s">
        <v>129</v>
      </c>
      <c r="AD139">
        <v>2</v>
      </c>
      <c r="AE139">
        <v>108</v>
      </c>
      <c r="AF139" t="s">
        <v>176</v>
      </c>
      <c r="AG139" t="s">
        <v>177</v>
      </c>
      <c r="AH139" t="s">
        <v>129</v>
      </c>
      <c r="AI139">
        <v>1</v>
      </c>
      <c r="AL139">
        <v>1120</v>
      </c>
      <c r="AN139" t="s">
        <v>158</v>
      </c>
      <c r="AO139">
        <v>4</v>
      </c>
      <c r="AP139">
        <v>0</v>
      </c>
      <c r="AQ139">
        <v>0</v>
      </c>
      <c r="AR139">
        <v>11210</v>
      </c>
      <c r="AS139">
        <v>11200</v>
      </c>
      <c r="AT139" t="s">
        <v>132</v>
      </c>
      <c r="AU139">
        <v>1</v>
      </c>
      <c r="AV139">
        <v>2</v>
      </c>
      <c r="AW139">
        <v>1</v>
      </c>
      <c r="BE139">
        <v>2.6</v>
      </c>
      <c r="BF139">
        <v>0</v>
      </c>
      <c r="BG139">
        <v>0</v>
      </c>
      <c r="BH139" s="1">
        <v>44319</v>
      </c>
      <c r="BI139" t="s">
        <v>441</v>
      </c>
      <c r="BJ139">
        <v>1993</v>
      </c>
      <c r="BK139" t="s">
        <v>260</v>
      </c>
      <c r="BL139" t="s">
        <v>177</v>
      </c>
      <c r="BM139">
        <v>11200</v>
      </c>
      <c r="BN139">
        <v>1</v>
      </c>
      <c r="BO139">
        <v>5</v>
      </c>
      <c r="BP139">
        <v>4</v>
      </c>
      <c r="BQ139">
        <v>1120</v>
      </c>
      <c r="BR139">
        <v>84</v>
      </c>
      <c r="BS139">
        <v>37.880432034000101</v>
      </c>
      <c r="BT139">
        <v>-82.417288325999905</v>
      </c>
      <c r="BU139">
        <v>2.0541382000000001</v>
      </c>
      <c r="BV139">
        <v>-1.94586181640625</v>
      </c>
      <c r="BW139">
        <v>1</v>
      </c>
      <c r="BX139" t="s">
        <v>181</v>
      </c>
      <c r="BY139">
        <v>189</v>
      </c>
      <c r="BZ139">
        <v>0</v>
      </c>
      <c r="CA139">
        <v>0</v>
      </c>
      <c r="CB139">
        <v>5600</v>
      </c>
      <c r="CC139">
        <v>74</v>
      </c>
      <c r="CD139">
        <v>0</v>
      </c>
      <c r="CE139">
        <v>0</v>
      </c>
      <c r="CF139">
        <v>0</v>
      </c>
      <c r="CG139">
        <v>0</v>
      </c>
      <c r="CH139">
        <v>0</v>
      </c>
      <c r="CI139">
        <v>0</v>
      </c>
      <c r="CO139">
        <v>0</v>
      </c>
      <c r="CP139">
        <v>0</v>
      </c>
      <c r="CQ139" t="s">
        <v>779</v>
      </c>
      <c r="CR139" t="s">
        <v>183</v>
      </c>
      <c r="CS139" t="s">
        <v>138</v>
      </c>
      <c r="CT139" t="s">
        <v>139</v>
      </c>
      <c r="CU139" t="s">
        <v>163</v>
      </c>
      <c r="CW139">
        <v>2</v>
      </c>
      <c r="CX139" t="s">
        <v>780</v>
      </c>
      <c r="CY139" t="s">
        <v>781</v>
      </c>
      <c r="CZ139" t="s">
        <v>829</v>
      </c>
      <c r="DA139" t="s">
        <v>782</v>
      </c>
      <c r="DB139">
        <v>0</v>
      </c>
      <c r="DC139">
        <v>11200</v>
      </c>
    </row>
    <row r="140" spans="1:107" x14ac:dyDescent="0.25">
      <c r="A140" t="s">
        <v>933</v>
      </c>
      <c r="B140" t="s">
        <v>108</v>
      </c>
      <c r="C140" t="s">
        <v>934</v>
      </c>
      <c r="D140" t="s">
        <v>935</v>
      </c>
      <c r="F140" s="3" t="str">
        <f>HYPERLINK("https://mapwv.gov/flood/map/?wkid=102100&amp;x=-9126947.835509755&amp;y=4722465.068860516&amp;l=13&amp;v=2","FT")</f>
        <v>FT</v>
      </c>
      <c r="G140" s="3" t="str">
        <f>HYPERLINK("https://mapwv.gov/Assessment/Detail/?PID=26070001004900030000","Assessment")</f>
        <v>Assessment</v>
      </c>
      <c r="H140">
        <v>540247</v>
      </c>
      <c r="I140" t="s">
        <v>936</v>
      </c>
      <c r="J140" t="s">
        <v>907</v>
      </c>
      <c r="K140" t="s">
        <v>113</v>
      </c>
      <c r="L140" t="s">
        <v>920</v>
      </c>
      <c r="M140" t="s">
        <v>921</v>
      </c>
      <c r="N140" t="s">
        <v>199</v>
      </c>
      <c r="O140" t="s">
        <v>117</v>
      </c>
      <c r="P140" t="s">
        <v>150</v>
      </c>
      <c r="Q140" t="s">
        <v>260</v>
      </c>
      <c r="R140">
        <v>3.2</v>
      </c>
      <c r="S140" t="s">
        <v>120</v>
      </c>
      <c r="T140" t="s">
        <v>151</v>
      </c>
      <c r="U140" t="s">
        <v>151</v>
      </c>
      <c r="V140">
        <v>576.20000000000005</v>
      </c>
      <c r="X140" t="s">
        <v>937</v>
      </c>
      <c r="Y140" t="s">
        <v>938</v>
      </c>
      <c r="Z140">
        <v>1986</v>
      </c>
      <c r="AA140" t="s">
        <v>175</v>
      </c>
      <c r="AB140" t="s">
        <v>155</v>
      </c>
      <c r="AC140" t="s">
        <v>129</v>
      </c>
      <c r="AD140">
        <v>2</v>
      </c>
      <c r="AE140">
        <v>108</v>
      </c>
      <c r="AF140" t="s">
        <v>176</v>
      </c>
      <c r="AG140" t="s">
        <v>177</v>
      </c>
      <c r="AH140" t="s">
        <v>129</v>
      </c>
      <c r="AI140">
        <v>1</v>
      </c>
      <c r="AL140">
        <v>980</v>
      </c>
      <c r="AN140" t="s">
        <v>158</v>
      </c>
      <c r="AO140">
        <v>4</v>
      </c>
      <c r="AP140">
        <v>0</v>
      </c>
      <c r="AQ140">
        <v>0</v>
      </c>
      <c r="AR140">
        <v>11080</v>
      </c>
      <c r="AS140">
        <v>11100</v>
      </c>
      <c r="AT140" t="s">
        <v>132</v>
      </c>
      <c r="AU140">
        <v>1</v>
      </c>
      <c r="AV140">
        <v>4</v>
      </c>
      <c r="AW140">
        <v>1</v>
      </c>
      <c r="BE140">
        <v>2.2999999999999998</v>
      </c>
      <c r="BF140">
        <v>1</v>
      </c>
      <c r="BG140">
        <v>2.2999999999999998</v>
      </c>
      <c r="BH140" s="1">
        <v>44335</v>
      </c>
      <c r="BI140" t="s">
        <v>210</v>
      </c>
      <c r="BJ140">
        <v>1986</v>
      </c>
      <c r="BK140" t="s">
        <v>260</v>
      </c>
      <c r="BL140" t="s">
        <v>177</v>
      </c>
      <c r="BM140">
        <v>11100</v>
      </c>
      <c r="BN140">
        <v>1</v>
      </c>
      <c r="BO140">
        <v>5</v>
      </c>
      <c r="BP140">
        <v>4</v>
      </c>
      <c r="BQ140">
        <v>980</v>
      </c>
      <c r="BR140">
        <v>1076</v>
      </c>
      <c r="BS140">
        <v>39.005539356</v>
      </c>
      <c r="BT140">
        <v>-81.988767379999899</v>
      </c>
      <c r="BU140">
        <v>3.1970825</v>
      </c>
      <c r="BV140">
        <v>-0.80291748046875</v>
      </c>
      <c r="BW140">
        <v>1</v>
      </c>
      <c r="BX140" t="s">
        <v>181</v>
      </c>
      <c r="BY140">
        <v>189</v>
      </c>
      <c r="BZ140">
        <v>2.16790771484375</v>
      </c>
      <c r="CA140">
        <v>240.63775634765599</v>
      </c>
      <c r="CB140">
        <v>5550</v>
      </c>
      <c r="CC140">
        <v>74</v>
      </c>
      <c r="CD140">
        <v>0.59124755859375</v>
      </c>
      <c r="CE140">
        <v>32.814239501953097</v>
      </c>
      <c r="CF140">
        <v>0</v>
      </c>
      <c r="CG140">
        <v>0</v>
      </c>
      <c r="CH140">
        <v>0</v>
      </c>
      <c r="CI140">
        <v>0</v>
      </c>
      <c r="CO140">
        <v>0</v>
      </c>
      <c r="CP140">
        <v>0</v>
      </c>
      <c r="CQ140" t="s">
        <v>912</v>
      </c>
      <c r="CR140" t="s">
        <v>183</v>
      </c>
      <c r="CS140" t="s">
        <v>138</v>
      </c>
      <c r="CT140" t="s">
        <v>139</v>
      </c>
      <c r="CU140" t="s">
        <v>267</v>
      </c>
      <c r="CW140">
        <v>2</v>
      </c>
      <c r="CX140" t="s">
        <v>939</v>
      </c>
      <c r="CY140" t="s">
        <v>914</v>
      </c>
      <c r="CZ140" t="s">
        <v>935</v>
      </c>
      <c r="DA140" t="s">
        <v>915</v>
      </c>
      <c r="DB140">
        <v>0</v>
      </c>
      <c r="DC140">
        <v>11100</v>
      </c>
    </row>
    <row r="141" spans="1:107" x14ac:dyDescent="0.25">
      <c r="A141" t="s">
        <v>1087</v>
      </c>
      <c r="B141" t="s">
        <v>108</v>
      </c>
      <c r="C141" t="s">
        <v>1088</v>
      </c>
      <c r="D141" t="s">
        <v>1089</v>
      </c>
      <c r="F141" s="3" t="str">
        <f>HYPERLINK("https://mapwv.gov/flood/map/?wkid=102100&amp;x=-9104934.790257629&amp;y=4541217.8022250375&amp;l=13&amp;v=2","FT")</f>
        <v>FT</v>
      </c>
      <c r="G141" s="3" t="str">
        <f>HYPERLINK("https://mapwv.gov/Assessment/Detail/?PID=23080011005100000000","Assessment")</f>
        <v>Assessment</v>
      </c>
      <c r="H141">
        <v>545536</v>
      </c>
      <c r="I141" t="s">
        <v>964</v>
      </c>
      <c r="J141" t="s">
        <v>965</v>
      </c>
      <c r="K141" t="s">
        <v>148</v>
      </c>
      <c r="L141" t="s">
        <v>1070</v>
      </c>
      <c r="M141" t="s">
        <v>967</v>
      </c>
      <c r="N141" t="s">
        <v>199</v>
      </c>
      <c r="O141" t="s">
        <v>117</v>
      </c>
      <c r="P141" t="s">
        <v>150</v>
      </c>
      <c r="Q141" t="s">
        <v>119</v>
      </c>
      <c r="R141" t="s">
        <v>151</v>
      </c>
      <c r="S141" t="s">
        <v>151</v>
      </c>
      <c r="T141" t="s">
        <v>151</v>
      </c>
      <c r="U141" t="s">
        <v>151</v>
      </c>
      <c r="V141">
        <v>881.1</v>
      </c>
      <c r="X141" t="s">
        <v>1090</v>
      </c>
      <c r="Y141" t="s">
        <v>1091</v>
      </c>
      <c r="Z141">
        <v>1955</v>
      </c>
      <c r="AA141" t="s">
        <v>241</v>
      </c>
      <c r="AB141" t="s">
        <v>155</v>
      </c>
      <c r="AC141" t="s">
        <v>129</v>
      </c>
      <c r="AD141">
        <v>2</v>
      </c>
      <c r="AE141">
        <v>101</v>
      </c>
      <c r="AF141" t="s">
        <v>127</v>
      </c>
      <c r="AG141" t="s">
        <v>128</v>
      </c>
      <c r="AH141" t="s">
        <v>129</v>
      </c>
      <c r="AI141">
        <v>1</v>
      </c>
      <c r="AJ141" t="s">
        <v>156</v>
      </c>
      <c r="AK141" t="s">
        <v>130</v>
      </c>
      <c r="AL141">
        <v>480</v>
      </c>
      <c r="AM141" t="s">
        <v>157</v>
      </c>
      <c r="AN141" t="s">
        <v>158</v>
      </c>
      <c r="AO141">
        <v>3</v>
      </c>
      <c r="AP141">
        <v>11100</v>
      </c>
      <c r="AQ141">
        <v>0</v>
      </c>
      <c r="AR141">
        <v>0</v>
      </c>
      <c r="AS141">
        <v>11100</v>
      </c>
      <c r="AT141" t="s">
        <v>132</v>
      </c>
      <c r="AU141">
        <v>1</v>
      </c>
      <c r="AV141">
        <v>0</v>
      </c>
      <c r="AW141">
        <v>1</v>
      </c>
      <c r="BE141">
        <v>2.4</v>
      </c>
      <c r="BF141">
        <v>0</v>
      </c>
      <c r="BG141">
        <v>0</v>
      </c>
      <c r="BH141" s="1">
        <v>44348</v>
      </c>
      <c r="BI141" t="s">
        <v>441</v>
      </c>
      <c r="BJ141">
        <v>1955</v>
      </c>
      <c r="BK141" t="s">
        <v>119</v>
      </c>
      <c r="BL141" t="s">
        <v>128</v>
      </c>
      <c r="BM141">
        <v>11100</v>
      </c>
      <c r="BN141">
        <v>1</v>
      </c>
      <c r="BO141">
        <v>5</v>
      </c>
      <c r="BP141">
        <v>3</v>
      </c>
      <c r="BQ141">
        <v>480</v>
      </c>
      <c r="BR141">
        <v>659</v>
      </c>
      <c r="BS141">
        <v>37.729033970000003</v>
      </c>
      <c r="BT141">
        <v>-81.791020829999894</v>
      </c>
      <c r="BU141">
        <v>0</v>
      </c>
      <c r="BV141">
        <v>-3</v>
      </c>
      <c r="BW141">
        <v>0</v>
      </c>
      <c r="BX141" t="s">
        <v>134</v>
      </c>
      <c r="BY141">
        <v>0</v>
      </c>
      <c r="BZ141">
        <v>0</v>
      </c>
      <c r="CA141">
        <v>0</v>
      </c>
      <c r="CB141">
        <v>5550</v>
      </c>
      <c r="CC141">
        <v>0</v>
      </c>
      <c r="CD141">
        <v>0</v>
      </c>
      <c r="CE141">
        <v>0</v>
      </c>
      <c r="CF141">
        <v>0</v>
      </c>
      <c r="CG141">
        <v>0</v>
      </c>
      <c r="CH141">
        <v>0</v>
      </c>
      <c r="CI141">
        <v>0</v>
      </c>
      <c r="CO141">
        <v>0</v>
      </c>
      <c r="CP141">
        <v>0</v>
      </c>
      <c r="CQ141" t="s">
        <v>974</v>
      </c>
      <c r="CR141" t="s">
        <v>160</v>
      </c>
      <c r="CS141" t="s">
        <v>161</v>
      </c>
      <c r="CT141" t="s">
        <v>139</v>
      </c>
      <c r="CU141" t="s">
        <v>163</v>
      </c>
      <c r="CW141">
        <v>2</v>
      </c>
      <c r="CX141" t="s">
        <v>975</v>
      </c>
      <c r="CY141" t="s">
        <v>976</v>
      </c>
      <c r="CZ141" t="s">
        <v>1089</v>
      </c>
      <c r="DA141" t="s">
        <v>977</v>
      </c>
      <c r="DB141">
        <v>0</v>
      </c>
      <c r="DC141">
        <v>11100</v>
      </c>
    </row>
    <row r="142" spans="1:107" x14ac:dyDescent="0.25">
      <c r="A142" t="s">
        <v>1339</v>
      </c>
      <c r="B142" t="s">
        <v>108</v>
      </c>
      <c r="C142" t="s">
        <v>1340</v>
      </c>
      <c r="D142" t="s">
        <v>1341</v>
      </c>
      <c r="F142" s="3" t="str">
        <f>HYPERLINK("https://mapwv.gov/flood/map/?wkid=102100&amp;x=-9074620.296803705&amp;y=4624449.479682671&amp;l=13&amp;v=2","FT")</f>
        <v>FT</v>
      </c>
      <c r="G142" s="3" t="str">
        <f>HYPERLINK("https://mapwv.gov/Assessment/Detail/?PID=2023017L002900010000","Assessment")</f>
        <v>Assessment</v>
      </c>
      <c r="H142">
        <v>540070</v>
      </c>
      <c r="I142" t="s">
        <v>1306</v>
      </c>
      <c r="J142" t="s">
        <v>1282</v>
      </c>
      <c r="K142" t="s">
        <v>148</v>
      </c>
      <c r="L142" t="s">
        <v>1307</v>
      </c>
      <c r="M142" t="s">
        <v>1308</v>
      </c>
      <c r="N142" t="s">
        <v>199</v>
      </c>
      <c r="O142" t="s">
        <v>383</v>
      </c>
      <c r="P142" t="s">
        <v>150</v>
      </c>
      <c r="Q142" t="s">
        <v>119</v>
      </c>
      <c r="R142">
        <v>6</v>
      </c>
      <c r="S142" t="s">
        <v>120</v>
      </c>
      <c r="T142" t="s">
        <v>151</v>
      </c>
      <c r="U142" t="s">
        <v>151</v>
      </c>
      <c r="V142">
        <v>621.1</v>
      </c>
      <c r="X142" t="s">
        <v>1342</v>
      </c>
      <c r="Y142" t="s">
        <v>1343</v>
      </c>
      <c r="Z142">
        <v>1970</v>
      </c>
      <c r="AA142" t="s">
        <v>318</v>
      </c>
      <c r="AB142" t="s">
        <v>155</v>
      </c>
      <c r="AC142" t="s">
        <v>129</v>
      </c>
      <c r="AD142">
        <v>3</v>
      </c>
      <c r="AE142">
        <v>108</v>
      </c>
      <c r="AF142" t="s">
        <v>176</v>
      </c>
      <c r="AG142" t="s">
        <v>177</v>
      </c>
      <c r="AH142" t="s">
        <v>129</v>
      </c>
      <c r="AI142">
        <v>1</v>
      </c>
      <c r="AL142">
        <v>1056</v>
      </c>
      <c r="AN142" t="s">
        <v>158</v>
      </c>
      <c r="AO142">
        <v>3</v>
      </c>
      <c r="AP142">
        <v>0</v>
      </c>
      <c r="AQ142">
        <v>0</v>
      </c>
      <c r="AR142">
        <v>10880</v>
      </c>
      <c r="AS142">
        <v>14400</v>
      </c>
      <c r="AT142" t="s">
        <v>178</v>
      </c>
      <c r="AU142">
        <v>1</v>
      </c>
      <c r="AV142">
        <v>6</v>
      </c>
      <c r="AW142">
        <v>2</v>
      </c>
      <c r="BE142">
        <v>2.4</v>
      </c>
      <c r="BF142">
        <v>1</v>
      </c>
      <c r="BG142">
        <v>2.4</v>
      </c>
      <c r="BH142" s="1">
        <v>44362</v>
      </c>
      <c r="BI142" t="s">
        <v>384</v>
      </c>
      <c r="BJ142">
        <v>1970</v>
      </c>
      <c r="BK142" t="s">
        <v>119</v>
      </c>
      <c r="BL142" t="s">
        <v>177</v>
      </c>
      <c r="BM142">
        <v>14400</v>
      </c>
      <c r="BN142">
        <v>1</v>
      </c>
      <c r="BO142">
        <v>5</v>
      </c>
      <c r="BP142">
        <v>3</v>
      </c>
      <c r="BQ142">
        <v>1056</v>
      </c>
      <c r="BR142">
        <v>3341</v>
      </c>
      <c r="BS142">
        <v>38.318021282000103</v>
      </c>
      <c r="BT142">
        <v>-81.518701101999895</v>
      </c>
      <c r="BU142">
        <v>6.4803467000000001</v>
      </c>
      <c r="BV142">
        <v>3.4803466796875</v>
      </c>
      <c r="BW142">
        <v>1</v>
      </c>
      <c r="BX142" t="s">
        <v>181</v>
      </c>
      <c r="BY142">
        <v>189</v>
      </c>
      <c r="BZ142">
        <v>75.4017333984375</v>
      </c>
      <c r="CA142">
        <v>10857.849609375</v>
      </c>
      <c r="CB142">
        <v>7200</v>
      </c>
      <c r="CC142">
        <v>74</v>
      </c>
      <c r="CD142">
        <v>66.882080078125</v>
      </c>
      <c r="CE142">
        <v>4815.509765625</v>
      </c>
      <c r="CF142">
        <v>0</v>
      </c>
      <c r="CG142">
        <v>0</v>
      </c>
      <c r="CH142">
        <v>0</v>
      </c>
      <c r="CI142">
        <v>0</v>
      </c>
      <c r="CJ142" t="s">
        <v>273</v>
      </c>
      <c r="CK142">
        <v>6.8639999999999999</v>
      </c>
      <c r="CL142">
        <v>10.56</v>
      </c>
      <c r="CM142">
        <v>12.672000000000001</v>
      </c>
      <c r="CN142">
        <v>30.096</v>
      </c>
      <c r="CO142">
        <v>360</v>
      </c>
      <c r="CP142">
        <v>720</v>
      </c>
      <c r="CQ142" t="s">
        <v>1286</v>
      </c>
      <c r="CR142" t="s">
        <v>385</v>
      </c>
      <c r="CS142" t="s">
        <v>138</v>
      </c>
      <c r="CT142" t="s">
        <v>139</v>
      </c>
      <c r="CU142" t="s">
        <v>274</v>
      </c>
      <c r="CW142">
        <v>3</v>
      </c>
      <c r="CX142" t="s">
        <v>1312</v>
      </c>
      <c r="CY142" t="s">
        <v>1288</v>
      </c>
      <c r="CZ142" t="s">
        <v>1341</v>
      </c>
      <c r="DA142" t="s">
        <v>1289</v>
      </c>
      <c r="DB142">
        <v>0</v>
      </c>
      <c r="DC142">
        <v>10900</v>
      </c>
    </row>
    <row r="143" spans="1:107" x14ac:dyDescent="0.25">
      <c r="A143" t="s">
        <v>1349</v>
      </c>
      <c r="B143" t="s">
        <v>108</v>
      </c>
      <c r="C143" t="s">
        <v>1350</v>
      </c>
      <c r="D143" t="s">
        <v>1341</v>
      </c>
      <c r="F143" s="3" t="str">
        <f>HYPERLINK("https://mapwv.gov/flood/map/?wkid=102100&amp;x=-9074631.808352249&amp;y=4624446.655625328&amp;l=13&amp;v=2","FT")</f>
        <v>FT</v>
      </c>
      <c r="G143" s="3" t="str">
        <f>HYPERLINK("https://mapwv.gov/Assessment/Detail/?PID=2023017L002900010000","Assessment")</f>
        <v>Assessment</v>
      </c>
      <c r="H143">
        <v>540070</v>
      </c>
      <c r="I143" t="s">
        <v>1306</v>
      </c>
      <c r="J143" t="s">
        <v>1282</v>
      </c>
      <c r="K143" t="s">
        <v>148</v>
      </c>
      <c r="L143" t="s">
        <v>1307</v>
      </c>
      <c r="M143" t="s">
        <v>1308</v>
      </c>
      <c r="N143" t="s">
        <v>199</v>
      </c>
      <c r="O143" t="s">
        <v>383</v>
      </c>
      <c r="P143" t="s">
        <v>150</v>
      </c>
      <c r="Q143" t="s">
        <v>119</v>
      </c>
      <c r="R143">
        <v>5.8</v>
      </c>
      <c r="S143" t="s">
        <v>120</v>
      </c>
      <c r="T143" t="s">
        <v>151</v>
      </c>
      <c r="U143" t="s">
        <v>151</v>
      </c>
      <c r="V143">
        <v>621.29999999999995</v>
      </c>
      <c r="X143" t="s">
        <v>1342</v>
      </c>
      <c r="Y143" t="s">
        <v>1343</v>
      </c>
      <c r="Z143">
        <v>1970</v>
      </c>
      <c r="AA143" t="s">
        <v>318</v>
      </c>
      <c r="AB143" t="s">
        <v>155</v>
      </c>
      <c r="AC143" t="s">
        <v>129</v>
      </c>
      <c r="AD143">
        <v>3</v>
      </c>
      <c r="AE143">
        <v>108</v>
      </c>
      <c r="AF143" t="s">
        <v>176</v>
      </c>
      <c r="AG143" t="s">
        <v>177</v>
      </c>
      <c r="AH143" t="s">
        <v>129</v>
      </c>
      <c r="AI143">
        <v>1</v>
      </c>
      <c r="AL143">
        <v>936</v>
      </c>
      <c r="AN143" t="s">
        <v>158</v>
      </c>
      <c r="AO143">
        <v>3</v>
      </c>
      <c r="AP143">
        <v>0</v>
      </c>
      <c r="AQ143">
        <v>0</v>
      </c>
      <c r="AR143">
        <v>10880</v>
      </c>
      <c r="AS143">
        <v>12080</v>
      </c>
      <c r="AT143" t="s">
        <v>178</v>
      </c>
      <c r="AU143">
        <v>1</v>
      </c>
      <c r="AV143">
        <v>6</v>
      </c>
      <c r="AW143">
        <v>2</v>
      </c>
      <c r="BE143">
        <v>2.4</v>
      </c>
      <c r="BF143">
        <v>1</v>
      </c>
      <c r="BG143">
        <v>2.4</v>
      </c>
      <c r="BH143" s="1">
        <v>44362</v>
      </c>
      <c r="BI143" t="s">
        <v>384</v>
      </c>
      <c r="BJ143">
        <v>1970</v>
      </c>
      <c r="BK143" t="s">
        <v>119</v>
      </c>
      <c r="BL143" t="s">
        <v>177</v>
      </c>
      <c r="BM143">
        <v>12080</v>
      </c>
      <c r="BN143">
        <v>1</v>
      </c>
      <c r="BO143">
        <v>5</v>
      </c>
      <c r="BP143">
        <v>3</v>
      </c>
      <c r="BQ143">
        <v>936</v>
      </c>
      <c r="BR143">
        <v>3347</v>
      </c>
      <c r="BS143">
        <v>38.318001377999998</v>
      </c>
      <c r="BT143">
        <v>-81.518804512000003</v>
      </c>
      <c r="BU143">
        <v>5.7395019999999999</v>
      </c>
      <c r="BV143">
        <v>2.739501953125</v>
      </c>
      <c r="BW143">
        <v>1</v>
      </c>
      <c r="BX143" t="s">
        <v>181</v>
      </c>
      <c r="BY143">
        <v>189</v>
      </c>
      <c r="BZ143">
        <v>70.39501953125</v>
      </c>
      <c r="CA143">
        <v>8503.7183593749905</v>
      </c>
      <c r="CB143">
        <v>6040</v>
      </c>
      <c r="CC143">
        <v>74</v>
      </c>
      <c r="CD143">
        <v>60.092529296875</v>
      </c>
      <c r="CE143">
        <v>3629.5887695312399</v>
      </c>
      <c r="CF143">
        <v>0</v>
      </c>
      <c r="CG143">
        <v>0</v>
      </c>
      <c r="CH143">
        <v>0</v>
      </c>
      <c r="CI143">
        <v>0</v>
      </c>
      <c r="CJ143" t="s">
        <v>273</v>
      </c>
      <c r="CK143">
        <v>6.0839999999999996</v>
      </c>
      <c r="CL143">
        <v>9.3599999999999905</v>
      </c>
      <c r="CM143">
        <v>11.2319999999999</v>
      </c>
      <c r="CN143">
        <v>26.675999999999899</v>
      </c>
      <c r="CO143">
        <v>360</v>
      </c>
      <c r="CP143">
        <v>720</v>
      </c>
      <c r="CQ143" t="s">
        <v>1286</v>
      </c>
      <c r="CR143" t="s">
        <v>385</v>
      </c>
      <c r="CS143" t="s">
        <v>138</v>
      </c>
      <c r="CT143" t="s">
        <v>139</v>
      </c>
      <c r="CU143" t="s">
        <v>274</v>
      </c>
      <c r="CW143">
        <v>3</v>
      </c>
      <c r="CX143" t="s">
        <v>1312</v>
      </c>
      <c r="CY143" t="s">
        <v>1288</v>
      </c>
      <c r="CZ143" t="s">
        <v>1341</v>
      </c>
      <c r="DA143" t="s">
        <v>1289</v>
      </c>
      <c r="DB143">
        <v>0</v>
      </c>
      <c r="DC143">
        <v>10900</v>
      </c>
    </row>
    <row r="144" spans="1:107" x14ac:dyDescent="0.25">
      <c r="A144" t="s">
        <v>672</v>
      </c>
      <c r="B144" t="s">
        <v>108</v>
      </c>
      <c r="C144" t="s">
        <v>673</v>
      </c>
      <c r="D144" t="s">
        <v>674</v>
      </c>
      <c r="F144" s="3" t="str">
        <f>HYPERLINK("https://mapwv.gov/flood/map/?wkid=102100&amp;x=-9137651.48785763&amp;y=4615595.707309828&amp;l=13&amp;v=2","FT")</f>
        <v>FT</v>
      </c>
      <c r="G144" s="3" t="str">
        <f>HYPERLINK("https://mapwv.gov/Assessment/Detail/?PID=22010025000900000000","Assessment")</f>
        <v>Assessment</v>
      </c>
      <c r="H144">
        <v>540088</v>
      </c>
      <c r="I144" t="s">
        <v>632</v>
      </c>
      <c r="J144" t="s">
        <v>633</v>
      </c>
      <c r="K144" t="s">
        <v>148</v>
      </c>
      <c r="L144" t="s">
        <v>675</v>
      </c>
      <c r="M144" t="s">
        <v>550</v>
      </c>
      <c r="N144" t="s">
        <v>149</v>
      </c>
      <c r="O144" t="s">
        <v>117</v>
      </c>
      <c r="P144" t="s">
        <v>150</v>
      </c>
      <c r="Q144" t="s">
        <v>119</v>
      </c>
      <c r="R144" t="s">
        <v>151</v>
      </c>
      <c r="S144" t="s">
        <v>151</v>
      </c>
      <c r="T144" t="s">
        <v>151</v>
      </c>
      <c r="U144" t="s">
        <v>151</v>
      </c>
      <c r="V144">
        <v>656.7</v>
      </c>
      <c r="X144">
        <v>0</v>
      </c>
      <c r="Y144" t="s">
        <v>676</v>
      </c>
      <c r="Z144">
        <v>1882</v>
      </c>
      <c r="AB144" t="s">
        <v>125</v>
      </c>
      <c r="AC144" t="s">
        <v>126</v>
      </c>
      <c r="AD144">
        <v>3</v>
      </c>
      <c r="AE144">
        <v>620</v>
      </c>
      <c r="AF144" t="s">
        <v>653</v>
      </c>
      <c r="AG144" t="s">
        <v>654</v>
      </c>
      <c r="AH144" t="s">
        <v>653</v>
      </c>
      <c r="AI144">
        <v>1</v>
      </c>
      <c r="AL144">
        <v>952</v>
      </c>
      <c r="AN144" t="s">
        <v>131</v>
      </c>
      <c r="AO144">
        <v>1</v>
      </c>
      <c r="AP144">
        <v>0</v>
      </c>
      <c r="AQ144">
        <v>0</v>
      </c>
      <c r="AR144">
        <v>10750</v>
      </c>
      <c r="AS144">
        <v>10750</v>
      </c>
      <c r="AT144" t="s">
        <v>178</v>
      </c>
      <c r="AU144">
        <v>1</v>
      </c>
      <c r="AV144">
        <v>1</v>
      </c>
      <c r="AW144">
        <v>0</v>
      </c>
      <c r="AX144" t="s">
        <v>655</v>
      </c>
      <c r="BB144" t="s">
        <v>677</v>
      </c>
      <c r="BE144">
        <v>2.6</v>
      </c>
      <c r="BF144">
        <v>0</v>
      </c>
      <c r="BG144">
        <v>0</v>
      </c>
      <c r="BH144" s="1">
        <v>44319</v>
      </c>
      <c r="BI144" t="s">
        <v>159</v>
      </c>
      <c r="BJ144">
        <v>1882</v>
      </c>
      <c r="BK144" t="s">
        <v>119</v>
      </c>
      <c r="BL144" t="s">
        <v>654</v>
      </c>
      <c r="BM144">
        <v>10750</v>
      </c>
      <c r="BN144">
        <v>1</v>
      </c>
      <c r="BO144">
        <v>7</v>
      </c>
      <c r="BP144">
        <v>1</v>
      </c>
      <c r="BQ144">
        <v>952</v>
      </c>
      <c r="BR144">
        <v>1756</v>
      </c>
      <c r="BS144">
        <v>38.255592915999998</v>
      </c>
      <c r="BT144">
        <v>-82.084919924999895</v>
      </c>
      <c r="BU144">
        <v>0</v>
      </c>
      <c r="BV144">
        <v>-1</v>
      </c>
      <c r="BW144">
        <v>0</v>
      </c>
      <c r="BX144" t="s">
        <v>656</v>
      </c>
      <c r="BY144">
        <v>0</v>
      </c>
      <c r="BZ144">
        <v>0</v>
      </c>
      <c r="CA144">
        <v>0</v>
      </c>
      <c r="CB144">
        <v>10750</v>
      </c>
      <c r="CC144">
        <v>0</v>
      </c>
      <c r="CD144">
        <v>0</v>
      </c>
      <c r="CE144">
        <v>0</v>
      </c>
      <c r="CF144">
        <v>0</v>
      </c>
      <c r="CG144">
        <v>0</v>
      </c>
      <c r="CH144">
        <v>0</v>
      </c>
      <c r="CI144">
        <v>0</v>
      </c>
      <c r="CO144">
        <v>0</v>
      </c>
      <c r="CP144">
        <v>0</v>
      </c>
      <c r="CQ144" t="s">
        <v>637</v>
      </c>
      <c r="CR144" t="s">
        <v>214</v>
      </c>
      <c r="CS144" t="s">
        <v>161</v>
      </c>
      <c r="CT144" t="s">
        <v>139</v>
      </c>
      <c r="CU144" t="s">
        <v>163</v>
      </c>
      <c r="CW144">
        <v>2</v>
      </c>
      <c r="CX144" t="s">
        <v>638</v>
      </c>
      <c r="CY144" t="s">
        <v>639</v>
      </c>
      <c r="CZ144" t="s">
        <v>674</v>
      </c>
      <c r="DA144" t="s">
        <v>640</v>
      </c>
      <c r="DB144">
        <v>0</v>
      </c>
      <c r="DC144">
        <v>10800</v>
      </c>
    </row>
    <row r="145" spans="1:107" x14ac:dyDescent="0.25">
      <c r="A145" t="s">
        <v>726</v>
      </c>
      <c r="B145" t="s">
        <v>108</v>
      </c>
      <c r="C145" t="s">
        <v>727</v>
      </c>
      <c r="D145" t="s">
        <v>728</v>
      </c>
      <c r="F145" s="3" t="str">
        <f>HYPERLINK("https://mapwv.gov/flood/map/?wkid=102100&amp;x=-9153761.853845878&amp;y=4579302.885502347&amp;l=13&amp;v=2","FT")</f>
        <v>FT</v>
      </c>
      <c r="G145" s="3" t="str">
        <f>HYPERLINK("https://mapwv.gov/Assessment/Detail/?PID=22040031001800050000","Assessment")</f>
        <v>Assessment</v>
      </c>
      <c r="H145">
        <v>540088</v>
      </c>
      <c r="I145" t="s">
        <v>632</v>
      </c>
      <c r="J145" t="s">
        <v>633</v>
      </c>
      <c r="K145" t="s">
        <v>148</v>
      </c>
      <c r="L145" t="s">
        <v>729</v>
      </c>
      <c r="M145" t="s">
        <v>532</v>
      </c>
      <c r="N145" t="s">
        <v>149</v>
      </c>
      <c r="O145" t="s">
        <v>117</v>
      </c>
      <c r="P145" t="s">
        <v>150</v>
      </c>
      <c r="Q145" t="s">
        <v>260</v>
      </c>
      <c r="R145" t="s">
        <v>151</v>
      </c>
      <c r="S145" t="s">
        <v>151</v>
      </c>
      <c r="T145" t="s">
        <v>151</v>
      </c>
      <c r="U145" t="s">
        <v>151</v>
      </c>
      <c r="V145">
        <v>793.6</v>
      </c>
      <c r="X145" t="s">
        <v>730</v>
      </c>
      <c r="Y145" t="s">
        <v>731</v>
      </c>
      <c r="Z145">
        <v>1988</v>
      </c>
      <c r="AA145" t="s">
        <v>241</v>
      </c>
      <c r="AB145" t="s">
        <v>155</v>
      </c>
      <c r="AC145" t="s">
        <v>129</v>
      </c>
      <c r="AD145">
        <v>2</v>
      </c>
      <c r="AE145">
        <v>108</v>
      </c>
      <c r="AF145" t="s">
        <v>176</v>
      </c>
      <c r="AG145" t="s">
        <v>177</v>
      </c>
      <c r="AH145" t="s">
        <v>129</v>
      </c>
      <c r="AI145">
        <v>1</v>
      </c>
      <c r="AL145">
        <v>980</v>
      </c>
      <c r="AN145" t="s">
        <v>158</v>
      </c>
      <c r="AO145">
        <v>4</v>
      </c>
      <c r="AP145">
        <v>0</v>
      </c>
      <c r="AQ145">
        <v>0</v>
      </c>
      <c r="AR145">
        <v>10630</v>
      </c>
      <c r="AS145">
        <v>10600</v>
      </c>
      <c r="AT145" t="s">
        <v>132</v>
      </c>
      <c r="AU145">
        <v>1</v>
      </c>
      <c r="AV145">
        <v>2</v>
      </c>
      <c r="AW145">
        <v>1</v>
      </c>
      <c r="BE145">
        <v>2.6</v>
      </c>
      <c r="BF145">
        <v>0</v>
      </c>
      <c r="BG145">
        <v>0</v>
      </c>
      <c r="BH145" s="1">
        <v>44319</v>
      </c>
      <c r="BI145" t="s">
        <v>159</v>
      </c>
      <c r="BJ145">
        <v>1988</v>
      </c>
      <c r="BK145" t="s">
        <v>260</v>
      </c>
      <c r="BL145" t="s">
        <v>177</v>
      </c>
      <c r="BM145">
        <v>10600</v>
      </c>
      <c r="BN145">
        <v>1</v>
      </c>
      <c r="BO145">
        <v>5</v>
      </c>
      <c r="BP145">
        <v>4</v>
      </c>
      <c r="BQ145">
        <v>980</v>
      </c>
      <c r="BR145">
        <v>34</v>
      </c>
      <c r="BS145">
        <v>37.999129814</v>
      </c>
      <c r="BT145">
        <v>-82.229641805</v>
      </c>
      <c r="BU145">
        <v>0</v>
      </c>
      <c r="BV145">
        <v>-4</v>
      </c>
      <c r="BW145">
        <v>0</v>
      </c>
      <c r="BX145" t="s">
        <v>181</v>
      </c>
      <c r="BY145">
        <v>0</v>
      </c>
      <c r="BZ145">
        <v>0</v>
      </c>
      <c r="CA145">
        <v>0</v>
      </c>
      <c r="CB145">
        <v>5300</v>
      </c>
      <c r="CC145">
        <v>0</v>
      </c>
      <c r="CD145">
        <v>0</v>
      </c>
      <c r="CE145">
        <v>0</v>
      </c>
      <c r="CF145">
        <v>0</v>
      </c>
      <c r="CG145">
        <v>0</v>
      </c>
      <c r="CH145">
        <v>0</v>
      </c>
      <c r="CI145">
        <v>0</v>
      </c>
      <c r="CO145">
        <v>0</v>
      </c>
      <c r="CP145">
        <v>0</v>
      </c>
      <c r="CQ145" t="s">
        <v>637</v>
      </c>
      <c r="CR145" t="s">
        <v>183</v>
      </c>
      <c r="CS145" t="s">
        <v>161</v>
      </c>
      <c r="CT145" t="s">
        <v>139</v>
      </c>
      <c r="CU145" t="s">
        <v>163</v>
      </c>
      <c r="CW145">
        <v>2</v>
      </c>
      <c r="CX145" t="s">
        <v>638</v>
      </c>
      <c r="CY145" t="s">
        <v>639</v>
      </c>
      <c r="CZ145" t="s">
        <v>728</v>
      </c>
      <c r="DA145" t="s">
        <v>640</v>
      </c>
      <c r="DB145">
        <v>0</v>
      </c>
      <c r="DC145">
        <v>10600</v>
      </c>
    </row>
    <row r="146" spans="1:107" x14ac:dyDescent="0.25">
      <c r="A146" t="s">
        <v>1713</v>
      </c>
      <c r="B146" t="s">
        <v>108</v>
      </c>
      <c r="C146" t="s">
        <v>1714</v>
      </c>
      <c r="D146" t="s">
        <v>1715</v>
      </c>
      <c r="F146" s="3" t="str">
        <f>HYPERLINK("https://mapwv.gov/flood/map/?wkid=102100&amp;x=-9051345.405827655&amp;y=4605036.278177679&amp;l=13&amp;v=2","FT")</f>
        <v>FT</v>
      </c>
      <c r="G146" s="3" t="str">
        <f>HYPERLINK("https://mapwv.gov/Assessment/Detail/?PID=10110003000300000000","Assessment")</f>
        <v>Assessment</v>
      </c>
      <c r="H146">
        <v>540033</v>
      </c>
      <c r="I146" t="s">
        <v>1716</v>
      </c>
      <c r="J146" t="s">
        <v>1703</v>
      </c>
      <c r="K146" t="s">
        <v>113</v>
      </c>
      <c r="L146" t="s">
        <v>1283</v>
      </c>
      <c r="M146" t="s">
        <v>1308</v>
      </c>
      <c r="N146" t="s">
        <v>199</v>
      </c>
      <c r="O146" t="s">
        <v>383</v>
      </c>
      <c r="P146" t="s">
        <v>150</v>
      </c>
      <c r="Q146" t="s">
        <v>225</v>
      </c>
      <c r="R146">
        <v>1</v>
      </c>
      <c r="S146" t="s">
        <v>120</v>
      </c>
      <c r="T146" t="s">
        <v>151</v>
      </c>
      <c r="U146" t="s">
        <v>151</v>
      </c>
      <c r="V146">
        <v>620</v>
      </c>
      <c r="X146" t="s">
        <v>1717</v>
      </c>
      <c r="Y146" t="s">
        <v>1718</v>
      </c>
      <c r="Z146">
        <v>0</v>
      </c>
      <c r="AB146" t="s">
        <v>155</v>
      </c>
      <c r="AC146" t="s">
        <v>129</v>
      </c>
      <c r="AD146">
        <v>4</v>
      </c>
      <c r="AE146">
        <v>108</v>
      </c>
      <c r="AF146" t="s">
        <v>176</v>
      </c>
      <c r="AG146" t="s">
        <v>177</v>
      </c>
      <c r="AH146" t="s">
        <v>129</v>
      </c>
      <c r="AI146">
        <v>1</v>
      </c>
      <c r="AL146">
        <v>1258</v>
      </c>
      <c r="AN146" t="s">
        <v>158</v>
      </c>
      <c r="AO146">
        <v>3.5</v>
      </c>
      <c r="AP146">
        <v>0</v>
      </c>
      <c r="AQ146">
        <v>0</v>
      </c>
      <c r="AR146">
        <v>0</v>
      </c>
      <c r="AS146">
        <v>14560</v>
      </c>
      <c r="AT146" t="s">
        <v>178</v>
      </c>
      <c r="AU146">
        <v>1</v>
      </c>
      <c r="AV146">
        <v>0</v>
      </c>
      <c r="AW146">
        <v>1</v>
      </c>
      <c r="BB146" t="s">
        <v>1719</v>
      </c>
      <c r="BE146">
        <v>2.4</v>
      </c>
      <c r="BF146">
        <v>1</v>
      </c>
      <c r="BG146">
        <v>2.4</v>
      </c>
      <c r="BH146" s="1">
        <v>44399</v>
      </c>
      <c r="BI146" t="s">
        <v>1720</v>
      </c>
      <c r="BJ146">
        <v>0</v>
      </c>
      <c r="BK146" t="s">
        <v>225</v>
      </c>
      <c r="BL146" t="s">
        <v>177</v>
      </c>
      <c r="BM146">
        <v>14560</v>
      </c>
      <c r="BN146">
        <v>1</v>
      </c>
      <c r="BO146">
        <v>5</v>
      </c>
      <c r="BP146">
        <v>3.5</v>
      </c>
      <c r="BQ146">
        <v>1258</v>
      </c>
      <c r="BR146">
        <v>234</v>
      </c>
      <c r="BS146">
        <v>38.181067698</v>
      </c>
      <c r="BT146">
        <v>-81.309619198999798</v>
      </c>
      <c r="BU146">
        <v>4.9594116000000001</v>
      </c>
      <c r="BV146">
        <v>1.45941162109375</v>
      </c>
      <c r="BW146">
        <v>1</v>
      </c>
      <c r="BX146" t="s">
        <v>181</v>
      </c>
      <c r="BY146">
        <v>189</v>
      </c>
      <c r="BZ146">
        <v>52.7288208007812</v>
      </c>
      <c r="CA146">
        <v>7677.3163085937504</v>
      </c>
      <c r="CB146">
        <v>7280</v>
      </c>
      <c r="CC146">
        <v>74</v>
      </c>
      <c r="CD146">
        <v>37.1070556640625</v>
      </c>
      <c r="CE146">
        <v>2701.3936523437501</v>
      </c>
      <c r="CF146">
        <v>0</v>
      </c>
      <c r="CG146">
        <v>0</v>
      </c>
      <c r="CH146">
        <v>0</v>
      </c>
      <c r="CI146">
        <v>0</v>
      </c>
      <c r="CJ146" t="s">
        <v>273</v>
      </c>
      <c r="CK146">
        <v>8.1769999999999996</v>
      </c>
      <c r="CL146">
        <v>12.58</v>
      </c>
      <c r="CM146">
        <v>15.096</v>
      </c>
      <c r="CN146">
        <v>35.852999999999902</v>
      </c>
      <c r="CO146">
        <v>360</v>
      </c>
      <c r="CP146">
        <v>720</v>
      </c>
      <c r="CQ146" t="s">
        <v>1709</v>
      </c>
      <c r="CR146" t="s">
        <v>385</v>
      </c>
      <c r="CS146" t="s">
        <v>138</v>
      </c>
      <c r="CT146" t="s">
        <v>139</v>
      </c>
      <c r="CU146" t="s">
        <v>274</v>
      </c>
      <c r="CW146">
        <v>4</v>
      </c>
      <c r="CX146" t="s">
        <v>1721</v>
      </c>
      <c r="CY146" t="s">
        <v>1711</v>
      </c>
      <c r="CZ146" t="s">
        <v>1715</v>
      </c>
      <c r="DA146" t="s">
        <v>1712</v>
      </c>
      <c r="DB146">
        <v>0</v>
      </c>
      <c r="DC146">
        <v>10500</v>
      </c>
    </row>
    <row r="147" spans="1:107" x14ac:dyDescent="0.25">
      <c r="A147" t="s">
        <v>1417</v>
      </c>
      <c r="B147" t="s">
        <v>108</v>
      </c>
      <c r="C147" t="s">
        <v>1418</v>
      </c>
      <c r="D147" t="s">
        <v>1419</v>
      </c>
      <c r="F147" s="3" t="str">
        <f>HYPERLINK("https://mapwv.gov/flood/map/?wkid=102100&amp;x=-9089638.743265096&amp;y=4630469.106701203&amp;l=13&amp;v=2","FT")</f>
        <v>FT</v>
      </c>
      <c r="G147" s="3" t="str">
        <f>HYPERLINK("https://mapwv.gov/Assessment/Detail/?PID=20120025017400000000","Assessment")</f>
        <v>Assessment</v>
      </c>
      <c r="H147">
        <v>540073</v>
      </c>
      <c r="I147" t="s">
        <v>1333</v>
      </c>
      <c r="J147" t="s">
        <v>1282</v>
      </c>
      <c r="K147" t="s">
        <v>113</v>
      </c>
      <c r="L147" t="s">
        <v>1283</v>
      </c>
      <c r="M147" t="s">
        <v>909</v>
      </c>
      <c r="N147" t="s">
        <v>704</v>
      </c>
      <c r="O147" t="s">
        <v>117</v>
      </c>
      <c r="P147" t="s">
        <v>118</v>
      </c>
      <c r="Q147" t="s">
        <v>119</v>
      </c>
      <c r="R147">
        <v>1.6</v>
      </c>
      <c r="S147" t="s">
        <v>120</v>
      </c>
      <c r="T147" t="s">
        <v>151</v>
      </c>
      <c r="U147" t="s">
        <v>151</v>
      </c>
      <c r="V147">
        <v>592.1</v>
      </c>
      <c r="X147" t="s">
        <v>1420</v>
      </c>
      <c r="Y147" t="s">
        <v>1421</v>
      </c>
      <c r="Z147">
        <v>1900</v>
      </c>
      <c r="AA147" t="s">
        <v>202</v>
      </c>
      <c r="AB147" t="s">
        <v>155</v>
      </c>
      <c r="AC147" t="s">
        <v>129</v>
      </c>
      <c r="AD147">
        <v>4</v>
      </c>
      <c r="AE147">
        <v>102</v>
      </c>
      <c r="AF147" t="s">
        <v>1294</v>
      </c>
      <c r="AG147" t="s">
        <v>128</v>
      </c>
      <c r="AH147" t="s">
        <v>129</v>
      </c>
      <c r="AI147">
        <v>2</v>
      </c>
      <c r="AJ147" t="s">
        <v>405</v>
      </c>
      <c r="AK147" t="s">
        <v>130</v>
      </c>
      <c r="AL147">
        <v>1380</v>
      </c>
      <c r="AM147" t="s">
        <v>353</v>
      </c>
      <c r="AN147" t="s">
        <v>208</v>
      </c>
      <c r="AO147">
        <v>4</v>
      </c>
      <c r="AP147">
        <v>10400</v>
      </c>
      <c r="AQ147">
        <v>0</v>
      </c>
      <c r="AR147">
        <v>0</v>
      </c>
      <c r="AS147">
        <v>10400</v>
      </c>
      <c r="AT147" t="s">
        <v>132</v>
      </c>
      <c r="AU147">
        <v>1</v>
      </c>
      <c r="AV147">
        <v>0</v>
      </c>
      <c r="AW147">
        <v>2</v>
      </c>
      <c r="AZ147" t="s">
        <v>383</v>
      </c>
      <c r="BE147">
        <v>2.1</v>
      </c>
      <c r="BF147">
        <v>1</v>
      </c>
      <c r="BG147">
        <v>2.1</v>
      </c>
      <c r="BH147" s="1">
        <v>44362</v>
      </c>
      <c r="BI147" t="s">
        <v>707</v>
      </c>
      <c r="BJ147">
        <v>1900</v>
      </c>
      <c r="BK147" t="s">
        <v>119</v>
      </c>
      <c r="BL147" t="s">
        <v>128</v>
      </c>
      <c r="BM147">
        <v>10400</v>
      </c>
      <c r="BN147">
        <v>2</v>
      </c>
      <c r="BO147">
        <v>4</v>
      </c>
      <c r="BP147">
        <v>4</v>
      </c>
      <c r="BQ147">
        <v>1380</v>
      </c>
      <c r="BR147">
        <v>9803</v>
      </c>
      <c r="BS147">
        <v>38.360435285999898</v>
      </c>
      <c r="BT147">
        <v>-81.653614101999906</v>
      </c>
      <c r="BU147">
        <v>1.6033936</v>
      </c>
      <c r="BV147">
        <v>-2.3966064453125</v>
      </c>
      <c r="BW147">
        <v>1</v>
      </c>
      <c r="BX147" t="s">
        <v>434</v>
      </c>
      <c r="BY147">
        <v>108</v>
      </c>
      <c r="BZ147">
        <v>6.41357421875</v>
      </c>
      <c r="CA147">
        <v>667.01171875</v>
      </c>
      <c r="CB147">
        <v>5200</v>
      </c>
      <c r="CC147">
        <v>24</v>
      </c>
      <c r="CD147">
        <v>6.206787109375</v>
      </c>
      <c r="CE147">
        <v>322.7529296875</v>
      </c>
      <c r="CF147">
        <v>0</v>
      </c>
      <c r="CG147">
        <v>0</v>
      </c>
      <c r="CH147">
        <v>0</v>
      </c>
      <c r="CI147">
        <v>0</v>
      </c>
      <c r="CO147">
        <v>0</v>
      </c>
      <c r="CP147">
        <v>0</v>
      </c>
      <c r="CQ147" t="s">
        <v>1286</v>
      </c>
      <c r="CR147" t="s">
        <v>137</v>
      </c>
      <c r="CS147" t="s">
        <v>138</v>
      </c>
      <c r="CT147" t="s">
        <v>139</v>
      </c>
      <c r="CU147" t="s">
        <v>267</v>
      </c>
      <c r="CW147">
        <v>3</v>
      </c>
      <c r="CX147" t="s">
        <v>1338</v>
      </c>
      <c r="CY147" t="s">
        <v>1288</v>
      </c>
      <c r="CZ147" t="s">
        <v>1419</v>
      </c>
      <c r="DA147" t="s">
        <v>1289</v>
      </c>
      <c r="DB147">
        <v>0</v>
      </c>
      <c r="DC147">
        <v>10400</v>
      </c>
    </row>
    <row r="148" spans="1:107" x14ac:dyDescent="0.25">
      <c r="A148" t="s">
        <v>1470</v>
      </c>
      <c r="B148" t="s">
        <v>108</v>
      </c>
      <c r="C148" t="s">
        <v>1471</v>
      </c>
      <c r="D148" t="s">
        <v>1472</v>
      </c>
      <c r="F148" s="3" t="str">
        <f>HYPERLINK("https://mapwv.gov/flood/map/?wkid=102100&amp;x=-9056414.722002612&amp;y=4648317.298624518&amp;l=13&amp;v=2","FT")</f>
        <v>FT</v>
      </c>
      <c r="G148" s="3" t="str">
        <f>HYPERLINK("https://mapwv.gov/Assessment/Detail/?PID=20020005002000000000","Assessment")</f>
        <v>Assessment</v>
      </c>
      <c r="H148">
        <v>540075</v>
      </c>
      <c r="I148" t="s">
        <v>1425</v>
      </c>
      <c r="J148" t="s">
        <v>1282</v>
      </c>
      <c r="K148" t="s">
        <v>113</v>
      </c>
      <c r="L148" t="s">
        <v>596</v>
      </c>
      <c r="M148" t="s">
        <v>172</v>
      </c>
      <c r="N148" t="s">
        <v>199</v>
      </c>
      <c r="O148" t="s">
        <v>117</v>
      </c>
      <c r="P148" t="s">
        <v>150</v>
      </c>
      <c r="Q148" t="s">
        <v>119</v>
      </c>
      <c r="R148">
        <v>11.7</v>
      </c>
      <c r="S148" t="s">
        <v>120</v>
      </c>
      <c r="T148" t="s">
        <v>151</v>
      </c>
      <c r="U148" t="s">
        <v>151</v>
      </c>
      <c r="V148">
        <v>618.6</v>
      </c>
      <c r="X148" t="s">
        <v>1473</v>
      </c>
      <c r="Y148" t="s">
        <v>1458</v>
      </c>
      <c r="Z148">
        <v>1940</v>
      </c>
      <c r="AA148" t="s">
        <v>241</v>
      </c>
      <c r="AB148" t="s">
        <v>125</v>
      </c>
      <c r="AC148" t="s">
        <v>126</v>
      </c>
      <c r="AD148">
        <v>4</v>
      </c>
      <c r="AE148">
        <v>101</v>
      </c>
      <c r="AF148" t="s">
        <v>127</v>
      </c>
      <c r="AG148" t="s">
        <v>128</v>
      </c>
      <c r="AH148" t="s">
        <v>129</v>
      </c>
      <c r="AI148">
        <v>1</v>
      </c>
      <c r="AK148" t="s">
        <v>130</v>
      </c>
      <c r="AL148">
        <v>1675</v>
      </c>
      <c r="AN148" t="s">
        <v>131</v>
      </c>
      <c r="AO148">
        <v>1</v>
      </c>
      <c r="AP148">
        <v>10100</v>
      </c>
      <c r="AQ148">
        <v>0</v>
      </c>
      <c r="AR148">
        <v>0</v>
      </c>
      <c r="AS148">
        <v>10100</v>
      </c>
      <c r="AT148" t="s">
        <v>132</v>
      </c>
      <c r="AU148">
        <v>1</v>
      </c>
      <c r="AV148">
        <v>0</v>
      </c>
      <c r="AW148">
        <v>1</v>
      </c>
      <c r="BE148">
        <v>2.5</v>
      </c>
      <c r="BF148">
        <v>1</v>
      </c>
      <c r="BG148">
        <v>2.5</v>
      </c>
      <c r="BH148" s="1">
        <v>44362</v>
      </c>
      <c r="BI148" t="s">
        <v>1437</v>
      </c>
      <c r="BJ148">
        <v>1940</v>
      </c>
      <c r="BK148" t="s">
        <v>119</v>
      </c>
      <c r="BL148" t="s">
        <v>128</v>
      </c>
      <c r="BM148">
        <v>10100</v>
      </c>
      <c r="BN148">
        <v>1</v>
      </c>
      <c r="BO148">
        <v>7</v>
      </c>
      <c r="BP148">
        <v>1</v>
      </c>
      <c r="BQ148">
        <v>1675</v>
      </c>
      <c r="BR148">
        <v>11479</v>
      </c>
      <c r="BS148">
        <v>38.486046772999998</v>
      </c>
      <c r="BT148">
        <v>-81.355157640999906</v>
      </c>
      <c r="BU148">
        <v>11.086243</v>
      </c>
      <c r="BV148">
        <v>10.0862426757812</v>
      </c>
      <c r="BW148">
        <v>1</v>
      </c>
      <c r="BX148" t="s">
        <v>134</v>
      </c>
      <c r="BY148">
        <v>129</v>
      </c>
      <c r="BZ148">
        <v>73.1724853515625</v>
      </c>
      <c r="CA148">
        <v>7390.4210205078098</v>
      </c>
      <c r="CB148">
        <v>5050</v>
      </c>
      <c r="CC148">
        <v>45</v>
      </c>
      <c r="CD148">
        <v>76.1724853515625</v>
      </c>
      <c r="CE148">
        <v>3846.7105102538999</v>
      </c>
      <c r="CF148">
        <v>0</v>
      </c>
      <c r="CG148">
        <v>0</v>
      </c>
      <c r="CH148">
        <v>0</v>
      </c>
      <c r="CI148">
        <v>0</v>
      </c>
      <c r="CJ148" t="s">
        <v>850</v>
      </c>
      <c r="CK148">
        <v>11.39</v>
      </c>
      <c r="CL148">
        <v>10.8874999999999</v>
      </c>
      <c r="CM148">
        <v>41.875</v>
      </c>
      <c r="CN148">
        <v>64.152500000000003</v>
      </c>
      <c r="CO148">
        <v>360</v>
      </c>
      <c r="CP148">
        <v>720</v>
      </c>
      <c r="CQ148" t="s">
        <v>1286</v>
      </c>
      <c r="CR148" t="s">
        <v>183</v>
      </c>
      <c r="CS148" t="s">
        <v>138</v>
      </c>
      <c r="CT148" t="s">
        <v>139</v>
      </c>
      <c r="CU148" t="s">
        <v>274</v>
      </c>
      <c r="CW148">
        <v>3</v>
      </c>
      <c r="CX148" t="s">
        <v>1430</v>
      </c>
      <c r="CY148" t="s">
        <v>1288</v>
      </c>
      <c r="CZ148" t="s">
        <v>1472</v>
      </c>
      <c r="DA148" t="s">
        <v>1289</v>
      </c>
      <c r="DB148">
        <v>0</v>
      </c>
      <c r="DC148">
        <v>10100</v>
      </c>
    </row>
    <row r="149" spans="1:107" x14ac:dyDescent="0.25">
      <c r="A149" t="s">
        <v>573</v>
      </c>
      <c r="B149" t="s">
        <v>108</v>
      </c>
      <c r="C149" t="s">
        <v>574</v>
      </c>
      <c r="D149" t="s">
        <v>575</v>
      </c>
      <c r="F149" s="3" t="str">
        <f>HYPERLINK("https://mapwv.gov/flood/map/?wkid=102100&amp;x=-9169665.441319626&amp;y=4630624.184125197&amp;l=13&amp;v=2","FT")</f>
        <v>FT</v>
      </c>
      <c r="G149" s="3" t="str">
        <f>HYPERLINK("https://mapwv.gov/Assessment/Detail/?PID=06040014006200000000","Assessment")</f>
        <v>Assessment</v>
      </c>
      <c r="H149">
        <v>540016</v>
      </c>
      <c r="I149" t="s">
        <v>529</v>
      </c>
      <c r="J149" t="s">
        <v>530</v>
      </c>
      <c r="K149" t="s">
        <v>148</v>
      </c>
      <c r="L149" t="s">
        <v>576</v>
      </c>
      <c r="M149" t="s">
        <v>577</v>
      </c>
      <c r="N149" t="s">
        <v>199</v>
      </c>
      <c r="O149" t="s">
        <v>117</v>
      </c>
      <c r="P149" t="s">
        <v>150</v>
      </c>
      <c r="Q149" t="s">
        <v>119</v>
      </c>
      <c r="R149" t="s">
        <v>151</v>
      </c>
      <c r="S149" t="s">
        <v>151</v>
      </c>
      <c r="T149" t="s">
        <v>151</v>
      </c>
      <c r="U149" t="s">
        <v>151</v>
      </c>
      <c r="V149">
        <v>671.7</v>
      </c>
      <c r="X149" t="s">
        <v>578</v>
      </c>
      <c r="Y149" t="s">
        <v>579</v>
      </c>
      <c r="Z149">
        <v>1930</v>
      </c>
      <c r="AA149" t="s">
        <v>124</v>
      </c>
      <c r="AB149" t="s">
        <v>155</v>
      </c>
      <c r="AC149" t="s">
        <v>129</v>
      </c>
      <c r="AD149">
        <v>3</v>
      </c>
      <c r="AE149">
        <v>101</v>
      </c>
      <c r="AF149" t="s">
        <v>127</v>
      </c>
      <c r="AG149" t="s">
        <v>128</v>
      </c>
      <c r="AH149" t="s">
        <v>129</v>
      </c>
      <c r="AI149">
        <v>1</v>
      </c>
      <c r="AJ149" t="s">
        <v>156</v>
      </c>
      <c r="AK149" t="s">
        <v>130</v>
      </c>
      <c r="AL149">
        <v>768</v>
      </c>
      <c r="AM149" t="s">
        <v>157</v>
      </c>
      <c r="AN149" t="s">
        <v>158</v>
      </c>
      <c r="AO149">
        <v>3</v>
      </c>
      <c r="AP149">
        <v>9600</v>
      </c>
      <c r="AQ149">
        <v>0</v>
      </c>
      <c r="AR149">
        <v>400</v>
      </c>
      <c r="AS149">
        <v>10000</v>
      </c>
      <c r="AT149" t="s">
        <v>132</v>
      </c>
      <c r="AU149">
        <v>1</v>
      </c>
      <c r="AV149">
        <v>0</v>
      </c>
      <c r="AW149">
        <v>1</v>
      </c>
      <c r="BB149" t="s">
        <v>580</v>
      </c>
      <c r="BC149" t="s">
        <v>209</v>
      </c>
      <c r="BE149">
        <v>2.4</v>
      </c>
      <c r="BF149">
        <v>0</v>
      </c>
      <c r="BG149">
        <v>0</v>
      </c>
      <c r="BH149" s="1">
        <v>44319</v>
      </c>
      <c r="BI149" t="s">
        <v>441</v>
      </c>
      <c r="BJ149">
        <v>1930</v>
      </c>
      <c r="BK149" t="s">
        <v>119</v>
      </c>
      <c r="BL149" t="s">
        <v>128</v>
      </c>
      <c r="BM149">
        <v>10000</v>
      </c>
      <c r="BN149">
        <v>1</v>
      </c>
      <c r="BO149">
        <v>5</v>
      </c>
      <c r="BP149">
        <v>3</v>
      </c>
      <c r="BQ149">
        <v>768</v>
      </c>
      <c r="BR149">
        <v>313</v>
      </c>
      <c r="BS149">
        <v>38.361527625999997</v>
      </c>
      <c r="BT149">
        <v>-82.372506161999894</v>
      </c>
      <c r="BU149">
        <v>0</v>
      </c>
      <c r="BV149">
        <v>-3</v>
      </c>
      <c r="BW149">
        <v>0</v>
      </c>
      <c r="BX149" t="s">
        <v>134</v>
      </c>
      <c r="BY149">
        <v>0</v>
      </c>
      <c r="BZ149">
        <v>0</v>
      </c>
      <c r="CA149">
        <v>0</v>
      </c>
      <c r="CB149">
        <v>5000</v>
      </c>
      <c r="CC149">
        <v>0</v>
      </c>
      <c r="CD149">
        <v>0</v>
      </c>
      <c r="CE149">
        <v>0</v>
      </c>
      <c r="CF149">
        <v>0</v>
      </c>
      <c r="CG149">
        <v>0</v>
      </c>
      <c r="CH149">
        <v>0</v>
      </c>
      <c r="CI149">
        <v>0</v>
      </c>
      <c r="CO149">
        <v>0</v>
      </c>
      <c r="CP149">
        <v>0</v>
      </c>
      <c r="CQ149" t="s">
        <v>535</v>
      </c>
      <c r="CR149" t="s">
        <v>160</v>
      </c>
      <c r="CS149" t="s">
        <v>161</v>
      </c>
      <c r="CT149" t="s">
        <v>139</v>
      </c>
      <c r="CU149" t="s">
        <v>163</v>
      </c>
      <c r="CW149">
        <v>2</v>
      </c>
      <c r="CX149" t="s">
        <v>536</v>
      </c>
      <c r="CY149" t="s">
        <v>537</v>
      </c>
      <c r="CZ149" t="s">
        <v>575</v>
      </c>
      <c r="DA149" t="s">
        <v>538</v>
      </c>
      <c r="DB149">
        <v>0</v>
      </c>
      <c r="DC149">
        <v>10000</v>
      </c>
    </row>
    <row r="150" spans="1:107" x14ac:dyDescent="0.25">
      <c r="A150" t="s">
        <v>877</v>
      </c>
      <c r="B150" t="s">
        <v>108</v>
      </c>
      <c r="C150" t="s">
        <v>878</v>
      </c>
      <c r="D150" t="s">
        <v>879</v>
      </c>
      <c r="F150" s="3" t="str">
        <f>HYPERLINK("https://mapwv.gov/flood/map/?wkid=102100&amp;x=-8904098.566507041&amp;y=4813792.393795513&amp;l=13&amp;v=2","FT")</f>
        <v>FT</v>
      </c>
      <c r="G150" s="3" t="str">
        <f>HYPERLINK("https://mapwv.gov/Assessment/Detail/?PID=31190003000900000000","Assessment")</f>
        <v>Assessment</v>
      </c>
      <c r="H150">
        <v>540274</v>
      </c>
      <c r="I150" t="s">
        <v>880</v>
      </c>
      <c r="J150" t="s">
        <v>864</v>
      </c>
      <c r="K150" t="s">
        <v>113</v>
      </c>
      <c r="L150" t="s">
        <v>881</v>
      </c>
      <c r="M150" t="s">
        <v>504</v>
      </c>
      <c r="N150" t="s">
        <v>199</v>
      </c>
      <c r="O150" t="s">
        <v>117</v>
      </c>
      <c r="P150" t="s">
        <v>150</v>
      </c>
      <c r="Q150" t="s">
        <v>225</v>
      </c>
      <c r="R150">
        <v>5.5</v>
      </c>
      <c r="S150" t="s">
        <v>120</v>
      </c>
      <c r="T150">
        <v>812.8</v>
      </c>
      <c r="U150" t="s">
        <v>866</v>
      </c>
      <c r="V150">
        <v>807.2</v>
      </c>
      <c r="X150" t="s">
        <v>882</v>
      </c>
      <c r="Y150" t="s">
        <v>883</v>
      </c>
      <c r="Z150">
        <v>0</v>
      </c>
      <c r="AB150" t="s">
        <v>175</v>
      </c>
      <c r="AC150" t="s">
        <v>288</v>
      </c>
      <c r="AD150">
        <v>4</v>
      </c>
      <c r="AE150">
        <v>213</v>
      </c>
      <c r="AF150" t="s">
        <v>884</v>
      </c>
      <c r="AG150" t="s">
        <v>177</v>
      </c>
      <c r="AH150" t="s">
        <v>129</v>
      </c>
      <c r="AI150">
        <v>1</v>
      </c>
      <c r="AL150">
        <v>1000</v>
      </c>
      <c r="AN150" t="s">
        <v>158</v>
      </c>
      <c r="AO150">
        <v>3.5</v>
      </c>
      <c r="AP150">
        <v>0</v>
      </c>
      <c r="AQ150">
        <v>0</v>
      </c>
      <c r="AR150">
        <v>10020</v>
      </c>
      <c r="AS150">
        <v>17400</v>
      </c>
      <c r="AT150" t="s">
        <v>178</v>
      </c>
      <c r="AU150">
        <v>1</v>
      </c>
      <c r="AV150">
        <v>1</v>
      </c>
      <c r="AW150">
        <v>0</v>
      </c>
      <c r="BC150" t="s">
        <v>614</v>
      </c>
      <c r="BE150">
        <v>2.2999999999999998</v>
      </c>
      <c r="BF150">
        <v>1</v>
      </c>
      <c r="BG150">
        <v>2.2999999999999998</v>
      </c>
      <c r="BH150" s="1">
        <v>44329</v>
      </c>
      <c r="BI150" t="s">
        <v>510</v>
      </c>
      <c r="BJ150">
        <v>0</v>
      </c>
      <c r="BK150" t="s">
        <v>225</v>
      </c>
      <c r="BL150" t="s">
        <v>177</v>
      </c>
      <c r="BM150">
        <v>17400</v>
      </c>
      <c r="BN150">
        <v>1</v>
      </c>
      <c r="BO150">
        <v>5</v>
      </c>
      <c r="BP150">
        <v>3.5</v>
      </c>
      <c r="BQ150">
        <v>1000</v>
      </c>
      <c r="BR150">
        <v>1249</v>
      </c>
      <c r="BS150">
        <v>39.640188518999899</v>
      </c>
      <c r="BT150">
        <v>-79.986878336000004</v>
      </c>
      <c r="BU150">
        <v>5.5</v>
      </c>
      <c r="BV150">
        <v>2</v>
      </c>
      <c r="BW150">
        <v>1</v>
      </c>
      <c r="BX150" t="s">
        <v>181</v>
      </c>
      <c r="BY150">
        <v>189</v>
      </c>
      <c r="BZ150">
        <v>63</v>
      </c>
      <c r="CA150">
        <v>10962</v>
      </c>
      <c r="CB150">
        <v>8700</v>
      </c>
      <c r="CC150">
        <v>74</v>
      </c>
      <c r="CD150">
        <v>49</v>
      </c>
      <c r="CE150">
        <v>4263</v>
      </c>
      <c r="CF150">
        <v>0</v>
      </c>
      <c r="CG150">
        <v>0</v>
      </c>
      <c r="CH150">
        <v>0</v>
      </c>
      <c r="CI150">
        <v>0</v>
      </c>
      <c r="CJ150" t="s">
        <v>273</v>
      </c>
      <c r="CK150">
        <v>6.5</v>
      </c>
      <c r="CL150">
        <v>10</v>
      </c>
      <c r="CM150">
        <v>12</v>
      </c>
      <c r="CN150">
        <v>28.5</v>
      </c>
      <c r="CO150">
        <v>360</v>
      </c>
      <c r="CP150">
        <v>720</v>
      </c>
      <c r="CQ150" t="s">
        <v>871</v>
      </c>
      <c r="CR150" t="s">
        <v>183</v>
      </c>
      <c r="CS150" t="s">
        <v>138</v>
      </c>
      <c r="CT150" t="s">
        <v>139</v>
      </c>
      <c r="CU150" t="s">
        <v>274</v>
      </c>
      <c r="CW150">
        <v>6</v>
      </c>
      <c r="CX150" t="s">
        <v>885</v>
      </c>
      <c r="CY150" t="s">
        <v>875</v>
      </c>
      <c r="CZ150" t="s">
        <v>879</v>
      </c>
      <c r="DA150" t="s">
        <v>876</v>
      </c>
      <c r="DB150">
        <v>0</v>
      </c>
      <c r="DC150">
        <v>10000</v>
      </c>
    </row>
    <row r="151" spans="1:107" x14ac:dyDescent="0.25">
      <c r="A151" t="s">
        <v>1373</v>
      </c>
      <c r="B151" t="s">
        <v>108</v>
      </c>
      <c r="C151" t="s">
        <v>1374</v>
      </c>
      <c r="D151" t="s">
        <v>1375</v>
      </c>
      <c r="F151" s="3" t="str">
        <f>HYPERLINK("https://mapwv.gov/flood/map/?wkid=102100&amp;x=-9094343.31255687&amp;y=4632535.92332449&amp;l=13&amp;v=2","FT")</f>
        <v>FT</v>
      </c>
      <c r="G151" s="3" t="str">
        <f>HYPERLINK("https://mapwv.gov/Assessment/Detail/?PID=20100002002100000000","Assessment")</f>
        <v>Assessment</v>
      </c>
      <c r="H151">
        <v>540073</v>
      </c>
      <c r="I151" t="s">
        <v>1333</v>
      </c>
      <c r="J151" t="s">
        <v>1282</v>
      </c>
      <c r="K151" t="s">
        <v>113</v>
      </c>
      <c r="L151" t="s">
        <v>1283</v>
      </c>
      <c r="M151" t="s">
        <v>909</v>
      </c>
      <c r="N151" t="s">
        <v>199</v>
      </c>
      <c r="O151" t="s">
        <v>117</v>
      </c>
      <c r="P151" t="s">
        <v>150</v>
      </c>
      <c r="Q151" t="s">
        <v>119</v>
      </c>
      <c r="R151">
        <v>0.1</v>
      </c>
      <c r="S151" t="s">
        <v>120</v>
      </c>
      <c r="T151" t="s">
        <v>151</v>
      </c>
      <c r="U151" t="s">
        <v>151</v>
      </c>
      <c r="V151">
        <v>592.5</v>
      </c>
      <c r="X151" t="s">
        <v>1376</v>
      </c>
      <c r="Y151" t="s">
        <v>1377</v>
      </c>
      <c r="Z151">
        <v>1952</v>
      </c>
      <c r="AA151" t="s">
        <v>154</v>
      </c>
      <c r="AB151" t="s">
        <v>155</v>
      </c>
      <c r="AC151" t="s">
        <v>129</v>
      </c>
      <c r="AD151">
        <v>4</v>
      </c>
      <c r="AE151">
        <v>101</v>
      </c>
      <c r="AF151" t="s">
        <v>127</v>
      </c>
      <c r="AG151" t="s">
        <v>128</v>
      </c>
      <c r="AH151" t="s">
        <v>129</v>
      </c>
      <c r="AI151">
        <v>1</v>
      </c>
      <c r="AJ151" t="s">
        <v>694</v>
      </c>
      <c r="AK151" t="s">
        <v>130</v>
      </c>
      <c r="AL151">
        <v>1440</v>
      </c>
      <c r="AM151" t="s">
        <v>157</v>
      </c>
      <c r="AN151" t="s">
        <v>158</v>
      </c>
      <c r="AO151">
        <v>3</v>
      </c>
      <c r="AP151">
        <v>10000</v>
      </c>
      <c r="AQ151">
        <v>0</v>
      </c>
      <c r="AR151">
        <v>0</v>
      </c>
      <c r="AS151">
        <v>10000</v>
      </c>
      <c r="AT151" t="s">
        <v>132</v>
      </c>
      <c r="AU151">
        <v>1</v>
      </c>
      <c r="AV151">
        <v>0</v>
      </c>
      <c r="AW151">
        <v>1</v>
      </c>
      <c r="BE151">
        <v>2.1</v>
      </c>
      <c r="BF151">
        <v>0</v>
      </c>
      <c r="BG151">
        <v>0</v>
      </c>
      <c r="BH151" s="1">
        <v>44362</v>
      </c>
      <c r="BI151" t="s">
        <v>210</v>
      </c>
      <c r="BJ151">
        <v>1952</v>
      </c>
      <c r="BK151" t="s">
        <v>119</v>
      </c>
      <c r="BL151" t="s">
        <v>128</v>
      </c>
      <c r="BM151">
        <v>10000</v>
      </c>
      <c r="BN151">
        <v>1</v>
      </c>
      <c r="BO151">
        <v>5</v>
      </c>
      <c r="BP151">
        <v>3</v>
      </c>
      <c r="BQ151">
        <v>1440</v>
      </c>
      <c r="BR151">
        <v>9926</v>
      </c>
      <c r="BS151">
        <v>38.374992249999899</v>
      </c>
      <c r="BT151">
        <v>-81.695875966999907</v>
      </c>
      <c r="BU151">
        <v>0.73107909999999998</v>
      </c>
      <c r="BV151">
        <v>-2.2689208984375</v>
      </c>
      <c r="BW151">
        <v>1</v>
      </c>
      <c r="BX151" t="s">
        <v>134</v>
      </c>
      <c r="BY151">
        <v>129</v>
      </c>
      <c r="BZ151">
        <v>0</v>
      </c>
      <c r="CA151">
        <v>0</v>
      </c>
      <c r="CB151">
        <v>5000</v>
      </c>
      <c r="CC151">
        <v>45</v>
      </c>
      <c r="CD151">
        <v>0</v>
      </c>
      <c r="CE151">
        <v>0</v>
      </c>
      <c r="CF151">
        <v>0</v>
      </c>
      <c r="CG151">
        <v>0</v>
      </c>
      <c r="CH151">
        <v>0</v>
      </c>
      <c r="CI151">
        <v>0</v>
      </c>
      <c r="CO151">
        <v>0</v>
      </c>
      <c r="CP151">
        <v>0</v>
      </c>
      <c r="CQ151" t="s">
        <v>1286</v>
      </c>
      <c r="CR151" t="s">
        <v>183</v>
      </c>
      <c r="CS151" t="s">
        <v>138</v>
      </c>
      <c r="CT151" t="s">
        <v>139</v>
      </c>
      <c r="CU151" t="s">
        <v>163</v>
      </c>
      <c r="CW151">
        <v>3</v>
      </c>
      <c r="CX151" t="s">
        <v>1338</v>
      </c>
      <c r="CY151" t="s">
        <v>1288</v>
      </c>
      <c r="CZ151" t="s">
        <v>1375</v>
      </c>
      <c r="DA151" t="s">
        <v>1289</v>
      </c>
      <c r="DB151">
        <v>0</v>
      </c>
      <c r="DC151">
        <v>10000</v>
      </c>
    </row>
    <row r="152" spans="1:107" x14ac:dyDescent="0.25">
      <c r="A152" t="s">
        <v>359</v>
      </c>
      <c r="B152" t="s">
        <v>108</v>
      </c>
      <c r="C152" t="s">
        <v>360</v>
      </c>
      <c r="D152" t="s">
        <v>361</v>
      </c>
      <c r="F152" s="3" t="str">
        <f>HYPERLINK("https://mapwv.gov/flood/map/?wkid=102100&amp;x=-8757969.867240096&amp;y=4784975.586651947&amp;l=13&amp;v=2","FT")</f>
        <v>FT</v>
      </c>
      <c r="G152" s="3" t="str">
        <f>HYPERLINK("https://mapwv.gov/Assessment/Detail/?PID=1410018A004300000000","Assessment")</f>
        <v>Assessment</v>
      </c>
      <c r="H152">
        <v>540226</v>
      </c>
      <c r="I152" t="s">
        <v>362</v>
      </c>
      <c r="J152" t="s">
        <v>363</v>
      </c>
      <c r="K152" t="s">
        <v>148</v>
      </c>
      <c r="L152" t="s">
        <v>364</v>
      </c>
      <c r="M152" t="s">
        <v>350</v>
      </c>
      <c r="N152" t="s">
        <v>199</v>
      </c>
      <c r="O152" t="s">
        <v>117</v>
      </c>
      <c r="P152" t="s">
        <v>150</v>
      </c>
      <c r="Q152" t="s">
        <v>119</v>
      </c>
      <c r="R152">
        <v>4.4000000000000004</v>
      </c>
      <c r="S152" t="s">
        <v>120</v>
      </c>
      <c r="T152">
        <v>614.20000000000005</v>
      </c>
      <c r="U152" t="s">
        <v>365</v>
      </c>
      <c r="V152">
        <v>609.29999999999995</v>
      </c>
      <c r="X152" t="s">
        <v>366</v>
      </c>
      <c r="Y152" t="s">
        <v>367</v>
      </c>
      <c r="Z152">
        <v>1950</v>
      </c>
      <c r="AA152" t="s">
        <v>124</v>
      </c>
      <c r="AB152" t="s">
        <v>155</v>
      </c>
      <c r="AC152" t="s">
        <v>129</v>
      </c>
      <c r="AD152">
        <v>3</v>
      </c>
      <c r="AE152">
        <v>101</v>
      </c>
      <c r="AF152" t="s">
        <v>127</v>
      </c>
      <c r="AG152" t="s">
        <v>128</v>
      </c>
      <c r="AH152" t="s">
        <v>129</v>
      </c>
      <c r="AI152">
        <v>1</v>
      </c>
      <c r="AJ152" t="s">
        <v>341</v>
      </c>
      <c r="AK152" t="s">
        <v>130</v>
      </c>
      <c r="AL152">
        <v>830</v>
      </c>
      <c r="AM152" t="s">
        <v>157</v>
      </c>
      <c r="AN152" t="s">
        <v>158</v>
      </c>
      <c r="AO152">
        <v>3</v>
      </c>
      <c r="AP152">
        <v>9900</v>
      </c>
      <c r="AQ152">
        <v>0</v>
      </c>
      <c r="AR152">
        <v>0</v>
      </c>
      <c r="AS152">
        <v>9900</v>
      </c>
      <c r="AT152" t="s">
        <v>132</v>
      </c>
      <c r="AU152">
        <v>1</v>
      </c>
      <c r="AV152">
        <v>0</v>
      </c>
      <c r="AW152">
        <v>1</v>
      </c>
      <c r="BE152">
        <v>2</v>
      </c>
      <c r="BF152">
        <v>1</v>
      </c>
      <c r="BG152">
        <v>2</v>
      </c>
      <c r="BH152" s="1">
        <v>44272</v>
      </c>
      <c r="BI152" t="s">
        <v>210</v>
      </c>
      <c r="BJ152">
        <v>1950</v>
      </c>
      <c r="BK152" t="s">
        <v>119</v>
      </c>
      <c r="BL152" t="s">
        <v>128</v>
      </c>
      <c r="BM152">
        <v>9900</v>
      </c>
      <c r="BN152">
        <v>1</v>
      </c>
      <c r="BO152">
        <v>5</v>
      </c>
      <c r="BP152">
        <v>3</v>
      </c>
      <c r="BQ152">
        <v>830</v>
      </c>
      <c r="BR152">
        <v>770</v>
      </c>
      <c r="BS152">
        <v>39.440557630999898</v>
      </c>
      <c r="BT152">
        <v>-78.674181895999794</v>
      </c>
      <c r="BU152">
        <v>5.2246703999999999</v>
      </c>
      <c r="BV152">
        <v>2.22467041015625</v>
      </c>
      <c r="BW152">
        <v>1</v>
      </c>
      <c r="BX152" t="s">
        <v>134</v>
      </c>
      <c r="BY152">
        <v>129</v>
      </c>
      <c r="BZ152">
        <v>33.79736328125</v>
      </c>
      <c r="CA152">
        <v>3345.93896484375</v>
      </c>
      <c r="CB152">
        <v>4950</v>
      </c>
      <c r="CC152">
        <v>45</v>
      </c>
      <c r="CD152">
        <v>37.79736328125</v>
      </c>
      <c r="CE152">
        <v>1870.96948242187</v>
      </c>
      <c r="CF152">
        <v>0</v>
      </c>
      <c r="CG152">
        <v>0</v>
      </c>
      <c r="CH152">
        <v>0</v>
      </c>
      <c r="CI152">
        <v>0</v>
      </c>
      <c r="CJ152" t="s">
        <v>368</v>
      </c>
      <c r="CK152">
        <v>3.403</v>
      </c>
      <c r="CL152">
        <v>0</v>
      </c>
      <c r="CM152">
        <v>0</v>
      </c>
      <c r="CN152">
        <v>3.403</v>
      </c>
      <c r="CO152">
        <v>180</v>
      </c>
      <c r="CP152">
        <v>360</v>
      </c>
      <c r="CQ152" t="s">
        <v>369</v>
      </c>
      <c r="CR152" t="s">
        <v>183</v>
      </c>
      <c r="CS152" t="s">
        <v>138</v>
      </c>
      <c r="CT152" t="s">
        <v>139</v>
      </c>
      <c r="CU152" t="s">
        <v>140</v>
      </c>
      <c r="CW152">
        <v>8</v>
      </c>
      <c r="CX152" t="s">
        <v>370</v>
      </c>
      <c r="CY152" t="s">
        <v>371</v>
      </c>
      <c r="CZ152" t="s">
        <v>361</v>
      </c>
      <c r="DA152" t="s">
        <v>372</v>
      </c>
      <c r="DB152">
        <v>0</v>
      </c>
      <c r="DC152">
        <v>9900</v>
      </c>
    </row>
    <row r="153" spans="1:107" x14ac:dyDescent="0.25">
      <c r="A153" t="s">
        <v>380</v>
      </c>
      <c r="B153" t="s">
        <v>108</v>
      </c>
      <c r="C153" t="s">
        <v>381</v>
      </c>
      <c r="D153" t="s">
        <v>382</v>
      </c>
      <c r="F153" s="3" t="str">
        <f>HYPERLINK("https://mapwv.gov/flood/map/?wkid=102100&amp;x=-8751810.438142305&amp;y=4797062.769077081&amp;l=13&amp;v=2","FT")</f>
        <v>FT</v>
      </c>
      <c r="G153" s="3" t="str">
        <f>HYPERLINK("https://mapwv.gov/Assessment/Detail/?PID=1410022A013000000000","Assessment")</f>
        <v>Assessment</v>
      </c>
      <c r="H153">
        <v>540226</v>
      </c>
      <c r="I153" t="s">
        <v>362</v>
      </c>
      <c r="J153" t="s">
        <v>363</v>
      </c>
      <c r="K153" t="s">
        <v>148</v>
      </c>
      <c r="L153" t="s">
        <v>376</v>
      </c>
      <c r="M153" t="s">
        <v>377</v>
      </c>
      <c r="N153" t="s">
        <v>199</v>
      </c>
      <c r="O153" t="s">
        <v>383</v>
      </c>
      <c r="P153" t="s">
        <v>150</v>
      </c>
      <c r="Q153" t="s">
        <v>119</v>
      </c>
      <c r="R153">
        <v>0.3</v>
      </c>
      <c r="S153" t="s">
        <v>120</v>
      </c>
      <c r="T153">
        <v>559.79999999999995</v>
      </c>
      <c r="U153" t="s">
        <v>365</v>
      </c>
      <c r="V153">
        <v>558.9</v>
      </c>
      <c r="X153" t="s">
        <v>378</v>
      </c>
      <c r="Y153" t="s">
        <v>379</v>
      </c>
      <c r="Z153">
        <v>1986</v>
      </c>
      <c r="AA153" t="s">
        <v>175</v>
      </c>
      <c r="AB153" t="s">
        <v>155</v>
      </c>
      <c r="AC153" t="s">
        <v>129</v>
      </c>
      <c r="AD153">
        <v>3</v>
      </c>
      <c r="AE153">
        <v>108</v>
      </c>
      <c r="AF153" t="s">
        <v>176</v>
      </c>
      <c r="AG153" t="s">
        <v>177</v>
      </c>
      <c r="AH153" t="s">
        <v>129</v>
      </c>
      <c r="AI153">
        <v>1</v>
      </c>
      <c r="AL153">
        <v>1212</v>
      </c>
      <c r="AN153" t="s">
        <v>158</v>
      </c>
      <c r="AO153">
        <v>3</v>
      </c>
      <c r="AP153">
        <v>0</v>
      </c>
      <c r="AQ153">
        <v>0</v>
      </c>
      <c r="AR153">
        <v>9830</v>
      </c>
      <c r="AS153">
        <v>18050</v>
      </c>
      <c r="AT153" t="s">
        <v>178</v>
      </c>
      <c r="AU153">
        <v>1</v>
      </c>
      <c r="AV153">
        <v>4</v>
      </c>
      <c r="AW153">
        <v>1</v>
      </c>
      <c r="BE153">
        <v>2</v>
      </c>
      <c r="BF153">
        <v>0</v>
      </c>
      <c r="BG153">
        <v>0</v>
      </c>
      <c r="BH153" s="1">
        <v>44272</v>
      </c>
      <c r="BI153" t="s">
        <v>384</v>
      </c>
      <c r="BJ153">
        <v>1986</v>
      </c>
      <c r="BK153" t="s">
        <v>119</v>
      </c>
      <c r="BL153" t="s">
        <v>177</v>
      </c>
      <c r="BM153">
        <v>18050</v>
      </c>
      <c r="BN153">
        <v>1</v>
      </c>
      <c r="BO153">
        <v>5</v>
      </c>
      <c r="BP153">
        <v>3</v>
      </c>
      <c r="BQ153">
        <v>1212</v>
      </c>
      <c r="BR153">
        <v>1064</v>
      </c>
      <c r="BS153">
        <v>39.5243625270001</v>
      </c>
      <c r="BT153">
        <v>-78.618850803000001</v>
      </c>
      <c r="BU153">
        <v>0.13934326</v>
      </c>
      <c r="BV153">
        <v>-2.86065673828125</v>
      </c>
      <c r="BW153">
        <v>1</v>
      </c>
      <c r="BX153" t="s">
        <v>181</v>
      </c>
      <c r="BY153">
        <v>189</v>
      </c>
      <c r="BZ153">
        <v>0</v>
      </c>
      <c r="CA153">
        <v>0</v>
      </c>
      <c r="CB153">
        <v>9025</v>
      </c>
      <c r="CC153">
        <v>74</v>
      </c>
      <c r="CD153">
        <v>0</v>
      </c>
      <c r="CE153">
        <v>0</v>
      </c>
      <c r="CF153">
        <v>0</v>
      </c>
      <c r="CG153">
        <v>0</v>
      </c>
      <c r="CH153">
        <v>0</v>
      </c>
      <c r="CI153">
        <v>0</v>
      </c>
      <c r="CO153">
        <v>0</v>
      </c>
      <c r="CP153">
        <v>0</v>
      </c>
      <c r="CQ153" t="s">
        <v>369</v>
      </c>
      <c r="CR153" t="s">
        <v>385</v>
      </c>
      <c r="CS153" t="s">
        <v>138</v>
      </c>
      <c r="CT153" t="s">
        <v>139</v>
      </c>
      <c r="CU153" t="s">
        <v>163</v>
      </c>
      <c r="CW153">
        <v>8</v>
      </c>
      <c r="CX153" t="s">
        <v>370</v>
      </c>
      <c r="CY153" t="s">
        <v>371</v>
      </c>
      <c r="CZ153" t="s">
        <v>382</v>
      </c>
      <c r="DA153" t="s">
        <v>372</v>
      </c>
      <c r="DB153">
        <v>0</v>
      </c>
      <c r="DC153">
        <v>9800</v>
      </c>
    </row>
    <row r="154" spans="1:107" x14ac:dyDescent="0.25">
      <c r="A154" t="s">
        <v>666</v>
      </c>
      <c r="B154" t="s">
        <v>108</v>
      </c>
      <c r="C154" t="s">
        <v>667</v>
      </c>
      <c r="D154" t="s">
        <v>668</v>
      </c>
      <c r="F154" s="3" t="str">
        <f>HYPERLINK("https://mapwv.gov/flood/map/?wkid=102100&amp;x=-9148112.882610828&amp;y=4612075.80928318&amp;l=13&amp;v=2","FT")</f>
        <v>FT</v>
      </c>
      <c r="G154" s="3" t="str">
        <f>HYPERLINK("https://mapwv.gov/Assessment/Detail/?PID=22070015002900030000","Assessment")</f>
        <v>Assessment</v>
      </c>
      <c r="H154">
        <v>540088</v>
      </c>
      <c r="I154" t="s">
        <v>632</v>
      </c>
      <c r="J154" t="s">
        <v>633</v>
      </c>
      <c r="K154" t="s">
        <v>148</v>
      </c>
      <c r="L154" t="s">
        <v>669</v>
      </c>
      <c r="M154" t="s">
        <v>550</v>
      </c>
      <c r="N154" t="s">
        <v>149</v>
      </c>
      <c r="O154" t="s">
        <v>117</v>
      </c>
      <c r="P154" t="s">
        <v>150</v>
      </c>
      <c r="Q154" t="s">
        <v>119</v>
      </c>
      <c r="R154" t="s">
        <v>151</v>
      </c>
      <c r="S154" t="s">
        <v>151</v>
      </c>
      <c r="T154" t="s">
        <v>151</v>
      </c>
      <c r="U154" t="s">
        <v>151</v>
      </c>
      <c r="V154">
        <v>606.1</v>
      </c>
      <c r="X154" t="s">
        <v>670</v>
      </c>
      <c r="Y154" t="s">
        <v>671</v>
      </c>
      <c r="Z154">
        <v>1930</v>
      </c>
      <c r="AA154" t="s">
        <v>318</v>
      </c>
      <c r="AB154" t="s">
        <v>155</v>
      </c>
      <c r="AC154" t="s">
        <v>129</v>
      </c>
      <c r="AD154">
        <v>3</v>
      </c>
      <c r="AE154">
        <v>101</v>
      </c>
      <c r="AF154" t="s">
        <v>127</v>
      </c>
      <c r="AG154" t="s">
        <v>128</v>
      </c>
      <c r="AH154" t="s">
        <v>129</v>
      </c>
      <c r="AI154">
        <v>1</v>
      </c>
      <c r="AJ154" t="s">
        <v>156</v>
      </c>
      <c r="AK154" t="s">
        <v>130</v>
      </c>
      <c r="AL154">
        <v>792</v>
      </c>
      <c r="AM154" t="s">
        <v>206</v>
      </c>
      <c r="AN154" t="s">
        <v>131</v>
      </c>
      <c r="AO154">
        <v>1</v>
      </c>
      <c r="AP154">
        <v>9800</v>
      </c>
      <c r="AQ154">
        <v>0</v>
      </c>
      <c r="AR154">
        <v>0</v>
      </c>
      <c r="AS154">
        <v>9800</v>
      </c>
      <c r="AT154" t="s">
        <v>132</v>
      </c>
      <c r="AU154">
        <v>1</v>
      </c>
      <c r="AV154">
        <v>0</v>
      </c>
      <c r="AW154">
        <v>1</v>
      </c>
      <c r="BE154">
        <v>2.6</v>
      </c>
      <c r="BF154">
        <v>0</v>
      </c>
      <c r="BG154">
        <v>0</v>
      </c>
      <c r="BH154" s="1">
        <v>44319</v>
      </c>
      <c r="BI154" t="s">
        <v>159</v>
      </c>
      <c r="BJ154">
        <v>1930</v>
      </c>
      <c r="BK154" t="s">
        <v>119</v>
      </c>
      <c r="BL154" t="s">
        <v>128</v>
      </c>
      <c r="BM154">
        <v>9800</v>
      </c>
      <c r="BN154">
        <v>1</v>
      </c>
      <c r="BO154">
        <v>7</v>
      </c>
      <c r="BP154">
        <v>1</v>
      </c>
      <c r="BQ154">
        <v>792</v>
      </c>
      <c r="BR154">
        <v>1469</v>
      </c>
      <c r="BS154">
        <v>38.230759034999998</v>
      </c>
      <c r="BT154">
        <v>-82.178896233000003</v>
      </c>
      <c r="BU154">
        <v>0</v>
      </c>
      <c r="BV154">
        <v>-1</v>
      </c>
      <c r="BW154">
        <v>0</v>
      </c>
      <c r="BX154" t="s">
        <v>134</v>
      </c>
      <c r="BY154">
        <v>0</v>
      </c>
      <c r="BZ154">
        <v>0</v>
      </c>
      <c r="CA154">
        <v>0</v>
      </c>
      <c r="CB154">
        <v>4900</v>
      </c>
      <c r="CC154">
        <v>0</v>
      </c>
      <c r="CD154">
        <v>0</v>
      </c>
      <c r="CE154">
        <v>0</v>
      </c>
      <c r="CF154">
        <v>0</v>
      </c>
      <c r="CG154">
        <v>0</v>
      </c>
      <c r="CH154">
        <v>0</v>
      </c>
      <c r="CI154">
        <v>0</v>
      </c>
      <c r="CO154">
        <v>0</v>
      </c>
      <c r="CP154">
        <v>0</v>
      </c>
      <c r="CQ154" t="s">
        <v>637</v>
      </c>
      <c r="CR154" t="s">
        <v>183</v>
      </c>
      <c r="CS154" t="s">
        <v>161</v>
      </c>
      <c r="CT154" t="s">
        <v>139</v>
      </c>
      <c r="CU154" t="s">
        <v>163</v>
      </c>
      <c r="CW154">
        <v>2</v>
      </c>
      <c r="CX154" t="s">
        <v>638</v>
      </c>
      <c r="CY154" t="s">
        <v>639</v>
      </c>
      <c r="CZ154" t="s">
        <v>668</v>
      </c>
      <c r="DA154" t="s">
        <v>640</v>
      </c>
      <c r="DB154">
        <v>0</v>
      </c>
      <c r="DC154">
        <v>9800</v>
      </c>
    </row>
    <row r="155" spans="1:107" x14ac:dyDescent="0.25">
      <c r="A155" t="s">
        <v>1789</v>
      </c>
      <c r="B155" t="s">
        <v>108</v>
      </c>
      <c r="C155" t="s">
        <v>1790</v>
      </c>
      <c r="D155" t="s">
        <v>1791</v>
      </c>
      <c r="F155" s="3" t="str">
        <f>HYPERLINK("https://mapwv.gov/flood/map/?wkid=102100&amp;x=-9088680.556072675&amp;y=4473875.404270744&amp;l=13&amp;v=2","FT")</f>
        <v>FT</v>
      </c>
      <c r="G155" s="3" t="str">
        <f>HYPERLINK("https://mapwv.gov/Assessment/Detail/?PID=27030003001200000000","Assessment")</f>
        <v>Assessment</v>
      </c>
      <c r="H155">
        <v>540114</v>
      </c>
      <c r="I155" t="s">
        <v>1780</v>
      </c>
      <c r="J155" t="s">
        <v>1781</v>
      </c>
      <c r="K155" t="s">
        <v>148</v>
      </c>
      <c r="L155" t="s">
        <v>1792</v>
      </c>
      <c r="M155" t="s">
        <v>787</v>
      </c>
      <c r="N155" t="s">
        <v>149</v>
      </c>
      <c r="O155" t="s">
        <v>117</v>
      </c>
      <c r="P155" t="s">
        <v>150</v>
      </c>
      <c r="Q155" t="s">
        <v>225</v>
      </c>
      <c r="R155">
        <v>0.8</v>
      </c>
      <c r="S155" t="s">
        <v>120</v>
      </c>
      <c r="T155">
        <v>1532.7</v>
      </c>
      <c r="U155" t="s">
        <v>121</v>
      </c>
      <c r="V155">
        <v>1528.4</v>
      </c>
      <c r="X155" t="s">
        <v>1793</v>
      </c>
      <c r="Y155" t="s">
        <v>1794</v>
      </c>
      <c r="Z155">
        <v>0</v>
      </c>
      <c r="AB155" t="s">
        <v>155</v>
      </c>
      <c r="AC155" t="s">
        <v>129</v>
      </c>
      <c r="AD155">
        <v>3</v>
      </c>
      <c r="AE155">
        <v>101</v>
      </c>
      <c r="AF155" t="s">
        <v>127</v>
      </c>
      <c r="AG155" t="s">
        <v>177</v>
      </c>
      <c r="AH155" t="s">
        <v>129</v>
      </c>
      <c r="AI155">
        <v>1</v>
      </c>
      <c r="AL155">
        <v>1988</v>
      </c>
      <c r="AN155" t="s">
        <v>158</v>
      </c>
      <c r="AO155">
        <v>3.5</v>
      </c>
      <c r="AP155">
        <v>0</v>
      </c>
      <c r="AQ155">
        <v>0</v>
      </c>
      <c r="AR155">
        <v>0</v>
      </c>
      <c r="AS155">
        <v>30410</v>
      </c>
      <c r="AT155" t="s">
        <v>178</v>
      </c>
      <c r="AU155">
        <v>1</v>
      </c>
      <c r="AV155">
        <v>0</v>
      </c>
      <c r="AW155">
        <v>1</v>
      </c>
      <c r="BE155">
        <v>2.4</v>
      </c>
      <c r="BF155">
        <v>0</v>
      </c>
      <c r="BG155">
        <v>0</v>
      </c>
      <c r="BH155" s="1">
        <v>44399</v>
      </c>
      <c r="BI155" t="s">
        <v>331</v>
      </c>
      <c r="BJ155">
        <v>0</v>
      </c>
      <c r="BK155" t="s">
        <v>225</v>
      </c>
      <c r="BL155" t="s">
        <v>177</v>
      </c>
      <c r="BM155">
        <v>30410</v>
      </c>
      <c r="BN155">
        <v>1</v>
      </c>
      <c r="BO155">
        <v>5</v>
      </c>
      <c r="BP155">
        <v>3.5</v>
      </c>
      <c r="BQ155">
        <v>1988</v>
      </c>
      <c r="BR155">
        <v>113</v>
      </c>
      <c r="BS155">
        <v>37.249029770999897</v>
      </c>
      <c r="BT155">
        <v>-81.645006559999899</v>
      </c>
      <c r="BU155">
        <v>0.68846430000000003</v>
      </c>
      <c r="BV155">
        <v>-2.8115357160568202</v>
      </c>
      <c r="BW155">
        <v>1</v>
      </c>
      <c r="BX155" t="s">
        <v>181</v>
      </c>
      <c r="BY155">
        <v>189</v>
      </c>
      <c r="BZ155">
        <v>0</v>
      </c>
      <c r="CA155">
        <v>0</v>
      </c>
      <c r="CB155">
        <v>15205</v>
      </c>
      <c r="CC155">
        <v>74</v>
      </c>
      <c r="CD155">
        <v>0</v>
      </c>
      <c r="CE155">
        <v>0</v>
      </c>
      <c r="CF155">
        <v>0</v>
      </c>
      <c r="CG155">
        <v>0</v>
      </c>
      <c r="CH155">
        <v>0</v>
      </c>
      <c r="CI155">
        <v>0</v>
      </c>
      <c r="CO155">
        <v>0</v>
      </c>
      <c r="CP155">
        <v>0</v>
      </c>
      <c r="CQ155" t="s">
        <v>1785</v>
      </c>
      <c r="CR155" t="s">
        <v>183</v>
      </c>
      <c r="CS155" t="s">
        <v>138</v>
      </c>
      <c r="CT155" t="s">
        <v>139</v>
      </c>
      <c r="CU155" t="s">
        <v>163</v>
      </c>
      <c r="CW155">
        <v>1</v>
      </c>
      <c r="CX155" t="s">
        <v>1786</v>
      </c>
      <c r="CY155" t="s">
        <v>1787</v>
      </c>
      <c r="CZ155" t="s">
        <v>1791</v>
      </c>
      <c r="DA155" t="s">
        <v>1788</v>
      </c>
      <c r="DB155">
        <v>0</v>
      </c>
      <c r="DC155">
        <v>9600</v>
      </c>
    </row>
    <row r="156" spans="1:107" x14ac:dyDescent="0.25">
      <c r="A156" t="s">
        <v>1459</v>
      </c>
      <c r="B156" t="s">
        <v>108</v>
      </c>
      <c r="C156" t="s">
        <v>1460</v>
      </c>
      <c r="D156" t="s">
        <v>1461</v>
      </c>
      <c r="F156" s="3" t="str">
        <f>HYPERLINK("https://mapwv.gov/flood/map/?wkid=102100&amp;x=-9083678.570712488&amp;y=4652729.301882366&amp;l=13&amp;v=2","FT")</f>
        <v>FT</v>
      </c>
      <c r="G156" s="3" t="str">
        <f>HYPERLINK("https://mapwv.gov/Assessment/Detail/?PID=20240031005600010000","Assessment")</f>
        <v>Assessment</v>
      </c>
      <c r="H156">
        <v>540070</v>
      </c>
      <c r="I156" t="s">
        <v>1306</v>
      </c>
      <c r="J156" t="s">
        <v>1282</v>
      </c>
      <c r="K156" t="s">
        <v>148</v>
      </c>
      <c r="L156" t="s">
        <v>1462</v>
      </c>
      <c r="M156" t="s">
        <v>909</v>
      </c>
      <c r="N156" t="s">
        <v>149</v>
      </c>
      <c r="O156" t="s">
        <v>117</v>
      </c>
      <c r="P156" t="s">
        <v>150</v>
      </c>
      <c r="Q156" t="s">
        <v>119</v>
      </c>
      <c r="R156" t="s">
        <v>151</v>
      </c>
      <c r="S156" t="s">
        <v>151</v>
      </c>
      <c r="T156" t="s">
        <v>151</v>
      </c>
      <c r="U156" t="s">
        <v>151</v>
      </c>
      <c r="V156">
        <v>645.5</v>
      </c>
      <c r="X156" t="s">
        <v>1463</v>
      </c>
      <c r="Y156" t="s">
        <v>1464</v>
      </c>
      <c r="Z156">
        <v>1975</v>
      </c>
      <c r="AA156" t="s">
        <v>241</v>
      </c>
      <c r="AB156" t="s">
        <v>155</v>
      </c>
      <c r="AC156" t="s">
        <v>129</v>
      </c>
      <c r="AD156">
        <v>3</v>
      </c>
      <c r="AE156">
        <v>108</v>
      </c>
      <c r="AF156" t="s">
        <v>176</v>
      </c>
      <c r="AG156" t="s">
        <v>177</v>
      </c>
      <c r="AH156" t="s">
        <v>129</v>
      </c>
      <c r="AI156">
        <v>1</v>
      </c>
      <c r="AL156">
        <v>732</v>
      </c>
      <c r="AN156" t="s">
        <v>158</v>
      </c>
      <c r="AO156">
        <v>3</v>
      </c>
      <c r="AP156">
        <v>0</v>
      </c>
      <c r="AQ156">
        <v>0</v>
      </c>
      <c r="AR156">
        <v>9490</v>
      </c>
      <c r="AS156">
        <v>9500</v>
      </c>
      <c r="AT156" t="s">
        <v>132</v>
      </c>
      <c r="AU156">
        <v>1</v>
      </c>
      <c r="AV156">
        <v>6</v>
      </c>
      <c r="AW156">
        <v>1</v>
      </c>
      <c r="BE156">
        <v>2.4</v>
      </c>
      <c r="BF156">
        <v>0</v>
      </c>
      <c r="BG156">
        <v>0</v>
      </c>
      <c r="BH156" s="1">
        <v>44362</v>
      </c>
      <c r="BI156" t="s">
        <v>159</v>
      </c>
      <c r="BJ156">
        <v>1975</v>
      </c>
      <c r="BK156" t="s">
        <v>119</v>
      </c>
      <c r="BL156" t="s">
        <v>177</v>
      </c>
      <c r="BM156">
        <v>9500</v>
      </c>
      <c r="BN156">
        <v>1</v>
      </c>
      <c r="BO156">
        <v>5</v>
      </c>
      <c r="BP156">
        <v>3</v>
      </c>
      <c r="BQ156">
        <v>732</v>
      </c>
      <c r="BR156">
        <v>8504</v>
      </c>
      <c r="BS156">
        <v>38.517063759000102</v>
      </c>
      <c r="BT156">
        <v>-81.600072960999896</v>
      </c>
      <c r="BU156">
        <v>0</v>
      </c>
      <c r="BV156">
        <v>-3</v>
      </c>
      <c r="BW156">
        <v>0</v>
      </c>
      <c r="BX156" t="s">
        <v>181</v>
      </c>
      <c r="BY156">
        <v>0</v>
      </c>
      <c r="BZ156">
        <v>0</v>
      </c>
      <c r="CA156">
        <v>0</v>
      </c>
      <c r="CB156">
        <v>4750</v>
      </c>
      <c r="CC156">
        <v>0</v>
      </c>
      <c r="CD156">
        <v>0</v>
      </c>
      <c r="CE156">
        <v>0</v>
      </c>
      <c r="CF156">
        <v>0</v>
      </c>
      <c r="CG156">
        <v>0</v>
      </c>
      <c r="CH156">
        <v>0</v>
      </c>
      <c r="CI156">
        <v>0</v>
      </c>
      <c r="CO156">
        <v>0</v>
      </c>
      <c r="CP156">
        <v>0</v>
      </c>
      <c r="CQ156" t="s">
        <v>1286</v>
      </c>
      <c r="CR156" t="s">
        <v>160</v>
      </c>
      <c r="CS156" t="s">
        <v>161</v>
      </c>
      <c r="CT156" t="s">
        <v>139</v>
      </c>
      <c r="CU156" t="s">
        <v>163</v>
      </c>
      <c r="CW156">
        <v>3</v>
      </c>
      <c r="CX156" t="s">
        <v>1312</v>
      </c>
      <c r="CY156" t="s">
        <v>1288</v>
      </c>
      <c r="CZ156" t="s">
        <v>1461</v>
      </c>
      <c r="DA156" t="s">
        <v>1289</v>
      </c>
      <c r="DB156">
        <v>0</v>
      </c>
      <c r="DC156">
        <v>9500</v>
      </c>
    </row>
    <row r="157" spans="1:107" x14ac:dyDescent="0.25">
      <c r="A157" t="s">
        <v>658</v>
      </c>
      <c r="B157" t="s">
        <v>108</v>
      </c>
      <c r="C157" t="s">
        <v>659</v>
      </c>
      <c r="D157" t="s">
        <v>660</v>
      </c>
      <c r="F157" s="3" t="str">
        <f>HYPERLINK("https://mapwv.gov/flood/map/?wkid=102100&amp;x=-9108209.900179513&amp;y=4624342.2394019365&amp;l=13&amp;v=2","FT")</f>
        <v>FT</v>
      </c>
      <c r="G157" s="3" t="str">
        <f>HYPERLINK("https://mapwv.gov/Assessment/Detail/?PID=22090003000900010000","Assessment")</f>
        <v>Assessment</v>
      </c>
      <c r="H157">
        <v>540088</v>
      </c>
      <c r="I157" t="s">
        <v>632</v>
      </c>
      <c r="J157" t="s">
        <v>633</v>
      </c>
      <c r="K157" t="s">
        <v>148</v>
      </c>
      <c r="L157" t="s">
        <v>661</v>
      </c>
      <c r="M157" t="s">
        <v>662</v>
      </c>
      <c r="N157" t="s">
        <v>199</v>
      </c>
      <c r="O157" t="s">
        <v>117</v>
      </c>
      <c r="P157" t="s">
        <v>150</v>
      </c>
      <c r="Q157" t="s">
        <v>119</v>
      </c>
      <c r="R157">
        <v>7.9</v>
      </c>
      <c r="S157" t="s">
        <v>120</v>
      </c>
      <c r="T157">
        <v>619.9</v>
      </c>
      <c r="U157" t="s">
        <v>365</v>
      </c>
      <c r="V157">
        <v>612</v>
      </c>
      <c r="X157" t="s">
        <v>663</v>
      </c>
      <c r="Y157" t="s">
        <v>664</v>
      </c>
      <c r="Z157">
        <v>1965</v>
      </c>
      <c r="AA157" t="s">
        <v>318</v>
      </c>
      <c r="AB157" t="s">
        <v>155</v>
      </c>
      <c r="AC157" t="s">
        <v>129</v>
      </c>
      <c r="AD157">
        <v>2</v>
      </c>
      <c r="AE157">
        <v>101</v>
      </c>
      <c r="AF157" t="s">
        <v>127</v>
      </c>
      <c r="AG157" t="s">
        <v>128</v>
      </c>
      <c r="AH157" t="s">
        <v>129</v>
      </c>
      <c r="AI157">
        <v>1</v>
      </c>
      <c r="AJ157" t="s">
        <v>291</v>
      </c>
      <c r="AK157" t="s">
        <v>320</v>
      </c>
      <c r="AL157">
        <v>780</v>
      </c>
      <c r="AM157" t="s">
        <v>206</v>
      </c>
      <c r="AN157" t="s">
        <v>131</v>
      </c>
      <c r="AO157">
        <v>1</v>
      </c>
      <c r="AP157">
        <v>9400</v>
      </c>
      <c r="AQ157">
        <v>0</v>
      </c>
      <c r="AR157">
        <v>0</v>
      </c>
      <c r="AS157">
        <v>9400</v>
      </c>
      <c r="AT157" t="s">
        <v>132</v>
      </c>
      <c r="AU157">
        <v>1</v>
      </c>
      <c r="AV157">
        <v>0</v>
      </c>
      <c r="AW157">
        <v>1</v>
      </c>
      <c r="BE157">
        <v>2.6</v>
      </c>
      <c r="BF157">
        <v>1</v>
      </c>
      <c r="BG157">
        <v>2.6</v>
      </c>
      <c r="BH157" s="1">
        <v>44319</v>
      </c>
      <c r="BI157" t="s">
        <v>210</v>
      </c>
      <c r="BJ157">
        <v>1965</v>
      </c>
      <c r="BK157" t="s">
        <v>119</v>
      </c>
      <c r="BL157" t="s">
        <v>128</v>
      </c>
      <c r="BM157">
        <v>9400</v>
      </c>
      <c r="BN157">
        <v>1</v>
      </c>
      <c r="BO157">
        <v>7</v>
      </c>
      <c r="BP157">
        <v>1</v>
      </c>
      <c r="BQ157">
        <v>780</v>
      </c>
      <c r="BR157">
        <v>2492</v>
      </c>
      <c r="BS157">
        <v>38.317265447000104</v>
      </c>
      <c r="BT157">
        <v>-81.820441642999896</v>
      </c>
      <c r="BU157">
        <v>7.8645630000000004</v>
      </c>
      <c r="BV157">
        <v>6.86456298828125</v>
      </c>
      <c r="BW157">
        <v>1</v>
      </c>
      <c r="BX157" t="s">
        <v>134</v>
      </c>
      <c r="BY157">
        <v>129</v>
      </c>
      <c r="BZ157">
        <v>62.458251953125</v>
      </c>
      <c r="CA157">
        <v>5871.07568359375</v>
      </c>
      <c r="CB157">
        <v>4700</v>
      </c>
      <c r="CC157">
        <v>45</v>
      </c>
      <c r="CD157">
        <v>67.458251953125</v>
      </c>
      <c r="CE157">
        <v>3170.53784179687</v>
      </c>
      <c r="CF157">
        <v>0</v>
      </c>
      <c r="CG157">
        <v>0</v>
      </c>
      <c r="CH157">
        <v>0</v>
      </c>
      <c r="CI157">
        <v>0</v>
      </c>
      <c r="CJ157" t="s">
        <v>665</v>
      </c>
      <c r="CK157">
        <v>5.3040000000000003</v>
      </c>
      <c r="CL157">
        <v>0</v>
      </c>
      <c r="CM157">
        <v>0</v>
      </c>
      <c r="CN157">
        <v>5.3040000000000003</v>
      </c>
      <c r="CO157">
        <v>270</v>
      </c>
      <c r="CP157">
        <v>450</v>
      </c>
      <c r="CQ157" t="s">
        <v>637</v>
      </c>
      <c r="CR157" t="s">
        <v>183</v>
      </c>
      <c r="CS157" t="s">
        <v>138</v>
      </c>
      <c r="CT157" t="s">
        <v>139</v>
      </c>
      <c r="CU157" t="s">
        <v>274</v>
      </c>
      <c r="CW157">
        <v>2</v>
      </c>
      <c r="CX157" t="s">
        <v>638</v>
      </c>
      <c r="CY157" t="s">
        <v>639</v>
      </c>
      <c r="CZ157" t="s">
        <v>660</v>
      </c>
      <c r="DA157" t="s">
        <v>640</v>
      </c>
      <c r="DB157">
        <v>0</v>
      </c>
      <c r="DC157">
        <v>9400</v>
      </c>
    </row>
    <row r="158" spans="1:107" x14ac:dyDescent="0.25">
      <c r="A158" t="s">
        <v>235</v>
      </c>
      <c r="B158" t="s">
        <v>108</v>
      </c>
      <c r="C158" t="s">
        <v>236</v>
      </c>
      <c r="D158" t="s">
        <v>237</v>
      </c>
      <c r="F158" s="3" t="str">
        <f>HYPERLINK("https://mapwv.gov/flood/map/?wkid=102100&amp;x=-8979200.04501091&amp;y=4728396.355022648&amp;l=13&amp;v=2","FT")</f>
        <v>FT</v>
      </c>
      <c r="G158" s="3" t="str">
        <f>HYPERLINK("https://mapwv.gov/Assessment/Detail/?PID=2103002F004400020000","Assessment")</f>
        <v>Assessment</v>
      </c>
      <c r="H158">
        <v>540085</v>
      </c>
      <c r="I158" t="s">
        <v>222</v>
      </c>
      <c r="J158" t="s">
        <v>223</v>
      </c>
      <c r="K158" t="s">
        <v>148</v>
      </c>
      <c r="L158" t="s">
        <v>238</v>
      </c>
      <c r="M158" t="s">
        <v>198</v>
      </c>
      <c r="N158" t="s">
        <v>149</v>
      </c>
      <c r="O158" t="s">
        <v>117</v>
      </c>
      <c r="P158" t="s">
        <v>150</v>
      </c>
      <c r="Q158" t="s">
        <v>119</v>
      </c>
      <c r="R158" t="s">
        <v>151</v>
      </c>
      <c r="S158" t="s">
        <v>151</v>
      </c>
      <c r="T158" t="s">
        <v>151</v>
      </c>
      <c r="U158" t="s">
        <v>151</v>
      </c>
      <c r="V158">
        <v>814.4</v>
      </c>
      <c r="X158" t="s">
        <v>239</v>
      </c>
      <c r="Y158" t="s">
        <v>240</v>
      </c>
      <c r="Z158">
        <v>1974</v>
      </c>
      <c r="AA158" t="s">
        <v>241</v>
      </c>
      <c r="AB158" t="s">
        <v>155</v>
      </c>
      <c r="AC158" t="s">
        <v>129</v>
      </c>
      <c r="AD158">
        <v>3</v>
      </c>
      <c r="AE158">
        <v>108</v>
      </c>
      <c r="AF158" t="s">
        <v>176</v>
      </c>
      <c r="AG158" t="s">
        <v>177</v>
      </c>
      <c r="AH158" t="s">
        <v>129</v>
      </c>
      <c r="AI158">
        <v>1</v>
      </c>
      <c r="AL158">
        <v>1204</v>
      </c>
      <c r="AN158" t="s">
        <v>158</v>
      </c>
      <c r="AO158">
        <v>3</v>
      </c>
      <c r="AP158">
        <v>0</v>
      </c>
      <c r="AQ158">
        <v>0</v>
      </c>
      <c r="AR158">
        <v>9290</v>
      </c>
      <c r="AS158">
        <v>16900</v>
      </c>
      <c r="AT158" t="s">
        <v>178</v>
      </c>
      <c r="AU158">
        <v>1</v>
      </c>
      <c r="AV158">
        <v>5</v>
      </c>
      <c r="AW158">
        <v>1</v>
      </c>
      <c r="BE158">
        <v>2.5</v>
      </c>
      <c r="BF158">
        <v>0</v>
      </c>
      <c r="BG158">
        <v>0</v>
      </c>
      <c r="BH158" s="1">
        <v>44279</v>
      </c>
      <c r="BI158" t="s">
        <v>159</v>
      </c>
      <c r="BJ158">
        <v>1974</v>
      </c>
      <c r="BK158" t="s">
        <v>119</v>
      </c>
      <c r="BL158" t="s">
        <v>177</v>
      </c>
      <c r="BM158">
        <v>16900</v>
      </c>
      <c r="BN158">
        <v>1</v>
      </c>
      <c r="BO158">
        <v>5</v>
      </c>
      <c r="BP158">
        <v>3</v>
      </c>
      <c r="BQ158">
        <v>1204</v>
      </c>
      <c r="BR158">
        <v>378</v>
      </c>
      <c r="BS158">
        <v>39.046931614999998</v>
      </c>
      <c r="BT158">
        <v>-80.6615263959999</v>
      </c>
      <c r="BU158">
        <v>0</v>
      </c>
      <c r="BV158">
        <v>-3</v>
      </c>
      <c r="BW158">
        <v>0</v>
      </c>
      <c r="BX158" t="s">
        <v>181</v>
      </c>
      <c r="BY158">
        <v>0</v>
      </c>
      <c r="BZ158">
        <v>0</v>
      </c>
      <c r="CA158">
        <v>0</v>
      </c>
      <c r="CB158">
        <v>8450</v>
      </c>
      <c r="CC158">
        <v>0</v>
      </c>
      <c r="CD158">
        <v>0</v>
      </c>
      <c r="CE158">
        <v>0</v>
      </c>
      <c r="CF158">
        <v>0</v>
      </c>
      <c r="CG158">
        <v>0</v>
      </c>
      <c r="CH158">
        <v>0</v>
      </c>
      <c r="CI158">
        <v>0</v>
      </c>
      <c r="CO158">
        <v>0</v>
      </c>
      <c r="CP158">
        <v>0</v>
      </c>
      <c r="CQ158" t="s">
        <v>231</v>
      </c>
      <c r="CR158" t="s">
        <v>183</v>
      </c>
      <c r="CS158" t="s">
        <v>161</v>
      </c>
      <c r="CT158" t="s">
        <v>139</v>
      </c>
      <c r="CU158" t="s">
        <v>163</v>
      </c>
      <c r="CW158">
        <v>7</v>
      </c>
      <c r="CX158" t="s">
        <v>232</v>
      </c>
      <c r="CY158" t="s">
        <v>233</v>
      </c>
      <c r="CZ158" t="s">
        <v>237</v>
      </c>
      <c r="DA158" t="s">
        <v>234</v>
      </c>
      <c r="DB158">
        <v>0</v>
      </c>
      <c r="DC158">
        <v>9300</v>
      </c>
    </row>
    <row r="159" spans="1:107" x14ac:dyDescent="0.25">
      <c r="A159" t="s">
        <v>1357</v>
      </c>
      <c r="B159" t="s">
        <v>108</v>
      </c>
      <c r="C159" t="s">
        <v>1358</v>
      </c>
      <c r="D159" t="s">
        <v>1359</v>
      </c>
      <c r="F159" s="3" t="str">
        <f>HYPERLINK("https://mapwv.gov/flood/map/?wkid=102100&amp;x=-9099711.219554834&amp;y=4607931.307192412&amp;l=13&amp;v=2","FT")</f>
        <v>FT</v>
      </c>
      <c r="G159" s="3" t="str">
        <f>HYPERLINK("https://mapwv.gov/Assessment/Detail/?PID=20280030000300000000","Assessment")</f>
        <v>Assessment</v>
      </c>
      <c r="H159">
        <v>540070</v>
      </c>
      <c r="I159" t="s">
        <v>1306</v>
      </c>
      <c r="J159" t="s">
        <v>1282</v>
      </c>
      <c r="K159" t="s">
        <v>148</v>
      </c>
      <c r="L159" t="s">
        <v>1172</v>
      </c>
      <c r="M159" t="s">
        <v>662</v>
      </c>
      <c r="N159" t="s">
        <v>199</v>
      </c>
      <c r="O159" t="s">
        <v>117</v>
      </c>
      <c r="P159" t="s">
        <v>150</v>
      </c>
      <c r="Q159" t="s">
        <v>119</v>
      </c>
      <c r="R159">
        <v>4.5999999999999996</v>
      </c>
      <c r="S159" t="s">
        <v>120</v>
      </c>
      <c r="T159" t="s">
        <v>151</v>
      </c>
      <c r="U159" t="s">
        <v>151</v>
      </c>
      <c r="V159">
        <v>642.70000000000005</v>
      </c>
      <c r="X159" t="s">
        <v>1360</v>
      </c>
      <c r="Y159" t="s">
        <v>1361</v>
      </c>
      <c r="Z159">
        <v>1975</v>
      </c>
      <c r="AA159" t="s">
        <v>154</v>
      </c>
      <c r="AB159" t="s">
        <v>155</v>
      </c>
      <c r="AC159" t="s">
        <v>129</v>
      </c>
      <c r="AD159">
        <v>2</v>
      </c>
      <c r="AE159">
        <v>101</v>
      </c>
      <c r="AF159" t="s">
        <v>127</v>
      </c>
      <c r="AG159" t="s">
        <v>128</v>
      </c>
      <c r="AH159" t="s">
        <v>129</v>
      </c>
      <c r="AI159">
        <v>1</v>
      </c>
      <c r="AJ159" t="s">
        <v>156</v>
      </c>
      <c r="AK159" t="s">
        <v>342</v>
      </c>
      <c r="AL159">
        <v>1120</v>
      </c>
      <c r="AM159" t="s">
        <v>157</v>
      </c>
      <c r="AN159" t="s">
        <v>158</v>
      </c>
      <c r="AO159">
        <v>3</v>
      </c>
      <c r="AP159">
        <v>9300</v>
      </c>
      <c r="AQ159">
        <v>0</v>
      </c>
      <c r="AR159">
        <v>0</v>
      </c>
      <c r="AS159">
        <v>9300</v>
      </c>
      <c r="AT159" t="s">
        <v>132</v>
      </c>
      <c r="AU159">
        <v>1</v>
      </c>
      <c r="AV159">
        <v>0</v>
      </c>
      <c r="AW159">
        <v>1</v>
      </c>
      <c r="BE159">
        <v>2.4</v>
      </c>
      <c r="BF159">
        <v>1</v>
      </c>
      <c r="BG159">
        <v>2.4</v>
      </c>
      <c r="BH159" s="1">
        <v>44362</v>
      </c>
      <c r="BI159" t="s">
        <v>210</v>
      </c>
      <c r="BJ159">
        <v>1975</v>
      </c>
      <c r="BK159" t="s">
        <v>119</v>
      </c>
      <c r="BL159" t="s">
        <v>128</v>
      </c>
      <c r="BM159">
        <v>9300</v>
      </c>
      <c r="BN159">
        <v>1</v>
      </c>
      <c r="BO159">
        <v>5</v>
      </c>
      <c r="BP159">
        <v>3</v>
      </c>
      <c r="BQ159">
        <v>1120</v>
      </c>
      <c r="BR159">
        <v>1067</v>
      </c>
      <c r="BS159">
        <v>38.201507521000103</v>
      </c>
      <c r="BT159">
        <v>-81.744096696</v>
      </c>
      <c r="BU159">
        <v>4.5545654000000004</v>
      </c>
      <c r="BV159">
        <v>1.5545654296875</v>
      </c>
      <c r="BW159">
        <v>1</v>
      </c>
      <c r="BX159" t="s">
        <v>134</v>
      </c>
      <c r="BY159">
        <v>129</v>
      </c>
      <c r="BZ159">
        <v>27.9910888671875</v>
      </c>
      <c r="CA159">
        <v>2603.1712646484302</v>
      </c>
      <c r="CB159">
        <v>4650</v>
      </c>
      <c r="CC159">
        <v>45</v>
      </c>
      <c r="CD159">
        <v>31.545654296874901</v>
      </c>
      <c r="CE159">
        <v>1466.87292480468</v>
      </c>
      <c r="CF159">
        <v>0</v>
      </c>
      <c r="CG159">
        <v>0</v>
      </c>
      <c r="CH159">
        <v>0</v>
      </c>
      <c r="CI159">
        <v>0</v>
      </c>
      <c r="CJ159" t="s">
        <v>368</v>
      </c>
      <c r="CK159">
        <v>4.5919999999999996</v>
      </c>
      <c r="CL159">
        <v>0</v>
      </c>
      <c r="CM159">
        <v>0</v>
      </c>
      <c r="CN159">
        <v>4.5919999999999996</v>
      </c>
      <c r="CO159">
        <v>180</v>
      </c>
      <c r="CP159">
        <v>360</v>
      </c>
      <c r="CQ159" t="s">
        <v>1286</v>
      </c>
      <c r="CR159" t="s">
        <v>183</v>
      </c>
      <c r="CS159" t="s">
        <v>138</v>
      </c>
      <c r="CT159" t="s">
        <v>139</v>
      </c>
      <c r="CU159" t="s">
        <v>140</v>
      </c>
      <c r="CW159">
        <v>3</v>
      </c>
      <c r="CX159" t="s">
        <v>1312</v>
      </c>
      <c r="CY159" t="s">
        <v>1288</v>
      </c>
      <c r="CZ159" t="s">
        <v>1359</v>
      </c>
      <c r="DA159" t="s">
        <v>1289</v>
      </c>
      <c r="DB159">
        <v>0</v>
      </c>
      <c r="DC159">
        <v>9300</v>
      </c>
    </row>
    <row r="160" spans="1:107" x14ac:dyDescent="0.25">
      <c r="A160" t="s">
        <v>916</v>
      </c>
      <c r="B160" t="s">
        <v>108</v>
      </c>
      <c r="C160" t="s">
        <v>917</v>
      </c>
      <c r="D160" t="s">
        <v>918</v>
      </c>
      <c r="F160" s="3" t="str">
        <f>HYPERLINK("https://mapwv.gov/flood/map/?wkid=102100&amp;x=-9131649.491236499&amp;y=4724953.294157242&amp;l=13&amp;v=2","FT")</f>
        <v>FT</v>
      </c>
      <c r="G160" s="3" t="str">
        <f>HYPERLINK("https://mapwv.gov/Assessment/Detail/?PID=26110002011300000000","Assessment")</f>
        <v>Assessment</v>
      </c>
      <c r="H160">
        <v>540248</v>
      </c>
      <c r="I160" t="s">
        <v>919</v>
      </c>
      <c r="J160" t="s">
        <v>907</v>
      </c>
      <c r="K160" t="s">
        <v>113</v>
      </c>
      <c r="L160" t="s">
        <v>920</v>
      </c>
      <c r="M160" t="s">
        <v>921</v>
      </c>
      <c r="N160" t="s">
        <v>199</v>
      </c>
      <c r="O160" t="s">
        <v>117</v>
      </c>
      <c r="P160" t="s">
        <v>150</v>
      </c>
      <c r="Q160" t="s">
        <v>119</v>
      </c>
      <c r="R160">
        <v>6.2</v>
      </c>
      <c r="S160" t="s">
        <v>120</v>
      </c>
      <c r="T160" t="s">
        <v>151</v>
      </c>
      <c r="U160" t="s">
        <v>151</v>
      </c>
      <c r="V160">
        <v>570.6</v>
      </c>
      <c r="X160" t="s">
        <v>922</v>
      </c>
      <c r="Y160" t="s">
        <v>923</v>
      </c>
      <c r="Z160">
        <v>1954</v>
      </c>
      <c r="AA160" t="s">
        <v>287</v>
      </c>
      <c r="AB160" t="s">
        <v>155</v>
      </c>
      <c r="AC160" t="s">
        <v>129</v>
      </c>
      <c r="AD160">
        <v>2</v>
      </c>
      <c r="AE160">
        <v>101</v>
      </c>
      <c r="AF160" t="s">
        <v>127</v>
      </c>
      <c r="AG160" t="s">
        <v>128</v>
      </c>
      <c r="AH160" t="s">
        <v>129</v>
      </c>
      <c r="AI160">
        <v>1</v>
      </c>
      <c r="AJ160" t="s">
        <v>694</v>
      </c>
      <c r="AK160" t="s">
        <v>130</v>
      </c>
      <c r="AL160">
        <v>1080</v>
      </c>
      <c r="AM160" t="s">
        <v>157</v>
      </c>
      <c r="AN160" t="s">
        <v>158</v>
      </c>
      <c r="AO160">
        <v>3</v>
      </c>
      <c r="AP160">
        <v>9100</v>
      </c>
      <c r="AQ160">
        <v>0</v>
      </c>
      <c r="AR160">
        <v>0</v>
      </c>
      <c r="AS160">
        <v>9100</v>
      </c>
      <c r="AT160" t="s">
        <v>132</v>
      </c>
      <c r="AU160">
        <v>1</v>
      </c>
      <c r="AV160">
        <v>0</v>
      </c>
      <c r="AW160">
        <v>1</v>
      </c>
      <c r="BB160" t="s">
        <v>924</v>
      </c>
      <c r="BE160">
        <v>2</v>
      </c>
      <c r="BF160">
        <v>1</v>
      </c>
      <c r="BG160">
        <v>2</v>
      </c>
      <c r="BH160" s="1">
        <v>44335</v>
      </c>
      <c r="BI160" t="s">
        <v>210</v>
      </c>
      <c r="BJ160">
        <v>1954</v>
      </c>
      <c r="BK160" t="s">
        <v>119</v>
      </c>
      <c r="BL160" t="s">
        <v>128</v>
      </c>
      <c r="BM160">
        <v>9100</v>
      </c>
      <c r="BN160">
        <v>1</v>
      </c>
      <c r="BO160">
        <v>5</v>
      </c>
      <c r="BP160">
        <v>3</v>
      </c>
      <c r="BQ160">
        <v>1080</v>
      </c>
      <c r="BR160">
        <v>1170</v>
      </c>
      <c r="BS160">
        <v>39.022906714000001</v>
      </c>
      <c r="BT160">
        <v>-82.031003072000004</v>
      </c>
      <c r="BU160">
        <v>6.3760376000000001</v>
      </c>
      <c r="BV160">
        <v>3.37603759765625</v>
      </c>
      <c r="BW160">
        <v>1</v>
      </c>
      <c r="BX160" t="s">
        <v>134</v>
      </c>
      <c r="BY160">
        <v>129</v>
      </c>
      <c r="BZ160">
        <v>42.6322631835937</v>
      </c>
      <c r="CA160">
        <v>3879.5359497070299</v>
      </c>
      <c r="CB160">
        <v>4550</v>
      </c>
      <c r="CC160">
        <v>45</v>
      </c>
      <c r="CD160">
        <v>47.00830078125</v>
      </c>
      <c r="CE160">
        <v>2138.87768554687</v>
      </c>
      <c r="CF160">
        <v>0</v>
      </c>
      <c r="CG160">
        <v>0</v>
      </c>
      <c r="CH160">
        <v>0</v>
      </c>
      <c r="CI160">
        <v>0</v>
      </c>
      <c r="CJ160" t="s">
        <v>368</v>
      </c>
      <c r="CK160">
        <v>4.4279999999999999</v>
      </c>
      <c r="CL160">
        <v>0</v>
      </c>
      <c r="CM160">
        <v>0</v>
      </c>
      <c r="CN160">
        <v>4.4279999999999999</v>
      </c>
      <c r="CO160">
        <v>180</v>
      </c>
      <c r="CP160">
        <v>360</v>
      </c>
      <c r="CQ160" t="s">
        <v>912</v>
      </c>
      <c r="CR160" t="s">
        <v>183</v>
      </c>
      <c r="CS160" t="s">
        <v>138</v>
      </c>
      <c r="CT160" t="s">
        <v>139</v>
      </c>
      <c r="CU160" t="s">
        <v>140</v>
      </c>
      <c r="CW160">
        <v>2</v>
      </c>
      <c r="CX160" t="s">
        <v>915</v>
      </c>
      <c r="CY160" t="s">
        <v>914</v>
      </c>
      <c r="CZ160" t="s">
        <v>918</v>
      </c>
      <c r="DA160" t="s">
        <v>915</v>
      </c>
      <c r="DB160">
        <v>0</v>
      </c>
      <c r="DC160">
        <v>9100</v>
      </c>
    </row>
    <row r="161" spans="1:107" x14ac:dyDescent="0.25">
      <c r="A161" t="s">
        <v>1204</v>
      </c>
      <c r="B161" t="s">
        <v>108</v>
      </c>
      <c r="C161" t="s">
        <v>1205</v>
      </c>
      <c r="D161" t="s">
        <v>1206</v>
      </c>
      <c r="F161" s="3" t="str">
        <f>HYPERLINK("https://mapwv.gov/flood/map/?wkid=102100&amp;x=-9110138.397479545&amp;y=4574780.088700757&amp;l=13&amp;v=2","FT")</f>
        <v>FT</v>
      </c>
      <c r="G161" s="3" t="str">
        <f>HYPERLINK("https://mapwv.gov/Assessment/Detail/?PID=03080028002900000000","Assessment")</f>
        <v>Assessment</v>
      </c>
      <c r="H161">
        <v>540007</v>
      </c>
      <c r="I161" t="s">
        <v>1170</v>
      </c>
      <c r="J161" t="s">
        <v>1171</v>
      </c>
      <c r="K161" t="s">
        <v>148</v>
      </c>
      <c r="L161" t="s">
        <v>1207</v>
      </c>
      <c r="M161" t="s">
        <v>662</v>
      </c>
      <c r="N161" t="s">
        <v>149</v>
      </c>
      <c r="O161" t="s">
        <v>117</v>
      </c>
      <c r="P161" t="s">
        <v>150</v>
      </c>
      <c r="Q161" t="s">
        <v>119</v>
      </c>
      <c r="R161">
        <v>0.3</v>
      </c>
      <c r="S161" t="s">
        <v>120</v>
      </c>
      <c r="T161">
        <v>795</v>
      </c>
      <c r="U161" t="s">
        <v>121</v>
      </c>
      <c r="V161">
        <v>794.8</v>
      </c>
      <c r="X161" t="s">
        <v>1208</v>
      </c>
      <c r="Y161" t="s">
        <v>1209</v>
      </c>
      <c r="Z161">
        <v>1925</v>
      </c>
      <c r="AA161" t="s">
        <v>318</v>
      </c>
      <c r="AB161" t="s">
        <v>155</v>
      </c>
      <c r="AC161" t="s">
        <v>129</v>
      </c>
      <c r="AD161">
        <v>3</v>
      </c>
      <c r="AE161">
        <v>101</v>
      </c>
      <c r="AF161" t="s">
        <v>127</v>
      </c>
      <c r="AG161" t="s">
        <v>128</v>
      </c>
      <c r="AH161" t="s">
        <v>129</v>
      </c>
      <c r="AI161">
        <v>1</v>
      </c>
      <c r="AJ161" t="s">
        <v>156</v>
      </c>
      <c r="AK161" t="s">
        <v>130</v>
      </c>
      <c r="AL161">
        <v>1464</v>
      </c>
      <c r="AM161" t="s">
        <v>157</v>
      </c>
      <c r="AN161" t="s">
        <v>158</v>
      </c>
      <c r="AO161">
        <v>3</v>
      </c>
      <c r="AP161">
        <v>9100</v>
      </c>
      <c r="AQ161">
        <v>0</v>
      </c>
      <c r="AR161">
        <v>0</v>
      </c>
      <c r="AS161">
        <v>9100</v>
      </c>
      <c r="AT161" t="s">
        <v>132</v>
      </c>
      <c r="AU161">
        <v>1</v>
      </c>
      <c r="AV161">
        <v>0</v>
      </c>
      <c r="AW161">
        <v>1</v>
      </c>
      <c r="BE161">
        <v>2.5</v>
      </c>
      <c r="BF161">
        <v>0</v>
      </c>
      <c r="BG161">
        <v>0</v>
      </c>
      <c r="BH161" s="1">
        <v>44362</v>
      </c>
      <c r="BI161" t="s">
        <v>331</v>
      </c>
      <c r="BJ161">
        <v>1925</v>
      </c>
      <c r="BK161" t="s">
        <v>119</v>
      </c>
      <c r="BL161" t="s">
        <v>128</v>
      </c>
      <c r="BM161">
        <v>9100</v>
      </c>
      <c r="BN161">
        <v>1</v>
      </c>
      <c r="BO161">
        <v>5</v>
      </c>
      <c r="BP161">
        <v>3</v>
      </c>
      <c r="BQ161">
        <v>1464</v>
      </c>
      <c r="BR161">
        <v>736</v>
      </c>
      <c r="BS161">
        <v>37.9671063770001</v>
      </c>
      <c r="BT161">
        <v>-81.837765629000003</v>
      </c>
      <c r="BU161">
        <v>0.27819823999999999</v>
      </c>
      <c r="BV161">
        <v>-2.7218017578125</v>
      </c>
      <c r="BW161">
        <v>1</v>
      </c>
      <c r="BX161" t="s">
        <v>134</v>
      </c>
      <c r="BY161">
        <v>129</v>
      </c>
      <c r="BZ161">
        <v>0</v>
      </c>
      <c r="CA161">
        <v>0</v>
      </c>
      <c r="CB161">
        <v>4550</v>
      </c>
      <c r="CC161">
        <v>45</v>
      </c>
      <c r="CD161">
        <v>0</v>
      </c>
      <c r="CE161">
        <v>0</v>
      </c>
      <c r="CF161">
        <v>0</v>
      </c>
      <c r="CG161">
        <v>0</v>
      </c>
      <c r="CH161">
        <v>0</v>
      </c>
      <c r="CI161">
        <v>0</v>
      </c>
      <c r="CO161">
        <v>0</v>
      </c>
      <c r="CP161">
        <v>0</v>
      </c>
      <c r="CQ161" t="s">
        <v>1175</v>
      </c>
      <c r="CR161" t="s">
        <v>183</v>
      </c>
      <c r="CS161" t="s">
        <v>138</v>
      </c>
      <c r="CT161" t="s">
        <v>139</v>
      </c>
      <c r="CU161" t="s">
        <v>163</v>
      </c>
      <c r="CW161">
        <v>3</v>
      </c>
      <c r="CX161" t="s">
        <v>1176</v>
      </c>
      <c r="CY161" t="s">
        <v>1177</v>
      </c>
      <c r="CZ161" t="s">
        <v>1206</v>
      </c>
      <c r="DA161" t="s">
        <v>1178</v>
      </c>
      <c r="DB161">
        <v>0</v>
      </c>
      <c r="DC161">
        <v>9100</v>
      </c>
    </row>
    <row r="162" spans="1:107" x14ac:dyDescent="0.25">
      <c r="A162" t="s">
        <v>855</v>
      </c>
      <c r="B162" t="s">
        <v>108</v>
      </c>
      <c r="C162" t="s">
        <v>856</v>
      </c>
      <c r="D162" t="s">
        <v>857</v>
      </c>
      <c r="F162" s="3" t="str">
        <f>HYPERLINK("https://mapwv.gov/flood/map/?wkid=102100&amp;x=-9180307.256246964&amp;y=4600515.256521831&amp;l=13&amp;v=2","FT")</f>
        <v>FT</v>
      </c>
      <c r="G162" s="3" t="str">
        <f>HYPERLINK("https://mapwv.gov/Assessment/Detail/?PID=50010023001300000000","Assessment")</f>
        <v>Assessment</v>
      </c>
      <c r="H162">
        <v>540200</v>
      </c>
      <c r="I162" t="s">
        <v>773</v>
      </c>
      <c r="J162" t="s">
        <v>774</v>
      </c>
      <c r="K162" t="s">
        <v>148</v>
      </c>
      <c r="L162" t="s">
        <v>801</v>
      </c>
      <c r="M162" t="s">
        <v>532</v>
      </c>
      <c r="N162" t="s">
        <v>199</v>
      </c>
      <c r="O162" t="s">
        <v>383</v>
      </c>
      <c r="P162" t="s">
        <v>150</v>
      </c>
      <c r="Q162" t="s">
        <v>119</v>
      </c>
      <c r="R162">
        <v>4.0999999999999996</v>
      </c>
      <c r="S162" t="s">
        <v>120</v>
      </c>
      <c r="T162">
        <v>632.70000000000005</v>
      </c>
      <c r="U162" t="s">
        <v>365</v>
      </c>
      <c r="V162">
        <v>628.70000000000005</v>
      </c>
      <c r="X162" t="s">
        <v>858</v>
      </c>
      <c r="Y162" t="s">
        <v>859</v>
      </c>
      <c r="Z162">
        <v>1930</v>
      </c>
      <c r="AA162" t="s">
        <v>287</v>
      </c>
      <c r="AB162" t="s">
        <v>155</v>
      </c>
      <c r="AC162" t="s">
        <v>129</v>
      </c>
      <c r="AD162">
        <v>2</v>
      </c>
      <c r="AE162">
        <v>101</v>
      </c>
      <c r="AF162" t="s">
        <v>127</v>
      </c>
      <c r="AG162" t="s">
        <v>128</v>
      </c>
      <c r="AH162" t="s">
        <v>129</v>
      </c>
      <c r="AI162">
        <v>1</v>
      </c>
      <c r="AJ162" t="s">
        <v>156</v>
      </c>
      <c r="AK162" t="s">
        <v>545</v>
      </c>
      <c r="AL162">
        <v>1116</v>
      </c>
      <c r="AM162" t="s">
        <v>157</v>
      </c>
      <c r="AN162" t="s">
        <v>158</v>
      </c>
      <c r="AO162">
        <v>3</v>
      </c>
      <c r="AP162">
        <v>7400</v>
      </c>
      <c r="AQ162">
        <v>0</v>
      </c>
      <c r="AR162">
        <v>1550</v>
      </c>
      <c r="AS162">
        <v>9000</v>
      </c>
      <c r="AT162" t="s">
        <v>132</v>
      </c>
      <c r="AU162">
        <v>1</v>
      </c>
      <c r="AV162">
        <v>1</v>
      </c>
      <c r="AW162">
        <v>1</v>
      </c>
      <c r="BE162">
        <v>2.6</v>
      </c>
      <c r="BF162">
        <v>1</v>
      </c>
      <c r="BG162">
        <v>2.6</v>
      </c>
      <c r="BH162" s="1">
        <v>44319</v>
      </c>
      <c r="BI162" t="s">
        <v>384</v>
      </c>
      <c r="BJ162">
        <v>1930</v>
      </c>
      <c r="BK162" t="s">
        <v>119</v>
      </c>
      <c r="BL162" t="s">
        <v>128</v>
      </c>
      <c r="BM162">
        <v>9000</v>
      </c>
      <c r="BN162">
        <v>1</v>
      </c>
      <c r="BO162">
        <v>5</v>
      </c>
      <c r="BP162">
        <v>3</v>
      </c>
      <c r="BQ162">
        <v>1116</v>
      </c>
      <c r="BR162">
        <v>867</v>
      </c>
      <c r="BS162">
        <v>38.149136378999899</v>
      </c>
      <c r="BT162">
        <v>-82.468103212000003</v>
      </c>
      <c r="BU162">
        <v>4.0517580000000004</v>
      </c>
      <c r="BV162">
        <v>1.0517578125</v>
      </c>
      <c r="BW162">
        <v>1</v>
      </c>
      <c r="BX162" t="s">
        <v>134</v>
      </c>
      <c r="BY162">
        <v>129</v>
      </c>
      <c r="BZ162">
        <v>23.4658203125</v>
      </c>
      <c r="CA162">
        <v>2111.923828125</v>
      </c>
      <c r="CB162">
        <v>4500</v>
      </c>
      <c r="CC162">
        <v>45</v>
      </c>
      <c r="CD162">
        <v>26.517578125</v>
      </c>
      <c r="CE162">
        <v>1193.291015625</v>
      </c>
      <c r="CF162">
        <v>0</v>
      </c>
      <c r="CG162">
        <v>0</v>
      </c>
      <c r="CH162">
        <v>0</v>
      </c>
      <c r="CI162">
        <v>0</v>
      </c>
      <c r="CJ162" t="s">
        <v>368</v>
      </c>
      <c r="CK162">
        <v>4.5755999999999997</v>
      </c>
      <c r="CL162">
        <v>0</v>
      </c>
      <c r="CM162">
        <v>0</v>
      </c>
      <c r="CN162">
        <v>4.5755999999999997</v>
      </c>
      <c r="CO162">
        <v>180</v>
      </c>
      <c r="CP162">
        <v>360</v>
      </c>
      <c r="CQ162" t="s">
        <v>779</v>
      </c>
      <c r="CR162" t="s">
        <v>385</v>
      </c>
      <c r="CS162" t="s">
        <v>138</v>
      </c>
      <c r="CT162" t="s">
        <v>139</v>
      </c>
      <c r="CU162" t="s">
        <v>140</v>
      </c>
      <c r="CW162">
        <v>2</v>
      </c>
      <c r="CX162" t="s">
        <v>780</v>
      </c>
      <c r="CY162" t="s">
        <v>781</v>
      </c>
      <c r="CZ162" t="s">
        <v>857</v>
      </c>
      <c r="DA162" t="s">
        <v>782</v>
      </c>
      <c r="DB162">
        <v>0</v>
      </c>
      <c r="DC162">
        <v>9000</v>
      </c>
    </row>
    <row r="163" spans="1:107" x14ac:dyDescent="0.25">
      <c r="A163" t="s">
        <v>1148</v>
      </c>
      <c r="B163" t="s">
        <v>108</v>
      </c>
      <c r="C163" t="s">
        <v>1149</v>
      </c>
      <c r="D163" t="s">
        <v>1150</v>
      </c>
      <c r="F163" s="3" t="str">
        <f>HYPERLINK("https://mapwv.gov/flood/map/?wkid=102100&amp;x=-9107541.337136425&amp;y=4571853.274801219&amp;l=13&amp;v=2","FT")</f>
        <v>FT</v>
      </c>
      <c r="G163" s="3" t="str">
        <f>HYPERLINK("https://mapwv.gov/Assessment/Detail/?PID=23040023012900000000","Assessment")</f>
        <v>Assessment</v>
      </c>
      <c r="H163">
        <v>545536</v>
      </c>
      <c r="I163" t="s">
        <v>964</v>
      </c>
      <c r="J163" t="s">
        <v>965</v>
      </c>
      <c r="K163" t="s">
        <v>148</v>
      </c>
      <c r="L163" t="s">
        <v>1112</v>
      </c>
      <c r="M163" t="s">
        <v>662</v>
      </c>
      <c r="N163" t="s">
        <v>149</v>
      </c>
      <c r="O163" t="s">
        <v>117</v>
      </c>
      <c r="P163" t="s">
        <v>150</v>
      </c>
      <c r="Q163" t="s">
        <v>119</v>
      </c>
      <c r="R163">
        <v>2.6</v>
      </c>
      <c r="S163" t="s">
        <v>120</v>
      </c>
      <c r="T163">
        <v>797</v>
      </c>
      <c r="U163" t="s">
        <v>121</v>
      </c>
      <c r="V163">
        <v>797</v>
      </c>
      <c r="X163" t="s">
        <v>1151</v>
      </c>
      <c r="Y163" t="s">
        <v>1152</v>
      </c>
      <c r="Z163">
        <v>1920</v>
      </c>
      <c r="AA163" t="s">
        <v>191</v>
      </c>
      <c r="AB163" t="s">
        <v>155</v>
      </c>
      <c r="AC163" t="s">
        <v>129</v>
      </c>
      <c r="AD163">
        <v>3</v>
      </c>
      <c r="AE163">
        <v>101</v>
      </c>
      <c r="AF163" t="s">
        <v>127</v>
      </c>
      <c r="AG163" t="s">
        <v>128</v>
      </c>
      <c r="AH163" t="s">
        <v>129</v>
      </c>
      <c r="AI163">
        <v>1</v>
      </c>
      <c r="AJ163" t="s">
        <v>341</v>
      </c>
      <c r="AK163" t="s">
        <v>130</v>
      </c>
      <c r="AL163">
        <v>803</v>
      </c>
      <c r="AM163" t="s">
        <v>157</v>
      </c>
      <c r="AN163" t="s">
        <v>158</v>
      </c>
      <c r="AO163">
        <v>3</v>
      </c>
      <c r="AP163">
        <v>8900</v>
      </c>
      <c r="AQ163">
        <v>0</v>
      </c>
      <c r="AR163">
        <v>110</v>
      </c>
      <c r="AS163">
        <v>9000</v>
      </c>
      <c r="AT163" t="s">
        <v>132</v>
      </c>
      <c r="AU163">
        <v>1</v>
      </c>
      <c r="AV163">
        <v>1</v>
      </c>
      <c r="AW163">
        <v>1</v>
      </c>
      <c r="BE163">
        <v>2.4</v>
      </c>
      <c r="BF163">
        <v>1</v>
      </c>
      <c r="BG163">
        <v>2.4</v>
      </c>
      <c r="BH163" s="1">
        <v>44348</v>
      </c>
      <c r="BI163" t="s">
        <v>331</v>
      </c>
      <c r="BJ163">
        <v>1920</v>
      </c>
      <c r="BK163" t="s">
        <v>119</v>
      </c>
      <c r="BL163" t="s">
        <v>128</v>
      </c>
      <c r="BM163">
        <v>9000</v>
      </c>
      <c r="BN163">
        <v>1</v>
      </c>
      <c r="BO163">
        <v>5</v>
      </c>
      <c r="BP163">
        <v>3</v>
      </c>
      <c r="BQ163">
        <v>803</v>
      </c>
      <c r="BR163">
        <v>4871</v>
      </c>
      <c r="BS163">
        <v>37.946375770000003</v>
      </c>
      <c r="BT163">
        <v>-81.814435838999799</v>
      </c>
      <c r="BU163">
        <v>2.5870031999999998</v>
      </c>
      <c r="BV163">
        <v>-0.41299676895141602</v>
      </c>
      <c r="BW163">
        <v>1</v>
      </c>
      <c r="BX163" t="s">
        <v>134</v>
      </c>
      <c r="BY163">
        <v>129</v>
      </c>
      <c r="BZ163">
        <v>8.8700323104858398</v>
      </c>
      <c r="CA163">
        <v>798.30290794372502</v>
      </c>
      <c r="CB163">
        <v>4500</v>
      </c>
      <c r="CC163">
        <v>45</v>
      </c>
      <c r="CD163">
        <v>11.044038772583001</v>
      </c>
      <c r="CE163">
        <v>496.98174476623501</v>
      </c>
      <c r="CF163">
        <v>0</v>
      </c>
      <c r="CG163">
        <v>0</v>
      </c>
      <c r="CH163">
        <v>0</v>
      </c>
      <c r="CI163">
        <v>0</v>
      </c>
      <c r="CO163">
        <v>0</v>
      </c>
      <c r="CP163">
        <v>0</v>
      </c>
      <c r="CQ163" t="s">
        <v>974</v>
      </c>
      <c r="CR163" t="s">
        <v>183</v>
      </c>
      <c r="CS163" t="s">
        <v>138</v>
      </c>
      <c r="CT163" t="s">
        <v>139</v>
      </c>
      <c r="CU163" t="s">
        <v>267</v>
      </c>
      <c r="CW163">
        <v>2</v>
      </c>
      <c r="CX163" t="s">
        <v>975</v>
      </c>
      <c r="CY163" t="s">
        <v>976</v>
      </c>
      <c r="CZ163" t="s">
        <v>1150</v>
      </c>
      <c r="DA163" t="s">
        <v>977</v>
      </c>
      <c r="DB163">
        <v>0</v>
      </c>
      <c r="DC163">
        <v>9000</v>
      </c>
    </row>
    <row r="164" spans="1:107" x14ac:dyDescent="0.25">
      <c r="A164" t="s">
        <v>373</v>
      </c>
      <c r="B164" t="s">
        <v>108</v>
      </c>
      <c r="C164" t="s">
        <v>374</v>
      </c>
      <c r="D164" t="s">
        <v>375</v>
      </c>
      <c r="F164" s="3" t="str">
        <f>HYPERLINK("https://mapwv.gov/flood/map/?wkid=102100&amp;x=-8751953.275409207&amp;y=4797615.850031622&amp;l=13&amp;v=2","FT")</f>
        <v>FT</v>
      </c>
      <c r="G164" s="3" t="str">
        <f>HYPERLINK("https://mapwv.gov/Assessment/Detail/?PID=1410022B002900000000","Assessment")</f>
        <v>Assessment</v>
      </c>
      <c r="H164">
        <v>540226</v>
      </c>
      <c r="I164" t="s">
        <v>362</v>
      </c>
      <c r="J164" t="s">
        <v>363</v>
      </c>
      <c r="K164" t="s">
        <v>148</v>
      </c>
      <c r="L164" t="s">
        <v>376</v>
      </c>
      <c r="M164" t="s">
        <v>377</v>
      </c>
      <c r="N164" t="s">
        <v>199</v>
      </c>
      <c r="O164" t="s">
        <v>117</v>
      </c>
      <c r="P164" t="s">
        <v>150</v>
      </c>
      <c r="Q164" t="s">
        <v>119</v>
      </c>
      <c r="R164">
        <v>5.7</v>
      </c>
      <c r="S164" t="s">
        <v>120</v>
      </c>
      <c r="T164">
        <v>559.29999999999995</v>
      </c>
      <c r="U164" t="s">
        <v>365</v>
      </c>
      <c r="V164">
        <v>553</v>
      </c>
      <c r="X164" t="s">
        <v>378</v>
      </c>
      <c r="Y164" t="s">
        <v>379</v>
      </c>
      <c r="Z164">
        <v>1986</v>
      </c>
      <c r="AA164" t="s">
        <v>175</v>
      </c>
      <c r="AB164" t="s">
        <v>155</v>
      </c>
      <c r="AC164" t="s">
        <v>129</v>
      </c>
      <c r="AD164">
        <v>3</v>
      </c>
      <c r="AE164">
        <v>108</v>
      </c>
      <c r="AF164" t="s">
        <v>176</v>
      </c>
      <c r="AG164" t="s">
        <v>177</v>
      </c>
      <c r="AH164" t="s">
        <v>129</v>
      </c>
      <c r="AI164">
        <v>1</v>
      </c>
      <c r="AL164">
        <v>1172</v>
      </c>
      <c r="AN164" t="s">
        <v>158</v>
      </c>
      <c r="AO164">
        <v>3</v>
      </c>
      <c r="AP164">
        <v>0</v>
      </c>
      <c r="AQ164">
        <v>0</v>
      </c>
      <c r="AR164">
        <v>8920</v>
      </c>
      <c r="AS164">
        <v>17700</v>
      </c>
      <c r="AT164" t="s">
        <v>178</v>
      </c>
      <c r="AU164">
        <v>1</v>
      </c>
      <c r="AV164">
        <v>4</v>
      </c>
      <c r="AW164">
        <v>1</v>
      </c>
      <c r="BE164">
        <v>2</v>
      </c>
      <c r="BF164">
        <v>1</v>
      </c>
      <c r="BG164">
        <v>2</v>
      </c>
      <c r="BH164" s="1">
        <v>44272</v>
      </c>
      <c r="BI164" t="s">
        <v>210</v>
      </c>
      <c r="BJ164">
        <v>1986</v>
      </c>
      <c r="BK164" t="s">
        <v>119</v>
      </c>
      <c r="BL164" t="s">
        <v>177</v>
      </c>
      <c r="BM164">
        <v>17700</v>
      </c>
      <c r="BN164">
        <v>1</v>
      </c>
      <c r="BO164">
        <v>5</v>
      </c>
      <c r="BP164">
        <v>3</v>
      </c>
      <c r="BQ164">
        <v>1172</v>
      </c>
      <c r="BR164">
        <v>1030</v>
      </c>
      <c r="BS164">
        <v>39.528194825</v>
      </c>
      <c r="BT164">
        <v>-78.620133932000002</v>
      </c>
      <c r="BU164">
        <v>5.6932372999999998</v>
      </c>
      <c r="BV164">
        <v>2.6932373046875</v>
      </c>
      <c r="BW164">
        <v>1</v>
      </c>
      <c r="BX164" t="s">
        <v>181</v>
      </c>
      <c r="BY164">
        <v>189</v>
      </c>
      <c r="BZ164">
        <v>69.932373046875</v>
      </c>
      <c r="CA164">
        <v>12378.0300292968</v>
      </c>
      <c r="CB164">
        <v>8850</v>
      </c>
      <c r="CC164">
        <v>74</v>
      </c>
      <c r="CD164">
        <v>59.3985595703125</v>
      </c>
      <c r="CE164">
        <v>5256.7725219726499</v>
      </c>
      <c r="CF164">
        <v>0</v>
      </c>
      <c r="CG164">
        <v>0</v>
      </c>
      <c r="CH164">
        <v>0</v>
      </c>
      <c r="CI164">
        <v>0</v>
      </c>
      <c r="CJ164" t="s">
        <v>273</v>
      </c>
      <c r="CK164">
        <v>7.6180000000000003</v>
      </c>
      <c r="CL164">
        <v>11.72</v>
      </c>
      <c r="CM164">
        <v>14.064</v>
      </c>
      <c r="CN164">
        <v>33.402000000000001</v>
      </c>
      <c r="CO164">
        <v>360</v>
      </c>
      <c r="CP164">
        <v>720</v>
      </c>
      <c r="CQ164" t="s">
        <v>369</v>
      </c>
      <c r="CR164" t="s">
        <v>183</v>
      </c>
      <c r="CS164" t="s">
        <v>138</v>
      </c>
      <c r="CT164" t="s">
        <v>139</v>
      </c>
      <c r="CU164" t="s">
        <v>274</v>
      </c>
      <c r="CW164">
        <v>8</v>
      </c>
      <c r="CX164" t="s">
        <v>370</v>
      </c>
      <c r="CY164" t="s">
        <v>371</v>
      </c>
      <c r="CZ164" t="s">
        <v>375</v>
      </c>
      <c r="DA164" t="s">
        <v>372</v>
      </c>
      <c r="DB164">
        <v>0</v>
      </c>
      <c r="DC164">
        <v>8900</v>
      </c>
    </row>
    <row r="165" spans="1:107" x14ac:dyDescent="0.25">
      <c r="A165" t="s">
        <v>1629</v>
      </c>
      <c r="B165" t="s">
        <v>108</v>
      </c>
      <c r="C165" t="s">
        <v>1630</v>
      </c>
      <c r="D165" t="s">
        <v>1631</v>
      </c>
      <c r="F165" s="3" t="str">
        <f>HYPERLINK("https://mapwv.gov/flood/map/?wkid=102100&amp;x=-8950289.49905994&amp;y=4646196.429793632&amp;l=13&amp;v=2","FT")</f>
        <v>FT</v>
      </c>
      <c r="G165" s="3" t="str">
        <f>HYPERLINK("https://mapwv.gov/Assessment/Detail/?PID=51030005000200000000","Assessment")</f>
        <v>Assessment</v>
      </c>
      <c r="H165">
        <v>540203</v>
      </c>
      <c r="I165" t="s">
        <v>1632</v>
      </c>
      <c r="J165" t="s">
        <v>1620</v>
      </c>
      <c r="K165" t="s">
        <v>148</v>
      </c>
      <c r="L165" t="s">
        <v>596</v>
      </c>
      <c r="M165" t="s">
        <v>172</v>
      </c>
      <c r="N165" t="s">
        <v>704</v>
      </c>
      <c r="O165" t="s">
        <v>117</v>
      </c>
      <c r="P165" t="s">
        <v>118</v>
      </c>
      <c r="Q165" t="s">
        <v>225</v>
      </c>
      <c r="R165">
        <v>1.8</v>
      </c>
      <c r="S165" t="s">
        <v>120</v>
      </c>
      <c r="T165">
        <v>1488.7</v>
      </c>
      <c r="U165" t="s">
        <v>365</v>
      </c>
      <c r="V165">
        <v>1486.3</v>
      </c>
      <c r="X165" t="s">
        <v>1633</v>
      </c>
      <c r="Y165" t="s">
        <v>1634</v>
      </c>
      <c r="Z165">
        <v>0</v>
      </c>
      <c r="AB165" t="s">
        <v>155</v>
      </c>
      <c r="AC165" t="s">
        <v>129</v>
      </c>
      <c r="AD165">
        <v>3</v>
      </c>
      <c r="AE165">
        <v>108</v>
      </c>
      <c r="AF165" t="s">
        <v>176</v>
      </c>
      <c r="AG165" t="s">
        <v>177</v>
      </c>
      <c r="AH165" t="s">
        <v>129</v>
      </c>
      <c r="AI165">
        <v>1</v>
      </c>
      <c r="AL165">
        <v>1236</v>
      </c>
      <c r="AN165" t="s">
        <v>158</v>
      </c>
      <c r="AO165">
        <v>3.5</v>
      </c>
      <c r="AP165">
        <v>0</v>
      </c>
      <c r="AQ165">
        <v>0</v>
      </c>
      <c r="AR165">
        <v>0</v>
      </c>
      <c r="AS165">
        <v>14790</v>
      </c>
      <c r="AT165" t="s">
        <v>178</v>
      </c>
      <c r="AU165">
        <v>1</v>
      </c>
      <c r="AV165">
        <v>0</v>
      </c>
      <c r="AW165">
        <v>1</v>
      </c>
      <c r="BE165">
        <v>2.4</v>
      </c>
      <c r="BF165">
        <v>1</v>
      </c>
      <c r="BG165">
        <v>2.4</v>
      </c>
      <c r="BH165" s="1">
        <v>44392</v>
      </c>
      <c r="BI165" t="s">
        <v>707</v>
      </c>
      <c r="BJ165">
        <v>0</v>
      </c>
      <c r="BK165" t="s">
        <v>225</v>
      </c>
      <c r="BL165" t="s">
        <v>177</v>
      </c>
      <c r="BM165">
        <v>14790</v>
      </c>
      <c r="BN165">
        <v>1</v>
      </c>
      <c r="BO165">
        <v>5</v>
      </c>
      <c r="BP165">
        <v>3.5</v>
      </c>
      <c r="BQ165">
        <v>1236</v>
      </c>
      <c r="BR165">
        <v>375</v>
      </c>
      <c r="BS165">
        <v>38.471132021999999</v>
      </c>
      <c r="BT165">
        <v>-80.401818543000005</v>
      </c>
      <c r="BU165">
        <v>1.8039551</v>
      </c>
      <c r="BV165">
        <v>-1.696044921875</v>
      </c>
      <c r="BW165">
        <v>1</v>
      </c>
      <c r="BX165" t="s">
        <v>181</v>
      </c>
      <c r="BY165">
        <v>189</v>
      </c>
      <c r="BZ165">
        <v>0</v>
      </c>
      <c r="CA165">
        <v>0</v>
      </c>
      <c r="CB165">
        <v>7395</v>
      </c>
      <c r="CC165">
        <v>74</v>
      </c>
      <c r="CD165">
        <v>0</v>
      </c>
      <c r="CE165">
        <v>0</v>
      </c>
      <c r="CF165">
        <v>0</v>
      </c>
      <c r="CG165">
        <v>0</v>
      </c>
      <c r="CH165">
        <v>0</v>
      </c>
      <c r="CI165">
        <v>0</v>
      </c>
      <c r="CO165">
        <v>0</v>
      </c>
      <c r="CP165">
        <v>0</v>
      </c>
      <c r="CQ165" t="s">
        <v>1625</v>
      </c>
      <c r="CR165" t="s">
        <v>137</v>
      </c>
      <c r="CS165" t="s">
        <v>138</v>
      </c>
      <c r="CT165" t="s">
        <v>139</v>
      </c>
      <c r="CU165" t="s">
        <v>163</v>
      </c>
      <c r="CW165">
        <v>4</v>
      </c>
      <c r="CX165" t="s">
        <v>1635</v>
      </c>
      <c r="CY165" t="s">
        <v>1627</v>
      </c>
      <c r="CZ165" t="s">
        <v>1631</v>
      </c>
      <c r="DA165" t="s">
        <v>1628</v>
      </c>
      <c r="DB165">
        <v>0</v>
      </c>
      <c r="DC165">
        <v>8800</v>
      </c>
    </row>
    <row r="166" spans="1:107" x14ac:dyDescent="0.25">
      <c r="A166" t="s">
        <v>1219</v>
      </c>
      <c r="B166" t="s">
        <v>108</v>
      </c>
      <c r="C166" t="s">
        <v>1220</v>
      </c>
      <c r="D166" t="s">
        <v>1221</v>
      </c>
      <c r="E166" t="s">
        <v>1222</v>
      </c>
      <c r="F166" s="3" t="str">
        <f>HYPERLINK("https://mapwv.gov/flood/map/?wkid=102100&amp;x=-9086304.991126023&amp;y=4595444.754471242&amp;l=13&amp;v=2","FT")</f>
        <v>FT</v>
      </c>
      <c r="G166" s="3" t="str">
        <f>HYPERLINK("https://mapwv.gov/Assessment/Detail/?PID=0306011A000300000000","Assessment")</f>
        <v>Assessment</v>
      </c>
      <c r="H166">
        <v>540007</v>
      </c>
      <c r="I166" t="s">
        <v>1170</v>
      </c>
      <c r="J166" t="s">
        <v>1171</v>
      </c>
      <c r="K166" t="s">
        <v>148</v>
      </c>
      <c r="L166" t="s">
        <v>1172</v>
      </c>
      <c r="M166" t="s">
        <v>662</v>
      </c>
      <c r="N166" t="s">
        <v>199</v>
      </c>
      <c r="O166" t="s">
        <v>383</v>
      </c>
      <c r="P166" t="s">
        <v>150</v>
      </c>
      <c r="Q166" t="s">
        <v>119</v>
      </c>
      <c r="R166">
        <v>4.3</v>
      </c>
      <c r="S166" t="s">
        <v>120</v>
      </c>
      <c r="T166" t="s">
        <v>151</v>
      </c>
      <c r="U166" t="s">
        <v>151</v>
      </c>
      <c r="V166">
        <v>692</v>
      </c>
      <c r="X166" t="s">
        <v>1223</v>
      </c>
      <c r="Y166" t="s">
        <v>1224</v>
      </c>
      <c r="Z166">
        <v>1918</v>
      </c>
      <c r="AA166" t="s">
        <v>175</v>
      </c>
      <c r="AB166" t="s">
        <v>155</v>
      </c>
      <c r="AC166" t="s">
        <v>129</v>
      </c>
      <c r="AD166">
        <v>2</v>
      </c>
      <c r="AE166">
        <v>101</v>
      </c>
      <c r="AF166" t="s">
        <v>127</v>
      </c>
      <c r="AG166" t="s">
        <v>128</v>
      </c>
      <c r="AH166" t="s">
        <v>129</v>
      </c>
      <c r="AI166">
        <v>1</v>
      </c>
      <c r="AJ166" t="s">
        <v>291</v>
      </c>
      <c r="AK166" t="s">
        <v>130</v>
      </c>
      <c r="AL166">
        <v>1680</v>
      </c>
      <c r="AM166" t="s">
        <v>353</v>
      </c>
      <c r="AN166" t="s">
        <v>208</v>
      </c>
      <c r="AO166">
        <v>4</v>
      </c>
      <c r="AP166">
        <v>31300</v>
      </c>
      <c r="AQ166">
        <v>0</v>
      </c>
      <c r="AR166">
        <v>690</v>
      </c>
      <c r="AS166">
        <v>32000</v>
      </c>
      <c r="AT166" t="s">
        <v>132</v>
      </c>
      <c r="AU166">
        <v>1</v>
      </c>
      <c r="AV166">
        <v>1</v>
      </c>
      <c r="AW166">
        <v>1</v>
      </c>
      <c r="BC166" t="s">
        <v>180</v>
      </c>
      <c r="BE166">
        <v>2.5</v>
      </c>
      <c r="BF166">
        <v>1</v>
      </c>
      <c r="BG166">
        <v>2.5</v>
      </c>
      <c r="BH166" s="1">
        <v>44362</v>
      </c>
      <c r="BI166" t="s">
        <v>384</v>
      </c>
      <c r="BJ166">
        <v>1918</v>
      </c>
      <c r="BK166" t="s">
        <v>119</v>
      </c>
      <c r="BL166" t="s">
        <v>128</v>
      </c>
      <c r="BM166">
        <v>32000</v>
      </c>
      <c r="BN166">
        <v>1</v>
      </c>
      <c r="BO166">
        <v>4</v>
      </c>
      <c r="BP166">
        <v>4</v>
      </c>
      <c r="BQ166">
        <v>1680</v>
      </c>
      <c r="BR166">
        <v>2484</v>
      </c>
      <c r="BS166">
        <v>38.113307523000103</v>
      </c>
      <c r="BT166">
        <v>-81.623666497000002</v>
      </c>
      <c r="BU166">
        <v>4.3275145999999998</v>
      </c>
      <c r="BV166">
        <v>0.3275146484375</v>
      </c>
      <c r="BW166">
        <v>1</v>
      </c>
      <c r="BX166" t="s">
        <v>354</v>
      </c>
      <c r="BY166">
        <v>704</v>
      </c>
      <c r="BZ166">
        <v>27.965087890625</v>
      </c>
      <c r="CA166">
        <v>8948.828125</v>
      </c>
      <c r="CB166">
        <v>16000</v>
      </c>
      <c r="CC166">
        <v>535</v>
      </c>
      <c r="CD166">
        <v>16.9825439453125</v>
      </c>
      <c r="CE166">
        <v>2717.20703125</v>
      </c>
      <c r="CF166">
        <v>0</v>
      </c>
      <c r="CG166">
        <v>0</v>
      </c>
      <c r="CH166">
        <v>0</v>
      </c>
      <c r="CI166">
        <v>0</v>
      </c>
      <c r="CJ166" t="s">
        <v>1212</v>
      </c>
      <c r="CK166">
        <v>14.784000000000001</v>
      </c>
      <c r="CL166">
        <v>0</v>
      </c>
      <c r="CM166">
        <v>0</v>
      </c>
      <c r="CN166">
        <v>14.784000000000001</v>
      </c>
      <c r="CO166">
        <v>180</v>
      </c>
      <c r="CP166">
        <v>360</v>
      </c>
      <c r="CQ166" t="s">
        <v>1175</v>
      </c>
      <c r="CR166" t="s">
        <v>385</v>
      </c>
      <c r="CS166" t="s">
        <v>138</v>
      </c>
      <c r="CT166" t="s">
        <v>139</v>
      </c>
      <c r="CU166" t="s">
        <v>140</v>
      </c>
      <c r="CW166">
        <v>3</v>
      </c>
      <c r="CX166" t="s">
        <v>1176</v>
      </c>
      <c r="CY166" t="s">
        <v>1177</v>
      </c>
      <c r="CZ166" t="s">
        <v>1221</v>
      </c>
      <c r="DA166" t="s">
        <v>1178</v>
      </c>
      <c r="DB166">
        <v>0</v>
      </c>
      <c r="DC166">
        <v>8700</v>
      </c>
    </row>
    <row r="167" spans="1:107" x14ac:dyDescent="0.25">
      <c r="A167" t="s">
        <v>1616</v>
      </c>
      <c r="B167" t="s">
        <v>108</v>
      </c>
      <c r="C167" t="s">
        <v>1617</v>
      </c>
      <c r="D167" t="s">
        <v>1618</v>
      </c>
      <c r="F167" s="3" t="str">
        <f>HYPERLINK("https://mapwv.gov/flood/map/?wkid=102100&amp;x=-8951290.07949744&amp;y=4647417.984201461&amp;l=13&amp;v=2","FT")</f>
        <v>FT</v>
      </c>
      <c r="G167" s="3" t="str">
        <f>HYPERLINK("https://mapwv.gov/Assessment/Detail/?PID=51070001020400010000","Assessment")</f>
        <v>Assessment</v>
      </c>
      <c r="H167">
        <v>540204</v>
      </c>
      <c r="I167" t="s">
        <v>1619</v>
      </c>
      <c r="J167" t="s">
        <v>1620</v>
      </c>
      <c r="K167" t="s">
        <v>113</v>
      </c>
      <c r="L167" t="s">
        <v>1621</v>
      </c>
      <c r="M167" t="s">
        <v>172</v>
      </c>
      <c r="N167" t="s">
        <v>199</v>
      </c>
      <c r="O167" t="s">
        <v>117</v>
      </c>
      <c r="P167" t="s">
        <v>150</v>
      </c>
      <c r="Q167" t="s">
        <v>225</v>
      </c>
      <c r="R167">
        <v>1.1000000000000001</v>
      </c>
      <c r="S167" t="s">
        <v>120</v>
      </c>
      <c r="T167">
        <v>1463.5</v>
      </c>
      <c r="U167" t="s">
        <v>365</v>
      </c>
      <c r="V167">
        <v>1463.5</v>
      </c>
      <c r="X167" t="s">
        <v>1622</v>
      </c>
      <c r="Y167" t="s">
        <v>1623</v>
      </c>
      <c r="Z167">
        <v>0</v>
      </c>
      <c r="AB167" t="s">
        <v>155</v>
      </c>
      <c r="AC167" t="s">
        <v>129</v>
      </c>
      <c r="AD167">
        <v>4</v>
      </c>
      <c r="AE167">
        <v>108</v>
      </c>
      <c r="AF167" t="s">
        <v>176</v>
      </c>
      <c r="AG167" t="s">
        <v>177</v>
      </c>
      <c r="AH167" t="s">
        <v>129</v>
      </c>
      <c r="AI167">
        <v>1</v>
      </c>
      <c r="AL167">
        <v>1018</v>
      </c>
      <c r="AN167" t="s">
        <v>158</v>
      </c>
      <c r="AO167">
        <v>3.5</v>
      </c>
      <c r="AP167">
        <v>0</v>
      </c>
      <c r="AQ167">
        <v>0</v>
      </c>
      <c r="AR167">
        <v>0</v>
      </c>
      <c r="AS167">
        <v>17080</v>
      </c>
      <c r="AT167" t="s">
        <v>178</v>
      </c>
      <c r="AU167">
        <v>1</v>
      </c>
      <c r="AV167">
        <v>0</v>
      </c>
      <c r="AW167">
        <v>1</v>
      </c>
      <c r="BB167" t="s">
        <v>1624</v>
      </c>
      <c r="BC167" t="s">
        <v>209</v>
      </c>
      <c r="BE167">
        <v>2</v>
      </c>
      <c r="BF167">
        <v>1</v>
      </c>
      <c r="BG167">
        <v>2</v>
      </c>
      <c r="BH167" s="1">
        <v>44392</v>
      </c>
      <c r="BI167" t="s">
        <v>210</v>
      </c>
      <c r="BJ167">
        <v>0</v>
      </c>
      <c r="BK167" t="s">
        <v>225</v>
      </c>
      <c r="BL167" t="s">
        <v>177</v>
      </c>
      <c r="BM167">
        <v>17080</v>
      </c>
      <c r="BN167">
        <v>1</v>
      </c>
      <c r="BO167">
        <v>5</v>
      </c>
      <c r="BP167">
        <v>3.5</v>
      </c>
      <c r="BQ167">
        <v>1018</v>
      </c>
      <c r="BR167">
        <v>1010</v>
      </c>
      <c r="BS167">
        <v>38.479722831000103</v>
      </c>
      <c r="BT167">
        <v>-80.410806910000005</v>
      </c>
      <c r="BU167">
        <v>1.1121825999999999</v>
      </c>
      <c r="BV167">
        <v>-2.3878173828125</v>
      </c>
      <c r="BW167">
        <v>1</v>
      </c>
      <c r="BX167" t="s">
        <v>181</v>
      </c>
      <c r="BY167">
        <v>189</v>
      </c>
      <c r="BZ167">
        <v>0</v>
      </c>
      <c r="CA167">
        <v>0</v>
      </c>
      <c r="CB167">
        <v>8540</v>
      </c>
      <c r="CC167">
        <v>74</v>
      </c>
      <c r="CD167">
        <v>0</v>
      </c>
      <c r="CE167">
        <v>0</v>
      </c>
      <c r="CF167">
        <v>0</v>
      </c>
      <c r="CG167">
        <v>0</v>
      </c>
      <c r="CH167">
        <v>0</v>
      </c>
      <c r="CI167">
        <v>0</v>
      </c>
      <c r="CO167">
        <v>0</v>
      </c>
      <c r="CP167">
        <v>0</v>
      </c>
      <c r="CQ167" t="s">
        <v>1625</v>
      </c>
      <c r="CR167" t="s">
        <v>183</v>
      </c>
      <c r="CS167" t="s">
        <v>138</v>
      </c>
      <c r="CT167" t="s">
        <v>139</v>
      </c>
      <c r="CU167" t="s">
        <v>163</v>
      </c>
      <c r="CW167">
        <v>4</v>
      </c>
      <c r="CX167" t="s">
        <v>1626</v>
      </c>
      <c r="CY167" t="s">
        <v>1627</v>
      </c>
      <c r="CZ167" t="s">
        <v>1618</v>
      </c>
      <c r="DA167" t="s">
        <v>1628</v>
      </c>
      <c r="DB167">
        <v>0</v>
      </c>
      <c r="DC167">
        <v>8500</v>
      </c>
    </row>
    <row r="168" spans="1:107" x14ac:dyDescent="0.25">
      <c r="A168" t="s">
        <v>282</v>
      </c>
      <c r="B168" t="s">
        <v>108</v>
      </c>
      <c r="C168" t="s">
        <v>283</v>
      </c>
      <c r="D168" t="s">
        <v>284</v>
      </c>
      <c r="F168" s="3" t="str">
        <f>HYPERLINK("https://mapwv.gov/flood/map/?wkid=102100&amp;x=-8869880.405418837&amp;y=4735595.004197698&amp;l=13&amp;v=2","FT")</f>
        <v>FT</v>
      </c>
      <c r="G168" s="3" t="str">
        <f>HYPERLINK("https://mapwv.gov/Assessment/Detail/?PID=47100004017600000000","Assessment")</f>
        <v>Assessment</v>
      </c>
      <c r="H168">
        <v>540194</v>
      </c>
      <c r="I168" t="s">
        <v>258</v>
      </c>
      <c r="J168" t="s">
        <v>246</v>
      </c>
      <c r="K168" t="s">
        <v>113</v>
      </c>
      <c r="L168" t="s">
        <v>247</v>
      </c>
      <c r="M168" t="s">
        <v>248</v>
      </c>
      <c r="N168" t="s">
        <v>199</v>
      </c>
      <c r="O168" t="s">
        <v>117</v>
      </c>
      <c r="P168" t="s">
        <v>150</v>
      </c>
      <c r="Q168" t="s">
        <v>119</v>
      </c>
      <c r="R168">
        <v>5.3</v>
      </c>
      <c r="S168" t="s">
        <v>120</v>
      </c>
      <c r="T168" t="s">
        <v>151</v>
      </c>
      <c r="U168" t="s">
        <v>151</v>
      </c>
      <c r="V168">
        <v>1643.3</v>
      </c>
      <c r="X168" t="s">
        <v>285</v>
      </c>
      <c r="Y168" t="s">
        <v>286</v>
      </c>
      <c r="Z168">
        <v>1900</v>
      </c>
      <c r="AA168" t="s">
        <v>287</v>
      </c>
      <c r="AB168" t="s">
        <v>175</v>
      </c>
      <c r="AC168" t="s">
        <v>288</v>
      </c>
      <c r="AD168">
        <v>4</v>
      </c>
      <c r="AE168">
        <v>371</v>
      </c>
      <c r="AF168" t="s">
        <v>289</v>
      </c>
      <c r="AG168" t="s">
        <v>290</v>
      </c>
      <c r="AH168" t="s">
        <v>288</v>
      </c>
      <c r="AI168">
        <v>2</v>
      </c>
      <c r="AJ168" t="s">
        <v>291</v>
      </c>
      <c r="AL168">
        <v>7500</v>
      </c>
      <c r="AM168" t="s">
        <v>207</v>
      </c>
      <c r="AN168" t="s">
        <v>208</v>
      </c>
      <c r="AO168">
        <v>4</v>
      </c>
      <c r="AP168">
        <v>0</v>
      </c>
      <c r="AQ168">
        <v>8100</v>
      </c>
      <c r="AR168">
        <v>0</v>
      </c>
      <c r="AS168">
        <v>8100</v>
      </c>
      <c r="AT168" t="s">
        <v>132</v>
      </c>
      <c r="AU168">
        <v>1</v>
      </c>
      <c r="AV168">
        <v>0</v>
      </c>
      <c r="AW168">
        <v>1</v>
      </c>
      <c r="BE168">
        <v>2.4</v>
      </c>
      <c r="BF168">
        <v>0</v>
      </c>
      <c r="BG168">
        <v>0</v>
      </c>
      <c r="BH168" s="1">
        <v>44284</v>
      </c>
      <c r="BI168" t="s">
        <v>210</v>
      </c>
      <c r="BJ168">
        <v>1900</v>
      </c>
      <c r="BK168" t="s">
        <v>119</v>
      </c>
      <c r="BL168" t="s">
        <v>290</v>
      </c>
      <c r="BM168">
        <v>8100</v>
      </c>
      <c r="BN168">
        <v>2</v>
      </c>
      <c r="BO168">
        <v>4</v>
      </c>
      <c r="BP168">
        <v>4</v>
      </c>
      <c r="BQ168">
        <v>7500</v>
      </c>
      <c r="BR168">
        <v>569</v>
      </c>
      <c r="BS168">
        <v>39.097135768000001</v>
      </c>
      <c r="BT168">
        <v>-79.679491365000004</v>
      </c>
      <c r="BU168">
        <v>5.2813720000000002</v>
      </c>
      <c r="BV168">
        <v>1.2813720703125</v>
      </c>
      <c r="BW168">
        <v>1</v>
      </c>
      <c r="BX168" t="s">
        <v>292</v>
      </c>
      <c r="BY168">
        <v>431</v>
      </c>
      <c r="BZ168">
        <v>12.4068603515625</v>
      </c>
      <c r="CA168">
        <v>1004.95568847656</v>
      </c>
      <c r="CB168">
        <v>8100</v>
      </c>
      <c r="CC168">
        <v>280</v>
      </c>
      <c r="CD168">
        <v>19.9696044921875</v>
      </c>
      <c r="CE168">
        <v>1617.53796386718</v>
      </c>
      <c r="CF168">
        <v>0</v>
      </c>
      <c r="CG168">
        <v>0</v>
      </c>
      <c r="CH168">
        <v>0</v>
      </c>
      <c r="CI168">
        <v>0</v>
      </c>
      <c r="CJ168" t="s">
        <v>293</v>
      </c>
      <c r="CK168">
        <v>13.5</v>
      </c>
      <c r="CL168">
        <v>0</v>
      </c>
      <c r="CM168">
        <v>0</v>
      </c>
      <c r="CN168">
        <v>13.5</v>
      </c>
      <c r="CO168">
        <v>300</v>
      </c>
      <c r="CP168">
        <v>480</v>
      </c>
      <c r="CQ168" t="s">
        <v>251</v>
      </c>
      <c r="CR168" t="s">
        <v>294</v>
      </c>
      <c r="CS168" t="s">
        <v>138</v>
      </c>
      <c r="CT168" t="s">
        <v>139</v>
      </c>
      <c r="CU168" t="s">
        <v>140</v>
      </c>
      <c r="CW168">
        <v>7</v>
      </c>
      <c r="CX168" t="s">
        <v>264</v>
      </c>
      <c r="CY168" t="s">
        <v>253</v>
      </c>
      <c r="CZ168" t="s">
        <v>284</v>
      </c>
      <c r="DA168" t="s">
        <v>254</v>
      </c>
      <c r="DB168">
        <v>0</v>
      </c>
      <c r="DC168">
        <v>8100</v>
      </c>
    </row>
    <row r="169" spans="1:107" x14ac:dyDescent="0.25">
      <c r="A169" t="s">
        <v>1074</v>
      </c>
      <c r="B169" t="s">
        <v>108</v>
      </c>
      <c r="C169" t="s">
        <v>1075</v>
      </c>
      <c r="D169" t="s">
        <v>1076</v>
      </c>
      <c r="F169" s="3" t="str">
        <f>HYPERLINK("https://mapwv.gov/flood/map/?wkid=102100&amp;x=-9111895.402317267&amp;y=4545283.311784931&amp;l=13&amp;v=2","FT")</f>
        <v>FT</v>
      </c>
      <c r="G169" s="3" t="str">
        <f>HYPERLINK("https://mapwv.gov/Assessment/Detail/?PID=23080021006600000000","Assessment")</f>
        <v>Assessment</v>
      </c>
      <c r="H169">
        <v>545536</v>
      </c>
      <c r="I169" t="s">
        <v>964</v>
      </c>
      <c r="J169" t="s">
        <v>965</v>
      </c>
      <c r="K169" t="s">
        <v>148</v>
      </c>
      <c r="L169" t="s">
        <v>1064</v>
      </c>
      <c r="M169" t="s">
        <v>967</v>
      </c>
      <c r="N169" t="s">
        <v>704</v>
      </c>
      <c r="O169" t="s">
        <v>117</v>
      </c>
      <c r="P169" t="s">
        <v>118</v>
      </c>
      <c r="Q169" t="s">
        <v>260</v>
      </c>
      <c r="R169">
        <v>2.2999999999999998</v>
      </c>
      <c r="S169" t="s">
        <v>120</v>
      </c>
      <c r="T169">
        <v>787.5</v>
      </c>
      <c r="U169" t="s">
        <v>365</v>
      </c>
      <c r="V169">
        <v>784.4</v>
      </c>
      <c r="X169" t="s">
        <v>1077</v>
      </c>
      <c r="Y169" t="s">
        <v>1078</v>
      </c>
      <c r="Z169">
        <v>2002</v>
      </c>
      <c r="AA169" t="s">
        <v>175</v>
      </c>
      <c r="AB169" t="s">
        <v>155</v>
      </c>
      <c r="AC169" t="s">
        <v>129</v>
      </c>
      <c r="AD169">
        <v>2</v>
      </c>
      <c r="AE169">
        <v>108</v>
      </c>
      <c r="AF169" t="s">
        <v>176</v>
      </c>
      <c r="AG169" t="s">
        <v>177</v>
      </c>
      <c r="AH169" t="s">
        <v>129</v>
      </c>
      <c r="AI169">
        <v>1</v>
      </c>
      <c r="AL169">
        <v>672</v>
      </c>
      <c r="AN169" t="s">
        <v>158</v>
      </c>
      <c r="AO169">
        <v>4</v>
      </c>
      <c r="AP169">
        <v>0</v>
      </c>
      <c r="AQ169">
        <v>0</v>
      </c>
      <c r="AR169">
        <v>8070</v>
      </c>
      <c r="AS169">
        <v>8100</v>
      </c>
      <c r="AT169" t="s">
        <v>132</v>
      </c>
      <c r="AU169">
        <v>1</v>
      </c>
      <c r="AV169">
        <v>3</v>
      </c>
      <c r="AW169">
        <v>0</v>
      </c>
      <c r="BC169" t="s">
        <v>841</v>
      </c>
      <c r="BE169">
        <v>2.4</v>
      </c>
      <c r="BF169">
        <v>1</v>
      </c>
      <c r="BG169">
        <v>2.4</v>
      </c>
      <c r="BH169" s="1">
        <v>44348</v>
      </c>
      <c r="BI169" t="s">
        <v>1079</v>
      </c>
      <c r="BJ169">
        <v>2002</v>
      </c>
      <c r="BK169" t="s">
        <v>260</v>
      </c>
      <c r="BL169" t="s">
        <v>177</v>
      </c>
      <c r="BM169">
        <v>8100</v>
      </c>
      <c r="BN169">
        <v>1</v>
      </c>
      <c r="BO169">
        <v>5</v>
      </c>
      <c r="BP169">
        <v>4</v>
      </c>
      <c r="BQ169">
        <v>672</v>
      </c>
      <c r="BR169">
        <v>1218</v>
      </c>
      <c r="BS169">
        <v>37.757913363999897</v>
      </c>
      <c r="BT169">
        <v>-81.853549072000007</v>
      </c>
      <c r="BU169">
        <v>2.4824830000000002</v>
      </c>
      <c r="BV169">
        <v>-1.51751708984375</v>
      </c>
      <c r="BW169">
        <v>1</v>
      </c>
      <c r="BX169" t="s">
        <v>181</v>
      </c>
      <c r="BY169">
        <v>189</v>
      </c>
      <c r="BZ169">
        <v>0</v>
      </c>
      <c r="CA169">
        <v>0</v>
      </c>
      <c r="CB169">
        <v>4050</v>
      </c>
      <c r="CC169">
        <v>74</v>
      </c>
      <c r="CD169">
        <v>0</v>
      </c>
      <c r="CE169">
        <v>0</v>
      </c>
      <c r="CF169">
        <v>0</v>
      </c>
      <c r="CG169">
        <v>0</v>
      </c>
      <c r="CH169">
        <v>0</v>
      </c>
      <c r="CI169">
        <v>0</v>
      </c>
      <c r="CO169">
        <v>0</v>
      </c>
      <c r="CP169">
        <v>0</v>
      </c>
      <c r="CQ169" t="s">
        <v>974</v>
      </c>
      <c r="CR169" t="s">
        <v>137</v>
      </c>
      <c r="CS169" t="s">
        <v>138</v>
      </c>
      <c r="CT169" t="s">
        <v>139</v>
      </c>
      <c r="CU169" t="s">
        <v>163</v>
      </c>
      <c r="CW169">
        <v>2</v>
      </c>
      <c r="CX169" t="s">
        <v>975</v>
      </c>
      <c r="CY169" t="s">
        <v>976</v>
      </c>
      <c r="CZ169" t="s">
        <v>1076</v>
      </c>
      <c r="DA169" t="s">
        <v>977</v>
      </c>
      <c r="DB169">
        <v>0</v>
      </c>
      <c r="DC169">
        <v>8100</v>
      </c>
    </row>
    <row r="170" spans="1:107" x14ac:dyDescent="0.25">
      <c r="A170" t="s">
        <v>1368</v>
      </c>
      <c r="B170" t="s">
        <v>108</v>
      </c>
      <c r="C170" t="s">
        <v>1369</v>
      </c>
      <c r="D170" t="s">
        <v>1370</v>
      </c>
      <c r="F170" s="3" t="str">
        <f>HYPERLINK("https://mapwv.gov/flood/map/?wkid=102100&amp;x=-9094362.179986048&amp;y=4632531.720114269&amp;l=13&amp;v=2","FT")</f>
        <v>FT</v>
      </c>
      <c r="G170" s="3" t="str">
        <f>HYPERLINK("https://mapwv.gov/Assessment/Detail/?PID=20100002002000000000","Assessment")</f>
        <v>Assessment</v>
      </c>
      <c r="H170">
        <v>540073</v>
      </c>
      <c r="I170" t="s">
        <v>1333</v>
      </c>
      <c r="J170" t="s">
        <v>1282</v>
      </c>
      <c r="K170" t="s">
        <v>113</v>
      </c>
      <c r="L170" t="s">
        <v>1283</v>
      </c>
      <c r="M170" t="s">
        <v>909</v>
      </c>
      <c r="N170" t="s">
        <v>199</v>
      </c>
      <c r="O170" t="s">
        <v>117</v>
      </c>
      <c r="P170" t="s">
        <v>150</v>
      </c>
      <c r="Q170" t="s">
        <v>119</v>
      </c>
      <c r="R170">
        <v>1.3</v>
      </c>
      <c r="S170" t="s">
        <v>120</v>
      </c>
      <c r="T170" t="s">
        <v>151</v>
      </c>
      <c r="U170" t="s">
        <v>151</v>
      </c>
      <c r="V170">
        <v>591.29999999999995</v>
      </c>
      <c r="X170" t="s">
        <v>1371</v>
      </c>
      <c r="Y170" t="s">
        <v>1372</v>
      </c>
      <c r="Z170">
        <v>1950</v>
      </c>
      <c r="AA170" t="s">
        <v>241</v>
      </c>
      <c r="AB170" t="s">
        <v>155</v>
      </c>
      <c r="AC170" t="s">
        <v>129</v>
      </c>
      <c r="AD170">
        <v>4</v>
      </c>
      <c r="AE170">
        <v>101</v>
      </c>
      <c r="AF170" t="s">
        <v>127</v>
      </c>
      <c r="AG170" t="s">
        <v>128</v>
      </c>
      <c r="AH170" t="s">
        <v>129</v>
      </c>
      <c r="AI170">
        <v>1</v>
      </c>
      <c r="AJ170" t="s">
        <v>694</v>
      </c>
      <c r="AL170">
        <v>1120</v>
      </c>
      <c r="AM170" t="s">
        <v>157</v>
      </c>
      <c r="AN170" t="s">
        <v>158</v>
      </c>
      <c r="AO170">
        <v>3</v>
      </c>
      <c r="AP170">
        <v>7500</v>
      </c>
      <c r="AQ170">
        <v>0</v>
      </c>
      <c r="AR170">
        <v>640</v>
      </c>
      <c r="AS170">
        <v>8100</v>
      </c>
      <c r="AT170" t="s">
        <v>132</v>
      </c>
      <c r="AU170">
        <v>1</v>
      </c>
      <c r="AV170">
        <v>1</v>
      </c>
      <c r="AW170">
        <v>1</v>
      </c>
      <c r="BE170">
        <v>2.1</v>
      </c>
      <c r="BF170">
        <v>1</v>
      </c>
      <c r="BG170">
        <v>2.1</v>
      </c>
      <c r="BH170" s="1">
        <v>44362</v>
      </c>
      <c r="BI170" t="s">
        <v>210</v>
      </c>
      <c r="BJ170">
        <v>1950</v>
      </c>
      <c r="BK170" t="s">
        <v>119</v>
      </c>
      <c r="BL170" t="s">
        <v>128</v>
      </c>
      <c r="BM170">
        <v>8100</v>
      </c>
      <c r="BN170">
        <v>1</v>
      </c>
      <c r="BO170">
        <v>5</v>
      </c>
      <c r="BP170">
        <v>3</v>
      </c>
      <c r="BQ170">
        <v>1120</v>
      </c>
      <c r="BR170">
        <v>9923</v>
      </c>
      <c r="BS170">
        <v>38.374962649000103</v>
      </c>
      <c r="BT170">
        <v>-81.696045455999894</v>
      </c>
      <c r="BU170">
        <v>1.190979</v>
      </c>
      <c r="BV170">
        <v>-1.80902099609375</v>
      </c>
      <c r="BW170">
        <v>1</v>
      </c>
      <c r="BX170" t="s">
        <v>134</v>
      </c>
      <c r="BY170">
        <v>129</v>
      </c>
      <c r="BZ170">
        <v>0.57293701171875</v>
      </c>
      <c r="CA170">
        <v>46.4078979492187</v>
      </c>
      <c r="CB170">
        <v>4050</v>
      </c>
      <c r="CC170">
        <v>45</v>
      </c>
      <c r="CD170">
        <v>0.763916015625</v>
      </c>
      <c r="CE170">
        <v>30.9385986328125</v>
      </c>
      <c r="CF170">
        <v>0</v>
      </c>
      <c r="CG170">
        <v>0</v>
      </c>
      <c r="CH170">
        <v>0</v>
      </c>
      <c r="CI170">
        <v>0</v>
      </c>
      <c r="CO170">
        <v>0</v>
      </c>
      <c r="CP170">
        <v>0</v>
      </c>
      <c r="CQ170" t="s">
        <v>1286</v>
      </c>
      <c r="CR170" t="s">
        <v>183</v>
      </c>
      <c r="CS170" t="s">
        <v>138</v>
      </c>
      <c r="CT170" t="s">
        <v>139</v>
      </c>
      <c r="CU170" t="s">
        <v>163</v>
      </c>
      <c r="CW170">
        <v>3</v>
      </c>
      <c r="CX170" t="s">
        <v>1338</v>
      </c>
      <c r="CY170" t="s">
        <v>1288</v>
      </c>
      <c r="CZ170" t="s">
        <v>1370</v>
      </c>
      <c r="DA170" t="s">
        <v>1289</v>
      </c>
      <c r="DB170">
        <v>0</v>
      </c>
      <c r="DC170">
        <v>8100</v>
      </c>
    </row>
    <row r="171" spans="1:107" x14ac:dyDescent="0.25">
      <c r="A171" t="s">
        <v>1487</v>
      </c>
      <c r="B171" t="s">
        <v>108</v>
      </c>
      <c r="C171" t="s">
        <v>1488</v>
      </c>
      <c r="D171" t="s">
        <v>1489</v>
      </c>
      <c r="F171" s="3" t="str">
        <f>HYPERLINK("https://mapwv.gov/flood/map/?wkid=102100&amp;x=-9055861.297599413&amp;y=4649171.266027383&amp;l=13&amp;v=2","FT")</f>
        <v>FT</v>
      </c>
      <c r="G171" s="3" t="str">
        <f>HYPERLINK("https://mapwv.gov/Assessment/Detail/?PID=20020002011100000000","Assessment")</f>
        <v>Assessment</v>
      </c>
      <c r="H171">
        <v>540075</v>
      </c>
      <c r="I171" t="s">
        <v>1425</v>
      </c>
      <c r="J171" t="s">
        <v>1282</v>
      </c>
      <c r="K171" t="s">
        <v>113</v>
      </c>
      <c r="L171" t="s">
        <v>900</v>
      </c>
      <c r="M171" t="s">
        <v>172</v>
      </c>
      <c r="N171" t="s">
        <v>199</v>
      </c>
      <c r="O171" t="s">
        <v>117</v>
      </c>
      <c r="P171" t="s">
        <v>150</v>
      </c>
      <c r="Q171" t="s">
        <v>119</v>
      </c>
      <c r="R171">
        <v>11.8</v>
      </c>
      <c r="S171" t="s">
        <v>120</v>
      </c>
      <c r="T171" t="s">
        <v>151</v>
      </c>
      <c r="U171" t="s">
        <v>151</v>
      </c>
      <c r="V171">
        <v>619.70000000000005</v>
      </c>
      <c r="X171" t="s">
        <v>1457</v>
      </c>
      <c r="Y171" t="s">
        <v>1458</v>
      </c>
      <c r="Z171">
        <v>1945</v>
      </c>
      <c r="AA171" t="s">
        <v>241</v>
      </c>
      <c r="AB171" t="s">
        <v>125</v>
      </c>
      <c r="AC171" t="s">
        <v>126</v>
      </c>
      <c r="AD171">
        <v>4</v>
      </c>
      <c r="AE171">
        <v>102</v>
      </c>
      <c r="AF171" t="s">
        <v>1294</v>
      </c>
      <c r="AG171" t="s">
        <v>1436</v>
      </c>
      <c r="AH171" t="s">
        <v>129</v>
      </c>
      <c r="AI171">
        <v>1</v>
      </c>
      <c r="AL171">
        <v>1200</v>
      </c>
      <c r="AN171" t="s">
        <v>131</v>
      </c>
      <c r="AO171">
        <v>1</v>
      </c>
      <c r="AP171">
        <v>7600</v>
      </c>
      <c r="AQ171">
        <v>0</v>
      </c>
      <c r="AR171">
        <v>470</v>
      </c>
      <c r="AS171">
        <v>8100</v>
      </c>
      <c r="AT171" t="s">
        <v>132</v>
      </c>
      <c r="AU171">
        <v>1</v>
      </c>
      <c r="AV171">
        <v>1</v>
      </c>
      <c r="AW171">
        <v>1</v>
      </c>
      <c r="AX171" t="s">
        <v>205</v>
      </c>
      <c r="AY171" t="s">
        <v>1490</v>
      </c>
      <c r="BE171">
        <v>2.5</v>
      </c>
      <c r="BF171">
        <v>2</v>
      </c>
      <c r="BG171">
        <v>5</v>
      </c>
      <c r="BH171" s="1">
        <v>44362</v>
      </c>
      <c r="BI171" t="s">
        <v>1437</v>
      </c>
      <c r="BJ171">
        <v>1945</v>
      </c>
      <c r="BK171" t="s">
        <v>119</v>
      </c>
      <c r="BL171" t="s">
        <v>1436</v>
      </c>
      <c r="BM171">
        <v>8100</v>
      </c>
      <c r="BN171">
        <v>1</v>
      </c>
      <c r="BO171">
        <v>7</v>
      </c>
      <c r="BP171">
        <v>1</v>
      </c>
      <c r="BQ171">
        <v>1200</v>
      </c>
      <c r="BR171">
        <v>11722</v>
      </c>
      <c r="BS171">
        <v>38.492051322999998</v>
      </c>
      <c r="BT171">
        <v>-81.350186144999896</v>
      </c>
      <c r="BU171">
        <v>11.7728269999999</v>
      </c>
      <c r="BV171">
        <v>10.7728271484375</v>
      </c>
      <c r="BW171">
        <v>1</v>
      </c>
      <c r="BX171" t="s">
        <v>1491</v>
      </c>
      <c r="BY171">
        <v>204</v>
      </c>
      <c r="BZ171">
        <v>46.7728271484375</v>
      </c>
      <c r="CA171">
        <v>3788.5989990234302</v>
      </c>
      <c r="CB171">
        <v>4050</v>
      </c>
      <c r="CC171">
        <v>81</v>
      </c>
      <c r="CD171">
        <v>60</v>
      </c>
      <c r="CE171">
        <v>2430</v>
      </c>
      <c r="CF171">
        <v>0</v>
      </c>
      <c r="CG171">
        <v>0</v>
      </c>
      <c r="CH171">
        <v>0</v>
      </c>
      <c r="CI171">
        <v>0</v>
      </c>
      <c r="CJ171" t="s">
        <v>1492</v>
      </c>
      <c r="CK171">
        <v>13.08</v>
      </c>
      <c r="CL171">
        <v>7.8</v>
      </c>
      <c r="CM171">
        <v>30</v>
      </c>
      <c r="CN171">
        <v>50.879999999999903</v>
      </c>
      <c r="CO171">
        <v>360</v>
      </c>
      <c r="CP171">
        <v>720</v>
      </c>
      <c r="CQ171" t="s">
        <v>1286</v>
      </c>
      <c r="CR171" t="s">
        <v>183</v>
      </c>
      <c r="CS171" t="s">
        <v>138</v>
      </c>
      <c r="CT171" t="s">
        <v>139</v>
      </c>
      <c r="CU171" t="s">
        <v>140</v>
      </c>
      <c r="CW171">
        <v>3</v>
      </c>
      <c r="CX171" t="s">
        <v>1430</v>
      </c>
      <c r="CY171" t="s">
        <v>1288</v>
      </c>
      <c r="CZ171" t="s">
        <v>1489</v>
      </c>
      <c r="DA171" t="s">
        <v>1289</v>
      </c>
      <c r="DB171">
        <v>0</v>
      </c>
      <c r="DC171">
        <v>8100</v>
      </c>
    </row>
    <row r="172" spans="1:107" x14ac:dyDescent="0.25">
      <c r="A172" t="s">
        <v>242</v>
      </c>
      <c r="B172" t="s">
        <v>108</v>
      </c>
      <c r="C172" t="s">
        <v>243</v>
      </c>
      <c r="D172" t="s">
        <v>244</v>
      </c>
      <c r="F172" s="3" t="str">
        <f>HYPERLINK("https://mapwv.gov/flood/map/?wkid=102100&amp;x=-8870589.975222742&amp;y=4736731.196263914&amp;l=13&amp;v=2","FT")</f>
        <v>FT</v>
      </c>
      <c r="G172" s="3" t="str">
        <f>HYPERLINK("https://mapwv.gov/Assessment/Detail/?PID=4701283A001700000000","Assessment")</f>
        <v>Assessment</v>
      </c>
      <c r="H172">
        <v>540191</v>
      </c>
      <c r="I172" t="s">
        <v>245</v>
      </c>
      <c r="J172" t="s">
        <v>246</v>
      </c>
      <c r="K172" t="s">
        <v>148</v>
      </c>
      <c r="L172" t="s">
        <v>247</v>
      </c>
      <c r="M172" t="s">
        <v>248</v>
      </c>
      <c r="N172" t="s">
        <v>199</v>
      </c>
      <c r="O172" t="s">
        <v>117</v>
      </c>
      <c r="P172" t="s">
        <v>150</v>
      </c>
      <c r="Q172" t="s">
        <v>119</v>
      </c>
      <c r="R172">
        <v>0.5</v>
      </c>
      <c r="S172" t="s">
        <v>120</v>
      </c>
      <c r="T172" t="s">
        <v>151</v>
      </c>
      <c r="U172" t="s">
        <v>151</v>
      </c>
      <c r="V172">
        <v>1640.5</v>
      </c>
      <c r="X172" t="s">
        <v>249</v>
      </c>
      <c r="Y172" t="s">
        <v>250</v>
      </c>
      <c r="Z172">
        <v>1979</v>
      </c>
      <c r="AA172" t="s">
        <v>241</v>
      </c>
      <c r="AB172" t="s">
        <v>155</v>
      </c>
      <c r="AC172" t="s">
        <v>129</v>
      </c>
      <c r="AD172">
        <v>3</v>
      </c>
      <c r="AE172">
        <v>108</v>
      </c>
      <c r="AF172" t="s">
        <v>176</v>
      </c>
      <c r="AG172" t="s">
        <v>177</v>
      </c>
      <c r="AH172" t="s">
        <v>129</v>
      </c>
      <c r="AI172">
        <v>1</v>
      </c>
      <c r="AL172">
        <v>1000</v>
      </c>
      <c r="AN172" t="s">
        <v>158</v>
      </c>
      <c r="AO172">
        <v>3</v>
      </c>
      <c r="AP172">
        <v>0</v>
      </c>
      <c r="AQ172">
        <v>0</v>
      </c>
      <c r="AR172">
        <v>7860</v>
      </c>
      <c r="AS172">
        <v>12120</v>
      </c>
      <c r="AT172" t="s">
        <v>178</v>
      </c>
      <c r="AU172">
        <v>1</v>
      </c>
      <c r="AV172">
        <v>3</v>
      </c>
      <c r="AW172">
        <v>1</v>
      </c>
      <c r="BE172">
        <v>2.2999999999999998</v>
      </c>
      <c r="BF172">
        <v>0</v>
      </c>
      <c r="BG172">
        <v>0</v>
      </c>
      <c r="BH172" s="1">
        <v>44284</v>
      </c>
      <c r="BI172" t="s">
        <v>210</v>
      </c>
      <c r="BJ172">
        <v>1979</v>
      </c>
      <c r="BK172" t="s">
        <v>119</v>
      </c>
      <c r="BL172" t="s">
        <v>177</v>
      </c>
      <c r="BM172">
        <v>12120</v>
      </c>
      <c r="BN172">
        <v>1</v>
      </c>
      <c r="BO172">
        <v>5</v>
      </c>
      <c r="BP172">
        <v>3</v>
      </c>
      <c r="BQ172">
        <v>1000</v>
      </c>
      <c r="BR172">
        <v>12</v>
      </c>
      <c r="BS172">
        <v>39.105056429999898</v>
      </c>
      <c r="BT172">
        <v>-79.685865539000005</v>
      </c>
      <c r="BU172">
        <v>0.61413574000000004</v>
      </c>
      <c r="BV172">
        <v>-2.3858642578125</v>
      </c>
      <c r="BW172">
        <v>1</v>
      </c>
      <c r="BX172" t="s">
        <v>181</v>
      </c>
      <c r="BY172">
        <v>189</v>
      </c>
      <c r="BZ172">
        <v>0</v>
      </c>
      <c r="CA172">
        <v>0</v>
      </c>
      <c r="CB172">
        <v>6060</v>
      </c>
      <c r="CC172">
        <v>74</v>
      </c>
      <c r="CD172">
        <v>0</v>
      </c>
      <c r="CE172">
        <v>0</v>
      </c>
      <c r="CF172">
        <v>0</v>
      </c>
      <c r="CG172">
        <v>0</v>
      </c>
      <c r="CH172">
        <v>0</v>
      </c>
      <c r="CI172">
        <v>0</v>
      </c>
      <c r="CO172">
        <v>0</v>
      </c>
      <c r="CP172">
        <v>0</v>
      </c>
      <c r="CQ172" t="s">
        <v>251</v>
      </c>
      <c r="CR172" t="s">
        <v>183</v>
      </c>
      <c r="CS172" t="s">
        <v>138</v>
      </c>
      <c r="CT172" t="s">
        <v>139</v>
      </c>
      <c r="CU172" t="s">
        <v>163</v>
      </c>
      <c r="CW172">
        <v>7</v>
      </c>
      <c r="CX172" t="s">
        <v>252</v>
      </c>
      <c r="CY172" t="s">
        <v>253</v>
      </c>
      <c r="CZ172" t="s">
        <v>244</v>
      </c>
      <c r="DA172" t="s">
        <v>254</v>
      </c>
      <c r="DB172">
        <v>0</v>
      </c>
      <c r="DC172">
        <v>7900</v>
      </c>
    </row>
    <row r="173" spans="1:107" x14ac:dyDescent="0.25">
      <c r="A173" t="s">
        <v>1443</v>
      </c>
      <c r="B173" t="s">
        <v>108</v>
      </c>
      <c r="C173" t="s">
        <v>1444</v>
      </c>
      <c r="D173" t="s">
        <v>1445</v>
      </c>
      <c r="F173" s="3" t="str">
        <f>HYPERLINK("https://mapwv.gov/flood/map/?wkid=102100&amp;x=-9070237.633423042&amp;y=4650541.620167624&amp;l=13&amp;v=2","FT")</f>
        <v>FT</v>
      </c>
      <c r="G173" s="3" t="str">
        <f>HYPERLINK("https://mapwv.gov/Assessment/Detail/?PID=2015009B002400000000","Assessment")</f>
        <v>Assessment</v>
      </c>
      <c r="H173">
        <v>540070</v>
      </c>
      <c r="I173" t="s">
        <v>1306</v>
      </c>
      <c r="J173" t="s">
        <v>1282</v>
      </c>
      <c r="K173" t="s">
        <v>148</v>
      </c>
      <c r="L173" t="s">
        <v>1446</v>
      </c>
      <c r="M173" t="s">
        <v>172</v>
      </c>
      <c r="N173" t="s">
        <v>199</v>
      </c>
      <c r="O173" t="s">
        <v>117</v>
      </c>
      <c r="P173" t="s">
        <v>150</v>
      </c>
      <c r="Q173" t="s">
        <v>119</v>
      </c>
      <c r="R173">
        <v>0.3</v>
      </c>
      <c r="S173" t="s">
        <v>120</v>
      </c>
      <c r="T173" t="s">
        <v>151</v>
      </c>
      <c r="U173" t="s">
        <v>151</v>
      </c>
      <c r="V173">
        <v>662.9</v>
      </c>
      <c r="X173" t="s">
        <v>1447</v>
      </c>
      <c r="Y173" t="s">
        <v>1448</v>
      </c>
      <c r="Z173">
        <v>1980</v>
      </c>
      <c r="AA173" t="s">
        <v>318</v>
      </c>
      <c r="AB173" t="s">
        <v>155</v>
      </c>
      <c r="AC173" t="s">
        <v>129</v>
      </c>
      <c r="AD173">
        <v>3</v>
      </c>
      <c r="AE173">
        <v>108</v>
      </c>
      <c r="AF173" t="s">
        <v>176</v>
      </c>
      <c r="AG173" t="s">
        <v>177</v>
      </c>
      <c r="AH173" t="s">
        <v>129</v>
      </c>
      <c r="AI173">
        <v>1</v>
      </c>
      <c r="AL173">
        <v>896</v>
      </c>
      <c r="AN173" t="s">
        <v>158</v>
      </c>
      <c r="AO173">
        <v>3</v>
      </c>
      <c r="AP173">
        <v>0</v>
      </c>
      <c r="AQ173">
        <v>0</v>
      </c>
      <c r="AR173">
        <v>7850</v>
      </c>
      <c r="AS173">
        <v>7900</v>
      </c>
      <c r="AT173" t="s">
        <v>132</v>
      </c>
      <c r="AU173">
        <v>1</v>
      </c>
      <c r="AV173">
        <v>4</v>
      </c>
      <c r="AW173">
        <v>1</v>
      </c>
      <c r="BE173">
        <v>2.4</v>
      </c>
      <c r="BF173">
        <v>0</v>
      </c>
      <c r="BG173">
        <v>0</v>
      </c>
      <c r="BH173" s="1">
        <v>44362</v>
      </c>
      <c r="BI173" t="s">
        <v>210</v>
      </c>
      <c r="BJ173">
        <v>1980</v>
      </c>
      <c r="BK173" t="s">
        <v>119</v>
      </c>
      <c r="BL173" t="s">
        <v>177</v>
      </c>
      <c r="BM173">
        <v>7900</v>
      </c>
      <c r="BN173">
        <v>1</v>
      </c>
      <c r="BO173">
        <v>5</v>
      </c>
      <c r="BP173">
        <v>3</v>
      </c>
      <c r="BQ173">
        <v>896</v>
      </c>
      <c r="BR173">
        <v>8269</v>
      </c>
      <c r="BS173">
        <v>38.501685727000101</v>
      </c>
      <c r="BT173">
        <v>-81.479330966999896</v>
      </c>
      <c r="BU173">
        <v>2.2121582000000002</v>
      </c>
      <c r="BV173">
        <v>-0.787841796875</v>
      </c>
      <c r="BW173">
        <v>1</v>
      </c>
      <c r="BX173" t="s">
        <v>181</v>
      </c>
      <c r="BY173">
        <v>189</v>
      </c>
      <c r="BZ173">
        <v>2.333740234375</v>
      </c>
      <c r="CA173">
        <v>184.365478515625</v>
      </c>
      <c r="CB173">
        <v>3950</v>
      </c>
      <c r="CC173">
        <v>74</v>
      </c>
      <c r="CD173">
        <v>0.636474609375</v>
      </c>
      <c r="CE173">
        <v>25.1407470703125</v>
      </c>
      <c r="CF173">
        <v>0</v>
      </c>
      <c r="CG173">
        <v>0</v>
      </c>
      <c r="CH173">
        <v>0</v>
      </c>
      <c r="CI173">
        <v>0</v>
      </c>
      <c r="CO173">
        <v>0</v>
      </c>
      <c r="CP173">
        <v>0</v>
      </c>
      <c r="CQ173" t="s">
        <v>1286</v>
      </c>
      <c r="CR173" t="s">
        <v>183</v>
      </c>
      <c r="CS173" t="s">
        <v>138</v>
      </c>
      <c r="CT173" t="s">
        <v>139</v>
      </c>
      <c r="CU173" t="s">
        <v>267</v>
      </c>
      <c r="CW173">
        <v>3</v>
      </c>
      <c r="CX173" t="s">
        <v>1312</v>
      </c>
      <c r="CY173" t="s">
        <v>1288</v>
      </c>
      <c r="CZ173" t="s">
        <v>1445</v>
      </c>
      <c r="DA173" t="s">
        <v>1289</v>
      </c>
      <c r="DB173">
        <v>0</v>
      </c>
      <c r="DC173">
        <v>7900</v>
      </c>
    </row>
    <row r="174" spans="1:107" x14ac:dyDescent="0.25">
      <c r="A174" t="s">
        <v>739</v>
      </c>
      <c r="B174" t="s">
        <v>108</v>
      </c>
      <c r="C174" t="s">
        <v>740</v>
      </c>
      <c r="D174" t="s">
        <v>741</v>
      </c>
      <c r="F174" s="3" t="str">
        <f>HYPERLINK("https://mapwv.gov/flood/map/?wkid=102100&amp;x=-9144604.820624448&amp;y=4578395.042637397&amp;l=13&amp;v=2","FT")</f>
        <v>FT</v>
      </c>
      <c r="G174" s="3" t="str">
        <f>HYPERLINK("https://mapwv.gov/Assessment/Detail/?PID=22040040000200000000","Assessment")</f>
        <v>Assessment</v>
      </c>
      <c r="H174">
        <v>540088</v>
      </c>
      <c r="I174" t="s">
        <v>632</v>
      </c>
      <c r="J174" t="s">
        <v>633</v>
      </c>
      <c r="K174" t="s">
        <v>148</v>
      </c>
      <c r="L174" t="s">
        <v>721</v>
      </c>
      <c r="M174" t="s">
        <v>550</v>
      </c>
      <c r="N174" t="s">
        <v>149</v>
      </c>
      <c r="O174" t="s">
        <v>117</v>
      </c>
      <c r="P174" t="s">
        <v>150</v>
      </c>
      <c r="Q174" t="s">
        <v>119</v>
      </c>
      <c r="R174" t="s">
        <v>151</v>
      </c>
      <c r="S174" t="s">
        <v>151</v>
      </c>
      <c r="T174" t="s">
        <v>151</v>
      </c>
      <c r="U174" t="s">
        <v>151</v>
      </c>
      <c r="V174">
        <v>631.9</v>
      </c>
      <c r="X174" t="s">
        <v>742</v>
      </c>
      <c r="Y174" t="s">
        <v>743</v>
      </c>
      <c r="Z174">
        <v>1985</v>
      </c>
      <c r="AA174" t="s">
        <v>318</v>
      </c>
      <c r="AB174" t="s">
        <v>155</v>
      </c>
      <c r="AC174" t="s">
        <v>129</v>
      </c>
      <c r="AD174">
        <v>3</v>
      </c>
      <c r="AE174">
        <v>108</v>
      </c>
      <c r="AF174" t="s">
        <v>176</v>
      </c>
      <c r="AG174" t="s">
        <v>177</v>
      </c>
      <c r="AH174" t="s">
        <v>129</v>
      </c>
      <c r="AI174">
        <v>1</v>
      </c>
      <c r="AL174">
        <v>840</v>
      </c>
      <c r="AN174" t="s">
        <v>158</v>
      </c>
      <c r="AO174">
        <v>3</v>
      </c>
      <c r="AP174">
        <v>0</v>
      </c>
      <c r="AQ174">
        <v>0</v>
      </c>
      <c r="AR174">
        <v>7760</v>
      </c>
      <c r="AS174">
        <v>7800</v>
      </c>
      <c r="AT174" t="s">
        <v>132</v>
      </c>
      <c r="AU174">
        <v>1</v>
      </c>
      <c r="AV174">
        <v>3</v>
      </c>
      <c r="AW174">
        <v>1</v>
      </c>
      <c r="BE174">
        <v>2.6</v>
      </c>
      <c r="BF174">
        <v>0</v>
      </c>
      <c r="BG174">
        <v>0</v>
      </c>
      <c r="BH174" s="1">
        <v>44319</v>
      </c>
      <c r="BI174" t="s">
        <v>159</v>
      </c>
      <c r="BJ174">
        <v>1985</v>
      </c>
      <c r="BK174" t="s">
        <v>119</v>
      </c>
      <c r="BL174" t="s">
        <v>177</v>
      </c>
      <c r="BM174">
        <v>7800</v>
      </c>
      <c r="BN174">
        <v>1</v>
      </c>
      <c r="BO174">
        <v>5</v>
      </c>
      <c r="BP174">
        <v>3</v>
      </c>
      <c r="BQ174">
        <v>840</v>
      </c>
      <c r="BR174">
        <v>27</v>
      </c>
      <c r="BS174">
        <v>37.992702999000102</v>
      </c>
      <c r="BT174">
        <v>-82.147382776000001</v>
      </c>
      <c r="BU174">
        <v>0</v>
      </c>
      <c r="BV174">
        <v>-3</v>
      </c>
      <c r="BW174">
        <v>0</v>
      </c>
      <c r="BX174" t="s">
        <v>181</v>
      </c>
      <c r="BY174">
        <v>0</v>
      </c>
      <c r="BZ174">
        <v>0</v>
      </c>
      <c r="CA174">
        <v>0</v>
      </c>
      <c r="CB174">
        <v>3900</v>
      </c>
      <c r="CC174">
        <v>0</v>
      </c>
      <c r="CD174">
        <v>0</v>
      </c>
      <c r="CE174">
        <v>0</v>
      </c>
      <c r="CF174">
        <v>0</v>
      </c>
      <c r="CG174">
        <v>0</v>
      </c>
      <c r="CH174">
        <v>0</v>
      </c>
      <c r="CI174">
        <v>0</v>
      </c>
      <c r="CO174">
        <v>0</v>
      </c>
      <c r="CP174">
        <v>0</v>
      </c>
      <c r="CQ174" t="s">
        <v>637</v>
      </c>
      <c r="CR174" t="s">
        <v>183</v>
      </c>
      <c r="CS174" t="s">
        <v>161</v>
      </c>
      <c r="CT174" t="s">
        <v>139</v>
      </c>
      <c r="CU174" t="s">
        <v>163</v>
      </c>
      <c r="CW174">
        <v>2</v>
      </c>
      <c r="CX174" t="s">
        <v>638</v>
      </c>
      <c r="CY174" t="s">
        <v>639</v>
      </c>
      <c r="CZ174" t="s">
        <v>741</v>
      </c>
      <c r="DA174" t="s">
        <v>640</v>
      </c>
      <c r="DB174">
        <v>0</v>
      </c>
      <c r="DC174">
        <v>7800</v>
      </c>
    </row>
    <row r="175" spans="1:107" x14ac:dyDescent="0.25">
      <c r="A175" t="s">
        <v>255</v>
      </c>
      <c r="B175" t="s">
        <v>108</v>
      </c>
      <c r="C175" t="s">
        <v>256</v>
      </c>
      <c r="D175" t="s">
        <v>257</v>
      </c>
      <c r="F175" s="3" t="str">
        <f>HYPERLINK("https://mapwv.gov/flood/map/?wkid=102100&amp;x=-8869388.085508643&amp;y=4736027.803699476&amp;l=13&amp;v=2","FT")</f>
        <v>FT</v>
      </c>
      <c r="G175" s="3" t="str">
        <f>HYPERLINK("https://mapwv.gov/Assessment/Detail/?PID=47100005004500000000","Assessment")</f>
        <v>Assessment</v>
      </c>
      <c r="H175">
        <v>540194</v>
      </c>
      <c r="I175" t="s">
        <v>258</v>
      </c>
      <c r="J175" t="s">
        <v>246</v>
      </c>
      <c r="K175" t="s">
        <v>113</v>
      </c>
      <c r="L175" t="s">
        <v>259</v>
      </c>
      <c r="M175" t="s">
        <v>248</v>
      </c>
      <c r="N175" t="s">
        <v>199</v>
      </c>
      <c r="O175" t="s">
        <v>117</v>
      </c>
      <c r="P175" t="s">
        <v>150</v>
      </c>
      <c r="Q175" t="s">
        <v>260</v>
      </c>
      <c r="R175">
        <v>4.0999999999999996</v>
      </c>
      <c r="S175" t="s">
        <v>120</v>
      </c>
      <c r="T175" t="s">
        <v>151</v>
      </c>
      <c r="U175" t="s">
        <v>151</v>
      </c>
      <c r="V175">
        <v>1644.6</v>
      </c>
      <c r="X175" t="s">
        <v>261</v>
      </c>
      <c r="Y175" t="s">
        <v>262</v>
      </c>
      <c r="Z175">
        <v>1979</v>
      </c>
      <c r="AA175" t="s">
        <v>175</v>
      </c>
      <c r="AB175" t="s">
        <v>155</v>
      </c>
      <c r="AC175" t="s">
        <v>129</v>
      </c>
      <c r="AD175">
        <v>4</v>
      </c>
      <c r="AE175">
        <v>108</v>
      </c>
      <c r="AF175" t="s">
        <v>176</v>
      </c>
      <c r="AG175" t="s">
        <v>177</v>
      </c>
      <c r="AH175" t="s">
        <v>129</v>
      </c>
      <c r="AI175">
        <v>1</v>
      </c>
      <c r="AL175">
        <v>1148</v>
      </c>
      <c r="AN175" t="s">
        <v>158</v>
      </c>
      <c r="AO175">
        <v>4</v>
      </c>
      <c r="AP175">
        <v>0</v>
      </c>
      <c r="AQ175">
        <v>0</v>
      </c>
      <c r="AR175">
        <v>7710</v>
      </c>
      <c r="AS175">
        <v>19660</v>
      </c>
      <c r="AT175" t="s">
        <v>178</v>
      </c>
      <c r="AU175">
        <v>1</v>
      </c>
      <c r="AV175">
        <v>3</v>
      </c>
      <c r="AW175">
        <v>0</v>
      </c>
      <c r="BE175">
        <v>2.4</v>
      </c>
      <c r="BF175">
        <v>1</v>
      </c>
      <c r="BG175">
        <v>2.4</v>
      </c>
      <c r="BH175" s="1">
        <v>44284</v>
      </c>
      <c r="BI175" t="s">
        <v>210</v>
      </c>
      <c r="BJ175">
        <v>1979</v>
      </c>
      <c r="BK175" t="s">
        <v>260</v>
      </c>
      <c r="BL175" t="s">
        <v>177</v>
      </c>
      <c r="BM175">
        <v>19660</v>
      </c>
      <c r="BN175">
        <v>1</v>
      </c>
      <c r="BO175">
        <v>5</v>
      </c>
      <c r="BP175">
        <v>4</v>
      </c>
      <c r="BQ175">
        <v>1148</v>
      </c>
      <c r="BR175">
        <v>423</v>
      </c>
      <c r="BS175">
        <v>39.1001530200001</v>
      </c>
      <c r="BT175">
        <v>-79.675068779999904</v>
      </c>
      <c r="BU175">
        <v>4.0573730000000001</v>
      </c>
      <c r="BV175">
        <v>5.7373046875E-2</v>
      </c>
      <c r="BW175">
        <v>1</v>
      </c>
      <c r="BX175" t="s">
        <v>181</v>
      </c>
      <c r="BY175">
        <v>189</v>
      </c>
      <c r="BZ175">
        <v>12.893310546875</v>
      </c>
      <c r="CA175">
        <v>2534.8248535156199</v>
      </c>
      <c r="CB175">
        <v>9830</v>
      </c>
      <c r="CC175">
        <v>74</v>
      </c>
      <c r="CD175">
        <v>4.376953125</v>
      </c>
      <c r="CE175">
        <v>430.25449218749901</v>
      </c>
      <c r="CF175">
        <v>0</v>
      </c>
      <c r="CG175">
        <v>0</v>
      </c>
      <c r="CH175">
        <v>0</v>
      </c>
      <c r="CI175">
        <v>0</v>
      </c>
      <c r="CJ175" t="s">
        <v>263</v>
      </c>
      <c r="CK175">
        <v>4.7067999999999897</v>
      </c>
      <c r="CL175">
        <v>0</v>
      </c>
      <c r="CM175">
        <v>0</v>
      </c>
      <c r="CN175">
        <v>4.7067999999999897</v>
      </c>
      <c r="CO175">
        <v>180</v>
      </c>
      <c r="CP175">
        <v>360</v>
      </c>
      <c r="CQ175" t="s">
        <v>251</v>
      </c>
      <c r="CR175" t="s">
        <v>183</v>
      </c>
      <c r="CS175" t="s">
        <v>138</v>
      </c>
      <c r="CT175" t="s">
        <v>139</v>
      </c>
      <c r="CU175" t="s">
        <v>140</v>
      </c>
      <c r="CW175">
        <v>7</v>
      </c>
      <c r="CX175" t="s">
        <v>264</v>
      </c>
      <c r="CY175" t="s">
        <v>253</v>
      </c>
      <c r="CZ175" t="s">
        <v>257</v>
      </c>
      <c r="DA175" t="s">
        <v>254</v>
      </c>
      <c r="DB175">
        <v>0</v>
      </c>
      <c r="DC175">
        <v>7700</v>
      </c>
    </row>
    <row r="176" spans="1:107" x14ac:dyDescent="0.25">
      <c r="A176" t="s">
        <v>265</v>
      </c>
      <c r="B176" t="s">
        <v>108</v>
      </c>
      <c r="C176" t="s">
        <v>266</v>
      </c>
      <c r="D176" t="s">
        <v>257</v>
      </c>
      <c r="F176" s="3" t="str">
        <f>HYPERLINK("https://mapwv.gov/flood/map/?wkid=102100&amp;x=-8869372.586161984&amp;y=4736016.1938671125&amp;l=13&amp;v=2","FT")</f>
        <v>FT</v>
      </c>
      <c r="G176" s="3" t="str">
        <f>HYPERLINK("https://mapwv.gov/Assessment/Detail/?PID=47100005004500000000","Assessment")</f>
        <v>Assessment</v>
      </c>
      <c r="H176">
        <v>540194</v>
      </c>
      <c r="I176" t="s">
        <v>258</v>
      </c>
      <c r="J176" t="s">
        <v>246</v>
      </c>
      <c r="K176" t="s">
        <v>113</v>
      </c>
      <c r="L176" t="s">
        <v>259</v>
      </c>
      <c r="M176" t="s">
        <v>248</v>
      </c>
      <c r="N176" t="s">
        <v>199</v>
      </c>
      <c r="O176" t="s">
        <v>117</v>
      </c>
      <c r="P176" t="s">
        <v>150</v>
      </c>
      <c r="Q176" t="s">
        <v>260</v>
      </c>
      <c r="R176">
        <v>3.6</v>
      </c>
      <c r="S176" t="s">
        <v>120</v>
      </c>
      <c r="T176" t="s">
        <v>151</v>
      </c>
      <c r="U176" t="s">
        <v>151</v>
      </c>
      <c r="V176">
        <v>1645.5</v>
      </c>
      <c r="X176" t="s">
        <v>261</v>
      </c>
      <c r="Y176" t="s">
        <v>262</v>
      </c>
      <c r="Z176">
        <v>1979</v>
      </c>
      <c r="AA176" t="s">
        <v>175</v>
      </c>
      <c r="AB176" t="s">
        <v>155</v>
      </c>
      <c r="AC176" t="s">
        <v>129</v>
      </c>
      <c r="AD176">
        <v>4</v>
      </c>
      <c r="AE176">
        <v>108</v>
      </c>
      <c r="AF176" t="s">
        <v>176</v>
      </c>
      <c r="AG176" t="s">
        <v>177</v>
      </c>
      <c r="AH176" t="s">
        <v>129</v>
      </c>
      <c r="AI176">
        <v>1</v>
      </c>
      <c r="AL176">
        <v>1000</v>
      </c>
      <c r="AN176" t="s">
        <v>158</v>
      </c>
      <c r="AO176">
        <v>4</v>
      </c>
      <c r="AP176">
        <v>0</v>
      </c>
      <c r="AQ176">
        <v>0</v>
      </c>
      <c r="AR176">
        <v>7710</v>
      </c>
      <c r="AS176">
        <v>13000</v>
      </c>
      <c r="AT176" t="s">
        <v>228</v>
      </c>
      <c r="AU176">
        <v>1</v>
      </c>
      <c r="AV176">
        <v>3</v>
      </c>
      <c r="AW176">
        <v>0</v>
      </c>
      <c r="BC176" t="s">
        <v>230</v>
      </c>
      <c r="BE176">
        <v>2.4</v>
      </c>
      <c r="BF176">
        <v>1</v>
      </c>
      <c r="BG176">
        <v>2.4</v>
      </c>
      <c r="BH176" s="1">
        <v>44284</v>
      </c>
      <c r="BI176" t="s">
        <v>210</v>
      </c>
      <c r="BJ176">
        <v>1979</v>
      </c>
      <c r="BK176" t="s">
        <v>260</v>
      </c>
      <c r="BL176" t="s">
        <v>177</v>
      </c>
      <c r="BM176">
        <v>13000</v>
      </c>
      <c r="BN176">
        <v>1</v>
      </c>
      <c r="BO176">
        <v>5</v>
      </c>
      <c r="BP176">
        <v>4</v>
      </c>
      <c r="BQ176">
        <v>1000</v>
      </c>
      <c r="BR176">
        <v>455</v>
      </c>
      <c r="BS176">
        <v>39.100072083999898</v>
      </c>
      <c r="BT176">
        <v>-79.674929547000005</v>
      </c>
      <c r="BU176">
        <v>3.6555176</v>
      </c>
      <c r="BV176">
        <v>-0.344482421875</v>
      </c>
      <c r="BW176">
        <v>1</v>
      </c>
      <c r="BX176" t="s">
        <v>181</v>
      </c>
      <c r="BY176">
        <v>189</v>
      </c>
      <c r="BZ176">
        <v>7.210693359375</v>
      </c>
      <c r="CA176">
        <v>937.39013671875</v>
      </c>
      <c r="CB176">
        <v>6500</v>
      </c>
      <c r="CC176">
        <v>74</v>
      </c>
      <c r="CD176">
        <v>1.966552734375</v>
      </c>
      <c r="CE176">
        <v>127.825927734375</v>
      </c>
      <c r="CF176">
        <v>0</v>
      </c>
      <c r="CG176">
        <v>0</v>
      </c>
      <c r="CH176">
        <v>0</v>
      </c>
      <c r="CI176">
        <v>0</v>
      </c>
      <c r="CO176">
        <v>0</v>
      </c>
      <c r="CP176">
        <v>0</v>
      </c>
      <c r="CQ176" t="s">
        <v>251</v>
      </c>
      <c r="CR176" t="s">
        <v>183</v>
      </c>
      <c r="CS176" t="s">
        <v>138</v>
      </c>
      <c r="CT176" t="s">
        <v>139</v>
      </c>
      <c r="CU176" t="s">
        <v>267</v>
      </c>
      <c r="CW176">
        <v>7</v>
      </c>
      <c r="CX176" t="s">
        <v>264</v>
      </c>
      <c r="CY176" t="s">
        <v>253</v>
      </c>
      <c r="CZ176" t="s">
        <v>257</v>
      </c>
      <c r="DA176" t="s">
        <v>254</v>
      </c>
      <c r="DB176">
        <v>0</v>
      </c>
      <c r="DC176">
        <v>7700</v>
      </c>
    </row>
    <row r="177" spans="1:107" x14ac:dyDescent="0.25">
      <c r="A177" t="s">
        <v>1188</v>
      </c>
      <c r="B177" t="s">
        <v>108</v>
      </c>
      <c r="C177" t="s">
        <v>1189</v>
      </c>
      <c r="D177" t="s">
        <v>1190</v>
      </c>
      <c r="F177" s="3" t="str">
        <f>HYPERLINK("https://mapwv.gov/flood/map/?wkid=102100&amp;x=-9108248.847195793&amp;y=4589141.633434839&amp;l=13&amp;v=2","FT")</f>
        <v>FT</v>
      </c>
      <c r="G177" s="3" t="str">
        <f>HYPERLINK("https://mapwv.gov/Assessment/Detail/?PID=03030004013600030000","Assessment")</f>
        <v>Assessment</v>
      </c>
      <c r="H177">
        <v>540008</v>
      </c>
      <c r="I177" t="s">
        <v>1182</v>
      </c>
      <c r="J177" t="s">
        <v>1171</v>
      </c>
      <c r="K177" t="s">
        <v>113</v>
      </c>
      <c r="L177" t="s">
        <v>1183</v>
      </c>
      <c r="M177" t="s">
        <v>662</v>
      </c>
      <c r="N177" t="s">
        <v>199</v>
      </c>
      <c r="O177" t="s">
        <v>117</v>
      </c>
      <c r="P177" t="s">
        <v>150</v>
      </c>
      <c r="Q177" t="s">
        <v>119</v>
      </c>
      <c r="R177">
        <v>2.7</v>
      </c>
      <c r="S177" t="s">
        <v>120</v>
      </c>
      <c r="T177" t="s">
        <v>151</v>
      </c>
      <c r="U177" t="s">
        <v>151</v>
      </c>
      <c r="V177">
        <v>693.5</v>
      </c>
      <c r="X177" t="s">
        <v>1191</v>
      </c>
      <c r="Y177" t="s">
        <v>1192</v>
      </c>
      <c r="Z177">
        <v>1869</v>
      </c>
      <c r="AA177" t="s">
        <v>318</v>
      </c>
      <c r="AB177" t="s">
        <v>155</v>
      </c>
      <c r="AC177" t="s">
        <v>129</v>
      </c>
      <c r="AD177">
        <v>4</v>
      </c>
      <c r="AE177">
        <v>101</v>
      </c>
      <c r="AF177" t="s">
        <v>127</v>
      </c>
      <c r="AG177" t="s">
        <v>128</v>
      </c>
      <c r="AH177" t="s">
        <v>129</v>
      </c>
      <c r="AI177">
        <v>1</v>
      </c>
      <c r="AJ177" t="s">
        <v>156</v>
      </c>
      <c r="AK177" t="s">
        <v>320</v>
      </c>
      <c r="AL177">
        <v>740</v>
      </c>
      <c r="AM177" t="s">
        <v>157</v>
      </c>
      <c r="AN177" t="s">
        <v>158</v>
      </c>
      <c r="AO177">
        <v>3</v>
      </c>
      <c r="AP177">
        <v>7500</v>
      </c>
      <c r="AQ177">
        <v>0</v>
      </c>
      <c r="AR177">
        <v>0</v>
      </c>
      <c r="AS177">
        <v>7500</v>
      </c>
      <c r="AT177" t="s">
        <v>132</v>
      </c>
      <c r="AU177">
        <v>1</v>
      </c>
      <c r="AV177">
        <v>0</v>
      </c>
      <c r="AW177">
        <v>1</v>
      </c>
      <c r="BE177">
        <v>2.4</v>
      </c>
      <c r="BF177">
        <v>1</v>
      </c>
      <c r="BG177">
        <v>2.4</v>
      </c>
      <c r="BH177" s="1">
        <v>44362</v>
      </c>
      <c r="BI177" t="s">
        <v>210</v>
      </c>
      <c r="BJ177">
        <v>1869</v>
      </c>
      <c r="BK177" t="s">
        <v>119</v>
      </c>
      <c r="BL177" t="s">
        <v>128</v>
      </c>
      <c r="BM177">
        <v>7500</v>
      </c>
      <c r="BN177">
        <v>1</v>
      </c>
      <c r="BO177">
        <v>5</v>
      </c>
      <c r="BP177">
        <v>3</v>
      </c>
      <c r="BQ177">
        <v>740</v>
      </c>
      <c r="BR177">
        <v>3528</v>
      </c>
      <c r="BS177">
        <v>38.068744297999999</v>
      </c>
      <c r="BT177">
        <v>-81.820791509999907</v>
      </c>
      <c r="BU177">
        <v>2.7017821999999998</v>
      </c>
      <c r="BV177">
        <v>-0.2982177734375</v>
      </c>
      <c r="BW177">
        <v>1</v>
      </c>
      <c r="BX177" t="s">
        <v>134</v>
      </c>
      <c r="BY177">
        <v>129</v>
      </c>
      <c r="BZ177">
        <v>10.017822265625</v>
      </c>
      <c r="CA177">
        <v>751.336669921875</v>
      </c>
      <c r="CB177">
        <v>3750</v>
      </c>
      <c r="CC177">
        <v>45</v>
      </c>
      <c r="CD177">
        <v>12.42138671875</v>
      </c>
      <c r="CE177">
        <v>465.802001953125</v>
      </c>
      <c r="CF177">
        <v>0</v>
      </c>
      <c r="CG177">
        <v>0</v>
      </c>
      <c r="CH177">
        <v>0</v>
      </c>
      <c r="CI177">
        <v>0</v>
      </c>
      <c r="CO177">
        <v>0</v>
      </c>
      <c r="CP177">
        <v>0</v>
      </c>
      <c r="CQ177" t="s">
        <v>1175</v>
      </c>
      <c r="CR177" t="s">
        <v>183</v>
      </c>
      <c r="CS177" t="s">
        <v>138</v>
      </c>
      <c r="CT177" t="s">
        <v>139</v>
      </c>
      <c r="CU177" t="s">
        <v>140</v>
      </c>
      <c r="CW177">
        <v>3</v>
      </c>
      <c r="CX177" t="s">
        <v>1187</v>
      </c>
      <c r="CY177" t="s">
        <v>1177</v>
      </c>
      <c r="CZ177" t="s">
        <v>1190</v>
      </c>
      <c r="DA177" t="s">
        <v>1178</v>
      </c>
      <c r="DB177">
        <v>0</v>
      </c>
      <c r="DC177">
        <v>7500</v>
      </c>
    </row>
    <row r="178" spans="1:107" x14ac:dyDescent="0.25">
      <c r="A178" t="s">
        <v>1239</v>
      </c>
      <c r="B178" t="s">
        <v>108</v>
      </c>
      <c r="C178" t="s">
        <v>1240</v>
      </c>
      <c r="D178" t="s">
        <v>1241</v>
      </c>
      <c r="F178" s="3" t="str">
        <f>HYPERLINK("https://mapwv.gov/flood/map/?wkid=102100&amp;x=-9108166.247020435&amp;y=4579041.529592912&amp;l=13&amp;v=2","FT")</f>
        <v>FT</v>
      </c>
      <c r="G178" s="3" t="str">
        <f>HYPERLINK("https://mapwv.gov/Assessment/Detail/?PID=03080020005900080000","Assessment")</f>
        <v>Assessment</v>
      </c>
      <c r="H178">
        <v>540007</v>
      </c>
      <c r="I178" t="s">
        <v>1170</v>
      </c>
      <c r="J178" t="s">
        <v>1171</v>
      </c>
      <c r="K178" t="s">
        <v>148</v>
      </c>
      <c r="L178" t="s">
        <v>1242</v>
      </c>
      <c r="M178" t="s">
        <v>662</v>
      </c>
      <c r="N178" t="s">
        <v>199</v>
      </c>
      <c r="O178" t="s">
        <v>117</v>
      </c>
      <c r="P178" t="s">
        <v>150</v>
      </c>
      <c r="Q178" t="s">
        <v>260</v>
      </c>
      <c r="R178">
        <v>4.2</v>
      </c>
      <c r="S178" t="s">
        <v>120</v>
      </c>
      <c r="T178" t="s">
        <v>151</v>
      </c>
      <c r="U178" t="s">
        <v>151</v>
      </c>
      <c r="V178">
        <v>750.9</v>
      </c>
      <c r="X178" t="s">
        <v>1243</v>
      </c>
      <c r="Y178" t="s">
        <v>1120</v>
      </c>
      <c r="Z178">
        <v>1999</v>
      </c>
      <c r="AA178" t="s">
        <v>1244</v>
      </c>
      <c r="AB178" t="s">
        <v>155</v>
      </c>
      <c r="AC178" t="s">
        <v>129</v>
      </c>
      <c r="AD178">
        <v>3</v>
      </c>
      <c r="AE178">
        <v>108</v>
      </c>
      <c r="AF178" t="s">
        <v>176</v>
      </c>
      <c r="AG178" t="s">
        <v>177</v>
      </c>
      <c r="AH178" t="s">
        <v>129</v>
      </c>
      <c r="AI178">
        <v>1</v>
      </c>
      <c r="AL178">
        <v>700</v>
      </c>
      <c r="AN178" t="s">
        <v>158</v>
      </c>
      <c r="AO178">
        <v>4</v>
      </c>
      <c r="AP178">
        <v>0</v>
      </c>
      <c r="AQ178">
        <v>0</v>
      </c>
      <c r="AR178">
        <v>7540</v>
      </c>
      <c r="AS178">
        <v>7500</v>
      </c>
      <c r="AT178" t="s">
        <v>132</v>
      </c>
      <c r="AU178">
        <v>1</v>
      </c>
      <c r="AV178">
        <v>2</v>
      </c>
      <c r="AW178">
        <v>1</v>
      </c>
      <c r="BE178">
        <v>2.5</v>
      </c>
      <c r="BF178">
        <v>1</v>
      </c>
      <c r="BG178">
        <v>2.5</v>
      </c>
      <c r="BH178" s="1">
        <v>44362</v>
      </c>
      <c r="BI178" t="s">
        <v>210</v>
      </c>
      <c r="BJ178">
        <v>1999</v>
      </c>
      <c r="BK178" t="s">
        <v>260</v>
      </c>
      <c r="BL178" t="s">
        <v>177</v>
      </c>
      <c r="BM178">
        <v>7500</v>
      </c>
      <c r="BN178">
        <v>1</v>
      </c>
      <c r="BO178">
        <v>5</v>
      </c>
      <c r="BP178">
        <v>4</v>
      </c>
      <c r="BQ178">
        <v>700</v>
      </c>
      <c r="BR178">
        <v>1348</v>
      </c>
      <c r="BS178">
        <v>37.997279677000101</v>
      </c>
      <c r="BT178">
        <v>-81.820049499999897</v>
      </c>
      <c r="BU178">
        <v>4.1665039999999998</v>
      </c>
      <c r="BV178">
        <v>0.16650390625</v>
      </c>
      <c r="BW178">
        <v>1</v>
      </c>
      <c r="BX178" t="s">
        <v>181</v>
      </c>
      <c r="BY178">
        <v>189</v>
      </c>
      <c r="BZ178">
        <v>16.49462890625</v>
      </c>
      <c r="CA178">
        <v>1237.09716796875</v>
      </c>
      <c r="CB178">
        <v>3750</v>
      </c>
      <c r="CC178">
        <v>74</v>
      </c>
      <c r="CD178">
        <v>6.99609375</v>
      </c>
      <c r="CE178">
        <v>262.353515625</v>
      </c>
      <c r="CF178">
        <v>0</v>
      </c>
      <c r="CG178">
        <v>0</v>
      </c>
      <c r="CH178">
        <v>0</v>
      </c>
      <c r="CI178">
        <v>0</v>
      </c>
      <c r="CJ178" t="s">
        <v>263</v>
      </c>
      <c r="CK178">
        <v>2.87</v>
      </c>
      <c r="CL178">
        <v>0</v>
      </c>
      <c r="CM178">
        <v>0</v>
      </c>
      <c r="CN178">
        <v>2.87</v>
      </c>
      <c r="CO178">
        <v>180</v>
      </c>
      <c r="CP178">
        <v>360</v>
      </c>
      <c r="CQ178" t="s">
        <v>1175</v>
      </c>
      <c r="CR178" t="s">
        <v>183</v>
      </c>
      <c r="CS178" t="s">
        <v>138</v>
      </c>
      <c r="CT178" t="s">
        <v>139</v>
      </c>
      <c r="CU178" t="s">
        <v>140</v>
      </c>
      <c r="CW178">
        <v>3</v>
      </c>
      <c r="CX178" t="s">
        <v>1176</v>
      </c>
      <c r="CY178" t="s">
        <v>1177</v>
      </c>
      <c r="CZ178" t="s">
        <v>1241</v>
      </c>
      <c r="DA178" t="s">
        <v>1178</v>
      </c>
      <c r="DB178">
        <v>0</v>
      </c>
      <c r="DC178">
        <v>7500</v>
      </c>
    </row>
    <row r="179" spans="1:107" x14ac:dyDescent="0.25">
      <c r="A179" t="s">
        <v>1465</v>
      </c>
      <c r="B179" t="s">
        <v>108</v>
      </c>
      <c r="C179" t="s">
        <v>1466</v>
      </c>
      <c r="D179" t="s">
        <v>1467</v>
      </c>
      <c r="F179" s="3" t="str">
        <f>HYPERLINK("https://mapwv.gov/flood/map/?wkid=102100&amp;x=-9056269.679385284&amp;y=4648212.540822222&amp;l=13&amp;v=2","FT")</f>
        <v>FT</v>
      </c>
      <c r="G179" s="3" t="str">
        <f>HYPERLINK("https://mapwv.gov/Assessment/Detail/?PID=20020006013300000000","Assessment")</f>
        <v>Assessment</v>
      </c>
      <c r="H179">
        <v>540075</v>
      </c>
      <c r="I179" t="s">
        <v>1425</v>
      </c>
      <c r="J179" t="s">
        <v>1282</v>
      </c>
      <c r="K179" t="s">
        <v>113</v>
      </c>
      <c r="L179" t="s">
        <v>596</v>
      </c>
      <c r="M179" t="s">
        <v>172</v>
      </c>
      <c r="N179" t="s">
        <v>199</v>
      </c>
      <c r="O179" t="s">
        <v>117</v>
      </c>
      <c r="P179" t="s">
        <v>150</v>
      </c>
      <c r="Q179" t="s">
        <v>119</v>
      </c>
      <c r="R179">
        <v>3.5</v>
      </c>
      <c r="S179" t="s">
        <v>120</v>
      </c>
      <c r="T179" t="s">
        <v>151</v>
      </c>
      <c r="U179" t="s">
        <v>151</v>
      </c>
      <c r="V179">
        <v>626.79999999999995</v>
      </c>
      <c r="X179" t="s">
        <v>1468</v>
      </c>
      <c r="Y179" t="s">
        <v>1469</v>
      </c>
      <c r="Z179">
        <v>1910</v>
      </c>
      <c r="AA179" t="s">
        <v>241</v>
      </c>
      <c r="AB179" t="s">
        <v>155</v>
      </c>
      <c r="AC179" t="s">
        <v>129</v>
      </c>
      <c r="AD179">
        <v>2</v>
      </c>
      <c r="AE179">
        <v>101</v>
      </c>
      <c r="AF179" t="s">
        <v>127</v>
      </c>
      <c r="AG179" t="s">
        <v>128</v>
      </c>
      <c r="AH179" t="s">
        <v>129</v>
      </c>
      <c r="AI179">
        <v>1</v>
      </c>
      <c r="AJ179" t="s">
        <v>156</v>
      </c>
      <c r="AK179" t="s">
        <v>130</v>
      </c>
      <c r="AL179">
        <v>1036</v>
      </c>
      <c r="AM179" t="s">
        <v>157</v>
      </c>
      <c r="AN179" t="s">
        <v>158</v>
      </c>
      <c r="AO179">
        <v>3</v>
      </c>
      <c r="AP179">
        <v>7300</v>
      </c>
      <c r="AQ179">
        <v>0</v>
      </c>
      <c r="AR179">
        <v>0</v>
      </c>
      <c r="AS179">
        <v>7300</v>
      </c>
      <c r="AT179" t="s">
        <v>132</v>
      </c>
      <c r="AU179">
        <v>1</v>
      </c>
      <c r="AV179">
        <v>0</v>
      </c>
      <c r="AW179">
        <v>1</v>
      </c>
      <c r="BE179">
        <v>2.5</v>
      </c>
      <c r="BF179">
        <v>1</v>
      </c>
      <c r="BG179">
        <v>2.5</v>
      </c>
      <c r="BH179" s="1">
        <v>44362</v>
      </c>
      <c r="BI179" t="s">
        <v>1437</v>
      </c>
      <c r="BJ179">
        <v>1910</v>
      </c>
      <c r="BK179" t="s">
        <v>119</v>
      </c>
      <c r="BL179" t="s">
        <v>128</v>
      </c>
      <c r="BM179">
        <v>7300</v>
      </c>
      <c r="BN179">
        <v>1</v>
      </c>
      <c r="BO179">
        <v>5</v>
      </c>
      <c r="BP179">
        <v>3</v>
      </c>
      <c r="BQ179">
        <v>1036</v>
      </c>
      <c r="BR179">
        <v>11591</v>
      </c>
      <c r="BS179">
        <v>38.485310149</v>
      </c>
      <c r="BT179">
        <v>-81.353854701000003</v>
      </c>
      <c r="BU179">
        <v>3.3504027999999999</v>
      </c>
      <c r="BV179">
        <v>0.35040283203125</v>
      </c>
      <c r="BW179">
        <v>1</v>
      </c>
      <c r="BX179" t="s">
        <v>134</v>
      </c>
      <c r="BY179">
        <v>129</v>
      </c>
      <c r="BZ179">
        <v>16.5040283203125</v>
      </c>
      <c r="CA179">
        <v>1204.79406738281</v>
      </c>
      <c r="CB179">
        <v>3650</v>
      </c>
      <c r="CC179">
        <v>45</v>
      </c>
      <c r="CD179">
        <v>19.5040283203125</v>
      </c>
      <c r="CE179">
        <v>711.89703369140602</v>
      </c>
      <c r="CF179">
        <v>0</v>
      </c>
      <c r="CG179">
        <v>0</v>
      </c>
      <c r="CH179">
        <v>0</v>
      </c>
      <c r="CI179">
        <v>0</v>
      </c>
      <c r="CJ179" t="s">
        <v>561</v>
      </c>
      <c r="CK179">
        <v>4.2475999999999896</v>
      </c>
      <c r="CL179">
        <v>0</v>
      </c>
      <c r="CM179">
        <v>0</v>
      </c>
      <c r="CN179">
        <v>4.2475999999999896</v>
      </c>
      <c r="CO179">
        <v>180</v>
      </c>
      <c r="CP179">
        <v>360</v>
      </c>
      <c r="CQ179" t="s">
        <v>1286</v>
      </c>
      <c r="CR179" t="s">
        <v>183</v>
      </c>
      <c r="CS179" t="s">
        <v>138</v>
      </c>
      <c r="CT179" t="s">
        <v>139</v>
      </c>
      <c r="CU179" t="s">
        <v>140</v>
      </c>
      <c r="CW179">
        <v>3</v>
      </c>
      <c r="CX179" t="s">
        <v>1430</v>
      </c>
      <c r="CY179" t="s">
        <v>1288</v>
      </c>
      <c r="CZ179" t="s">
        <v>1467</v>
      </c>
      <c r="DA179" t="s">
        <v>1289</v>
      </c>
      <c r="DB179">
        <v>0</v>
      </c>
      <c r="DC179">
        <v>7300</v>
      </c>
    </row>
    <row r="180" spans="1:107" x14ac:dyDescent="0.25">
      <c r="A180" t="s">
        <v>712</v>
      </c>
      <c r="B180" t="s">
        <v>108</v>
      </c>
      <c r="C180" t="s">
        <v>713</v>
      </c>
      <c r="D180" t="s">
        <v>714</v>
      </c>
      <c r="F180" s="3" t="str">
        <f>HYPERLINK("https://mapwv.gov/flood/map/?wkid=102100&amp;x=-9158097.343254603&amp;y=4574894.057354692&amp;l=13&amp;v=2","FT")</f>
        <v>FT</v>
      </c>
      <c r="G180" s="3" t="str">
        <f>HYPERLINK("https://mapwv.gov/Assessment/Detail/?PID=22040042000600000000","Assessment")</f>
        <v>Assessment</v>
      </c>
      <c r="H180">
        <v>540088</v>
      </c>
      <c r="I180" t="s">
        <v>632</v>
      </c>
      <c r="J180" t="s">
        <v>633</v>
      </c>
      <c r="K180" t="s">
        <v>148</v>
      </c>
      <c r="L180" t="s">
        <v>715</v>
      </c>
      <c r="M180" t="s">
        <v>532</v>
      </c>
      <c r="N180" t="s">
        <v>149</v>
      </c>
      <c r="O180" t="s">
        <v>117</v>
      </c>
      <c r="P180" t="s">
        <v>150</v>
      </c>
      <c r="Q180" t="s">
        <v>119</v>
      </c>
      <c r="R180">
        <v>0</v>
      </c>
      <c r="S180" t="s">
        <v>315</v>
      </c>
      <c r="T180" t="s">
        <v>151</v>
      </c>
      <c r="U180" t="s">
        <v>151</v>
      </c>
      <c r="V180">
        <v>779.2</v>
      </c>
      <c r="X180" t="s">
        <v>716</v>
      </c>
      <c r="Y180" t="s">
        <v>717</v>
      </c>
      <c r="Z180">
        <v>1900</v>
      </c>
      <c r="AA180" t="s">
        <v>287</v>
      </c>
      <c r="AB180" t="s">
        <v>303</v>
      </c>
      <c r="AC180" t="s">
        <v>304</v>
      </c>
      <c r="AD180">
        <v>2</v>
      </c>
      <c r="AE180">
        <v>101</v>
      </c>
      <c r="AF180" t="s">
        <v>127</v>
      </c>
      <c r="AG180" t="s">
        <v>128</v>
      </c>
      <c r="AH180" t="s">
        <v>129</v>
      </c>
      <c r="AI180">
        <v>1</v>
      </c>
      <c r="AJ180" t="s">
        <v>156</v>
      </c>
      <c r="AK180" t="s">
        <v>130</v>
      </c>
      <c r="AL180">
        <v>656</v>
      </c>
      <c r="AM180" t="s">
        <v>206</v>
      </c>
      <c r="AN180" t="s">
        <v>131</v>
      </c>
      <c r="AO180">
        <v>1</v>
      </c>
      <c r="AP180">
        <v>6900</v>
      </c>
      <c r="AQ180">
        <v>0</v>
      </c>
      <c r="AR180">
        <v>0</v>
      </c>
      <c r="AS180">
        <v>6900</v>
      </c>
      <c r="AT180" t="s">
        <v>132</v>
      </c>
      <c r="AU180">
        <v>1</v>
      </c>
      <c r="AV180">
        <v>0</v>
      </c>
      <c r="AW180">
        <v>1</v>
      </c>
      <c r="BE180">
        <v>2.6</v>
      </c>
      <c r="BF180">
        <v>0</v>
      </c>
      <c r="BG180">
        <v>0</v>
      </c>
      <c r="BH180" s="1">
        <v>44319</v>
      </c>
      <c r="BI180" t="s">
        <v>321</v>
      </c>
      <c r="BJ180">
        <v>1900</v>
      </c>
      <c r="BK180" t="s">
        <v>119</v>
      </c>
      <c r="BL180" t="s">
        <v>128</v>
      </c>
      <c r="BM180">
        <v>6900</v>
      </c>
      <c r="BN180">
        <v>1</v>
      </c>
      <c r="BO180">
        <v>7</v>
      </c>
      <c r="BP180">
        <v>1</v>
      </c>
      <c r="BQ180">
        <v>656</v>
      </c>
      <c r="BR180">
        <v>2</v>
      </c>
      <c r="BS180">
        <v>37.967913498000001</v>
      </c>
      <c r="BT180">
        <v>-82.268588168999798</v>
      </c>
      <c r="BU180">
        <v>0</v>
      </c>
      <c r="BV180">
        <v>-1</v>
      </c>
      <c r="BW180">
        <v>0</v>
      </c>
      <c r="BX180" t="s">
        <v>134</v>
      </c>
      <c r="BY180">
        <v>0</v>
      </c>
      <c r="BZ180">
        <v>0</v>
      </c>
      <c r="CA180">
        <v>0</v>
      </c>
      <c r="CB180">
        <v>3450</v>
      </c>
      <c r="CC180">
        <v>0</v>
      </c>
      <c r="CD180">
        <v>0</v>
      </c>
      <c r="CE180">
        <v>0</v>
      </c>
      <c r="CF180">
        <v>0</v>
      </c>
      <c r="CG180">
        <v>0</v>
      </c>
      <c r="CH180">
        <v>0</v>
      </c>
      <c r="CI180">
        <v>0</v>
      </c>
      <c r="CO180">
        <v>0</v>
      </c>
      <c r="CP180">
        <v>0</v>
      </c>
      <c r="CQ180" t="s">
        <v>637</v>
      </c>
      <c r="CR180" t="s">
        <v>183</v>
      </c>
      <c r="CS180" t="s">
        <v>161</v>
      </c>
      <c r="CT180" t="s">
        <v>139</v>
      </c>
      <c r="CU180" t="s">
        <v>163</v>
      </c>
      <c r="CW180">
        <v>2</v>
      </c>
      <c r="CX180" t="s">
        <v>638</v>
      </c>
      <c r="CY180" t="s">
        <v>639</v>
      </c>
      <c r="CZ180" t="s">
        <v>714</v>
      </c>
      <c r="DA180" t="s">
        <v>640</v>
      </c>
      <c r="DB180">
        <v>0</v>
      </c>
      <c r="DC180">
        <v>6900</v>
      </c>
    </row>
    <row r="181" spans="1:107" x14ac:dyDescent="0.25">
      <c r="A181" t="s">
        <v>406</v>
      </c>
      <c r="B181" t="s">
        <v>108</v>
      </c>
      <c r="C181" t="s">
        <v>407</v>
      </c>
      <c r="D181" t="s">
        <v>408</v>
      </c>
      <c r="F181" s="3" t="str">
        <f>HYPERLINK("https://mapwv.gov/flood/map/?wkid=102100&amp;x=-8876509.677797113&amp;y=4694571.01366731&amp;l=13&amp;v=2","FT")</f>
        <v>FT</v>
      </c>
      <c r="G181" s="3" t="str">
        <f>HYPERLINK("https://mapwv.gov/Assessment/Detail/?PID=42020002006100130000","Assessment")</f>
        <v>Assessment</v>
      </c>
      <c r="H181">
        <v>540175</v>
      </c>
      <c r="I181" t="s">
        <v>409</v>
      </c>
      <c r="J181" t="s">
        <v>410</v>
      </c>
      <c r="K181" t="s">
        <v>148</v>
      </c>
      <c r="L181" t="s">
        <v>247</v>
      </c>
      <c r="M181" t="s">
        <v>248</v>
      </c>
      <c r="N181" t="s">
        <v>149</v>
      </c>
      <c r="O181" t="s">
        <v>117</v>
      </c>
      <c r="P181" t="s">
        <v>150</v>
      </c>
      <c r="Q181" t="s">
        <v>119</v>
      </c>
      <c r="R181" t="s">
        <v>151</v>
      </c>
      <c r="S181" t="s">
        <v>151</v>
      </c>
      <c r="T181" t="s">
        <v>151</v>
      </c>
      <c r="U181" t="s">
        <v>151</v>
      </c>
      <c r="V181">
        <v>2583.1999999999998</v>
      </c>
      <c r="X181" t="s">
        <v>411</v>
      </c>
      <c r="Y181" t="s">
        <v>412</v>
      </c>
      <c r="Z181">
        <v>1968</v>
      </c>
      <c r="AA181" t="s">
        <v>241</v>
      </c>
      <c r="AB181" t="s">
        <v>155</v>
      </c>
      <c r="AC181" t="s">
        <v>129</v>
      </c>
      <c r="AD181">
        <v>3</v>
      </c>
      <c r="AE181">
        <v>108</v>
      </c>
      <c r="AF181" t="s">
        <v>176</v>
      </c>
      <c r="AG181" t="s">
        <v>177</v>
      </c>
      <c r="AH181" t="s">
        <v>129</v>
      </c>
      <c r="AI181">
        <v>1</v>
      </c>
      <c r="AL181">
        <v>528</v>
      </c>
      <c r="AN181" t="s">
        <v>158</v>
      </c>
      <c r="AO181">
        <v>3</v>
      </c>
      <c r="AP181">
        <v>0</v>
      </c>
      <c r="AQ181">
        <v>0</v>
      </c>
      <c r="AR181">
        <v>6500</v>
      </c>
      <c r="AS181">
        <v>6500</v>
      </c>
      <c r="AT181" t="s">
        <v>132</v>
      </c>
      <c r="AU181">
        <v>1</v>
      </c>
      <c r="AV181">
        <v>4</v>
      </c>
      <c r="AW181">
        <v>1</v>
      </c>
      <c r="BE181">
        <v>2.4</v>
      </c>
      <c r="BF181">
        <v>0</v>
      </c>
      <c r="BG181">
        <v>0</v>
      </c>
      <c r="BH181" s="1">
        <v>44291</v>
      </c>
      <c r="BI181" t="s">
        <v>159</v>
      </c>
      <c r="BJ181">
        <v>1968</v>
      </c>
      <c r="BK181" t="s">
        <v>119</v>
      </c>
      <c r="BL181" t="s">
        <v>177</v>
      </c>
      <c r="BM181">
        <v>6500</v>
      </c>
      <c r="BN181">
        <v>1</v>
      </c>
      <c r="BO181">
        <v>5</v>
      </c>
      <c r="BP181">
        <v>3</v>
      </c>
      <c r="BQ181">
        <v>528</v>
      </c>
      <c r="BR181">
        <v>691</v>
      </c>
      <c r="BS181">
        <v>38.810552178999998</v>
      </c>
      <c r="BT181">
        <v>-79.739043131999907</v>
      </c>
      <c r="BU181">
        <v>0</v>
      </c>
      <c r="BV181">
        <v>-3</v>
      </c>
      <c r="BW181">
        <v>0</v>
      </c>
      <c r="BX181" t="s">
        <v>181</v>
      </c>
      <c r="BY181">
        <v>0</v>
      </c>
      <c r="BZ181">
        <v>0</v>
      </c>
      <c r="CA181">
        <v>0</v>
      </c>
      <c r="CB181">
        <v>3250</v>
      </c>
      <c r="CC181">
        <v>0</v>
      </c>
      <c r="CD181">
        <v>0</v>
      </c>
      <c r="CE181">
        <v>0</v>
      </c>
      <c r="CF181">
        <v>0</v>
      </c>
      <c r="CG181">
        <v>0</v>
      </c>
      <c r="CH181">
        <v>0</v>
      </c>
      <c r="CI181">
        <v>0</v>
      </c>
      <c r="CO181">
        <v>0</v>
      </c>
      <c r="CP181">
        <v>0</v>
      </c>
      <c r="CQ181" t="s">
        <v>413</v>
      </c>
      <c r="CR181" t="s">
        <v>183</v>
      </c>
      <c r="CS181" t="s">
        <v>161</v>
      </c>
      <c r="CT181" t="s">
        <v>139</v>
      </c>
      <c r="CU181" t="s">
        <v>163</v>
      </c>
      <c r="CW181">
        <v>7</v>
      </c>
      <c r="CX181" t="s">
        <v>414</v>
      </c>
      <c r="CY181" t="s">
        <v>415</v>
      </c>
      <c r="CZ181" t="s">
        <v>408</v>
      </c>
      <c r="DA181" t="s">
        <v>416</v>
      </c>
      <c r="DB181">
        <v>0</v>
      </c>
      <c r="DC181">
        <v>6500</v>
      </c>
    </row>
    <row r="182" spans="1:107" x14ac:dyDescent="0.25">
      <c r="A182" t="s">
        <v>1351</v>
      </c>
      <c r="B182" t="s">
        <v>108</v>
      </c>
      <c r="C182" t="s">
        <v>1352</v>
      </c>
      <c r="D182" t="s">
        <v>1353</v>
      </c>
      <c r="F182" s="3" t="str">
        <f>HYPERLINK("https://mapwv.gov/flood/map/?wkid=102100&amp;x=-9086390.22578845&amp;y=4625475.318157857&amp;l=13&amp;v=2","FT")</f>
        <v>FT</v>
      </c>
      <c r="G182" s="3" t="str">
        <f>HYPERLINK("https://mapwv.gov/Assessment/Detail/?PID=20090040003600010000","Assessment")</f>
        <v>Assessment</v>
      </c>
      <c r="H182">
        <v>540073</v>
      </c>
      <c r="I182" t="s">
        <v>1333</v>
      </c>
      <c r="J182" t="s">
        <v>1282</v>
      </c>
      <c r="K182" t="s">
        <v>113</v>
      </c>
      <c r="L182" t="s">
        <v>1354</v>
      </c>
      <c r="M182" t="s">
        <v>1308</v>
      </c>
      <c r="N182" t="s">
        <v>149</v>
      </c>
      <c r="O182" t="s">
        <v>117</v>
      </c>
      <c r="P182" t="s">
        <v>150</v>
      </c>
      <c r="Q182" t="s">
        <v>119</v>
      </c>
      <c r="R182" t="s">
        <v>151</v>
      </c>
      <c r="S182" t="s">
        <v>151</v>
      </c>
      <c r="T182" t="s">
        <v>151</v>
      </c>
      <c r="U182" t="s">
        <v>151</v>
      </c>
      <c r="V182">
        <v>658</v>
      </c>
      <c r="X182" t="s">
        <v>1355</v>
      </c>
      <c r="Y182" t="s">
        <v>1356</v>
      </c>
      <c r="Z182">
        <v>1979</v>
      </c>
      <c r="AA182" t="s">
        <v>241</v>
      </c>
      <c r="AB182" t="s">
        <v>155</v>
      </c>
      <c r="AC182" t="s">
        <v>129</v>
      </c>
      <c r="AD182">
        <v>2</v>
      </c>
      <c r="AE182">
        <v>101</v>
      </c>
      <c r="AF182" t="s">
        <v>127</v>
      </c>
      <c r="AG182" t="s">
        <v>128</v>
      </c>
      <c r="AH182" t="s">
        <v>129</v>
      </c>
      <c r="AI182">
        <v>1</v>
      </c>
      <c r="AJ182" t="s">
        <v>405</v>
      </c>
      <c r="AK182" t="s">
        <v>130</v>
      </c>
      <c r="AL182">
        <v>864</v>
      </c>
      <c r="AM182" t="s">
        <v>157</v>
      </c>
      <c r="AN182" t="s">
        <v>158</v>
      </c>
      <c r="AO182">
        <v>3</v>
      </c>
      <c r="AP182">
        <v>6400</v>
      </c>
      <c r="AQ182">
        <v>0</v>
      </c>
      <c r="AR182">
        <v>0</v>
      </c>
      <c r="AS182">
        <v>6400</v>
      </c>
      <c r="AT182" t="s">
        <v>132</v>
      </c>
      <c r="AU182">
        <v>1</v>
      </c>
      <c r="AV182">
        <v>0</v>
      </c>
      <c r="AW182">
        <v>1</v>
      </c>
      <c r="BE182">
        <v>2.1</v>
      </c>
      <c r="BF182">
        <v>0</v>
      </c>
      <c r="BG182">
        <v>0</v>
      </c>
      <c r="BH182" s="1">
        <v>44362</v>
      </c>
      <c r="BI182" t="s">
        <v>159</v>
      </c>
      <c r="BJ182">
        <v>1979</v>
      </c>
      <c r="BK182" t="s">
        <v>119</v>
      </c>
      <c r="BL182" t="s">
        <v>128</v>
      </c>
      <c r="BM182">
        <v>6400</v>
      </c>
      <c r="BN182">
        <v>1</v>
      </c>
      <c r="BO182">
        <v>5</v>
      </c>
      <c r="BP182">
        <v>3</v>
      </c>
      <c r="BQ182">
        <v>864</v>
      </c>
      <c r="BR182">
        <v>9556</v>
      </c>
      <c r="BS182">
        <v>38.325251045999998</v>
      </c>
      <c r="BT182">
        <v>-81.624432172999903</v>
      </c>
      <c r="BU182">
        <v>0</v>
      </c>
      <c r="BV182">
        <v>-3</v>
      </c>
      <c r="BW182">
        <v>0</v>
      </c>
      <c r="BX182" t="s">
        <v>134</v>
      </c>
      <c r="BY182">
        <v>0</v>
      </c>
      <c r="BZ182">
        <v>0</v>
      </c>
      <c r="CA182">
        <v>0</v>
      </c>
      <c r="CB182">
        <v>3200</v>
      </c>
      <c r="CC182">
        <v>0</v>
      </c>
      <c r="CD182">
        <v>0</v>
      </c>
      <c r="CE182">
        <v>0</v>
      </c>
      <c r="CF182">
        <v>0</v>
      </c>
      <c r="CG182">
        <v>0</v>
      </c>
      <c r="CH182">
        <v>0</v>
      </c>
      <c r="CI182">
        <v>0</v>
      </c>
      <c r="CO182">
        <v>0</v>
      </c>
      <c r="CP182">
        <v>0</v>
      </c>
      <c r="CQ182" t="s">
        <v>1286</v>
      </c>
      <c r="CR182" t="s">
        <v>183</v>
      </c>
      <c r="CS182" t="s">
        <v>161</v>
      </c>
      <c r="CT182" t="s">
        <v>139</v>
      </c>
      <c r="CU182" t="s">
        <v>163</v>
      </c>
      <c r="CW182">
        <v>3</v>
      </c>
      <c r="CX182" t="s">
        <v>1338</v>
      </c>
      <c r="CY182" t="s">
        <v>1288</v>
      </c>
      <c r="CZ182" t="s">
        <v>1353</v>
      </c>
      <c r="DA182" t="s">
        <v>1289</v>
      </c>
      <c r="DB182">
        <v>0</v>
      </c>
      <c r="DC182">
        <v>6400</v>
      </c>
    </row>
    <row r="183" spans="1:107" x14ac:dyDescent="0.25">
      <c r="A183" t="s">
        <v>1722</v>
      </c>
      <c r="B183" t="s">
        <v>108</v>
      </c>
      <c r="C183" t="s">
        <v>1723</v>
      </c>
      <c r="D183" t="s">
        <v>1724</v>
      </c>
      <c r="F183" s="3" t="str">
        <f>HYPERLINK("https://mapwv.gov/flood/map/?wkid=102100&amp;x=-9051859.365467617&amp;y=4588377.8499383805&amp;l=13&amp;v=2","FT")</f>
        <v>FT</v>
      </c>
      <c r="G183" s="3" t="str">
        <f>HYPERLINK("https://mapwv.gov/Assessment/Detail/?PID=1003052J000300000000","Assessment")</f>
        <v>Assessment</v>
      </c>
      <c r="H183">
        <v>540026</v>
      </c>
      <c r="I183" t="s">
        <v>1702</v>
      </c>
      <c r="J183" t="s">
        <v>1703</v>
      </c>
      <c r="K183" t="s">
        <v>148</v>
      </c>
      <c r="L183" t="s">
        <v>1725</v>
      </c>
      <c r="M183" t="s">
        <v>1308</v>
      </c>
      <c r="N183" t="s">
        <v>116</v>
      </c>
      <c r="O183" t="s">
        <v>117</v>
      </c>
      <c r="P183" t="s">
        <v>118</v>
      </c>
      <c r="Q183" t="s">
        <v>225</v>
      </c>
      <c r="R183" t="s">
        <v>151</v>
      </c>
      <c r="S183" t="s">
        <v>151</v>
      </c>
      <c r="T183">
        <v>1217.5</v>
      </c>
      <c r="U183" t="s">
        <v>121</v>
      </c>
      <c r="V183">
        <v>1217.2</v>
      </c>
      <c r="X183" t="s">
        <v>1726</v>
      </c>
      <c r="Y183" t="s">
        <v>1727</v>
      </c>
      <c r="Z183">
        <v>0</v>
      </c>
      <c r="AB183" t="s">
        <v>155</v>
      </c>
      <c r="AC183" t="s">
        <v>129</v>
      </c>
      <c r="AD183">
        <v>3</v>
      </c>
      <c r="AE183">
        <v>100</v>
      </c>
      <c r="AF183" t="s">
        <v>1507</v>
      </c>
      <c r="AG183" t="s">
        <v>177</v>
      </c>
      <c r="AH183" t="s">
        <v>129</v>
      </c>
      <c r="AI183">
        <v>1</v>
      </c>
      <c r="AL183">
        <v>720</v>
      </c>
      <c r="AN183" t="s">
        <v>158</v>
      </c>
      <c r="AO183">
        <v>3.5</v>
      </c>
      <c r="AP183">
        <v>0</v>
      </c>
      <c r="AQ183">
        <v>0</v>
      </c>
      <c r="AR183">
        <v>0</v>
      </c>
      <c r="AS183">
        <v>10990</v>
      </c>
      <c r="AT183" t="s">
        <v>178</v>
      </c>
      <c r="AU183">
        <v>1</v>
      </c>
      <c r="AV183">
        <v>0</v>
      </c>
      <c r="AW183">
        <v>0</v>
      </c>
      <c r="BE183">
        <v>2.5</v>
      </c>
      <c r="BF183">
        <v>0</v>
      </c>
      <c r="BG183">
        <v>0</v>
      </c>
      <c r="BH183" s="1">
        <v>44399</v>
      </c>
      <c r="BI183" t="s">
        <v>1121</v>
      </c>
      <c r="BJ183">
        <v>0</v>
      </c>
      <c r="BK183" t="s">
        <v>225</v>
      </c>
      <c r="BL183" t="s">
        <v>177</v>
      </c>
      <c r="BM183">
        <v>10990</v>
      </c>
      <c r="BN183">
        <v>1</v>
      </c>
      <c r="BO183">
        <v>5</v>
      </c>
      <c r="BP183">
        <v>3.5</v>
      </c>
      <c r="BQ183">
        <v>720</v>
      </c>
      <c r="BR183">
        <v>837</v>
      </c>
      <c r="BS183">
        <v>38.063342484000003</v>
      </c>
      <c r="BT183">
        <v>-81.314236176999799</v>
      </c>
      <c r="BU183">
        <v>1.4165437999999999</v>
      </c>
      <c r="BV183">
        <v>-2.083456158638</v>
      </c>
      <c r="BW183">
        <v>1</v>
      </c>
      <c r="BX183" t="s">
        <v>181</v>
      </c>
      <c r="BY183">
        <v>189</v>
      </c>
      <c r="BZ183">
        <v>0</v>
      </c>
      <c r="CA183">
        <v>0</v>
      </c>
      <c r="CB183">
        <v>5495</v>
      </c>
      <c r="CC183">
        <v>74</v>
      </c>
      <c r="CD183">
        <v>0</v>
      </c>
      <c r="CE183">
        <v>0</v>
      </c>
      <c r="CF183">
        <v>0</v>
      </c>
      <c r="CG183">
        <v>0</v>
      </c>
      <c r="CH183">
        <v>0</v>
      </c>
      <c r="CI183">
        <v>0</v>
      </c>
      <c r="CO183">
        <v>0</v>
      </c>
      <c r="CP183">
        <v>0</v>
      </c>
      <c r="CQ183" t="s">
        <v>1709</v>
      </c>
      <c r="CR183" t="s">
        <v>137</v>
      </c>
      <c r="CS183" t="s">
        <v>138</v>
      </c>
      <c r="CT183" t="s">
        <v>139</v>
      </c>
      <c r="CU183" t="s">
        <v>163</v>
      </c>
      <c r="CW183">
        <v>4</v>
      </c>
      <c r="CX183" t="s">
        <v>1710</v>
      </c>
      <c r="CY183" t="s">
        <v>1711</v>
      </c>
      <c r="CZ183" t="s">
        <v>1724</v>
      </c>
      <c r="DA183" t="s">
        <v>1712</v>
      </c>
      <c r="DB183">
        <v>0</v>
      </c>
      <c r="DC183">
        <v>6300</v>
      </c>
    </row>
    <row r="184" spans="1:107" x14ac:dyDescent="0.25">
      <c r="A184" t="s">
        <v>1394</v>
      </c>
      <c r="B184" t="s">
        <v>108</v>
      </c>
      <c r="C184" t="s">
        <v>1395</v>
      </c>
      <c r="D184" t="s">
        <v>1396</v>
      </c>
      <c r="F184" s="3" t="str">
        <f>HYPERLINK("https://mapwv.gov/flood/map/?wkid=102100&amp;x=-9089213.857696807&amp;y=4630590.347250913&amp;l=13&amp;v=2","FT")</f>
        <v>FT</v>
      </c>
      <c r="G184" s="3" t="str">
        <f>HYPERLINK("https://mapwv.gov/Assessment/Detail/?PID=20120025020300000000","Assessment")</f>
        <v>Assessment</v>
      </c>
      <c r="H184">
        <v>540073</v>
      </c>
      <c r="I184" t="s">
        <v>1333</v>
      </c>
      <c r="J184" t="s">
        <v>1282</v>
      </c>
      <c r="K184" t="s">
        <v>113</v>
      </c>
      <c r="L184" t="s">
        <v>1283</v>
      </c>
      <c r="M184" t="s">
        <v>909</v>
      </c>
      <c r="N184" t="s">
        <v>199</v>
      </c>
      <c r="O184" t="s">
        <v>117</v>
      </c>
      <c r="P184" t="s">
        <v>150</v>
      </c>
      <c r="Q184" t="s">
        <v>119</v>
      </c>
      <c r="R184">
        <v>3.9</v>
      </c>
      <c r="S184" t="s">
        <v>120</v>
      </c>
      <c r="T184" t="s">
        <v>151</v>
      </c>
      <c r="U184" t="s">
        <v>151</v>
      </c>
      <c r="V184">
        <v>589.9</v>
      </c>
      <c r="X184" t="s">
        <v>1397</v>
      </c>
      <c r="Y184" t="s">
        <v>1398</v>
      </c>
      <c r="Z184">
        <v>1930</v>
      </c>
      <c r="AA184" t="s">
        <v>124</v>
      </c>
      <c r="AB184" t="s">
        <v>155</v>
      </c>
      <c r="AC184" t="s">
        <v>129</v>
      </c>
      <c r="AD184">
        <v>4</v>
      </c>
      <c r="AE184">
        <v>101</v>
      </c>
      <c r="AF184" t="s">
        <v>127</v>
      </c>
      <c r="AG184" t="s">
        <v>128</v>
      </c>
      <c r="AH184" t="s">
        <v>129</v>
      </c>
      <c r="AI184">
        <v>1</v>
      </c>
      <c r="AJ184" t="s">
        <v>694</v>
      </c>
      <c r="AL184">
        <v>660</v>
      </c>
      <c r="AM184" t="s">
        <v>353</v>
      </c>
      <c r="AN184" t="s">
        <v>208</v>
      </c>
      <c r="AO184">
        <v>4</v>
      </c>
      <c r="AP184">
        <v>4900</v>
      </c>
      <c r="AQ184">
        <v>0</v>
      </c>
      <c r="AR184">
        <v>1290</v>
      </c>
      <c r="AS184">
        <v>6200</v>
      </c>
      <c r="AT184" t="s">
        <v>132</v>
      </c>
      <c r="AU184">
        <v>1</v>
      </c>
      <c r="AV184">
        <v>1</v>
      </c>
      <c r="AW184">
        <v>1</v>
      </c>
      <c r="AZ184" t="s">
        <v>383</v>
      </c>
      <c r="BE184">
        <v>2.1</v>
      </c>
      <c r="BF184">
        <v>1</v>
      </c>
      <c r="BG184">
        <v>2.1</v>
      </c>
      <c r="BH184" s="1">
        <v>44362</v>
      </c>
      <c r="BI184" t="s">
        <v>210</v>
      </c>
      <c r="BJ184">
        <v>1930</v>
      </c>
      <c r="BK184" t="s">
        <v>119</v>
      </c>
      <c r="BL184" t="s">
        <v>128</v>
      </c>
      <c r="BM184">
        <v>6200</v>
      </c>
      <c r="BN184">
        <v>1</v>
      </c>
      <c r="BO184">
        <v>4</v>
      </c>
      <c r="BP184">
        <v>4</v>
      </c>
      <c r="BQ184">
        <v>660</v>
      </c>
      <c r="BR184">
        <v>10657</v>
      </c>
      <c r="BS184">
        <v>38.361289286000002</v>
      </c>
      <c r="BT184">
        <v>-81.649797289999896</v>
      </c>
      <c r="BU184">
        <v>3.6575316999999998</v>
      </c>
      <c r="BV184">
        <v>-0.34246826171875</v>
      </c>
      <c r="BW184">
        <v>1</v>
      </c>
      <c r="BX184" t="s">
        <v>354</v>
      </c>
      <c r="BY184">
        <v>704</v>
      </c>
      <c r="BZ184">
        <v>23.6027221679687</v>
      </c>
      <c r="CA184">
        <v>1463.36877441406</v>
      </c>
      <c r="CB184">
        <v>3100</v>
      </c>
      <c r="CC184">
        <v>535</v>
      </c>
      <c r="CD184">
        <v>14.9725952148437</v>
      </c>
      <c r="CE184">
        <v>464.15045166015602</v>
      </c>
      <c r="CF184">
        <v>0</v>
      </c>
      <c r="CG184">
        <v>0</v>
      </c>
      <c r="CH184">
        <v>0</v>
      </c>
      <c r="CI184">
        <v>0</v>
      </c>
      <c r="CO184">
        <v>0</v>
      </c>
      <c r="CP184">
        <v>0</v>
      </c>
      <c r="CQ184" t="s">
        <v>1286</v>
      </c>
      <c r="CR184" t="s">
        <v>183</v>
      </c>
      <c r="CS184" t="s">
        <v>138</v>
      </c>
      <c r="CT184" t="s">
        <v>139</v>
      </c>
      <c r="CU184" t="s">
        <v>140</v>
      </c>
      <c r="CW184">
        <v>3</v>
      </c>
      <c r="CX184" t="s">
        <v>1338</v>
      </c>
      <c r="CY184" t="s">
        <v>1288</v>
      </c>
      <c r="CZ184" t="s">
        <v>1396</v>
      </c>
      <c r="DA184" t="s">
        <v>1289</v>
      </c>
      <c r="DB184">
        <v>0</v>
      </c>
      <c r="DC184">
        <v>6200</v>
      </c>
    </row>
    <row r="185" spans="1:107" x14ac:dyDescent="0.25">
      <c r="A185" t="s">
        <v>989</v>
      </c>
      <c r="B185" t="s">
        <v>108</v>
      </c>
      <c r="C185" t="s">
        <v>990</v>
      </c>
      <c r="D185" t="s">
        <v>991</v>
      </c>
      <c r="F185" s="3" t="str">
        <f>HYPERLINK("https://mapwv.gov/flood/map/?wkid=102100&amp;x=-9110474.84216143&amp;y=4541133.596280904&amp;l=13&amp;v=2","FT")</f>
        <v>FT</v>
      </c>
      <c r="G185" s="3" t="str">
        <f>HYPERLINK("https://mapwv.gov/Assessment/Detail/?PID=23080013000600000000","Assessment")</f>
        <v>Assessment</v>
      </c>
      <c r="H185">
        <v>545536</v>
      </c>
      <c r="I185" t="s">
        <v>964</v>
      </c>
      <c r="J185" t="s">
        <v>965</v>
      </c>
      <c r="K185" t="s">
        <v>148</v>
      </c>
      <c r="L185" t="s">
        <v>992</v>
      </c>
      <c r="M185" t="s">
        <v>967</v>
      </c>
      <c r="N185" t="s">
        <v>199</v>
      </c>
      <c r="O185" t="s">
        <v>117</v>
      </c>
      <c r="P185" t="s">
        <v>150</v>
      </c>
      <c r="Q185" t="s">
        <v>260</v>
      </c>
      <c r="R185">
        <v>1.5</v>
      </c>
      <c r="S185" t="s">
        <v>120</v>
      </c>
      <c r="T185">
        <v>803.2</v>
      </c>
      <c r="U185" t="s">
        <v>365</v>
      </c>
      <c r="V185">
        <v>801.6</v>
      </c>
      <c r="X185" t="s">
        <v>993</v>
      </c>
      <c r="Y185" t="s">
        <v>994</v>
      </c>
      <c r="Z185">
        <v>1988</v>
      </c>
      <c r="AA185" t="s">
        <v>241</v>
      </c>
      <c r="AB185" t="s">
        <v>155</v>
      </c>
      <c r="AC185" t="s">
        <v>129</v>
      </c>
      <c r="AD185">
        <v>3</v>
      </c>
      <c r="AE185">
        <v>108</v>
      </c>
      <c r="AF185" t="s">
        <v>176</v>
      </c>
      <c r="AG185" t="s">
        <v>177</v>
      </c>
      <c r="AH185" t="s">
        <v>129</v>
      </c>
      <c r="AI185">
        <v>1</v>
      </c>
      <c r="AL185">
        <v>700</v>
      </c>
      <c r="AN185" t="s">
        <v>158</v>
      </c>
      <c r="AO185">
        <v>4</v>
      </c>
      <c r="AP185">
        <v>0</v>
      </c>
      <c r="AQ185">
        <v>0</v>
      </c>
      <c r="AR185">
        <v>6140</v>
      </c>
      <c r="AS185">
        <v>6100</v>
      </c>
      <c r="AT185" t="s">
        <v>132</v>
      </c>
      <c r="AU185">
        <v>1</v>
      </c>
      <c r="AV185">
        <v>5</v>
      </c>
      <c r="AW185">
        <v>1</v>
      </c>
      <c r="BE185">
        <v>2.4</v>
      </c>
      <c r="BF185">
        <v>1</v>
      </c>
      <c r="BG185">
        <v>2.4</v>
      </c>
      <c r="BH185" s="1">
        <v>44348</v>
      </c>
      <c r="BI185" t="s">
        <v>210</v>
      </c>
      <c r="BJ185">
        <v>1988</v>
      </c>
      <c r="BK185" t="s">
        <v>260</v>
      </c>
      <c r="BL185" t="s">
        <v>177</v>
      </c>
      <c r="BM185">
        <v>6100</v>
      </c>
      <c r="BN185">
        <v>1</v>
      </c>
      <c r="BO185">
        <v>5</v>
      </c>
      <c r="BP185">
        <v>4</v>
      </c>
      <c r="BQ185">
        <v>700</v>
      </c>
      <c r="BR185">
        <v>308</v>
      </c>
      <c r="BS185">
        <v>37.728435693000101</v>
      </c>
      <c r="BT185">
        <v>-81.840787962999897</v>
      </c>
      <c r="BU185">
        <v>1.4685668999999999</v>
      </c>
      <c r="BV185">
        <v>-2.53143310546875</v>
      </c>
      <c r="BW185">
        <v>1</v>
      </c>
      <c r="BX185" t="s">
        <v>181</v>
      </c>
      <c r="BY185">
        <v>189</v>
      </c>
      <c r="BZ185">
        <v>0</v>
      </c>
      <c r="CA185">
        <v>0</v>
      </c>
      <c r="CB185">
        <v>3050</v>
      </c>
      <c r="CC185">
        <v>74</v>
      </c>
      <c r="CD185">
        <v>0</v>
      </c>
      <c r="CE185">
        <v>0</v>
      </c>
      <c r="CF185">
        <v>0</v>
      </c>
      <c r="CG185">
        <v>0</v>
      </c>
      <c r="CH185">
        <v>0</v>
      </c>
      <c r="CI185">
        <v>0</v>
      </c>
      <c r="CO185">
        <v>0</v>
      </c>
      <c r="CP185">
        <v>0</v>
      </c>
      <c r="CQ185" t="s">
        <v>974</v>
      </c>
      <c r="CR185" t="s">
        <v>183</v>
      </c>
      <c r="CS185" t="s">
        <v>138</v>
      </c>
      <c r="CT185" t="s">
        <v>139</v>
      </c>
      <c r="CU185" t="s">
        <v>163</v>
      </c>
      <c r="CW185">
        <v>2</v>
      </c>
      <c r="CX185" t="s">
        <v>975</v>
      </c>
      <c r="CY185" t="s">
        <v>976</v>
      </c>
      <c r="CZ185" t="s">
        <v>991</v>
      </c>
      <c r="DA185" t="s">
        <v>977</v>
      </c>
      <c r="DB185">
        <v>0</v>
      </c>
      <c r="DC185">
        <v>6100</v>
      </c>
    </row>
    <row r="186" spans="1:107" x14ac:dyDescent="0.25">
      <c r="A186" t="s">
        <v>1636</v>
      </c>
      <c r="B186" t="s">
        <v>108</v>
      </c>
      <c r="C186" t="s">
        <v>1637</v>
      </c>
      <c r="D186" t="s">
        <v>1638</v>
      </c>
      <c r="E186" t="s">
        <v>1639</v>
      </c>
      <c r="F186" s="3" t="str">
        <f>HYPERLINK("https://mapwv.gov/flood/map/?wkid=102100&amp;x=-8906003.561702218&amp;y=4588930.716612262&amp;l=13&amp;v=2","FT")</f>
        <v>FT</v>
      </c>
      <c r="G186" s="3" t="str">
        <f>HYPERLINK("https://mapwv.gov/Assessment/Detail/?PID=38060072000300000000","Assessment")</f>
        <v>Assessment</v>
      </c>
      <c r="H186">
        <v>540283</v>
      </c>
      <c r="I186" t="s">
        <v>1640</v>
      </c>
      <c r="J186" t="s">
        <v>1641</v>
      </c>
      <c r="K186" t="s">
        <v>148</v>
      </c>
      <c r="L186" t="s">
        <v>1642</v>
      </c>
      <c r="M186" t="s">
        <v>1643</v>
      </c>
      <c r="N186" t="s">
        <v>149</v>
      </c>
      <c r="O186" t="s">
        <v>117</v>
      </c>
      <c r="P186" t="s">
        <v>150</v>
      </c>
      <c r="Q186" t="s">
        <v>119</v>
      </c>
      <c r="R186" t="s">
        <v>151</v>
      </c>
      <c r="S186" t="s">
        <v>151</v>
      </c>
      <c r="T186" t="s">
        <v>151</v>
      </c>
      <c r="U186" t="s">
        <v>151</v>
      </c>
      <c r="V186">
        <v>2366.4</v>
      </c>
      <c r="X186" t="s">
        <v>1644</v>
      </c>
      <c r="Y186" t="s">
        <v>1645</v>
      </c>
      <c r="Z186">
        <v>1975</v>
      </c>
      <c r="AA186" t="s">
        <v>241</v>
      </c>
      <c r="AB186" t="s">
        <v>155</v>
      </c>
      <c r="AC186" t="s">
        <v>129</v>
      </c>
      <c r="AD186">
        <v>3</v>
      </c>
      <c r="AE186">
        <v>101</v>
      </c>
      <c r="AF186" t="s">
        <v>127</v>
      </c>
      <c r="AG186" t="s">
        <v>177</v>
      </c>
      <c r="AH186" t="s">
        <v>129</v>
      </c>
      <c r="AI186">
        <v>1</v>
      </c>
      <c r="AJ186" t="s">
        <v>156</v>
      </c>
      <c r="AK186" t="s">
        <v>130</v>
      </c>
      <c r="AL186">
        <v>383</v>
      </c>
      <c r="AM186" t="s">
        <v>157</v>
      </c>
      <c r="AN186" t="s">
        <v>158</v>
      </c>
      <c r="AO186">
        <v>3</v>
      </c>
      <c r="AP186">
        <v>30900</v>
      </c>
      <c r="AQ186">
        <v>0</v>
      </c>
      <c r="AR186">
        <v>8480</v>
      </c>
      <c r="AS186">
        <v>2800</v>
      </c>
      <c r="AT186" t="s">
        <v>178</v>
      </c>
      <c r="AU186">
        <v>2</v>
      </c>
      <c r="AV186">
        <v>7</v>
      </c>
      <c r="AW186">
        <v>1</v>
      </c>
      <c r="BC186" t="s">
        <v>180</v>
      </c>
      <c r="BE186">
        <v>2.2999999999999998</v>
      </c>
      <c r="BF186">
        <v>0</v>
      </c>
      <c r="BG186">
        <v>0</v>
      </c>
      <c r="BH186" s="1">
        <v>44396</v>
      </c>
      <c r="BI186" t="s">
        <v>159</v>
      </c>
      <c r="BJ186">
        <v>1975</v>
      </c>
      <c r="BK186" t="s">
        <v>119</v>
      </c>
      <c r="BL186" t="s">
        <v>177</v>
      </c>
      <c r="BM186">
        <v>2800</v>
      </c>
      <c r="BN186">
        <v>1</v>
      </c>
      <c r="BO186">
        <v>5</v>
      </c>
      <c r="BP186">
        <v>3</v>
      </c>
      <c r="BQ186">
        <v>383</v>
      </c>
      <c r="BR186">
        <v>118</v>
      </c>
      <c r="BS186">
        <v>38.067252641000003</v>
      </c>
      <c r="BT186">
        <v>-80.003991198999898</v>
      </c>
      <c r="BU186">
        <v>0</v>
      </c>
      <c r="BV186">
        <v>-3</v>
      </c>
      <c r="BW186">
        <v>0</v>
      </c>
      <c r="BX186" t="s">
        <v>181</v>
      </c>
      <c r="BY186">
        <v>0</v>
      </c>
      <c r="BZ186">
        <v>0</v>
      </c>
      <c r="CA186">
        <v>0</v>
      </c>
      <c r="CB186">
        <v>1400</v>
      </c>
      <c r="CC186">
        <v>0</v>
      </c>
      <c r="CD186">
        <v>0</v>
      </c>
      <c r="CE186">
        <v>0</v>
      </c>
      <c r="CF186">
        <v>0</v>
      </c>
      <c r="CG186">
        <v>0</v>
      </c>
      <c r="CH186">
        <v>0</v>
      </c>
      <c r="CI186">
        <v>0</v>
      </c>
      <c r="CO186">
        <v>0</v>
      </c>
      <c r="CP186">
        <v>0</v>
      </c>
      <c r="CQ186" t="s">
        <v>1646</v>
      </c>
      <c r="CR186" t="s">
        <v>183</v>
      </c>
      <c r="CS186" t="s">
        <v>161</v>
      </c>
      <c r="CT186" t="s">
        <v>139</v>
      </c>
      <c r="CU186" t="s">
        <v>163</v>
      </c>
      <c r="CW186">
        <v>4</v>
      </c>
      <c r="CX186" t="s">
        <v>1647</v>
      </c>
      <c r="CY186" t="s">
        <v>1648</v>
      </c>
      <c r="CZ186" t="s">
        <v>1638</v>
      </c>
      <c r="DA186" t="s">
        <v>1649</v>
      </c>
      <c r="DB186">
        <v>0</v>
      </c>
      <c r="DC186">
        <v>6100</v>
      </c>
    </row>
    <row r="187" spans="1:107" x14ac:dyDescent="0.25">
      <c r="A187" t="s">
        <v>1431</v>
      </c>
      <c r="B187" t="s">
        <v>108</v>
      </c>
      <c r="C187" t="s">
        <v>1432</v>
      </c>
      <c r="D187" t="s">
        <v>1433</v>
      </c>
      <c r="F187" s="3" t="str">
        <f>HYPERLINK("https://mapwv.gov/flood/map/?wkid=102100&amp;x=-9055807.662198957&amp;y=4649850.764907375&amp;l=13&amp;v=2","FT")</f>
        <v>FT</v>
      </c>
      <c r="G187" s="3" t="str">
        <f>HYPERLINK("https://mapwv.gov/Assessment/Detail/?PID=2001019E005600000000","Assessment")</f>
        <v>Assessment</v>
      </c>
      <c r="H187">
        <v>540070</v>
      </c>
      <c r="I187" t="s">
        <v>1306</v>
      </c>
      <c r="J187" t="s">
        <v>1282</v>
      </c>
      <c r="K187" t="s">
        <v>148</v>
      </c>
      <c r="L187" t="s">
        <v>900</v>
      </c>
      <c r="M187" t="s">
        <v>172</v>
      </c>
      <c r="N187" t="s">
        <v>199</v>
      </c>
      <c r="O187" t="s">
        <v>117</v>
      </c>
      <c r="P187" t="s">
        <v>150</v>
      </c>
      <c r="Q187" t="s">
        <v>119</v>
      </c>
      <c r="R187">
        <v>10.199999999999999</v>
      </c>
      <c r="S187" t="s">
        <v>120</v>
      </c>
      <c r="T187" t="s">
        <v>151</v>
      </c>
      <c r="U187" t="s">
        <v>151</v>
      </c>
      <c r="V187">
        <v>621.4</v>
      </c>
      <c r="X187" t="s">
        <v>1434</v>
      </c>
      <c r="Y187" t="s">
        <v>1435</v>
      </c>
      <c r="Z187">
        <v>1920</v>
      </c>
      <c r="AA187" t="s">
        <v>241</v>
      </c>
      <c r="AB187" t="s">
        <v>155</v>
      </c>
      <c r="AC187" t="s">
        <v>129</v>
      </c>
      <c r="AD187">
        <v>3</v>
      </c>
      <c r="AE187">
        <v>102</v>
      </c>
      <c r="AF187" t="s">
        <v>1294</v>
      </c>
      <c r="AG187" t="s">
        <v>1436</v>
      </c>
      <c r="AH187" t="s">
        <v>129</v>
      </c>
      <c r="AI187">
        <v>1</v>
      </c>
      <c r="AJ187" t="s">
        <v>694</v>
      </c>
      <c r="AL187">
        <v>473</v>
      </c>
      <c r="AM187" t="s">
        <v>519</v>
      </c>
      <c r="AN187" t="s">
        <v>208</v>
      </c>
      <c r="AO187">
        <v>10</v>
      </c>
      <c r="AP187">
        <v>6000</v>
      </c>
      <c r="AQ187">
        <v>0</v>
      </c>
      <c r="AR187">
        <v>0</v>
      </c>
      <c r="AS187">
        <v>2400</v>
      </c>
      <c r="AT187" t="s">
        <v>178</v>
      </c>
      <c r="AU187">
        <v>2</v>
      </c>
      <c r="AV187">
        <v>0</v>
      </c>
      <c r="AW187">
        <v>2</v>
      </c>
      <c r="BB187" t="s">
        <v>1302</v>
      </c>
      <c r="BE187">
        <v>2.4</v>
      </c>
      <c r="BF187">
        <v>2</v>
      </c>
      <c r="BG187">
        <v>4.8</v>
      </c>
      <c r="BH187" s="1">
        <v>44362</v>
      </c>
      <c r="BI187" t="s">
        <v>1437</v>
      </c>
      <c r="BJ187">
        <v>1920</v>
      </c>
      <c r="BK187" t="s">
        <v>119</v>
      </c>
      <c r="BL187" t="s">
        <v>1436</v>
      </c>
      <c r="BM187">
        <v>2400</v>
      </c>
      <c r="BN187">
        <v>1</v>
      </c>
      <c r="BO187">
        <v>4</v>
      </c>
      <c r="BP187">
        <v>10</v>
      </c>
      <c r="BQ187">
        <v>473</v>
      </c>
      <c r="BR187">
        <v>8331</v>
      </c>
      <c r="BS187">
        <v>38.496828764999897</v>
      </c>
      <c r="BT187">
        <v>-81.349704329999895</v>
      </c>
      <c r="BU187">
        <v>10.332520000000001</v>
      </c>
      <c r="BV187">
        <v>0.33251953125</v>
      </c>
      <c r="BW187">
        <v>1</v>
      </c>
      <c r="BX187" t="s">
        <v>1438</v>
      </c>
      <c r="BY187">
        <v>205</v>
      </c>
      <c r="BZ187">
        <v>12.99755859375</v>
      </c>
      <c r="CA187">
        <v>311.94140625</v>
      </c>
      <c r="CB187">
        <v>1200</v>
      </c>
      <c r="CC187">
        <v>82</v>
      </c>
      <c r="CD187">
        <v>16.330078125</v>
      </c>
      <c r="CE187">
        <v>195.9609375</v>
      </c>
      <c r="CF187">
        <v>0</v>
      </c>
      <c r="CG187">
        <v>0</v>
      </c>
      <c r="CH187">
        <v>0</v>
      </c>
      <c r="CI187">
        <v>0</v>
      </c>
      <c r="CJ187" t="s">
        <v>1439</v>
      </c>
      <c r="CK187">
        <v>1.9393</v>
      </c>
      <c r="CL187">
        <v>0</v>
      </c>
      <c r="CM187">
        <v>0</v>
      </c>
      <c r="CN187">
        <v>1.9393</v>
      </c>
      <c r="CO187">
        <v>180</v>
      </c>
      <c r="CP187">
        <v>360</v>
      </c>
      <c r="CQ187" t="s">
        <v>1286</v>
      </c>
      <c r="CR187" t="s">
        <v>183</v>
      </c>
      <c r="CS187" t="s">
        <v>138</v>
      </c>
      <c r="CT187" t="s">
        <v>139</v>
      </c>
      <c r="CU187" t="s">
        <v>140</v>
      </c>
      <c r="CW187">
        <v>3</v>
      </c>
      <c r="CX187" t="s">
        <v>1312</v>
      </c>
      <c r="CY187" t="s">
        <v>1288</v>
      </c>
      <c r="CZ187" t="s">
        <v>1433</v>
      </c>
      <c r="DA187" t="s">
        <v>1289</v>
      </c>
      <c r="DB187">
        <v>0</v>
      </c>
      <c r="DC187">
        <v>6000</v>
      </c>
    </row>
    <row r="188" spans="1:107" x14ac:dyDescent="0.25">
      <c r="A188" t="s">
        <v>1440</v>
      </c>
      <c r="B188" t="s">
        <v>108</v>
      </c>
      <c r="C188" t="s">
        <v>1441</v>
      </c>
      <c r="D188" t="s">
        <v>1433</v>
      </c>
      <c r="F188" s="3" t="str">
        <f>HYPERLINK("https://mapwv.gov/flood/map/?wkid=102100&amp;x=-9055812.715324603&amp;y=4649868.850013185&amp;l=13&amp;v=2","FT")</f>
        <v>FT</v>
      </c>
      <c r="G188" s="3" t="str">
        <f>HYPERLINK("https://mapwv.gov/Assessment/Detail/?PID=2001019E005600000000","Assessment")</f>
        <v>Assessment</v>
      </c>
      <c r="H188">
        <v>540070</v>
      </c>
      <c r="I188" t="s">
        <v>1306</v>
      </c>
      <c r="J188" t="s">
        <v>1282</v>
      </c>
      <c r="K188" t="s">
        <v>148</v>
      </c>
      <c r="L188" t="s">
        <v>900</v>
      </c>
      <c r="M188" t="s">
        <v>172</v>
      </c>
      <c r="N188" t="s">
        <v>199</v>
      </c>
      <c r="O188" t="s">
        <v>117</v>
      </c>
      <c r="P188" t="s">
        <v>150</v>
      </c>
      <c r="Q188" t="s">
        <v>119</v>
      </c>
      <c r="R188">
        <v>9.1</v>
      </c>
      <c r="S188" t="s">
        <v>120</v>
      </c>
      <c r="T188" t="s">
        <v>151</v>
      </c>
      <c r="U188" t="s">
        <v>151</v>
      </c>
      <c r="V188">
        <v>622.5</v>
      </c>
      <c r="X188" t="s">
        <v>1434</v>
      </c>
      <c r="Y188" t="s">
        <v>1435</v>
      </c>
      <c r="Z188">
        <v>1920</v>
      </c>
      <c r="AA188" t="s">
        <v>241</v>
      </c>
      <c r="AB188" t="s">
        <v>155</v>
      </c>
      <c r="AC188" t="s">
        <v>129</v>
      </c>
      <c r="AD188">
        <v>3</v>
      </c>
      <c r="AE188">
        <v>102</v>
      </c>
      <c r="AF188" t="s">
        <v>1294</v>
      </c>
      <c r="AG188" t="s">
        <v>1436</v>
      </c>
      <c r="AH188" t="s">
        <v>129</v>
      </c>
      <c r="AI188">
        <v>1</v>
      </c>
      <c r="AJ188" t="s">
        <v>694</v>
      </c>
      <c r="AL188">
        <v>926</v>
      </c>
      <c r="AM188" t="s">
        <v>519</v>
      </c>
      <c r="AN188" t="s">
        <v>208</v>
      </c>
      <c r="AO188">
        <v>8</v>
      </c>
      <c r="AP188">
        <v>6000</v>
      </c>
      <c r="AQ188">
        <v>0</v>
      </c>
      <c r="AR188">
        <v>0</v>
      </c>
      <c r="AS188">
        <v>3600</v>
      </c>
      <c r="AT188" t="s">
        <v>178</v>
      </c>
      <c r="AU188">
        <v>2</v>
      </c>
      <c r="AV188">
        <v>0</v>
      </c>
      <c r="AW188">
        <v>2</v>
      </c>
      <c r="BB188" t="s">
        <v>1295</v>
      </c>
      <c r="BE188">
        <v>2.4</v>
      </c>
      <c r="BF188">
        <v>2</v>
      </c>
      <c r="BG188">
        <v>4.8</v>
      </c>
      <c r="BH188" s="1">
        <v>44362</v>
      </c>
      <c r="BI188" t="s">
        <v>1437</v>
      </c>
      <c r="BJ188">
        <v>1920</v>
      </c>
      <c r="BK188" t="s">
        <v>119</v>
      </c>
      <c r="BL188" t="s">
        <v>1436</v>
      </c>
      <c r="BM188">
        <v>3600</v>
      </c>
      <c r="BN188">
        <v>1</v>
      </c>
      <c r="BO188">
        <v>4</v>
      </c>
      <c r="BP188">
        <v>8</v>
      </c>
      <c r="BQ188">
        <v>926</v>
      </c>
      <c r="BR188">
        <v>8332</v>
      </c>
      <c r="BS188">
        <v>38.496955913999997</v>
      </c>
      <c r="BT188">
        <v>-81.349749722999903</v>
      </c>
      <c r="BU188">
        <v>9.1450200000000006</v>
      </c>
      <c r="BV188">
        <v>1.14501953125</v>
      </c>
      <c r="BW188">
        <v>1</v>
      </c>
      <c r="BX188" t="s">
        <v>1438</v>
      </c>
      <c r="BY188">
        <v>205</v>
      </c>
      <c r="BZ188">
        <v>15.72509765625</v>
      </c>
      <c r="CA188">
        <v>566.103515625</v>
      </c>
      <c r="CB188">
        <v>1800</v>
      </c>
      <c r="CC188">
        <v>82</v>
      </c>
      <c r="CD188">
        <v>19.43505859375</v>
      </c>
      <c r="CE188">
        <v>349.8310546875</v>
      </c>
      <c r="CF188">
        <v>0</v>
      </c>
      <c r="CG188">
        <v>0</v>
      </c>
      <c r="CH188">
        <v>0</v>
      </c>
      <c r="CI188">
        <v>0</v>
      </c>
      <c r="CJ188" t="s">
        <v>1442</v>
      </c>
      <c r="CK188">
        <v>3.79659999999999</v>
      </c>
      <c r="CL188">
        <v>0</v>
      </c>
      <c r="CM188">
        <v>0</v>
      </c>
      <c r="CN188">
        <v>3.79659999999999</v>
      </c>
      <c r="CO188">
        <v>180</v>
      </c>
      <c r="CP188">
        <v>360</v>
      </c>
      <c r="CQ188" t="s">
        <v>1286</v>
      </c>
      <c r="CR188" t="s">
        <v>183</v>
      </c>
      <c r="CS188" t="s">
        <v>138</v>
      </c>
      <c r="CT188" t="s">
        <v>139</v>
      </c>
      <c r="CU188" t="s">
        <v>140</v>
      </c>
      <c r="CW188">
        <v>3</v>
      </c>
      <c r="CX188" t="s">
        <v>1312</v>
      </c>
      <c r="CY188" t="s">
        <v>1288</v>
      </c>
      <c r="CZ188" t="s">
        <v>1433</v>
      </c>
      <c r="DA188" t="s">
        <v>1289</v>
      </c>
      <c r="DB188">
        <v>0</v>
      </c>
      <c r="DC188">
        <v>6000</v>
      </c>
    </row>
    <row r="189" spans="1:107" x14ac:dyDescent="0.25">
      <c r="A189" t="s">
        <v>499</v>
      </c>
      <c r="B189" t="s">
        <v>108</v>
      </c>
      <c r="C189" t="s">
        <v>500</v>
      </c>
      <c r="D189" t="s">
        <v>501</v>
      </c>
      <c r="F189" s="3" t="str">
        <f>HYPERLINK("https://mapwv.gov/flood/map/?wkid=102100&amp;x=-8918858.189363724&amp;y=4790340.130863338&amp;l=13&amp;v=2","FT")</f>
        <v>FT</v>
      </c>
      <c r="G189" s="3" t="str">
        <f>HYPERLINK("https://mapwv.gov/Assessment/Detail/?PID=24050003014900010000","Assessment")</f>
        <v>Assessment</v>
      </c>
      <c r="H189">
        <v>540099</v>
      </c>
      <c r="I189" t="s">
        <v>502</v>
      </c>
      <c r="J189" t="s">
        <v>491</v>
      </c>
      <c r="K189" t="s">
        <v>113</v>
      </c>
      <c r="L189" t="s">
        <v>503</v>
      </c>
      <c r="M189" t="s">
        <v>504</v>
      </c>
      <c r="N189" t="s">
        <v>199</v>
      </c>
      <c r="O189" t="s">
        <v>117</v>
      </c>
      <c r="P189" t="s">
        <v>150</v>
      </c>
      <c r="Q189" t="s">
        <v>119</v>
      </c>
      <c r="R189">
        <v>0.6</v>
      </c>
      <c r="S189" t="s">
        <v>120</v>
      </c>
      <c r="T189" t="s">
        <v>151</v>
      </c>
      <c r="U189" t="s">
        <v>151</v>
      </c>
      <c r="V189">
        <v>964.2</v>
      </c>
      <c r="X189" t="s">
        <v>505</v>
      </c>
      <c r="Y189" t="s">
        <v>506</v>
      </c>
      <c r="Z189">
        <v>1925</v>
      </c>
      <c r="AA189" t="s">
        <v>154</v>
      </c>
      <c r="AB189" t="s">
        <v>175</v>
      </c>
      <c r="AC189" t="s">
        <v>288</v>
      </c>
      <c r="AD189">
        <v>4</v>
      </c>
      <c r="AE189">
        <v>398</v>
      </c>
      <c r="AF189" t="s">
        <v>507</v>
      </c>
      <c r="AG189" t="s">
        <v>508</v>
      </c>
      <c r="AH189" t="s">
        <v>288</v>
      </c>
      <c r="AI189">
        <v>1</v>
      </c>
      <c r="AJ189" t="s">
        <v>509</v>
      </c>
      <c r="AL189">
        <v>4116</v>
      </c>
      <c r="AM189" t="s">
        <v>207</v>
      </c>
      <c r="AN189" t="s">
        <v>208</v>
      </c>
      <c r="AO189">
        <v>4</v>
      </c>
      <c r="AP189">
        <v>0</v>
      </c>
      <c r="AQ189">
        <v>5900</v>
      </c>
      <c r="AR189">
        <v>0</v>
      </c>
      <c r="AS189">
        <v>5900</v>
      </c>
      <c r="AT189" t="s">
        <v>132</v>
      </c>
      <c r="AU189">
        <v>1</v>
      </c>
      <c r="AV189">
        <v>0</v>
      </c>
      <c r="BE189">
        <v>2.2999999999999998</v>
      </c>
      <c r="BF189">
        <v>0</v>
      </c>
      <c r="BG189">
        <v>0</v>
      </c>
      <c r="BH189" s="1">
        <v>44291</v>
      </c>
      <c r="BI189" t="s">
        <v>510</v>
      </c>
      <c r="BJ189">
        <v>1925</v>
      </c>
      <c r="BK189" t="s">
        <v>119</v>
      </c>
      <c r="BL189" t="s">
        <v>508</v>
      </c>
      <c r="BM189">
        <v>5900</v>
      </c>
      <c r="BN189">
        <v>1</v>
      </c>
      <c r="BO189">
        <v>4</v>
      </c>
      <c r="BP189">
        <v>4</v>
      </c>
      <c r="BQ189">
        <v>4116</v>
      </c>
      <c r="BR189">
        <v>1223</v>
      </c>
      <c r="BS189">
        <v>39.477764458999999</v>
      </c>
      <c r="BT189">
        <v>-80.119466283999799</v>
      </c>
      <c r="BU189">
        <v>0.1</v>
      </c>
      <c r="BV189">
        <v>-3.8999999985098799</v>
      </c>
      <c r="BW189">
        <v>1</v>
      </c>
      <c r="BX189" t="s">
        <v>511</v>
      </c>
      <c r="BY189">
        <v>341</v>
      </c>
      <c r="BZ189">
        <v>0</v>
      </c>
      <c r="CA189">
        <v>0</v>
      </c>
      <c r="CB189">
        <v>5900</v>
      </c>
      <c r="CC189">
        <v>195</v>
      </c>
      <c r="CD189">
        <v>0</v>
      </c>
      <c r="CE189">
        <v>0</v>
      </c>
      <c r="CF189">
        <v>31693</v>
      </c>
      <c r="CG189">
        <v>46</v>
      </c>
      <c r="CH189">
        <v>0</v>
      </c>
      <c r="CI189">
        <v>0</v>
      </c>
      <c r="CO189">
        <v>0</v>
      </c>
      <c r="CP189">
        <v>0</v>
      </c>
      <c r="CQ189" t="s">
        <v>495</v>
      </c>
      <c r="CR189" t="s">
        <v>294</v>
      </c>
      <c r="CS189" t="s">
        <v>138</v>
      </c>
      <c r="CT189" t="s">
        <v>139</v>
      </c>
      <c r="CU189" t="s">
        <v>163</v>
      </c>
      <c r="CW189">
        <v>6</v>
      </c>
      <c r="CX189" t="s">
        <v>512</v>
      </c>
      <c r="CY189" t="s">
        <v>497</v>
      </c>
      <c r="CZ189" t="s">
        <v>501</v>
      </c>
      <c r="DA189" t="s">
        <v>498</v>
      </c>
      <c r="DB189">
        <v>0</v>
      </c>
      <c r="DC189">
        <v>5900</v>
      </c>
    </row>
    <row r="190" spans="1:107" x14ac:dyDescent="0.25">
      <c r="A190" t="s">
        <v>581</v>
      </c>
      <c r="B190" t="s">
        <v>108</v>
      </c>
      <c r="C190" t="s">
        <v>582</v>
      </c>
      <c r="D190" t="s">
        <v>583</v>
      </c>
      <c r="F190" s="3" t="str">
        <f>HYPERLINK("https://mapwv.gov/flood/map/?wkid=102100&amp;x=-9035817.709653959&amp;y=4631904.009900507&amp;l=13&amp;v=2","FT")</f>
        <v>FT</v>
      </c>
      <c r="G190" s="3" t="str">
        <f>HYPERLINK("https://mapwv.gov/Assessment/Detail/?PID=08050013000900020000","Assessment")</f>
        <v>Assessment</v>
      </c>
      <c r="H190">
        <v>540022</v>
      </c>
      <c r="I190" t="s">
        <v>584</v>
      </c>
      <c r="J190" t="s">
        <v>585</v>
      </c>
      <c r="K190" t="s">
        <v>148</v>
      </c>
      <c r="L190" t="s">
        <v>586</v>
      </c>
      <c r="M190" t="s">
        <v>172</v>
      </c>
      <c r="N190" t="s">
        <v>149</v>
      </c>
      <c r="O190" t="s">
        <v>117</v>
      </c>
      <c r="P190" t="s">
        <v>150</v>
      </c>
      <c r="Q190" t="s">
        <v>119</v>
      </c>
      <c r="R190" t="s">
        <v>151</v>
      </c>
      <c r="S190" t="s">
        <v>151</v>
      </c>
      <c r="T190" t="s">
        <v>151</v>
      </c>
      <c r="U190" t="s">
        <v>151</v>
      </c>
      <c r="V190">
        <v>812.9</v>
      </c>
      <c r="X190" t="s">
        <v>587</v>
      </c>
      <c r="Y190" t="s">
        <v>588</v>
      </c>
      <c r="Z190">
        <v>1965</v>
      </c>
      <c r="AA190" t="s">
        <v>241</v>
      </c>
      <c r="AB190" t="s">
        <v>155</v>
      </c>
      <c r="AC190" t="s">
        <v>129</v>
      </c>
      <c r="AD190">
        <v>2</v>
      </c>
      <c r="AE190">
        <v>108</v>
      </c>
      <c r="AF190" t="s">
        <v>176</v>
      </c>
      <c r="AG190" t="s">
        <v>177</v>
      </c>
      <c r="AH190" t="s">
        <v>129</v>
      </c>
      <c r="AI190">
        <v>1</v>
      </c>
      <c r="AL190">
        <v>1184</v>
      </c>
      <c r="AN190" t="s">
        <v>158</v>
      </c>
      <c r="AO190">
        <v>3</v>
      </c>
      <c r="AP190">
        <v>0</v>
      </c>
      <c r="AQ190">
        <v>0</v>
      </c>
      <c r="AR190">
        <v>5770</v>
      </c>
      <c r="AS190">
        <v>15430</v>
      </c>
      <c r="AT190" t="s">
        <v>178</v>
      </c>
      <c r="AU190">
        <v>1</v>
      </c>
      <c r="AV190">
        <v>6</v>
      </c>
      <c r="AW190">
        <v>1</v>
      </c>
      <c r="BE190">
        <v>2.6</v>
      </c>
      <c r="BF190">
        <v>0</v>
      </c>
      <c r="BG190">
        <v>0</v>
      </c>
      <c r="BH190" s="1">
        <v>44322</v>
      </c>
      <c r="BI190" t="s">
        <v>159</v>
      </c>
      <c r="BJ190">
        <v>1965</v>
      </c>
      <c r="BK190" t="s">
        <v>119</v>
      </c>
      <c r="BL190" t="s">
        <v>177</v>
      </c>
      <c r="BM190">
        <v>15430</v>
      </c>
      <c r="BN190">
        <v>1</v>
      </c>
      <c r="BO190">
        <v>5</v>
      </c>
      <c r="BP190">
        <v>3</v>
      </c>
      <c r="BQ190">
        <v>1184</v>
      </c>
      <c r="BR190">
        <v>160</v>
      </c>
      <c r="BS190">
        <v>38.370541879999998</v>
      </c>
      <c r="BT190">
        <v>-81.170131530999896</v>
      </c>
      <c r="BU190">
        <v>0</v>
      </c>
      <c r="BV190">
        <v>-3</v>
      </c>
      <c r="BW190">
        <v>0</v>
      </c>
      <c r="BX190" t="s">
        <v>181</v>
      </c>
      <c r="BY190">
        <v>0</v>
      </c>
      <c r="BZ190">
        <v>0</v>
      </c>
      <c r="CA190">
        <v>0</v>
      </c>
      <c r="CB190">
        <v>7715</v>
      </c>
      <c r="CC190">
        <v>0</v>
      </c>
      <c r="CD190">
        <v>0</v>
      </c>
      <c r="CE190">
        <v>0</v>
      </c>
      <c r="CF190">
        <v>0</v>
      </c>
      <c r="CG190">
        <v>0</v>
      </c>
      <c r="CH190">
        <v>0</v>
      </c>
      <c r="CI190">
        <v>0</v>
      </c>
      <c r="CO190">
        <v>0</v>
      </c>
      <c r="CP190">
        <v>0</v>
      </c>
      <c r="CQ190" t="s">
        <v>589</v>
      </c>
      <c r="CR190" t="s">
        <v>183</v>
      </c>
      <c r="CS190" t="s">
        <v>161</v>
      </c>
      <c r="CT190" t="s">
        <v>139</v>
      </c>
      <c r="CU190" t="s">
        <v>163</v>
      </c>
      <c r="CW190">
        <v>3</v>
      </c>
      <c r="CX190" t="s">
        <v>590</v>
      </c>
      <c r="CY190" t="s">
        <v>591</v>
      </c>
      <c r="CZ190" t="s">
        <v>583</v>
      </c>
      <c r="DA190" t="s">
        <v>592</v>
      </c>
      <c r="DB190">
        <v>0</v>
      </c>
      <c r="DC190">
        <v>5800</v>
      </c>
    </row>
    <row r="191" spans="1:107" x14ac:dyDescent="0.25">
      <c r="A191" t="s">
        <v>1137</v>
      </c>
      <c r="B191" t="s">
        <v>108</v>
      </c>
      <c r="C191" t="s">
        <v>1138</v>
      </c>
      <c r="D191" t="s">
        <v>1139</v>
      </c>
      <c r="F191" s="3" t="str">
        <f>HYPERLINK("https://mapwv.gov/flood/map/?wkid=102100&amp;x=-9097461.36681857&amp;y=4550825.348939232&amp;l=13&amp;v=2","FT")</f>
        <v>FT</v>
      </c>
      <c r="G191" s="3" t="str">
        <f>HYPERLINK("https://mapwv.gov/Assessment/Detail/?PID=23080003000700000000","Assessment")</f>
        <v>Assessment</v>
      </c>
      <c r="H191">
        <v>545536</v>
      </c>
      <c r="I191" t="s">
        <v>964</v>
      </c>
      <c r="J191" t="s">
        <v>965</v>
      </c>
      <c r="K191" t="s">
        <v>148</v>
      </c>
      <c r="L191" t="s">
        <v>1064</v>
      </c>
      <c r="M191" t="s">
        <v>967</v>
      </c>
      <c r="N191" t="s">
        <v>149</v>
      </c>
      <c r="O191" t="s">
        <v>117</v>
      </c>
      <c r="P191" t="s">
        <v>150</v>
      </c>
      <c r="Q191" t="s">
        <v>119</v>
      </c>
      <c r="R191" t="s">
        <v>151</v>
      </c>
      <c r="S191" t="s">
        <v>151</v>
      </c>
      <c r="T191" t="s">
        <v>151</v>
      </c>
      <c r="U191" t="s">
        <v>151</v>
      </c>
      <c r="V191">
        <v>1191</v>
      </c>
      <c r="X191" t="s">
        <v>1140</v>
      </c>
      <c r="Y191" t="s">
        <v>1141</v>
      </c>
      <c r="Z191">
        <v>1973</v>
      </c>
      <c r="AA191" t="s">
        <v>241</v>
      </c>
      <c r="AB191" t="s">
        <v>155</v>
      </c>
      <c r="AC191" t="s">
        <v>129</v>
      </c>
      <c r="AD191">
        <v>2</v>
      </c>
      <c r="AE191">
        <v>108</v>
      </c>
      <c r="AF191" t="s">
        <v>176</v>
      </c>
      <c r="AG191" t="s">
        <v>177</v>
      </c>
      <c r="AH191" t="s">
        <v>129</v>
      </c>
      <c r="AI191">
        <v>1</v>
      </c>
      <c r="AL191">
        <v>720</v>
      </c>
      <c r="AN191" t="s">
        <v>158</v>
      </c>
      <c r="AO191">
        <v>3</v>
      </c>
      <c r="AP191">
        <v>0</v>
      </c>
      <c r="AQ191">
        <v>0</v>
      </c>
      <c r="AR191">
        <v>5750</v>
      </c>
      <c r="AS191">
        <v>5800</v>
      </c>
      <c r="AT191" t="s">
        <v>132</v>
      </c>
      <c r="AU191">
        <v>1</v>
      </c>
      <c r="AV191">
        <v>3</v>
      </c>
      <c r="AW191">
        <v>0</v>
      </c>
      <c r="BC191" t="s">
        <v>841</v>
      </c>
      <c r="BE191">
        <v>2.4</v>
      </c>
      <c r="BF191">
        <v>0</v>
      </c>
      <c r="BG191">
        <v>0</v>
      </c>
      <c r="BH191" s="1">
        <v>44348</v>
      </c>
      <c r="BI191" t="s">
        <v>159</v>
      </c>
      <c r="BJ191">
        <v>1973</v>
      </c>
      <c r="BK191" t="s">
        <v>119</v>
      </c>
      <c r="BL191" t="s">
        <v>177</v>
      </c>
      <c r="BM191">
        <v>5800</v>
      </c>
      <c r="BN191">
        <v>1</v>
      </c>
      <c r="BO191">
        <v>5</v>
      </c>
      <c r="BP191">
        <v>3</v>
      </c>
      <c r="BQ191">
        <v>720</v>
      </c>
      <c r="BR191">
        <v>2769</v>
      </c>
      <c r="BS191">
        <v>37.797263135999899</v>
      </c>
      <c r="BT191">
        <v>-81.723885924999905</v>
      </c>
      <c r="BU191">
        <v>0</v>
      </c>
      <c r="BV191">
        <v>-3</v>
      </c>
      <c r="BW191">
        <v>0</v>
      </c>
      <c r="BX191" t="s">
        <v>181</v>
      </c>
      <c r="BY191">
        <v>0</v>
      </c>
      <c r="BZ191">
        <v>0</v>
      </c>
      <c r="CA191">
        <v>0</v>
      </c>
      <c r="CB191">
        <v>2900</v>
      </c>
      <c r="CC191">
        <v>0</v>
      </c>
      <c r="CD191">
        <v>0</v>
      </c>
      <c r="CE191">
        <v>0</v>
      </c>
      <c r="CF191">
        <v>0</v>
      </c>
      <c r="CG191">
        <v>0</v>
      </c>
      <c r="CH191">
        <v>0</v>
      </c>
      <c r="CI191">
        <v>0</v>
      </c>
      <c r="CO191">
        <v>0</v>
      </c>
      <c r="CP191">
        <v>0</v>
      </c>
      <c r="CQ191" t="s">
        <v>974</v>
      </c>
      <c r="CR191" t="s">
        <v>160</v>
      </c>
      <c r="CS191" t="s">
        <v>161</v>
      </c>
      <c r="CT191" t="s">
        <v>139</v>
      </c>
      <c r="CU191" t="s">
        <v>163</v>
      </c>
      <c r="CW191">
        <v>2</v>
      </c>
      <c r="CX191" t="s">
        <v>975</v>
      </c>
      <c r="CY191" t="s">
        <v>976</v>
      </c>
      <c r="CZ191" t="s">
        <v>1139</v>
      </c>
      <c r="DA191" t="s">
        <v>977</v>
      </c>
      <c r="DB191">
        <v>0</v>
      </c>
      <c r="DC191">
        <v>5800</v>
      </c>
    </row>
    <row r="192" spans="1:107" x14ac:dyDescent="0.25">
      <c r="A192" t="s">
        <v>1422</v>
      </c>
      <c r="B192" t="s">
        <v>108</v>
      </c>
      <c r="C192" t="s">
        <v>1423</v>
      </c>
      <c r="D192" t="s">
        <v>1424</v>
      </c>
      <c r="F192" s="3" t="str">
        <f>HYPERLINK("https://mapwv.gov/flood/map/?wkid=102100&amp;x=-9057512.942769246&amp;y=4647666.989705353&amp;l=13&amp;v=2","FT")</f>
        <v>FT</v>
      </c>
      <c r="G192" s="3" t="str">
        <f>HYPERLINK("https://mapwv.gov/Assessment/Detail/?PID=20020011006000000000","Assessment")</f>
        <v>Assessment</v>
      </c>
      <c r="H192">
        <v>540075</v>
      </c>
      <c r="I192" t="s">
        <v>1425</v>
      </c>
      <c r="J192" t="s">
        <v>1282</v>
      </c>
      <c r="K192" t="s">
        <v>113</v>
      </c>
      <c r="L192" t="s">
        <v>596</v>
      </c>
      <c r="M192" t="s">
        <v>172</v>
      </c>
      <c r="N192" t="s">
        <v>199</v>
      </c>
      <c r="O192" t="s">
        <v>117</v>
      </c>
      <c r="P192" t="s">
        <v>150</v>
      </c>
      <c r="Q192" t="s">
        <v>119</v>
      </c>
      <c r="R192">
        <v>8.5</v>
      </c>
      <c r="S192" t="s">
        <v>120</v>
      </c>
      <c r="T192" t="s">
        <v>151</v>
      </c>
      <c r="U192" t="s">
        <v>151</v>
      </c>
      <c r="V192">
        <v>621.6</v>
      </c>
      <c r="X192" t="s">
        <v>1426</v>
      </c>
      <c r="Y192" t="s">
        <v>1427</v>
      </c>
      <c r="Z192">
        <v>1930</v>
      </c>
      <c r="AA192" t="s">
        <v>241</v>
      </c>
      <c r="AB192" t="s">
        <v>155</v>
      </c>
      <c r="AC192" t="s">
        <v>129</v>
      </c>
      <c r="AD192">
        <v>4</v>
      </c>
      <c r="AE192">
        <v>101</v>
      </c>
      <c r="AF192" t="s">
        <v>127</v>
      </c>
      <c r="AG192" t="s">
        <v>128</v>
      </c>
      <c r="AH192" t="s">
        <v>129</v>
      </c>
      <c r="AI192">
        <v>1</v>
      </c>
      <c r="AJ192" t="s">
        <v>156</v>
      </c>
      <c r="AK192" t="s">
        <v>130</v>
      </c>
      <c r="AL192">
        <v>960</v>
      </c>
      <c r="AM192" t="s">
        <v>353</v>
      </c>
      <c r="AN192" t="s">
        <v>208</v>
      </c>
      <c r="AO192">
        <v>4</v>
      </c>
      <c r="AP192">
        <v>5800</v>
      </c>
      <c r="AQ192">
        <v>0</v>
      </c>
      <c r="AR192">
        <v>0</v>
      </c>
      <c r="AS192">
        <v>5800</v>
      </c>
      <c r="AT192" t="s">
        <v>132</v>
      </c>
      <c r="AU192">
        <v>1</v>
      </c>
      <c r="AV192">
        <v>0</v>
      </c>
      <c r="AW192">
        <v>1</v>
      </c>
      <c r="BC192" t="s">
        <v>841</v>
      </c>
      <c r="BE192">
        <v>2.5</v>
      </c>
      <c r="BF192">
        <v>1</v>
      </c>
      <c r="BG192">
        <v>2.5</v>
      </c>
      <c r="BH192" s="1">
        <v>44362</v>
      </c>
      <c r="BI192" t="s">
        <v>1428</v>
      </c>
      <c r="BJ192">
        <v>1930</v>
      </c>
      <c r="BK192" t="s">
        <v>119</v>
      </c>
      <c r="BL192" t="s">
        <v>128</v>
      </c>
      <c r="BM192">
        <v>5800</v>
      </c>
      <c r="BN192">
        <v>1</v>
      </c>
      <c r="BO192">
        <v>4</v>
      </c>
      <c r="BP192">
        <v>4</v>
      </c>
      <c r="BQ192">
        <v>960</v>
      </c>
      <c r="BR192">
        <v>11434</v>
      </c>
      <c r="BS192">
        <v>38.481473883</v>
      </c>
      <c r="BT192">
        <v>-81.365023125999898</v>
      </c>
      <c r="BU192">
        <v>9.3440550000000009</v>
      </c>
      <c r="BV192">
        <v>5.34405517578125</v>
      </c>
      <c r="BW192">
        <v>1</v>
      </c>
      <c r="BX192" t="s">
        <v>354</v>
      </c>
      <c r="BY192">
        <v>704</v>
      </c>
      <c r="BZ192">
        <v>61.0643310546875</v>
      </c>
      <c r="CA192">
        <v>3541.73120117187</v>
      </c>
      <c r="CB192">
        <v>2900</v>
      </c>
      <c r="CC192">
        <v>535</v>
      </c>
      <c r="CD192">
        <v>30.688110351562401</v>
      </c>
      <c r="CE192">
        <v>889.95520019531205</v>
      </c>
      <c r="CF192">
        <v>0</v>
      </c>
      <c r="CG192">
        <v>0</v>
      </c>
      <c r="CH192">
        <v>0</v>
      </c>
      <c r="CI192">
        <v>0</v>
      </c>
      <c r="CJ192" t="s">
        <v>1429</v>
      </c>
      <c r="CK192">
        <v>8.4480000000000004</v>
      </c>
      <c r="CL192">
        <v>0</v>
      </c>
      <c r="CM192">
        <v>0</v>
      </c>
      <c r="CN192">
        <v>8.4480000000000004</v>
      </c>
      <c r="CO192">
        <v>270</v>
      </c>
      <c r="CP192">
        <v>450</v>
      </c>
      <c r="CQ192" t="s">
        <v>1286</v>
      </c>
      <c r="CR192" t="s">
        <v>385</v>
      </c>
      <c r="CS192" t="s">
        <v>138</v>
      </c>
      <c r="CT192" t="s">
        <v>139</v>
      </c>
      <c r="CU192" t="s">
        <v>274</v>
      </c>
      <c r="CW192">
        <v>3</v>
      </c>
      <c r="CX192" t="s">
        <v>1430</v>
      </c>
      <c r="CY192" t="s">
        <v>1288</v>
      </c>
      <c r="CZ192" t="s">
        <v>1424</v>
      </c>
      <c r="DA192" t="s">
        <v>1289</v>
      </c>
      <c r="DB192">
        <v>0</v>
      </c>
      <c r="DC192">
        <v>5800</v>
      </c>
    </row>
    <row r="193" spans="1:107" x14ac:dyDescent="0.25">
      <c r="A193" t="s">
        <v>1257</v>
      </c>
      <c r="B193" t="s">
        <v>108</v>
      </c>
      <c r="C193" t="s">
        <v>1258</v>
      </c>
      <c r="D193" t="s">
        <v>1259</v>
      </c>
      <c r="F193" s="3" t="str">
        <f>HYPERLINK("https://mapwv.gov/flood/map/?wkid=102100&amp;x=-9158547.067874841&amp;y=4550084.9605613025&amp;l=13&amp;v=2","FT")</f>
        <v>FT</v>
      </c>
      <c r="G193" s="3" t="str">
        <f>HYPERLINK("https://mapwv.gov/Assessment/Detail/?PID=30030006004100000000","Assessment")</f>
        <v>Assessment</v>
      </c>
      <c r="H193">
        <v>540133</v>
      </c>
      <c r="I193" t="s">
        <v>1248</v>
      </c>
      <c r="J193" t="s">
        <v>1249</v>
      </c>
      <c r="K193" t="s">
        <v>148</v>
      </c>
      <c r="L193" t="s">
        <v>1260</v>
      </c>
      <c r="M193" t="s">
        <v>787</v>
      </c>
      <c r="N193" t="s">
        <v>199</v>
      </c>
      <c r="O193" t="s">
        <v>117</v>
      </c>
      <c r="P193" t="s">
        <v>150</v>
      </c>
      <c r="Q193" t="s">
        <v>260</v>
      </c>
      <c r="R193">
        <v>2.9</v>
      </c>
      <c r="S193" t="s">
        <v>120</v>
      </c>
      <c r="T193">
        <v>640.5</v>
      </c>
      <c r="U193" t="s">
        <v>365</v>
      </c>
      <c r="V193">
        <v>637.20000000000005</v>
      </c>
      <c r="X193" t="s">
        <v>1261</v>
      </c>
      <c r="Y193" t="s">
        <v>1262</v>
      </c>
      <c r="Z193">
        <v>1987</v>
      </c>
      <c r="AA193" t="s">
        <v>318</v>
      </c>
      <c r="AB193" t="s">
        <v>155</v>
      </c>
      <c r="AC193" t="s">
        <v>129</v>
      </c>
      <c r="AD193">
        <v>2</v>
      </c>
      <c r="AE193">
        <v>108</v>
      </c>
      <c r="AF193" t="s">
        <v>176</v>
      </c>
      <c r="AG193" t="s">
        <v>177</v>
      </c>
      <c r="AH193" t="s">
        <v>129</v>
      </c>
      <c r="AI193">
        <v>1</v>
      </c>
      <c r="AL193">
        <v>840</v>
      </c>
      <c r="AN193" t="s">
        <v>158</v>
      </c>
      <c r="AO193">
        <v>4</v>
      </c>
      <c r="AP193">
        <v>0</v>
      </c>
      <c r="AQ193">
        <v>0</v>
      </c>
      <c r="AR193">
        <v>5740</v>
      </c>
      <c r="AS193">
        <v>12150</v>
      </c>
      <c r="AT193" t="s">
        <v>178</v>
      </c>
      <c r="AU193">
        <v>1</v>
      </c>
      <c r="AV193">
        <v>2</v>
      </c>
      <c r="AW193">
        <v>1</v>
      </c>
      <c r="BE193">
        <v>2.4</v>
      </c>
      <c r="BF193">
        <v>1</v>
      </c>
      <c r="BG193">
        <v>2.4</v>
      </c>
      <c r="BH193" s="1">
        <v>44362</v>
      </c>
      <c r="BI193" t="s">
        <v>210</v>
      </c>
      <c r="BJ193">
        <v>1987</v>
      </c>
      <c r="BK193" t="s">
        <v>260</v>
      </c>
      <c r="BL193" t="s">
        <v>177</v>
      </c>
      <c r="BM193">
        <v>12150</v>
      </c>
      <c r="BN193">
        <v>1</v>
      </c>
      <c r="BO193">
        <v>5</v>
      </c>
      <c r="BP193">
        <v>4</v>
      </c>
      <c r="BQ193">
        <v>840</v>
      </c>
      <c r="BR193">
        <v>2491</v>
      </c>
      <c r="BS193">
        <v>37.792007415999898</v>
      </c>
      <c r="BT193">
        <v>-82.272628114</v>
      </c>
      <c r="BU193">
        <v>3.2750243999999999</v>
      </c>
      <c r="BV193">
        <v>-0.7249755859375</v>
      </c>
      <c r="BW193">
        <v>1</v>
      </c>
      <c r="BX193" t="s">
        <v>181</v>
      </c>
      <c r="BY193">
        <v>189</v>
      </c>
      <c r="BZ193">
        <v>3.0252685546875</v>
      </c>
      <c r="CA193">
        <v>367.57012939453102</v>
      </c>
      <c r="CB193">
        <v>6075</v>
      </c>
      <c r="CC193">
        <v>74</v>
      </c>
      <c r="CD193">
        <v>0.8250732421875</v>
      </c>
      <c r="CE193">
        <v>50.123199462890597</v>
      </c>
      <c r="CF193">
        <v>0</v>
      </c>
      <c r="CG193">
        <v>0</v>
      </c>
      <c r="CH193">
        <v>0</v>
      </c>
      <c r="CI193">
        <v>0</v>
      </c>
      <c r="CO193">
        <v>0</v>
      </c>
      <c r="CP193">
        <v>0</v>
      </c>
      <c r="CQ193" t="s">
        <v>1253</v>
      </c>
      <c r="CR193" t="s">
        <v>183</v>
      </c>
      <c r="CS193" t="s">
        <v>138</v>
      </c>
      <c r="CT193" t="s">
        <v>139</v>
      </c>
      <c r="CU193" t="s">
        <v>267</v>
      </c>
      <c r="CW193">
        <v>2</v>
      </c>
      <c r="CX193" t="s">
        <v>1254</v>
      </c>
      <c r="CY193" t="s">
        <v>1255</v>
      </c>
      <c r="CZ193" t="s">
        <v>1259</v>
      </c>
      <c r="DA193" t="s">
        <v>1256</v>
      </c>
      <c r="DB193">
        <v>0</v>
      </c>
      <c r="DC193">
        <v>5700</v>
      </c>
    </row>
    <row r="194" spans="1:107" x14ac:dyDescent="0.25">
      <c r="A194" t="s">
        <v>1270</v>
      </c>
      <c r="B194" t="s">
        <v>108</v>
      </c>
      <c r="C194" t="s">
        <v>1271</v>
      </c>
      <c r="D194" t="s">
        <v>1259</v>
      </c>
      <c r="F194" s="3" t="str">
        <f>HYPERLINK("https://mapwv.gov/flood/map/?wkid=102100&amp;x=-9158553.823632095&amp;y=4550100.394900999&amp;l=13&amp;v=2","FT")</f>
        <v>FT</v>
      </c>
      <c r="G194" s="3" t="str">
        <f>HYPERLINK("https://mapwv.gov/Assessment/Detail/?PID=30030006004100000000","Assessment")</f>
        <v>Assessment</v>
      </c>
      <c r="H194">
        <v>540133</v>
      </c>
      <c r="I194" t="s">
        <v>1248</v>
      </c>
      <c r="J194" t="s">
        <v>1249</v>
      </c>
      <c r="K194" t="s">
        <v>148</v>
      </c>
      <c r="L194" t="s">
        <v>1260</v>
      </c>
      <c r="M194" t="s">
        <v>787</v>
      </c>
      <c r="N194" t="s">
        <v>704</v>
      </c>
      <c r="O194" t="s">
        <v>117</v>
      </c>
      <c r="P194" t="s">
        <v>118</v>
      </c>
      <c r="Q194" t="s">
        <v>119</v>
      </c>
      <c r="R194">
        <v>1</v>
      </c>
      <c r="S194" t="s">
        <v>120</v>
      </c>
      <c r="T194">
        <v>640.5</v>
      </c>
      <c r="U194" t="s">
        <v>365</v>
      </c>
      <c r="V194">
        <v>639.5</v>
      </c>
      <c r="X194" t="s">
        <v>1261</v>
      </c>
      <c r="Y194" t="s">
        <v>1262</v>
      </c>
      <c r="Z194">
        <v>1977</v>
      </c>
      <c r="AA194" t="s">
        <v>318</v>
      </c>
      <c r="AB194" t="s">
        <v>155</v>
      </c>
      <c r="AC194" t="s">
        <v>129</v>
      </c>
      <c r="AD194">
        <v>2</v>
      </c>
      <c r="AE194">
        <v>108</v>
      </c>
      <c r="AF194" t="s">
        <v>176</v>
      </c>
      <c r="AG194" t="s">
        <v>177</v>
      </c>
      <c r="AH194" t="s">
        <v>129</v>
      </c>
      <c r="AI194">
        <v>1</v>
      </c>
      <c r="AL194">
        <v>720</v>
      </c>
      <c r="AN194" t="s">
        <v>158</v>
      </c>
      <c r="AO194">
        <v>3</v>
      </c>
      <c r="AP194">
        <v>0</v>
      </c>
      <c r="AQ194">
        <v>0</v>
      </c>
      <c r="AR194">
        <v>5740</v>
      </c>
      <c r="AS194">
        <v>10990</v>
      </c>
      <c r="AT194" t="s">
        <v>178</v>
      </c>
      <c r="AU194">
        <v>1</v>
      </c>
      <c r="AV194">
        <v>2</v>
      </c>
      <c r="AW194">
        <v>1</v>
      </c>
      <c r="BE194">
        <v>2.4</v>
      </c>
      <c r="BF194">
        <v>1</v>
      </c>
      <c r="BG194">
        <v>2.4</v>
      </c>
      <c r="BH194" s="1">
        <v>44362</v>
      </c>
      <c r="BI194" t="s">
        <v>707</v>
      </c>
      <c r="BJ194">
        <v>1977</v>
      </c>
      <c r="BK194" t="s">
        <v>119</v>
      </c>
      <c r="BL194" t="s">
        <v>177</v>
      </c>
      <c r="BM194">
        <v>10990</v>
      </c>
      <c r="BN194">
        <v>1</v>
      </c>
      <c r="BO194">
        <v>5</v>
      </c>
      <c r="BP194">
        <v>3</v>
      </c>
      <c r="BQ194">
        <v>720</v>
      </c>
      <c r="BR194">
        <v>2506</v>
      </c>
      <c r="BS194">
        <v>37.792116982000003</v>
      </c>
      <c r="BT194">
        <v>-82.272688801999905</v>
      </c>
      <c r="BU194">
        <v>1.0186157</v>
      </c>
      <c r="BV194">
        <v>-1.98138427734375</v>
      </c>
      <c r="BW194">
        <v>1</v>
      </c>
      <c r="BX194" t="s">
        <v>181</v>
      </c>
      <c r="BY194">
        <v>189</v>
      </c>
      <c r="BZ194">
        <v>0</v>
      </c>
      <c r="CA194">
        <v>0</v>
      </c>
      <c r="CB194">
        <v>5495</v>
      </c>
      <c r="CC194">
        <v>74</v>
      </c>
      <c r="CD194">
        <v>0</v>
      </c>
      <c r="CE194">
        <v>0</v>
      </c>
      <c r="CF194">
        <v>0</v>
      </c>
      <c r="CG194">
        <v>0</v>
      </c>
      <c r="CH194">
        <v>0</v>
      </c>
      <c r="CI194">
        <v>0</v>
      </c>
      <c r="CO194">
        <v>0</v>
      </c>
      <c r="CP194">
        <v>0</v>
      </c>
      <c r="CQ194" t="s">
        <v>1253</v>
      </c>
      <c r="CR194" t="s">
        <v>137</v>
      </c>
      <c r="CS194" t="s">
        <v>138</v>
      </c>
      <c r="CT194" t="s">
        <v>139</v>
      </c>
      <c r="CU194" t="s">
        <v>163</v>
      </c>
      <c r="CW194">
        <v>2</v>
      </c>
      <c r="CX194" t="s">
        <v>1254</v>
      </c>
      <c r="CY194" t="s">
        <v>1255</v>
      </c>
      <c r="CZ194" t="s">
        <v>1259</v>
      </c>
      <c r="DA194" t="s">
        <v>1256</v>
      </c>
      <c r="DB194">
        <v>0</v>
      </c>
      <c r="DC194">
        <v>5700</v>
      </c>
    </row>
    <row r="195" spans="1:107" x14ac:dyDescent="0.25">
      <c r="A195" t="s">
        <v>1449</v>
      </c>
      <c r="B195" t="s">
        <v>108</v>
      </c>
      <c r="C195" t="s">
        <v>1450</v>
      </c>
      <c r="D195" t="s">
        <v>1451</v>
      </c>
      <c r="F195" s="3" t="str">
        <f>HYPERLINK("https://mapwv.gov/flood/map/?wkid=102100&amp;x=-9056255.341434866&amp;y=4648256.255526323&amp;l=13&amp;v=2","FT")</f>
        <v>FT</v>
      </c>
      <c r="G195" s="3" t="str">
        <f>HYPERLINK("https://mapwv.gov/Assessment/Detail/?PID=20020006013600000000","Assessment")</f>
        <v>Assessment</v>
      </c>
      <c r="H195">
        <v>540075</v>
      </c>
      <c r="I195" t="s">
        <v>1425</v>
      </c>
      <c r="J195" t="s">
        <v>1282</v>
      </c>
      <c r="K195" t="s">
        <v>113</v>
      </c>
      <c r="L195" t="s">
        <v>596</v>
      </c>
      <c r="M195" t="s">
        <v>172</v>
      </c>
      <c r="N195" t="s">
        <v>199</v>
      </c>
      <c r="O195" t="s">
        <v>117</v>
      </c>
      <c r="P195" t="s">
        <v>150</v>
      </c>
      <c r="Q195" t="s">
        <v>119</v>
      </c>
      <c r="R195">
        <v>7.6</v>
      </c>
      <c r="S195" t="s">
        <v>120</v>
      </c>
      <c r="T195" t="s">
        <v>151</v>
      </c>
      <c r="U195" t="s">
        <v>151</v>
      </c>
      <c r="V195">
        <v>623.20000000000005</v>
      </c>
      <c r="X195" t="s">
        <v>1452</v>
      </c>
      <c r="Y195" t="s">
        <v>1453</v>
      </c>
      <c r="Z195">
        <v>1911</v>
      </c>
      <c r="AA195" t="s">
        <v>241</v>
      </c>
      <c r="AB195" t="s">
        <v>155</v>
      </c>
      <c r="AC195" t="s">
        <v>129</v>
      </c>
      <c r="AD195">
        <v>2</v>
      </c>
      <c r="AE195">
        <v>101</v>
      </c>
      <c r="AF195" t="s">
        <v>127</v>
      </c>
      <c r="AG195" t="s">
        <v>128</v>
      </c>
      <c r="AH195" t="s">
        <v>129</v>
      </c>
      <c r="AI195">
        <v>1</v>
      </c>
      <c r="AJ195" t="s">
        <v>694</v>
      </c>
      <c r="AK195" t="s">
        <v>130</v>
      </c>
      <c r="AL195">
        <v>816</v>
      </c>
      <c r="AM195" t="s">
        <v>157</v>
      </c>
      <c r="AN195" t="s">
        <v>158</v>
      </c>
      <c r="AO195">
        <v>7</v>
      </c>
      <c r="AP195">
        <v>5600</v>
      </c>
      <c r="AQ195">
        <v>0</v>
      </c>
      <c r="AR195">
        <v>60</v>
      </c>
      <c r="AS195">
        <v>5700</v>
      </c>
      <c r="AT195" t="s">
        <v>132</v>
      </c>
      <c r="AU195">
        <v>1</v>
      </c>
      <c r="AV195">
        <v>1</v>
      </c>
      <c r="AW195">
        <v>1</v>
      </c>
      <c r="BE195">
        <v>2.5</v>
      </c>
      <c r="BF195">
        <v>1</v>
      </c>
      <c r="BG195">
        <v>2.5</v>
      </c>
      <c r="BH195" s="1">
        <v>44362</v>
      </c>
      <c r="BI195" t="s">
        <v>1437</v>
      </c>
      <c r="BJ195">
        <v>1911</v>
      </c>
      <c r="BK195" t="s">
        <v>119</v>
      </c>
      <c r="BL195" t="s">
        <v>128</v>
      </c>
      <c r="BM195">
        <v>5700</v>
      </c>
      <c r="BN195">
        <v>1</v>
      </c>
      <c r="BO195">
        <v>5</v>
      </c>
      <c r="BP195">
        <v>7</v>
      </c>
      <c r="BQ195">
        <v>816</v>
      </c>
      <c r="BR195">
        <v>11545</v>
      </c>
      <c r="BS195">
        <v>38.485617538</v>
      </c>
      <c r="BT195">
        <v>-81.353725901000004</v>
      </c>
      <c r="BU195">
        <v>7.6099854000000002</v>
      </c>
      <c r="BV195">
        <v>0.6099853515625</v>
      </c>
      <c r="BW195">
        <v>1</v>
      </c>
      <c r="BX195" t="s">
        <v>134</v>
      </c>
      <c r="BY195">
        <v>129</v>
      </c>
      <c r="BZ195">
        <v>19.099853515625</v>
      </c>
      <c r="CA195">
        <v>1088.69165039062</v>
      </c>
      <c r="CB195">
        <v>2850</v>
      </c>
      <c r="CC195">
        <v>45</v>
      </c>
      <c r="CD195">
        <v>22.099853515625</v>
      </c>
      <c r="CE195">
        <v>629.84582519531205</v>
      </c>
      <c r="CF195">
        <v>0</v>
      </c>
      <c r="CG195">
        <v>0</v>
      </c>
      <c r="CH195">
        <v>0</v>
      </c>
      <c r="CI195">
        <v>0</v>
      </c>
      <c r="CJ195" t="s">
        <v>561</v>
      </c>
      <c r="CK195">
        <v>3.3456000000000001</v>
      </c>
      <c r="CL195">
        <v>0</v>
      </c>
      <c r="CM195">
        <v>0</v>
      </c>
      <c r="CN195">
        <v>3.3456000000000001</v>
      </c>
      <c r="CO195">
        <v>180</v>
      </c>
      <c r="CP195">
        <v>360</v>
      </c>
      <c r="CQ195" t="s">
        <v>1286</v>
      </c>
      <c r="CR195" t="s">
        <v>183</v>
      </c>
      <c r="CS195" t="s">
        <v>138</v>
      </c>
      <c r="CT195" t="s">
        <v>139</v>
      </c>
      <c r="CU195" t="s">
        <v>140</v>
      </c>
      <c r="CW195">
        <v>3</v>
      </c>
      <c r="CX195" t="s">
        <v>1430</v>
      </c>
      <c r="CY195" t="s">
        <v>1288</v>
      </c>
      <c r="CZ195" t="s">
        <v>1451</v>
      </c>
      <c r="DA195" t="s">
        <v>1289</v>
      </c>
      <c r="DB195">
        <v>0</v>
      </c>
      <c r="DC195">
        <v>5700</v>
      </c>
    </row>
    <row r="196" spans="1:107" x14ac:dyDescent="0.25">
      <c r="A196" t="s">
        <v>546</v>
      </c>
      <c r="B196" t="s">
        <v>108</v>
      </c>
      <c r="C196" t="s">
        <v>547</v>
      </c>
      <c r="D196" t="s">
        <v>548</v>
      </c>
      <c r="F196" s="3" t="str">
        <f>HYPERLINK("https://mapwv.gov/flood/map/?wkid=102100&amp;x=-9141081.81332852&amp;y=4636811.21775885&amp;l=13&amp;v=2","FT")</f>
        <v>FT</v>
      </c>
      <c r="G196" s="3" t="str">
        <f>HYPERLINK("https://mapwv.gov/Assessment/Detail/?PID=06030025005100040000","Assessment")</f>
        <v>Assessment</v>
      </c>
      <c r="H196">
        <v>540016</v>
      </c>
      <c r="I196" t="s">
        <v>529</v>
      </c>
      <c r="J196" t="s">
        <v>530</v>
      </c>
      <c r="K196" t="s">
        <v>148</v>
      </c>
      <c r="L196" t="s">
        <v>549</v>
      </c>
      <c r="M196" t="s">
        <v>550</v>
      </c>
      <c r="N196" t="s">
        <v>199</v>
      </c>
      <c r="O196" t="s">
        <v>117</v>
      </c>
      <c r="P196" t="s">
        <v>150</v>
      </c>
      <c r="Q196" t="s">
        <v>119</v>
      </c>
      <c r="R196">
        <v>1.7</v>
      </c>
      <c r="S196" t="s">
        <v>120</v>
      </c>
      <c r="T196" t="s">
        <v>151</v>
      </c>
      <c r="U196" t="s">
        <v>151</v>
      </c>
      <c r="V196">
        <v>599.4</v>
      </c>
      <c r="X196" t="s">
        <v>551</v>
      </c>
      <c r="Y196" t="s">
        <v>552</v>
      </c>
      <c r="Z196">
        <v>1980</v>
      </c>
      <c r="AA196" t="s">
        <v>241</v>
      </c>
      <c r="AB196" t="s">
        <v>155</v>
      </c>
      <c r="AC196" t="s">
        <v>129</v>
      </c>
      <c r="AD196">
        <v>3</v>
      </c>
      <c r="AE196">
        <v>108</v>
      </c>
      <c r="AF196" t="s">
        <v>176</v>
      </c>
      <c r="AG196" t="s">
        <v>177</v>
      </c>
      <c r="AH196" t="s">
        <v>129</v>
      </c>
      <c r="AI196">
        <v>1</v>
      </c>
      <c r="AL196">
        <v>840</v>
      </c>
      <c r="AN196" t="s">
        <v>158</v>
      </c>
      <c r="AO196">
        <v>3</v>
      </c>
      <c r="AP196">
        <v>0</v>
      </c>
      <c r="AQ196">
        <v>0</v>
      </c>
      <c r="AR196">
        <v>5360</v>
      </c>
      <c r="AS196">
        <v>14300</v>
      </c>
      <c r="AT196" t="s">
        <v>178</v>
      </c>
      <c r="AU196">
        <v>1</v>
      </c>
      <c r="AV196">
        <v>1</v>
      </c>
      <c r="AW196">
        <v>1</v>
      </c>
      <c r="BC196" t="s">
        <v>209</v>
      </c>
      <c r="BE196">
        <v>2.4</v>
      </c>
      <c r="BF196">
        <v>1</v>
      </c>
      <c r="BG196">
        <v>2.4</v>
      </c>
      <c r="BH196" s="1">
        <v>44319</v>
      </c>
      <c r="BI196" t="s">
        <v>210</v>
      </c>
      <c r="BJ196">
        <v>1980</v>
      </c>
      <c r="BK196" t="s">
        <v>119</v>
      </c>
      <c r="BL196" t="s">
        <v>177</v>
      </c>
      <c r="BM196">
        <v>14300</v>
      </c>
      <c r="BN196">
        <v>1</v>
      </c>
      <c r="BO196">
        <v>5</v>
      </c>
      <c r="BP196">
        <v>3</v>
      </c>
      <c r="BQ196">
        <v>840</v>
      </c>
      <c r="BR196">
        <v>710</v>
      </c>
      <c r="BS196">
        <v>38.4050946300001</v>
      </c>
      <c r="BT196">
        <v>-82.115735063000002</v>
      </c>
      <c r="BU196">
        <v>2.1318969999999999</v>
      </c>
      <c r="BV196">
        <v>-0.86810302734375</v>
      </c>
      <c r="BW196">
        <v>1</v>
      </c>
      <c r="BX196" t="s">
        <v>181</v>
      </c>
      <c r="BY196">
        <v>189</v>
      </c>
      <c r="BZ196">
        <v>1.45086669921875</v>
      </c>
      <c r="CA196">
        <v>207.47393798828099</v>
      </c>
      <c r="CB196">
        <v>7150</v>
      </c>
      <c r="CC196">
        <v>74</v>
      </c>
      <c r="CD196">
        <v>0.39569091796875</v>
      </c>
      <c r="CE196">
        <v>28.2919006347656</v>
      </c>
      <c r="CF196">
        <v>0</v>
      </c>
      <c r="CG196">
        <v>0</v>
      </c>
      <c r="CH196">
        <v>0</v>
      </c>
      <c r="CI196">
        <v>0</v>
      </c>
      <c r="CO196">
        <v>0</v>
      </c>
      <c r="CP196">
        <v>0</v>
      </c>
      <c r="CQ196" t="s">
        <v>535</v>
      </c>
      <c r="CR196" t="s">
        <v>183</v>
      </c>
      <c r="CS196" t="s">
        <v>138</v>
      </c>
      <c r="CT196" t="s">
        <v>139</v>
      </c>
      <c r="CU196" t="s">
        <v>267</v>
      </c>
      <c r="CW196">
        <v>2</v>
      </c>
      <c r="CX196" t="s">
        <v>536</v>
      </c>
      <c r="CY196" t="s">
        <v>537</v>
      </c>
      <c r="CZ196" t="s">
        <v>548</v>
      </c>
      <c r="DA196" t="s">
        <v>538</v>
      </c>
      <c r="DB196">
        <v>0</v>
      </c>
      <c r="DC196">
        <v>5400</v>
      </c>
    </row>
    <row r="197" spans="1:107" x14ac:dyDescent="0.25">
      <c r="A197" t="s">
        <v>798</v>
      </c>
      <c r="B197" t="s">
        <v>108</v>
      </c>
      <c r="C197" t="s">
        <v>799</v>
      </c>
      <c r="D197" t="s">
        <v>800</v>
      </c>
      <c r="F197" s="3" t="str">
        <f>HYPERLINK("https://mapwv.gov/flood/map/?wkid=102100&amp;x=-9177931.147281956&amp;y=4589982.341729805&amp;l=13&amp;v=2","FT")</f>
        <v>FT</v>
      </c>
      <c r="G197" s="3" t="str">
        <f>HYPERLINK("https://mapwv.gov/Assessment/Detail/?PID=50080008001700000000","Assessment")</f>
        <v>Assessment</v>
      </c>
      <c r="H197">
        <v>540200</v>
      </c>
      <c r="I197" t="s">
        <v>773</v>
      </c>
      <c r="J197" t="s">
        <v>774</v>
      </c>
      <c r="K197" t="s">
        <v>148</v>
      </c>
      <c r="L197" t="s">
        <v>801</v>
      </c>
      <c r="M197" t="s">
        <v>532</v>
      </c>
      <c r="N197" t="s">
        <v>199</v>
      </c>
      <c r="O197" t="s">
        <v>117</v>
      </c>
      <c r="P197" t="s">
        <v>150</v>
      </c>
      <c r="Q197" t="s">
        <v>119</v>
      </c>
      <c r="R197">
        <v>0.2</v>
      </c>
      <c r="S197" t="s">
        <v>120</v>
      </c>
      <c r="T197" t="s">
        <v>151</v>
      </c>
      <c r="U197" t="s">
        <v>151</v>
      </c>
      <c r="V197">
        <v>670.5</v>
      </c>
      <c r="X197" t="s">
        <v>802</v>
      </c>
      <c r="Y197" t="s">
        <v>803</v>
      </c>
      <c r="Z197">
        <v>1930</v>
      </c>
      <c r="AA197" t="s">
        <v>318</v>
      </c>
      <c r="AB197" t="s">
        <v>155</v>
      </c>
      <c r="AC197" t="s">
        <v>129</v>
      </c>
      <c r="AD197">
        <v>2</v>
      </c>
      <c r="AE197">
        <v>101</v>
      </c>
      <c r="AF197" t="s">
        <v>127</v>
      </c>
      <c r="AG197" t="s">
        <v>128</v>
      </c>
      <c r="AH197" t="s">
        <v>129</v>
      </c>
      <c r="AI197">
        <v>2</v>
      </c>
      <c r="AJ197" t="s">
        <v>156</v>
      </c>
      <c r="AK197" t="s">
        <v>130</v>
      </c>
      <c r="AL197">
        <v>1792</v>
      </c>
      <c r="AM197" t="s">
        <v>157</v>
      </c>
      <c r="AN197" t="s">
        <v>158</v>
      </c>
      <c r="AO197">
        <v>3</v>
      </c>
      <c r="AP197">
        <v>3900</v>
      </c>
      <c r="AQ197">
        <v>0</v>
      </c>
      <c r="AR197">
        <v>1500</v>
      </c>
      <c r="AS197">
        <v>5400</v>
      </c>
      <c r="AT197" t="s">
        <v>132</v>
      </c>
      <c r="AU197">
        <v>1</v>
      </c>
      <c r="AV197">
        <v>0</v>
      </c>
      <c r="AW197">
        <v>1</v>
      </c>
      <c r="BE197">
        <v>2.6</v>
      </c>
      <c r="BF197">
        <v>0</v>
      </c>
      <c r="BG197">
        <v>0</v>
      </c>
      <c r="BH197" s="1">
        <v>44319</v>
      </c>
      <c r="BI197" t="s">
        <v>210</v>
      </c>
      <c r="BJ197">
        <v>1930</v>
      </c>
      <c r="BK197" t="s">
        <v>119</v>
      </c>
      <c r="BL197" t="s">
        <v>128</v>
      </c>
      <c r="BM197">
        <v>5400</v>
      </c>
      <c r="BN197">
        <v>2</v>
      </c>
      <c r="BO197">
        <v>5</v>
      </c>
      <c r="BP197">
        <v>3</v>
      </c>
      <c r="BQ197">
        <v>1792</v>
      </c>
      <c r="BR197">
        <v>608</v>
      </c>
      <c r="BS197">
        <v>38.074689697000103</v>
      </c>
      <c r="BT197">
        <v>-82.446758261999904</v>
      </c>
      <c r="BU197">
        <v>0.15362549</v>
      </c>
      <c r="BV197">
        <v>-2.84637451171875</v>
      </c>
      <c r="BW197">
        <v>1</v>
      </c>
      <c r="BX197" t="s">
        <v>306</v>
      </c>
      <c r="BY197">
        <v>107</v>
      </c>
      <c r="BZ197">
        <v>0</v>
      </c>
      <c r="CA197">
        <v>0</v>
      </c>
      <c r="CB197">
        <v>2700</v>
      </c>
      <c r="CC197">
        <v>23</v>
      </c>
      <c r="CD197">
        <v>0</v>
      </c>
      <c r="CE197">
        <v>0</v>
      </c>
      <c r="CF197">
        <v>0</v>
      </c>
      <c r="CG197">
        <v>0</v>
      </c>
      <c r="CH197">
        <v>0</v>
      </c>
      <c r="CI197">
        <v>0</v>
      </c>
      <c r="CO197">
        <v>0</v>
      </c>
      <c r="CP197">
        <v>0</v>
      </c>
      <c r="CQ197" t="s">
        <v>779</v>
      </c>
      <c r="CR197" t="s">
        <v>183</v>
      </c>
      <c r="CS197" t="s">
        <v>138</v>
      </c>
      <c r="CT197" t="s">
        <v>139</v>
      </c>
      <c r="CU197" t="s">
        <v>163</v>
      </c>
      <c r="CW197">
        <v>2</v>
      </c>
      <c r="CX197" t="s">
        <v>780</v>
      </c>
      <c r="CY197" t="s">
        <v>781</v>
      </c>
      <c r="CZ197" t="s">
        <v>800</v>
      </c>
      <c r="DA197" t="s">
        <v>782</v>
      </c>
      <c r="DB197">
        <v>0</v>
      </c>
      <c r="DC197">
        <v>5400</v>
      </c>
    </row>
    <row r="198" spans="1:107" x14ac:dyDescent="0.25">
      <c r="A198" t="s">
        <v>804</v>
      </c>
      <c r="B198" t="s">
        <v>108</v>
      </c>
      <c r="C198" t="s">
        <v>805</v>
      </c>
      <c r="D198" t="s">
        <v>800</v>
      </c>
      <c r="F198" s="3" t="str">
        <f>HYPERLINK("https://mapwv.gov/flood/map/?wkid=102100&amp;x=-9177815.135674626&amp;y=4589852.806044033&amp;l=13&amp;v=2","FT")</f>
        <v>FT</v>
      </c>
      <c r="G198" s="3" t="str">
        <f>HYPERLINK("https://mapwv.gov/Assessment/Detail/?PID=50080008001700000000","Assessment")</f>
        <v>Assessment</v>
      </c>
      <c r="H198">
        <v>540200</v>
      </c>
      <c r="I198" t="s">
        <v>773</v>
      </c>
      <c r="J198" t="s">
        <v>774</v>
      </c>
      <c r="K198" t="s">
        <v>148</v>
      </c>
      <c r="L198" t="s">
        <v>801</v>
      </c>
      <c r="M198" t="s">
        <v>532</v>
      </c>
      <c r="N198" t="s">
        <v>199</v>
      </c>
      <c r="O198" t="s">
        <v>117</v>
      </c>
      <c r="P198" t="s">
        <v>150</v>
      </c>
      <c r="Q198" t="s">
        <v>119</v>
      </c>
      <c r="R198">
        <v>4.3</v>
      </c>
      <c r="S198" t="s">
        <v>120</v>
      </c>
      <c r="T198">
        <v>671</v>
      </c>
      <c r="U198" t="s">
        <v>365</v>
      </c>
      <c r="V198">
        <v>666.8</v>
      </c>
      <c r="X198" t="s">
        <v>802</v>
      </c>
      <c r="Y198" t="s">
        <v>803</v>
      </c>
      <c r="Z198">
        <v>1111</v>
      </c>
      <c r="AA198" t="s">
        <v>318</v>
      </c>
      <c r="AB198" t="s">
        <v>155</v>
      </c>
      <c r="AC198" t="s">
        <v>129</v>
      </c>
      <c r="AD198">
        <v>2</v>
      </c>
      <c r="AE198">
        <v>101</v>
      </c>
      <c r="AF198" t="s">
        <v>127</v>
      </c>
      <c r="AG198" t="s">
        <v>177</v>
      </c>
      <c r="AH198" t="s">
        <v>129</v>
      </c>
      <c r="AI198">
        <v>1</v>
      </c>
      <c r="AJ198" t="s">
        <v>156</v>
      </c>
      <c r="AK198" t="s">
        <v>130</v>
      </c>
      <c r="AL198">
        <v>1000</v>
      </c>
      <c r="AM198" t="s">
        <v>157</v>
      </c>
      <c r="AN198" t="s">
        <v>158</v>
      </c>
      <c r="AO198">
        <v>3</v>
      </c>
      <c r="AP198">
        <v>3900</v>
      </c>
      <c r="AQ198">
        <v>0</v>
      </c>
      <c r="AR198">
        <v>1500</v>
      </c>
      <c r="AS198">
        <v>12000</v>
      </c>
      <c r="AT198" t="s">
        <v>228</v>
      </c>
      <c r="AU198">
        <v>1</v>
      </c>
      <c r="AV198">
        <v>0</v>
      </c>
      <c r="AW198">
        <v>1</v>
      </c>
      <c r="BC198" t="s">
        <v>230</v>
      </c>
      <c r="BE198">
        <v>2.6</v>
      </c>
      <c r="BF198">
        <v>1</v>
      </c>
      <c r="BG198">
        <v>2.6</v>
      </c>
      <c r="BH198" s="1">
        <v>44319</v>
      </c>
      <c r="BI198" t="s">
        <v>210</v>
      </c>
      <c r="BJ198">
        <v>1111</v>
      </c>
      <c r="BK198" t="s">
        <v>119</v>
      </c>
      <c r="BL198" t="s">
        <v>177</v>
      </c>
      <c r="BM198">
        <v>12000</v>
      </c>
      <c r="BN198">
        <v>1</v>
      </c>
      <c r="BO198">
        <v>5</v>
      </c>
      <c r="BP198">
        <v>3</v>
      </c>
      <c r="BQ198">
        <v>1000</v>
      </c>
      <c r="BR198">
        <v>609</v>
      </c>
      <c r="BS198">
        <v>38.0737736660001</v>
      </c>
      <c r="BT198">
        <v>-82.4457161119999</v>
      </c>
      <c r="BU198">
        <v>4.4939574999999996</v>
      </c>
      <c r="BV198">
        <v>1.49395751953125</v>
      </c>
      <c r="BW198">
        <v>1</v>
      </c>
      <c r="BX198" t="s">
        <v>181</v>
      </c>
      <c r="BY198">
        <v>189</v>
      </c>
      <c r="BZ198">
        <v>53.3851928710937</v>
      </c>
      <c r="CA198">
        <v>6406.22314453124</v>
      </c>
      <c r="CB198">
        <v>6000</v>
      </c>
      <c r="CC198">
        <v>74</v>
      </c>
      <c r="CD198">
        <v>37.8670654296875</v>
      </c>
      <c r="CE198">
        <v>2272.02392578125</v>
      </c>
      <c r="CF198">
        <v>0</v>
      </c>
      <c r="CG198">
        <v>0</v>
      </c>
      <c r="CH198">
        <v>0</v>
      </c>
      <c r="CI198">
        <v>0</v>
      </c>
      <c r="CJ198" t="s">
        <v>273</v>
      </c>
      <c r="CK198">
        <v>6.5</v>
      </c>
      <c r="CL198">
        <v>10</v>
      </c>
      <c r="CM198">
        <v>12</v>
      </c>
      <c r="CN198">
        <v>28.5</v>
      </c>
      <c r="CO198">
        <v>360</v>
      </c>
      <c r="CP198">
        <v>720</v>
      </c>
      <c r="CQ198" t="s">
        <v>779</v>
      </c>
      <c r="CR198" t="s">
        <v>385</v>
      </c>
      <c r="CS198" t="s">
        <v>138</v>
      </c>
      <c r="CT198" t="s">
        <v>139</v>
      </c>
      <c r="CU198" t="s">
        <v>274</v>
      </c>
      <c r="CW198">
        <v>2</v>
      </c>
      <c r="CX198" t="s">
        <v>780</v>
      </c>
      <c r="CY198" t="s">
        <v>781</v>
      </c>
      <c r="CZ198" t="s">
        <v>800</v>
      </c>
      <c r="DA198" t="s">
        <v>782</v>
      </c>
      <c r="DB198">
        <v>0</v>
      </c>
      <c r="DC198">
        <v>5400</v>
      </c>
    </row>
    <row r="199" spans="1:107" x14ac:dyDescent="0.25">
      <c r="A199" t="s">
        <v>833</v>
      </c>
      <c r="B199" t="s">
        <v>108</v>
      </c>
      <c r="C199" t="s">
        <v>834</v>
      </c>
      <c r="D199" t="s">
        <v>800</v>
      </c>
      <c r="F199" s="3" t="str">
        <f>HYPERLINK("https://mapwv.gov/flood/map/?wkid=102100&amp;x=-9177872.511632616&amp;y=4589893.23801938&amp;l=13&amp;v=2","FT")</f>
        <v>FT</v>
      </c>
      <c r="G199" s="3" t="str">
        <f>HYPERLINK("https://mapwv.gov/Assessment/Detail/?PID=50080008001700000000","Assessment")</f>
        <v>Assessment</v>
      </c>
      <c r="H199">
        <v>540200</v>
      </c>
      <c r="I199" t="s">
        <v>773</v>
      </c>
      <c r="J199" t="s">
        <v>774</v>
      </c>
      <c r="K199" t="s">
        <v>148</v>
      </c>
      <c r="L199" t="s">
        <v>801</v>
      </c>
      <c r="M199" t="s">
        <v>532</v>
      </c>
      <c r="N199" t="s">
        <v>199</v>
      </c>
      <c r="O199" t="s">
        <v>383</v>
      </c>
      <c r="P199" t="s">
        <v>150</v>
      </c>
      <c r="Q199" t="s">
        <v>260</v>
      </c>
      <c r="R199">
        <v>7.1</v>
      </c>
      <c r="S199" t="s">
        <v>120</v>
      </c>
      <c r="T199">
        <v>670.8</v>
      </c>
      <c r="U199" t="s">
        <v>365</v>
      </c>
      <c r="V199">
        <v>663.8</v>
      </c>
      <c r="X199" t="s">
        <v>802</v>
      </c>
      <c r="Y199" t="s">
        <v>803</v>
      </c>
      <c r="Z199">
        <v>9999</v>
      </c>
      <c r="AA199" t="s">
        <v>318</v>
      </c>
      <c r="AB199" t="s">
        <v>155</v>
      </c>
      <c r="AC199" t="s">
        <v>129</v>
      </c>
      <c r="AD199">
        <v>2</v>
      </c>
      <c r="AE199">
        <v>101</v>
      </c>
      <c r="AF199" t="s">
        <v>127</v>
      </c>
      <c r="AG199" t="s">
        <v>177</v>
      </c>
      <c r="AH199" t="s">
        <v>129</v>
      </c>
      <c r="AI199">
        <v>1</v>
      </c>
      <c r="AJ199" t="s">
        <v>156</v>
      </c>
      <c r="AK199" t="s">
        <v>130</v>
      </c>
      <c r="AL199">
        <v>1000</v>
      </c>
      <c r="AM199" t="s">
        <v>157</v>
      </c>
      <c r="AN199" t="s">
        <v>158</v>
      </c>
      <c r="AO199">
        <v>4</v>
      </c>
      <c r="AP199">
        <v>3900</v>
      </c>
      <c r="AQ199">
        <v>0</v>
      </c>
      <c r="AR199">
        <v>1500</v>
      </c>
      <c r="AS199">
        <v>12000</v>
      </c>
      <c r="AT199" t="s">
        <v>228</v>
      </c>
      <c r="AU199">
        <v>1</v>
      </c>
      <c r="AV199">
        <v>0</v>
      </c>
      <c r="AW199">
        <v>1</v>
      </c>
      <c r="BC199" t="s">
        <v>230</v>
      </c>
      <c r="BD199" t="s">
        <v>614</v>
      </c>
      <c r="BE199">
        <v>2.6</v>
      </c>
      <c r="BF199">
        <v>1</v>
      </c>
      <c r="BG199">
        <v>2.6</v>
      </c>
      <c r="BH199" s="1">
        <v>44319</v>
      </c>
      <c r="BI199" t="s">
        <v>384</v>
      </c>
      <c r="BJ199">
        <v>9999</v>
      </c>
      <c r="BK199" t="s">
        <v>260</v>
      </c>
      <c r="BL199" t="s">
        <v>177</v>
      </c>
      <c r="BM199">
        <v>12000</v>
      </c>
      <c r="BN199">
        <v>1</v>
      </c>
      <c r="BO199">
        <v>5</v>
      </c>
      <c r="BP199">
        <v>4</v>
      </c>
      <c r="BQ199">
        <v>1000</v>
      </c>
      <c r="BR199">
        <v>610</v>
      </c>
      <c r="BS199">
        <v>38.074059587999997</v>
      </c>
      <c r="BT199">
        <v>-82.446231529000002</v>
      </c>
      <c r="BU199">
        <v>7.3095702999999999</v>
      </c>
      <c r="BV199">
        <v>3.3095703125</v>
      </c>
      <c r="BW199">
        <v>1</v>
      </c>
      <c r="BX199" t="s">
        <v>181</v>
      </c>
      <c r="BY199">
        <v>189</v>
      </c>
      <c r="BZ199">
        <v>74.5478515625</v>
      </c>
      <c r="CA199">
        <v>8945.7421875</v>
      </c>
      <c r="CB199">
        <v>6000</v>
      </c>
      <c r="CC199">
        <v>74</v>
      </c>
      <c r="CD199">
        <v>65.857421875</v>
      </c>
      <c r="CE199">
        <v>3951.4453125</v>
      </c>
      <c r="CF199">
        <v>0</v>
      </c>
      <c r="CG199">
        <v>0</v>
      </c>
      <c r="CH199">
        <v>0</v>
      </c>
      <c r="CI199">
        <v>0</v>
      </c>
      <c r="CJ199" t="s">
        <v>273</v>
      </c>
      <c r="CK199">
        <v>6.5</v>
      </c>
      <c r="CL199">
        <v>10</v>
      </c>
      <c r="CM199">
        <v>12</v>
      </c>
      <c r="CN199">
        <v>28.5</v>
      </c>
      <c r="CO199">
        <v>360</v>
      </c>
      <c r="CP199">
        <v>720</v>
      </c>
      <c r="CQ199" t="s">
        <v>779</v>
      </c>
      <c r="CR199" t="s">
        <v>385</v>
      </c>
      <c r="CS199" t="s">
        <v>138</v>
      </c>
      <c r="CT199" t="s">
        <v>139</v>
      </c>
      <c r="CU199" t="s">
        <v>274</v>
      </c>
      <c r="CW199">
        <v>2</v>
      </c>
      <c r="CX199" t="s">
        <v>780</v>
      </c>
      <c r="CY199" t="s">
        <v>781</v>
      </c>
      <c r="CZ199" t="s">
        <v>800</v>
      </c>
      <c r="DA199" t="s">
        <v>782</v>
      </c>
      <c r="DB199">
        <v>0</v>
      </c>
      <c r="DC199">
        <v>5400</v>
      </c>
    </row>
    <row r="200" spans="1:107" x14ac:dyDescent="0.25">
      <c r="A200" t="s">
        <v>851</v>
      </c>
      <c r="B200" t="s">
        <v>108</v>
      </c>
      <c r="C200" t="s">
        <v>852</v>
      </c>
      <c r="D200" t="s">
        <v>800</v>
      </c>
      <c r="F200" s="3" t="str">
        <f>HYPERLINK("https://mapwv.gov/flood/map/?wkid=102100&amp;x=-9177910.880789423&amp;y=4589910.51444268&amp;l=13&amp;v=2","FT")</f>
        <v>FT</v>
      </c>
      <c r="G200" s="3" t="str">
        <f>HYPERLINK("https://mapwv.gov/Assessment/Detail/?PID=50080008001700000000","Assessment")</f>
        <v>Assessment</v>
      </c>
      <c r="H200">
        <v>540200</v>
      </c>
      <c r="I200" t="s">
        <v>773</v>
      </c>
      <c r="J200" t="s">
        <v>774</v>
      </c>
      <c r="K200" t="s">
        <v>148</v>
      </c>
      <c r="L200" t="s">
        <v>801</v>
      </c>
      <c r="M200" t="s">
        <v>532</v>
      </c>
      <c r="N200" t="s">
        <v>199</v>
      </c>
      <c r="O200" t="s">
        <v>383</v>
      </c>
      <c r="P200" t="s">
        <v>150</v>
      </c>
      <c r="Q200" t="s">
        <v>260</v>
      </c>
      <c r="R200">
        <v>6.9</v>
      </c>
      <c r="S200" t="s">
        <v>120</v>
      </c>
      <c r="T200">
        <v>670.6</v>
      </c>
      <c r="U200" t="s">
        <v>365</v>
      </c>
      <c r="V200">
        <v>663.6</v>
      </c>
      <c r="X200" t="s">
        <v>802</v>
      </c>
      <c r="Y200" t="s">
        <v>803</v>
      </c>
      <c r="Z200">
        <v>9999</v>
      </c>
      <c r="AA200" t="s">
        <v>318</v>
      </c>
      <c r="AB200" t="s">
        <v>155</v>
      </c>
      <c r="AC200" t="s">
        <v>129</v>
      </c>
      <c r="AD200">
        <v>2</v>
      </c>
      <c r="AE200">
        <v>101</v>
      </c>
      <c r="AF200" t="s">
        <v>127</v>
      </c>
      <c r="AG200" t="s">
        <v>177</v>
      </c>
      <c r="AH200" t="s">
        <v>129</v>
      </c>
      <c r="AI200">
        <v>1</v>
      </c>
      <c r="AJ200" t="s">
        <v>156</v>
      </c>
      <c r="AK200" t="s">
        <v>130</v>
      </c>
      <c r="AL200">
        <v>1000</v>
      </c>
      <c r="AM200" t="s">
        <v>157</v>
      </c>
      <c r="AN200" t="s">
        <v>158</v>
      </c>
      <c r="AO200">
        <v>4</v>
      </c>
      <c r="AP200">
        <v>3900</v>
      </c>
      <c r="AQ200">
        <v>0</v>
      </c>
      <c r="AR200">
        <v>1500</v>
      </c>
      <c r="AS200">
        <v>12000</v>
      </c>
      <c r="AT200" t="s">
        <v>228</v>
      </c>
      <c r="AU200">
        <v>1</v>
      </c>
      <c r="AV200">
        <v>0</v>
      </c>
      <c r="AW200">
        <v>1</v>
      </c>
      <c r="BC200" t="s">
        <v>230</v>
      </c>
      <c r="BD200" t="s">
        <v>614</v>
      </c>
      <c r="BE200">
        <v>2.6</v>
      </c>
      <c r="BF200">
        <v>1</v>
      </c>
      <c r="BG200">
        <v>2.6</v>
      </c>
      <c r="BH200" s="1">
        <v>44319</v>
      </c>
      <c r="BI200" t="s">
        <v>384</v>
      </c>
      <c r="BJ200">
        <v>9999</v>
      </c>
      <c r="BK200" t="s">
        <v>260</v>
      </c>
      <c r="BL200" t="s">
        <v>177</v>
      </c>
      <c r="BM200">
        <v>12000</v>
      </c>
      <c r="BN200">
        <v>1</v>
      </c>
      <c r="BO200">
        <v>5</v>
      </c>
      <c r="BP200">
        <v>4</v>
      </c>
      <c r="BQ200">
        <v>1000</v>
      </c>
      <c r="BR200">
        <v>611</v>
      </c>
      <c r="BS200">
        <v>38.074181760999899</v>
      </c>
      <c r="BT200">
        <v>-82.446576205</v>
      </c>
      <c r="BU200">
        <v>6.8430175999999996</v>
      </c>
      <c r="BV200">
        <v>2.843017578125</v>
      </c>
      <c r="BW200">
        <v>1</v>
      </c>
      <c r="BX200" t="s">
        <v>181</v>
      </c>
      <c r="BY200">
        <v>189</v>
      </c>
      <c r="BZ200">
        <v>71.43017578125</v>
      </c>
      <c r="CA200">
        <v>8571.62109375</v>
      </c>
      <c r="CB200">
        <v>6000</v>
      </c>
      <c r="CC200">
        <v>74</v>
      </c>
      <c r="CD200">
        <v>61.645263671874901</v>
      </c>
      <c r="CE200">
        <v>3698.71582031249</v>
      </c>
      <c r="CF200">
        <v>0</v>
      </c>
      <c r="CG200">
        <v>0</v>
      </c>
      <c r="CH200">
        <v>0</v>
      </c>
      <c r="CI200">
        <v>0</v>
      </c>
      <c r="CJ200" t="s">
        <v>273</v>
      </c>
      <c r="CK200">
        <v>6.5</v>
      </c>
      <c r="CL200">
        <v>10</v>
      </c>
      <c r="CM200">
        <v>12</v>
      </c>
      <c r="CN200">
        <v>28.5</v>
      </c>
      <c r="CO200">
        <v>360</v>
      </c>
      <c r="CP200">
        <v>720</v>
      </c>
      <c r="CQ200" t="s">
        <v>779</v>
      </c>
      <c r="CR200" t="s">
        <v>385</v>
      </c>
      <c r="CS200" t="s">
        <v>138</v>
      </c>
      <c r="CT200" t="s">
        <v>139</v>
      </c>
      <c r="CU200" t="s">
        <v>274</v>
      </c>
      <c r="CW200">
        <v>2</v>
      </c>
      <c r="CX200" t="s">
        <v>780</v>
      </c>
      <c r="CY200" t="s">
        <v>781</v>
      </c>
      <c r="CZ200" t="s">
        <v>800</v>
      </c>
      <c r="DA200" t="s">
        <v>782</v>
      </c>
      <c r="DB200">
        <v>0</v>
      </c>
      <c r="DC200">
        <v>5400</v>
      </c>
    </row>
    <row r="201" spans="1:107" x14ac:dyDescent="0.25">
      <c r="A201" t="s">
        <v>940</v>
      </c>
      <c r="B201" t="s">
        <v>108</v>
      </c>
      <c r="C201" t="s">
        <v>941</v>
      </c>
      <c r="D201" t="s">
        <v>942</v>
      </c>
      <c r="F201" s="3" t="str">
        <f>HYPERLINK("https://mapwv.gov/flood/map/?wkid=102100&amp;x=-9126923.867087556&amp;y=4722246.880828137&amp;l=13&amp;v=2","FT")</f>
        <v>FT</v>
      </c>
      <c r="G201" s="3" t="str">
        <f>HYPERLINK("https://mapwv.gov/Assessment/Detail/?PID=26070001009700000000","Assessment")</f>
        <v>Assessment</v>
      </c>
      <c r="H201">
        <v>540247</v>
      </c>
      <c r="I201" t="s">
        <v>936</v>
      </c>
      <c r="J201" t="s">
        <v>907</v>
      </c>
      <c r="K201" t="s">
        <v>113</v>
      </c>
      <c r="L201" t="s">
        <v>920</v>
      </c>
      <c r="M201" t="s">
        <v>921</v>
      </c>
      <c r="N201" t="s">
        <v>199</v>
      </c>
      <c r="O201" t="s">
        <v>117</v>
      </c>
      <c r="P201" t="s">
        <v>150</v>
      </c>
      <c r="Q201" t="s">
        <v>119</v>
      </c>
      <c r="R201">
        <v>3.3</v>
      </c>
      <c r="S201" t="s">
        <v>120</v>
      </c>
      <c r="T201" t="s">
        <v>151</v>
      </c>
      <c r="U201" t="s">
        <v>151</v>
      </c>
      <c r="V201">
        <v>576.1</v>
      </c>
      <c r="X201" t="s">
        <v>943</v>
      </c>
      <c r="Y201" t="s">
        <v>944</v>
      </c>
      <c r="Z201">
        <v>1900</v>
      </c>
      <c r="AA201" t="s">
        <v>124</v>
      </c>
      <c r="AB201" t="s">
        <v>125</v>
      </c>
      <c r="AC201" t="s">
        <v>126</v>
      </c>
      <c r="AD201">
        <v>4</v>
      </c>
      <c r="AE201">
        <v>620</v>
      </c>
      <c r="AF201" t="s">
        <v>653</v>
      </c>
      <c r="AG201" t="s">
        <v>654</v>
      </c>
      <c r="AH201" t="s">
        <v>653</v>
      </c>
      <c r="AI201">
        <v>1</v>
      </c>
      <c r="AK201" t="s">
        <v>130</v>
      </c>
      <c r="AL201">
        <v>1332</v>
      </c>
      <c r="AN201" t="s">
        <v>131</v>
      </c>
      <c r="AO201">
        <v>1</v>
      </c>
      <c r="AP201">
        <v>5200</v>
      </c>
      <c r="AQ201">
        <v>0</v>
      </c>
      <c r="AR201">
        <v>150</v>
      </c>
      <c r="AS201">
        <v>5400</v>
      </c>
      <c r="AT201" t="s">
        <v>132</v>
      </c>
      <c r="AU201">
        <v>1</v>
      </c>
      <c r="AV201">
        <v>1</v>
      </c>
      <c r="AW201">
        <v>1</v>
      </c>
      <c r="BB201" t="s">
        <v>945</v>
      </c>
      <c r="BE201">
        <v>2.2999999999999998</v>
      </c>
      <c r="BF201">
        <v>0</v>
      </c>
      <c r="BG201">
        <v>0</v>
      </c>
      <c r="BH201" s="1">
        <v>44335</v>
      </c>
      <c r="BI201" t="s">
        <v>210</v>
      </c>
      <c r="BJ201">
        <v>1900</v>
      </c>
      <c r="BK201" t="s">
        <v>119</v>
      </c>
      <c r="BL201" t="s">
        <v>654</v>
      </c>
      <c r="BM201">
        <v>5400</v>
      </c>
      <c r="BN201">
        <v>1</v>
      </c>
      <c r="BO201">
        <v>7</v>
      </c>
      <c r="BP201">
        <v>1</v>
      </c>
      <c r="BQ201">
        <v>1332</v>
      </c>
      <c r="BR201">
        <v>1082</v>
      </c>
      <c r="BS201">
        <v>39.004016239999999</v>
      </c>
      <c r="BT201">
        <v>-81.988552068000004</v>
      </c>
      <c r="BU201">
        <v>3.2633667000000002</v>
      </c>
      <c r="BV201">
        <v>2.26336669921875</v>
      </c>
      <c r="BW201">
        <v>1</v>
      </c>
      <c r="BX201" t="s">
        <v>656</v>
      </c>
      <c r="BY201">
        <v>624</v>
      </c>
      <c r="BZ201">
        <v>11</v>
      </c>
      <c r="CA201">
        <v>594</v>
      </c>
      <c r="CB201">
        <v>5400</v>
      </c>
      <c r="CC201">
        <v>467</v>
      </c>
      <c r="CD201">
        <v>75.423767089843693</v>
      </c>
      <c r="CE201">
        <v>4072.8834228515602</v>
      </c>
      <c r="CF201">
        <v>0</v>
      </c>
      <c r="CG201">
        <v>0</v>
      </c>
      <c r="CH201">
        <v>0</v>
      </c>
      <c r="CI201">
        <v>0</v>
      </c>
      <c r="CJ201" t="s">
        <v>946</v>
      </c>
      <c r="CK201">
        <v>1.3320000000000001</v>
      </c>
      <c r="CL201">
        <v>0</v>
      </c>
      <c r="CM201">
        <v>0</v>
      </c>
      <c r="CN201">
        <v>1.3320000000000001</v>
      </c>
      <c r="CO201">
        <v>360</v>
      </c>
      <c r="CP201">
        <v>540</v>
      </c>
      <c r="CQ201" t="s">
        <v>912</v>
      </c>
      <c r="CR201" t="s">
        <v>214</v>
      </c>
      <c r="CS201" t="s">
        <v>138</v>
      </c>
      <c r="CT201" t="s">
        <v>139</v>
      </c>
      <c r="CU201" t="s">
        <v>140</v>
      </c>
      <c r="CW201">
        <v>2</v>
      </c>
      <c r="CX201" t="s">
        <v>939</v>
      </c>
      <c r="CY201" t="s">
        <v>914</v>
      </c>
      <c r="CZ201" t="s">
        <v>942</v>
      </c>
      <c r="DA201" t="s">
        <v>915</v>
      </c>
      <c r="DB201">
        <v>0</v>
      </c>
      <c r="DC201">
        <v>5400</v>
      </c>
    </row>
    <row r="202" spans="1:107" x14ac:dyDescent="0.25">
      <c r="A202" t="s">
        <v>1600</v>
      </c>
      <c r="B202" t="s">
        <v>108</v>
      </c>
      <c r="C202" t="s">
        <v>1601</v>
      </c>
      <c r="D202" t="s">
        <v>1602</v>
      </c>
      <c r="F202" s="3" t="str">
        <f>HYPERLINK("https://mapwv.gov/flood/map/?wkid=102100&amp;x=-9056626.18562052&amp;y=4640961.98781558&amp;l=13&amp;v=2","FT")</f>
        <v>FT</v>
      </c>
      <c r="G202" s="3" t="str">
        <f>HYPERLINK("https://mapwv.gov/Assessment/Detail/?PID=20010030002400010000","Assessment")</f>
        <v>Assessment</v>
      </c>
      <c r="H202">
        <v>540070</v>
      </c>
      <c r="I202" t="s">
        <v>1306</v>
      </c>
      <c r="J202" t="s">
        <v>1282</v>
      </c>
      <c r="K202" t="s">
        <v>148</v>
      </c>
      <c r="L202" t="s">
        <v>1603</v>
      </c>
      <c r="M202" t="s">
        <v>172</v>
      </c>
      <c r="N202" t="s">
        <v>149</v>
      </c>
      <c r="O202" t="s">
        <v>117</v>
      </c>
      <c r="P202" t="s">
        <v>150</v>
      </c>
      <c r="Q202" t="s">
        <v>119</v>
      </c>
      <c r="R202" t="s">
        <v>151</v>
      </c>
      <c r="S202" t="s">
        <v>151</v>
      </c>
      <c r="T202" t="s">
        <v>151</v>
      </c>
      <c r="U202" t="s">
        <v>151</v>
      </c>
      <c r="V202">
        <v>888</v>
      </c>
      <c r="X202" t="s">
        <v>1604</v>
      </c>
      <c r="Y202" t="s">
        <v>1605</v>
      </c>
      <c r="Z202">
        <v>1969</v>
      </c>
      <c r="AA202" t="s">
        <v>318</v>
      </c>
      <c r="AB202" t="s">
        <v>155</v>
      </c>
      <c r="AC202" t="s">
        <v>129</v>
      </c>
      <c r="AD202">
        <v>2</v>
      </c>
      <c r="AE202">
        <v>108</v>
      </c>
      <c r="AF202" t="s">
        <v>176</v>
      </c>
      <c r="AG202" t="s">
        <v>177</v>
      </c>
      <c r="AH202" t="s">
        <v>129</v>
      </c>
      <c r="AI202">
        <v>1</v>
      </c>
      <c r="AL202">
        <v>816</v>
      </c>
      <c r="AN202" t="s">
        <v>158</v>
      </c>
      <c r="AO202">
        <v>3</v>
      </c>
      <c r="AP202">
        <v>0</v>
      </c>
      <c r="AQ202">
        <v>0</v>
      </c>
      <c r="AR202">
        <v>5110</v>
      </c>
      <c r="AS202">
        <v>5100</v>
      </c>
      <c r="AT202" t="s">
        <v>132</v>
      </c>
      <c r="AU202">
        <v>1</v>
      </c>
      <c r="AV202">
        <v>2</v>
      </c>
      <c r="AW202">
        <v>1</v>
      </c>
      <c r="BE202">
        <v>2.4</v>
      </c>
      <c r="BF202">
        <v>0</v>
      </c>
      <c r="BG202">
        <v>0</v>
      </c>
      <c r="BH202" s="1">
        <v>44362</v>
      </c>
      <c r="BI202" t="s">
        <v>159</v>
      </c>
      <c r="BJ202">
        <v>1969</v>
      </c>
      <c r="BK202" t="s">
        <v>119</v>
      </c>
      <c r="BL202" t="s">
        <v>177</v>
      </c>
      <c r="BM202">
        <v>5100</v>
      </c>
      <c r="BN202">
        <v>1</v>
      </c>
      <c r="BO202">
        <v>5</v>
      </c>
      <c r="BP202">
        <v>3</v>
      </c>
      <c r="BQ202">
        <v>816</v>
      </c>
      <c r="BR202">
        <v>6916</v>
      </c>
      <c r="BS202">
        <v>38.434308242999897</v>
      </c>
      <c r="BT202">
        <v>-81.357057251000001</v>
      </c>
      <c r="BU202">
        <v>0</v>
      </c>
      <c r="BV202">
        <v>-3</v>
      </c>
      <c r="BW202">
        <v>0</v>
      </c>
      <c r="BX202" t="s">
        <v>181</v>
      </c>
      <c r="BY202">
        <v>0</v>
      </c>
      <c r="BZ202">
        <v>0</v>
      </c>
      <c r="CA202">
        <v>0</v>
      </c>
      <c r="CB202">
        <v>2550</v>
      </c>
      <c r="CC202">
        <v>0</v>
      </c>
      <c r="CD202">
        <v>0</v>
      </c>
      <c r="CE202">
        <v>0</v>
      </c>
      <c r="CF202">
        <v>0</v>
      </c>
      <c r="CG202">
        <v>0</v>
      </c>
      <c r="CH202">
        <v>0</v>
      </c>
      <c r="CI202">
        <v>0</v>
      </c>
      <c r="CO202">
        <v>0</v>
      </c>
      <c r="CP202">
        <v>0</v>
      </c>
      <c r="CQ202" t="s">
        <v>1286</v>
      </c>
      <c r="CR202" t="s">
        <v>183</v>
      </c>
      <c r="CS202" t="s">
        <v>161</v>
      </c>
      <c r="CT202" t="s">
        <v>139</v>
      </c>
      <c r="CU202" t="s">
        <v>163</v>
      </c>
      <c r="CW202">
        <v>3</v>
      </c>
      <c r="CX202" t="s">
        <v>1312</v>
      </c>
      <c r="CY202" t="s">
        <v>1288</v>
      </c>
      <c r="CZ202" t="s">
        <v>1602</v>
      </c>
      <c r="DA202" t="s">
        <v>1289</v>
      </c>
      <c r="DB202">
        <v>0</v>
      </c>
      <c r="DC202">
        <v>5100</v>
      </c>
    </row>
    <row r="203" spans="1:107" x14ac:dyDescent="0.25">
      <c r="A203" t="s">
        <v>1092</v>
      </c>
      <c r="B203" t="s">
        <v>108</v>
      </c>
      <c r="C203" t="s">
        <v>1093</v>
      </c>
      <c r="D203" t="s">
        <v>1094</v>
      </c>
      <c r="F203" s="3" t="str">
        <f>HYPERLINK("https://mapwv.gov/flood/map/?wkid=102100&amp;x=-9105625.537494117&amp;y=4541216.954359188&amp;l=13&amp;v=2","FT")</f>
        <v>FT</v>
      </c>
      <c r="G203" s="3" t="str">
        <f>HYPERLINK("https://mapwv.gov/Assessment/Detail/?PID=23080010004200010000","Assessment")</f>
        <v>Assessment</v>
      </c>
      <c r="H203">
        <v>545536</v>
      </c>
      <c r="I203" t="s">
        <v>964</v>
      </c>
      <c r="J203" t="s">
        <v>965</v>
      </c>
      <c r="K203" t="s">
        <v>148</v>
      </c>
      <c r="L203" t="s">
        <v>1070</v>
      </c>
      <c r="M203" t="s">
        <v>967</v>
      </c>
      <c r="N203" t="s">
        <v>199</v>
      </c>
      <c r="O203" t="s">
        <v>117</v>
      </c>
      <c r="P203" t="s">
        <v>150</v>
      </c>
      <c r="Q203" t="s">
        <v>260</v>
      </c>
      <c r="R203" t="s">
        <v>151</v>
      </c>
      <c r="S203" t="s">
        <v>151</v>
      </c>
      <c r="T203" t="s">
        <v>151</v>
      </c>
      <c r="U203" t="s">
        <v>151</v>
      </c>
      <c r="V203">
        <v>877.5</v>
      </c>
      <c r="X203" t="s">
        <v>1095</v>
      </c>
      <c r="Y203" t="s">
        <v>1096</v>
      </c>
      <c r="Z203">
        <v>2006</v>
      </c>
      <c r="AA203" t="s">
        <v>241</v>
      </c>
      <c r="AB203" t="s">
        <v>155</v>
      </c>
      <c r="AC203" t="s">
        <v>129</v>
      </c>
      <c r="AD203">
        <v>2</v>
      </c>
      <c r="AE203">
        <v>108</v>
      </c>
      <c r="AF203" t="s">
        <v>176</v>
      </c>
      <c r="AG203" t="s">
        <v>177</v>
      </c>
      <c r="AH203" t="s">
        <v>129</v>
      </c>
      <c r="AI203">
        <v>1</v>
      </c>
      <c r="AL203">
        <v>784</v>
      </c>
      <c r="AN203" t="s">
        <v>158</v>
      </c>
      <c r="AO203">
        <v>4</v>
      </c>
      <c r="AP203">
        <v>0</v>
      </c>
      <c r="AQ203">
        <v>0</v>
      </c>
      <c r="AR203">
        <v>4910</v>
      </c>
      <c r="AS203">
        <v>4900</v>
      </c>
      <c r="AT203" t="s">
        <v>132</v>
      </c>
      <c r="AU203">
        <v>1</v>
      </c>
      <c r="AV203">
        <v>5</v>
      </c>
      <c r="AW203">
        <v>1</v>
      </c>
      <c r="BE203">
        <v>2.4</v>
      </c>
      <c r="BF203">
        <v>0</v>
      </c>
      <c r="BG203">
        <v>0</v>
      </c>
      <c r="BH203" s="1">
        <v>44348</v>
      </c>
      <c r="BI203" t="s">
        <v>441</v>
      </c>
      <c r="BJ203">
        <v>2006</v>
      </c>
      <c r="BK203" t="s">
        <v>260</v>
      </c>
      <c r="BL203" t="s">
        <v>177</v>
      </c>
      <c r="BM203">
        <v>4900</v>
      </c>
      <c r="BN203">
        <v>1</v>
      </c>
      <c r="BO203">
        <v>5</v>
      </c>
      <c r="BP203">
        <v>4</v>
      </c>
      <c r="BQ203">
        <v>784</v>
      </c>
      <c r="BR203">
        <v>660</v>
      </c>
      <c r="BS203">
        <v>37.729027946000002</v>
      </c>
      <c r="BT203">
        <v>-81.797225917999896</v>
      </c>
      <c r="BU203">
        <v>0</v>
      </c>
      <c r="BV203">
        <v>-4</v>
      </c>
      <c r="BW203">
        <v>0</v>
      </c>
      <c r="BX203" t="s">
        <v>181</v>
      </c>
      <c r="BY203">
        <v>0</v>
      </c>
      <c r="BZ203">
        <v>0</v>
      </c>
      <c r="CA203">
        <v>0</v>
      </c>
      <c r="CB203">
        <v>2450</v>
      </c>
      <c r="CC203">
        <v>0</v>
      </c>
      <c r="CD203">
        <v>0</v>
      </c>
      <c r="CE203">
        <v>0</v>
      </c>
      <c r="CF203">
        <v>0</v>
      </c>
      <c r="CG203">
        <v>0</v>
      </c>
      <c r="CH203">
        <v>0</v>
      </c>
      <c r="CI203">
        <v>0</v>
      </c>
      <c r="CO203">
        <v>0</v>
      </c>
      <c r="CP203">
        <v>0</v>
      </c>
      <c r="CQ203" t="s">
        <v>974</v>
      </c>
      <c r="CR203" t="s">
        <v>160</v>
      </c>
      <c r="CS203" t="s">
        <v>161</v>
      </c>
      <c r="CT203" t="s">
        <v>139</v>
      </c>
      <c r="CU203" t="s">
        <v>163</v>
      </c>
      <c r="CW203">
        <v>2</v>
      </c>
      <c r="CX203" t="s">
        <v>975</v>
      </c>
      <c r="CY203" t="s">
        <v>976</v>
      </c>
      <c r="CZ203" t="s">
        <v>1094</v>
      </c>
      <c r="DA203" t="s">
        <v>977</v>
      </c>
      <c r="DB203">
        <v>0</v>
      </c>
      <c r="DC203">
        <v>4900</v>
      </c>
    </row>
    <row r="204" spans="1:107" x14ac:dyDescent="0.25">
      <c r="A204" t="s">
        <v>1493</v>
      </c>
      <c r="B204" t="s">
        <v>108</v>
      </c>
      <c r="C204" t="s">
        <v>1494</v>
      </c>
      <c r="D204" t="s">
        <v>1495</v>
      </c>
      <c r="F204" s="3" t="str">
        <f>HYPERLINK("https://mapwv.gov/flood/map/?wkid=102100&amp;x=-9055697.673532678&amp;y=4649948.258355596&amp;l=13&amp;v=2","FT")</f>
        <v>FT</v>
      </c>
      <c r="G204" s="3" t="str">
        <f>HYPERLINK("https://mapwv.gov/Assessment/Detail/?PID=2001019E007200000000","Assessment")</f>
        <v>Assessment</v>
      </c>
      <c r="H204">
        <v>540070</v>
      </c>
      <c r="I204" t="s">
        <v>1306</v>
      </c>
      <c r="J204" t="s">
        <v>1282</v>
      </c>
      <c r="K204" t="s">
        <v>148</v>
      </c>
      <c r="L204" t="s">
        <v>900</v>
      </c>
      <c r="M204" t="s">
        <v>172</v>
      </c>
      <c r="N204" t="s">
        <v>199</v>
      </c>
      <c r="O204" t="s">
        <v>117</v>
      </c>
      <c r="P204" t="s">
        <v>150</v>
      </c>
      <c r="Q204" t="s">
        <v>119</v>
      </c>
      <c r="R204">
        <v>9</v>
      </c>
      <c r="S204" t="s">
        <v>120</v>
      </c>
      <c r="T204" t="s">
        <v>151</v>
      </c>
      <c r="U204" t="s">
        <v>151</v>
      </c>
      <c r="V204">
        <v>622.6</v>
      </c>
      <c r="X204" t="s">
        <v>1434</v>
      </c>
      <c r="Y204" t="s">
        <v>1435</v>
      </c>
      <c r="Z204">
        <v>1923</v>
      </c>
      <c r="AA204" t="s">
        <v>154</v>
      </c>
      <c r="AB204" t="s">
        <v>155</v>
      </c>
      <c r="AC204" t="s">
        <v>129</v>
      </c>
      <c r="AD204">
        <v>3</v>
      </c>
      <c r="AE204">
        <v>101</v>
      </c>
      <c r="AF204" t="s">
        <v>127</v>
      </c>
      <c r="AG204" t="s">
        <v>128</v>
      </c>
      <c r="AH204" t="s">
        <v>129</v>
      </c>
      <c r="AI204">
        <v>1</v>
      </c>
      <c r="AJ204" t="s">
        <v>694</v>
      </c>
      <c r="AK204" t="s">
        <v>545</v>
      </c>
      <c r="AL204">
        <v>1621</v>
      </c>
      <c r="AM204" t="s">
        <v>157</v>
      </c>
      <c r="AN204" t="s">
        <v>158</v>
      </c>
      <c r="AO204">
        <v>3</v>
      </c>
      <c r="AP204">
        <v>4900</v>
      </c>
      <c r="AQ204">
        <v>0</v>
      </c>
      <c r="AR204">
        <v>0</v>
      </c>
      <c r="AS204">
        <v>4900</v>
      </c>
      <c r="AT204" t="s">
        <v>132</v>
      </c>
      <c r="AU204">
        <v>1</v>
      </c>
      <c r="AV204">
        <v>0</v>
      </c>
      <c r="AW204">
        <v>1</v>
      </c>
      <c r="BE204">
        <v>2.4</v>
      </c>
      <c r="BF204">
        <v>1</v>
      </c>
      <c r="BG204">
        <v>2.4</v>
      </c>
      <c r="BH204" s="1">
        <v>44362</v>
      </c>
      <c r="BI204" t="s">
        <v>1437</v>
      </c>
      <c r="BJ204">
        <v>1923</v>
      </c>
      <c r="BK204" t="s">
        <v>119</v>
      </c>
      <c r="BL204" t="s">
        <v>128</v>
      </c>
      <c r="BM204">
        <v>4900</v>
      </c>
      <c r="BN204">
        <v>1</v>
      </c>
      <c r="BO204">
        <v>5</v>
      </c>
      <c r="BP204">
        <v>3</v>
      </c>
      <c r="BQ204">
        <v>1621</v>
      </c>
      <c r="BR204">
        <v>8365</v>
      </c>
      <c r="BS204">
        <v>38.497514199000101</v>
      </c>
      <c r="BT204">
        <v>-81.348716284999895</v>
      </c>
      <c r="BU204">
        <v>8.9575200000000006</v>
      </c>
      <c r="BV204">
        <v>5.95751953125</v>
      </c>
      <c r="BW204">
        <v>1</v>
      </c>
      <c r="BX204" t="s">
        <v>134</v>
      </c>
      <c r="BY204">
        <v>129</v>
      </c>
      <c r="BZ204">
        <v>58.745117187499901</v>
      </c>
      <c r="CA204">
        <v>2878.5107421875</v>
      </c>
      <c r="CB204">
        <v>2450</v>
      </c>
      <c r="CC204">
        <v>45</v>
      </c>
      <c r="CD204">
        <v>63.7451171875</v>
      </c>
      <c r="CE204">
        <v>1561.75537109375</v>
      </c>
      <c r="CF204">
        <v>0</v>
      </c>
      <c r="CG204">
        <v>0</v>
      </c>
      <c r="CH204">
        <v>0</v>
      </c>
      <c r="CI204">
        <v>0</v>
      </c>
      <c r="CJ204" t="s">
        <v>343</v>
      </c>
      <c r="CK204">
        <v>11.0228</v>
      </c>
      <c r="CL204">
        <v>0</v>
      </c>
      <c r="CM204">
        <v>0</v>
      </c>
      <c r="CN204">
        <v>11.0228</v>
      </c>
      <c r="CO204">
        <v>270</v>
      </c>
      <c r="CP204">
        <v>450</v>
      </c>
      <c r="CQ204" t="s">
        <v>1286</v>
      </c>
      <c r="CR204" t="s">
        <v>183</v>
      </c>
      <c r="CS204" t="s">
        <v>138</v>
      </c>
      <c r="CT204" t="s">
        <v>139</v>
      </c>
      <c r="CU204" t="s">
        <v>274</v>
      </c>
      <c r="CW204">
        <v>3</v>
      </c>
      <c r="CX204" t="s">
        <v>1312</v>
      </c>
      <c r="CY204" t="s">
        <v>1288</v>
      </c>
      <c r="CZ204" t="s">
        <v>1495</v>
      </c>
      <c r="DA204" t="s">
        <v>1289</v>
      </c>
      <c r="DB204">
        <v>0</v>
      </c>
      <c r="DC204">
        <v>4900</v>
      </c>
    </row>
    <row r="205" spans="1:107" x14ac:dyDescent="0.25">
      <c r="A205" t="s">
        <v>1508</v>
      </c>
      <c r="B205" t="s">
        <v>108</v>
      </c>
      <c r="C205" t="s">
        <v>1509</v>
      </c>
      <c r="D205" t="s">
        <v>1510</v>
      </c>
      <c r="F205" s="3" t="str">
        <f>HYPERLINK("https://mapwv.gov/flood/map/?wkid=102100&amp;x=-9086896.753182612&amp;y=4654930.341622381&amp;l=13&amp;v=2","FT")</f>
        <v>FT</v>
      </c>
      <c r="G205" s="3" t="str">
        <f>HYPERLINK("https://mapwv.gov/Assessment/Detail/?PID=2024025B001000010000","Assessment")</f>
        <v>Assessment</v>
      </c>
      <c r="H205">
        <v>540070</v>
      </c>
      <c r="I205" t="s">
        <v>1306</v>
      </c>
      <c r="J205" t="s">
        <v>1282</v>
      </c>
      <c r="K205" t="s">
        <v>148</v>
      </c>
      <c r="L205" t="s">
        <v>1504</v>
      </c>
      <c r="M205" t="s">
        <v>909</v>
      </c>
      <c r="N205" t="s">
        <v>199</v>
      </c>
      <c r="O205" t="s">
        <v>117</v>
      </c>
      <c r="P205" t="s">
        <v>150</v>
      </c>
      <c r="Q205" t="s">
        <v>119</v>
      </c>
      <c r="R205">
        <v>0.1</v>
      </c>
      <c r="S205" t="s">
        <v>120</v>
      </c>
      <c r="T205" t="s">
        <v>151</v>
      </c>
      <c r="U205" t="s">
        <v>151</v>
      </c>
      <c r="V205">
        <v>630.70000000000005</v>
      </c>
      <c r="X205" t="s">
        <v>1511</v>
      </c>
      <c r="Y205" t="s">
        <v>1512</v>
      </c>
      <c r="Z205">
        <v>1930</v>
      </c>
      <c r="AA205" t="s">
        <v>124</v>
      </c>
      <c r="AB205" t="s">
        <v>155</v>
      </c>
      <c r="AC205" t="s">
        <v>129</v>
      </c>
      <c r="AD205">
        <v>2</v>
      </c>
      <c r="AE205">
        <v>101</v>
      </c>
      <c r="AF205" t="s">
        <v>127</v>
      </c>
      <c r="AG205" t="s">
        <v>128</v>
      </c>
      <c r="AH205" t="s">
        <v>129</v>
      </c>
      <c r="AI205">
        <v>1</v>
      </c>
      <c r="AJ205" t="s">
        <v>156</v>
      </c>
      <c r="AK205" t="s">
        <v>130</v>
      </c>
      <c r="AL205">
        <v>576</v>
      </c>
      <c r="AM205" t="s">
        <v>157</v>
      </c>
      <c r="AN205" t="s">
        <v>158</v>
      </c>
      <c r="AO205">
        <v>3</v>
      </c>
      <c r="AP205">
        <v>4600</v>
      </c>
      <c r="AQ205">
        <v>0</v>
      </c>
      <c r="AR205">
        <v>0</v>
      </c>
      <c r="AS205">
        <v>4900</v>
      </c>
      <c r="AT205" t="s">
        <v>132</v>
      </c>
      <c r="AU205">
        <v>1</v>
      </c>
      <c r="AV205">
        <v>0</v>
      </c>
      <c r="AW205">
        <v>1</v>
      </c>
      <c r="BE205">
        <v>2.4</v>
      </c>
      <c r="BF205">
        <v>0</v>
      </c>
      <c r="BG205">
        <v>0</v>
      </c>
      <c r="BH205" s="1">
        <v>44362</v>
      </c>
      <c r="BI205" t="s">
        <v>210</v>
      </c>
      <c r="BJ205">
        <v>1930</v>
      </c>
      <c r="BK205" t="s">
        <v>119</v>
      </c>
      <c r="BL205" t="s">
        <v>128</v>
      </c>
      <c r="BM205">
        <v>4900</v>
      </c>
      <c r="BN205">
        <v>1</v>
      </c>
      <c r="BO205">
        <v>5</v>
      </c>
      <c r="BP205">
        <v>3</v>
      </c>
      <c r="BQ205">
        <v>576</v>
      </c>
      <c r="BR205">
        <v>8699</v>
      </c>
      <c r="BS205">
        <v>38.532532375000102</v>
      </c>
      <c r="BT205">
        <v>-81.628982386000004</v>
      </c>
      <c r="BU205">
        <v>0.10809326</v>
      </c>
      <c r="BV205">
        <v>-2.89190673828125</v>
      </c>
      <c r="BW205">
        <v>1</v>
      </c>
      <c r="BX205" t="s">
        <v>134</v>
      </c>
      <c r="BY205">
        <v>129</v>
      </c>
      <c r="BZ205">
        <v>0</v>
      </c>
      <c r="CA205">
        <v>0</v>
      </c>
      <c r="CB205">
        <v>2450</v>
      </c>
      <c r="CC205">
        <v>45</v>
      </c>
      <c r="CD205">
        <v>0</v>
      </c>
      <c r="CE205">
        <v>0</v>
      </c>
      <c r="CF205">
        <v>0</v>
      </c>
      <c r="CG205">
        <v>0</v>
      </c>
      <c r="CH205">
        <v>0</v>
      </c>
      <c r="CI205">
        <v>0</v>
      </c>
      <c r="CO205">
        <v>0</v>
      </c>
      <c r="CP205">
        <v>0</v>
      </c>
      <c r="CQ205" t="s">
        <v>1286</v>
      </c>
      <c r="CR205" t="s">
        <v>183</v>
      </c>
      <c r="CS205" t="s">
        <v>138</v>
      </c>
      <c r="CT205" t="s">
        <v>139</v>
      </c>
      <c r="CU205" t="s">
        <v>163</v>
      </c>
      <c r="CW205">
        <v>3</v>
      </c>
      <c r="CX205" t="s">
        <v>1312</v>
      </c>
      <c r="CY205" t="s">
        <v>1288</v>
      </c>
      <c r="CZ205" t="s">
        <v>1510</v>
      </c>
      <c r="DA205" t="s">
        <v>1289</v>
      </c>
      <c r="DB205">
        <v>0</v>
      </c>
      <c r="DC205">
        <v>4900</v>
      </c>
    </row>
    <row r="206" spans="1:107" x14ac:dyDescent="0.25">
      <c r="A206" t="s">
        <v>427</v>
      </c>
      <c r="B206" t="s">
        <v>108</v>
      </c>
      <c r="C206" t="s">
        <v>428</v>
      </c>
      <c r="D206" t="s">
        <v>429</v>
      </c>
      <c r="F206" s="3" t="str">
        <f>HYPERLINK("https://mapwv.gov/flood/map/?wkid=102100&amp;x=-8887452.855402779&amp;y=4710445.625224381&amp;l=13&amp;v=2","FT")</f>
        <v>FT</v>
      </c>
      <c r="G206" s="3" t="str">
        <f>HYPERLINK("https://mapwv.gov/Assessment/Detail/?PID=42050020009200000000","Assessment")</f>
        <v>Assessment</v>
      </c>
      <c r="H206">
        <v>540177</v>
      </c>
      <c r="I206" t="s">
        <v>430</v>
      </c>
      <c r="J206" t="s">
        <v>410</v>
      </c>
      <c r="K206" t="s">
        <v>113</v>
      </c>
      <c r="L206" t="s">
        <v>431</v>
      </c>
      <c r="M206" t="s">
        <v>115</v>
      </c>
      <c r="N206" t="s">
        <v>149</v>
      </c>
      <c r="O206" t="s">
        <v>117</v>
      </c>
      <c r="P206" t="s">
        <v>150</v>
      </c>
      <c r="Q206" t="s">
        <v>119</v>
      </c>
      <c r="R206" t="s">
        <v>151</v>
      </c>
      <c r="S206" t="s">
        <v>151</v>
      </c>
      <c r="T206" t="s">
        <v>151</v>
      </c>
      <c r="U206" t="s">
        <v>151</v>
      </c>
      <c r="V206">
        <v>1937.4</v>
      </c>
      <c r="X206" t="s">
        <v>432</v>
      </c>
      <c r="Y206" t="s">
        <v>433</v>
      </c>
      <c r="Z206">
        <v>1930</v>
      </c>
      <c r="AA206" t="s">
        <v>287</v>
      </c>
      <c r="AB206" t="s">
        <v>155</v>
      </c>
      <c r="AC206" t="s">
        <v>129</v>
      </c>
      <c r="AD206">
        <v>4</v>
      </c>
      <c r="AE206">
        <v>101</v>
      </c>
      <c r="AF206" t="s">
        <v>127</v>
      </c>
      <c r="AG206" t="s">
        <v>128</v>
      </c>
      <c r="AH206" t="s">
        <v>129</v>
      </c>
      <c r="AI206">
        <v>2</v>
      </c>
      <c r="AJ206" t="s">
        <v>341</v>
      </c>
      <c r="AK206" t="s">
        <v>130</v>
      </c>
      <c r="AL206">
        <v>1914</v>
      </c>
      <c r="AM206" t="s">
        <v>353</v>
      </c>
      <c r="AN206" t="s">
        <v>208</v>
      </c>
      <c r="AO206">
        <v>4</v>
      </c>
      <c r="AP206">
        <v>4700</v>
      </c>
      <c r="AQ206">
        <v>0</v>
      </c>
      <c r="AR206">
        <v>0</v>
      </c>
      <c r="AS206">
        <v>4700</v>
      </c>
      <c r="AT206" t="s">
        <v>132</v>
      </c>
      <c r="AU206">
        <v>1</v>
      </c>
      <c r="AV206">
        <v>0</v>
      </c>
      <c r="AW206">
        <v>1</v>
      </c>
      <c r="BE206">
        <v>2.2000000000000002</v>
      </c>
      <c r="BF206">
        <v>0</v>
      </c>
      <c r="BG206">
        <v>0</v>
      </c>
      <c r="BH206" s="1">
        <v>44291</v>
      </c>
      <c r="BI206" t="s">
        <v>159</v>
      </c>
      <c r="BJ206">
        <v>1930</v>
      </c>
      <c r="BK206" t="s">
        <v>119</v>
      </c>
      <c r="BL206" t="s">
        <v>128</v>
      </c>
      <c r="BM206">
        <v>4700</v>
      </c>
      <c r="BN206">
        <v>2</v>
      </c>
      <c r="BO206">
        <v>4</v>
      </c>
      <c r="BP206">
        <v>4</v>
      </c>
      <c r="BQ206">
        <v>1914</v>
      </c>
      <c r="BR206">
        <v>201</v>
      </c>
      <c r="BS206">
        <v>38.921585786000001</v>
      </c>
      <c r="BT206">
        <v>-79.837347369</v>
      </c>
      <c r="BU206">
        <v>0</v>
      </c>
      <c r="BV206">
        <v>-4</v>
      </c>
      <c r="BW206">
        <v>0</v>
      </c>
      <c r="BX206" t="s">
        <v>434</v>
      </c>
      <c r="BY206">
        <v>0</v>
      </c>
      <c r="BZ206">
        <v>0</v>
      </c>
      <c r="CA206">
        <v>0</v>
      </c>
      <c r="CB206">
        <v>2350</v>
      </c>
      <c r="CC206">
        <v>0</v>
      </c>
      <c r="CD206">
        <v>0</v>
      </c>
      <c r="CE206">
        <v>0</v>
      </c>
      <c r="CF206">
        <v>0</v>
      </c>
      <c r="CG206">
        <v>0</v>
      </c>
      <c r="CH206">
        <v>0</v>
      </c>
      <c r="CI206">
        <v>0</v>
      </c>
      <c r="CO206">
        <v>0</v>
      </c>
      <c r="CP206">
        <v>0</v>
      </c>
      <c r="CQ206" t="s">
        <v>413</v>
      </c>
      <c r="CR206" t="s">
        <v>183</v>
      </c>
      <c r="CS206" t="s">
        <v>161</v>
      </c>
      <c r="CT206" t="s">
        <v>139</v>
      </c>
      <c r="CU206" t="s">
        <v>163</v>
      </c>
      <c r="CW206">
        <v>7</v>
      </c>
      <c r="CX206" t="s">
        <v>435</v>
      </c>
      <c r="CY206" t="s">
        <v>415</v>
      </c>
      <c r="CZ206" t="s">
        <v>429</v>
      </c>
      <c r="DA206" t="s">
        <v>416</v>
      </c>
      <c r="DB206">
        <v>0</v>
      </c>
      <c r="DC206">
        <v>4700</v>
      </c>
    </row>
    <row r="207" spans="1:107" x14ac:dyDescent="0.25">
      <c r="A207" t="s">
        <v>647</v>
      </c>
      <c r="B207" t="s">
        <v>108</v>
      </c>
      <c r="C207" t="s">
        <v>648</v>
      </c>
      <c r="D207" t="s">
        <v>649</v>
      </c>
      <c r="F207" s="3" t="str">
        <f>HYPERLINK("https://mapwv.gov/flood/map/?wkid=102100&amp;x=-9132395.066661783&amp;y=4613019.808321476&amp;l=13&amp;v=2","FT")</f>
        <v>FT</v>
      </c>
      <c r="G207" s="3" t="str">
        <f>HYPERLINK("https://mapwv.gov/Assessment/Detail/?PID=22010026001400010000","Assessment")</f>
        <v>Assessment</v>
      </c>
      <c r="H207">
        <v>540088</v>
      </c>
      <c r="I207" t="s">
        <v>632</v>
      </c>
      <c r="J207" t="s">
        <v>633</v>
      </c>
      <c r="K207" t="s">
        <v>148</v>
      </c>
      <c r="L207" t="s">
        <v>650</v>
      </c>
      <c r="M207" t="s">
        <v>550</v>
      </c>
      <c r="N207" t="s">
        <v>149</v>
      </c>
      <c r="O207" t="s">
        <v>117</v>
      </c>
      <c r="P207" t="s">
        <v>150</v>
      </c>
      <c r="Q207" t="s">
        <v>225</v>
      </c>
      <c r="R207" t="s">
        <v>151</v>
      </c>
      <c r="S207" t="s">
        <v>151</v>
      </c>
      <c r="T207" t="s">
        <v>151</v>
      </c>
      <c r="U207" t="s">
        <v>151</v>
      </c>
      <c r="V207">
        <v>670.3</v>
      </c>
      <c r="X207" t="s">
        <v>651</v>
      </c>
      <c r="Y207" t="s">
        <v>652</v>
      </c>
      <c r="Z207">
        <v>0</v>
      </c>
      <c r="AB207" t="s">
        <v>125</v>
      </c>
      <c r="AC207" t="s">
        <v>126</v>
      </c>
      <c r="AD207">
        <v>2</v>
      </c>
      <c r="AE207">
        <v>620</v>
      </c>
      <c r="AF207" t="s">
        <v>653</v>
      </c>
      <c r="AG207" t="s">
        <v>654</v>
      </c>
      <c r="AH207" t="s">
        <v>653</v>
      </c>
      <c r="AI207">
        <v>1</v>
      </c>
      <c r="AL207">
        <v>1260</v>
      </c>
      <c r="AN207" t="s">
        <v>131</v>
      </c>
      <c r="AO207">
        <v>1</v>
      </c>
      <c r="AP207">
        <v>0</v>
      </c>
      <c r="AQ207">
        <v>0</v>
      </c>
      <c r="AR207">
        <v>4740</v>
      </c>
      <c r="AS207">
        <v>50970</v>
      </c>
      <c r="AT207" t="s">
        <v>178</v>
      </c>
      <c r="AU207">
        <v>1</v>
      </c>
      <c r="AV207">
        <v>1</v>
      </c>
      <c r="AW207">
        <v>0</v>
      </c>
      <c r="AX207" t="s">
        <v>655</v>
      </c>
      <c r="BE207">
        <v>2.6</v>
      </c>
      <c r="BF207">
        <v>0</v>
      </c>
      <c r="BG207">
        <v>0</v>
      </c>
      <c r="BH207" s="1">
        <v>44319</v>
      </c>
      <c r="BI207" t="s">
        <v>159</v>
      </c>
      <c r="BJ207">
        <v>0</v>
      </c>
      <c r="BK207" t="s">
        <v>225</v>
      </c>
      <c r="BL207" t="s">
        <v>654</v>
      </c>
      <c r="BM207">
        <v>50970</v>
      </c>
      <c r="BN207">
        <v>1</v>
      </c>
      <c r="BO207">
        <v>7</v>
      </c>
      <c r="BP207">
        <v>1</v>
      </c>
      <c r="BQ207">
        <v>1260</v>
      </c>
      <c r="BR207">
        <v>1512</v>
      </c>
      <c r="BS207">
        <v>38.237420049000001</v>
      </c>
      <c r="BT207">
        <v>-82.037700689999895</v>
      </c>
      <c r="BU207">
        <v>0</v>
      </c>
      <c r="BV207">
        <v>-1</v>
      </c>
      <c r="BW207">
        <v>0</v>
      </c>
      <c r="BX207" t="s">
        <v>656</v>
      </c>
      <c r="BY207">
        <v>0</v>
      </c>
      <c r="BZ207">
        <v>0</v>
      </c>
      <c r="CA207">
        <v>0</v>
      </c>
      <c r="CB207">
        <v>50970</v>
      </c>
      <c r="CC207">
        <v>0</v>
      </c>
      <c r="CD207">
        <v>0</v>
      </c>
      <c r="CE207">
        <v>0</v>
      </c>
      <c r="CF207">
        <v>0</v>
      </c>
      <c r="CG207">
        <v>0</v>
      </c>
      <c r="CH207">
        <v>0</v>
      </c>
      <c r="CI207">
        <v>0</v>
      </c>
      <c r="CO207">
        <v>0</v>
      </c>
      <c r="CP207">
        <v>0</v>
      </c>
      <c r="CQ207" t="s">
        <v>637</v>
      </c>
      <c r="CR207" t="s">
        <v>657</v>
      </c>
      <c r="CS207" t="s">
        <v>161</v>
      </c>
      <c r="CT207" t="s">
        <v>162</v>
      </c>
      <c r="CU207" t="s">
        <v>163</v>
      </c>
      <c r="CW207">
        <v>2</v>
      </c>
      <c r="CX207" t="s">
        <v>638</v>
      </c>
      <c r="CY207" t="s">
        <v>639</v>
      </c>
      <c r="CZ207" t="s">
        <v>649</v>
      </c>
      <c r="DA207" t="s">
        <v>640</v>
      </c>
      <c r="DB207">
        <v>0</v>
      </c>
      <c r="DC207">
        <v>4700</v>
      </c>
    </row>
    <row r="208" spans="1:107" x14ac:dyDescent="0.25">
      <c r="A208" t="s">
        <v>764</v>
      </c>
      <c r="B208" t="s">
        <v>108</v>
      </c>
      <c r="C208" t="s">
        <v>765</v>
      </c>
      <c r="D208" t="s">
        <v>766</v>
      </c>
      <c r="F208" s="3" t="str">
        <f>HYPERLINK("https://mapwv.gov/flood/map/?wkid=102100&amp;x=-9126603.989751523&amp;y=4585723.599038635&amp;l=13&amp;v=2","FT")</f>
        <v>FT</v>
      </c>
      <c r="G208" s="3" t="str">
        <f>HYPERLINK("https://mapwv.gov/Assessment/Detail/?PID=22040021001500020000","Assessment")</f>
        <v>Assessment</v>
      </c>
      <c r="H208">
        <v>540088</v>
      </c>
      <c r="I208" t="s">
        <v>632</v>
      </c>
      <c r="J208" t="s">
        <v>633</v>
      </c>
      <c r="K208" t="s">
        <v>148</v>
      </c>
      <c r="L208" t="s">
        <v>767</v>
      </c>
      <c r="M208" t="s">
        <v>550</v>
      </c>
      <c r="N208" t="s">
        <v>149</v>
      </c>
      <c r="O208" t="s">
        <v>117</v>
      </c>
      <c r="P208" t="s">
        <v>150</v>
      </c>
      <c r="Q208" t="s">
        <v>119</v>
      </c>
      <c r="R208" t="s">
        <v>151</v>
      </c>
      <c r="S208" t="s">
        <v>151</v>
      </c>
      <c r="T208" t="s">
        <v>151</v>
      </c>
      <c r="U208" t="s">
        <v>151</v>
      </c>
      <c r="V208">
        <v>797.3</v>
      </c>
      <c r="X208" t="s">
        <v>768</v>
      </c>
      <c r="Y208" t="s">
        <v>769</v>
      </c>
      <c r="Z208">
        <v>1965</v>
      </c>
      <c r="AA208" t="s">
        <v>241</v>
      </c>
      <c r="AB208" t="s">
        <v>155</v>
      </c>
      <c r="AC208" t="s">
        <v>129</v>
      </c>
      <c r="AD208">
        <v>3</v>
      </c>
      <c r="AE208">
        <v>108</v>
      </c>
      <c r="AF208" t="s">
        <v>176</v>
      </c>
      <c r="AG208" t="s">
        <v>177</v>
      </c>
      <c r="AH208" t="s">
        <v>129</v>
      </c>
      <c r="AI208">
        <v>1</v>
      </c>
      <c r="AL208">
        <v>780</v>
      </c>
      <c r="AN208" t="s">
        <v>158</v>
      </c>
      <c r="AO208">
        <v>3</v>
      </c>
      <c r="AP208">
        <v>0</v>
      </c>
      <c r="AQ208">
        <v>0</v>
      </c>
      <c r="AR208">
        <v>4710</v>
      </c>
      <c r="AS208">
        <v>4700</v>
      </c>
      <c r="AT208" t="s">
        <v>132</v>
      </c>
      <c r="AU208">
        <v>1</v>
      </c>
      <c r="AV208">
        <v>3</v>
      </c>
      <c r="AW208">
        <v>1</v>
      </c>
      <c r="BE208">
        <v>2.6</v>
      </c>
      <c r="BF208">
        <v>0</v>
      </c>
      <c r="BG208">
        <v>0</v>
      </c>
      <c r="BH208" s="1">
        <v>44319</v>
      </c>
      <c r="BI208" t="s">
        <v>159</v>
      </c>
      <c r="BJ208">
        <v>1965</v>
      </c>
      <c r="BK208" t="s">
        <v>119</v>
      </c>
      <c r="BL208" t="s">
        <v>177</v>
      </c>
      <c r="BM208">
        <v>4700</v>
      </c>
      <c r="BN208">
        <v>1</v>
      </c>
      <c r="BO208">
        <v>5</v>
      </c>
      <c r="BP208">
        <v>3</v>
      </c>
      <c r="BQ208">
        <v>780</v>
      </c>
      <c r="BR208">
        <v>330</v>
      </c>
      <c r="BS208">
        <v>38.044567348999898</v>
      </c>
      <c r="BT208">
        <v>-81.985678561</v>
      </c>
      <c r="BU208">
        <v>0</v>
      </c>
      <c r="BV208">
        <v>-3</v>
      </c>
      <c r="BW208">
        <v>0</v>
      </c>
      <c r="BX208" t="s">
        <v>181</v>
      </c>
      <c r="BY208">
        <v>0</v>
      </c>
      <c r="BZ208">
        <v>0</v>
      </c>
      <c r="CA208">
        <v>0</v>
      </c>
      <c r="CB208">
        <v>2350</v>
      </c>
      <c r="CC208">
        <v>0</v>
      </c>
      <c r="CD208">
        <v>0</v>
      </c>
      <c r="CE208">
        <v>0</v>
      </c>
      <c r="CF208">
        <v>0</v>
      </c>
      <c r="CG208">
        <v>0</v>
      </c>
      <c r="CH208">
        <v>0</v>
      </c>
      <c r="CI208">
        <v>0</v>
      </c>
      <c r="CO208">
        <v>0</v>
      </c>
      <c r="CP208">
        <v>0</v>
      </c>
      <c r="CQ208" t="s">
        <v>637</v>
      </c>
      <c r="CR208" t="s">
        <v>183</v>
      </c>
      <c r="CS208" t="s">
        <v>161</v>
      </c>
      <c r="CT208" t="s">
        <v>139</v>
      </c>
      <c r="CU208" t="s">
        <v>163</v>
      </c>
      <c r="CW208">
        <v>2</v>
      </c>
      <c r="CX208" t="s">
        <v>638</v>
      </c>
      <c r="CY208" t="s">
        <v>639</v>
      </c>
      <c r="CZ208" t="s">
        <v>766</v>
      </c>
      <c r="DA208" t="s">
        <v>640</v>
      </c>
      <c r="DB208">
        <v>0</v>
      </c>
      <c r="DC208">
        <v>4700</v>
      </c>
    </row>
    <row r="209" spans="1:107" x14ac:dyDescent="0.25">
      <c r="A209" t="s">
        <v>1245</v>
      </c>
      <c r="B209" t="s">
        <v>108</v>
      </c>
      <c r="C209" t="s">
        <v>1246</v>
      </c>
      <c r="D209" t="s">
        <v>1247</v>
      </c>
      <c r="F209" s="3" t="str">
        <f>HYPERLINK("https://mapwv.gov/flood/map/?wkid=102100&amp;x=-9168491.52496905&amp;y=4564523.238529096&amp;l=13&amp;v=2","FT")</f>
        <v>FT</v>
      </c>
      <c r="G209" s="3" t="str">
        <f>HYPERLINK("https://mapwv.gov/Assessment/Detail/?PID=30050181001800030000","Assessment")</f>
        <v>Assessment</v>
      </c>
      <c r="H209">
        <v>540133</v>
      </c>
      <c r="I209" t="s">
        <v>1248</v>
      </c>
      <c r="J209" t="s">
        <v>1249</v>
      </c>
      <c r="K209" t="s">
        <v>148</v>
      </c>
      <c r="L209" t="s">
        <v>1250</v>
      </c>
      <c r="M209" t="s">
        <v>787</v>
      </c>
      <c r="N209" t="s">
        <v>149</v>
      </c>
      <c r="O209" t="s">
        <v>117</v>
      </c>
      <c r="P209" t="s">
        <v>150</v>
      </c>
      <c r="Q209" t="s">
        <v>260</v>
      </c>
      <c r="R209">
        <v>1.8</v>
      </c>
      <c r="S209" t="s">
        <v>120</v>
      </c>
      <c r="T209">
        <v>685.4</v>
      </c>
      <c r="U209" t="s">
        <v>121</v>
      </c>
      <c r="V209">
        <v>682.4</v>
      </c>
      <c r="X209" t="s">
        <v>1251</v>
      </c>
      <c r="Y209" t="s">
        <v>1252</v>
      </c>
      <c r="Z209">
        <v>1996</v>
      </c>
      <c r="AA209" t="s">
        <v>241</v>
      </c>
      <c r="AB209" t="s">
        <v>155</v>
      </c>
      <c r="AC209" t="s">
        <v>129</v>
      </c>
      <c r="AD209">
        <v>2</v>
      </c>
      <c r="AE209">
        <v>108</v>
      </c>
      <c r="AF209" t="s">
        <v>176</v>
      </c>
      <c r="AG209" t="s">
        <v>177</v>
      </c>
      <c r="AH209" t="s">
        <v>129</v>
      </c>
      <c r="AI209">
        <v>1</v>
      </c>
      <c r="AL209">
        <v>840</v>
      </c>
      <c r="AN209" t="s">
        <v>158</v>
      </c>
      <c r="AO209">
        <v>4</v>
      </c>
      <c r="AP209">
        <v>0</v>
      </c>
      <c r="AQ209">
        <v>0</v>
      </c>
      <c r="AR209">
        <v>4720</v>
      </c>
      <c r="AS209">
        <v>12150</v>
      </c>
      <c r="AT209" t="s">
        <v>178</v>
      </c>
      <c r="AU209">
        <v>1</v>
      </c>
      <c r="AV209">
        <v>2</v>
      </c>
      <c r="AW209">
        <v>1</v>
      </c>
      <c r="BE209">
        <v>2.4</v>
      </c>
      <c r="BF209">
        <v>1</v>
      </c>
      <c r="BG209">
        <v>2.4</v>
      </c>
      <c r="BH209" s="1">
        <v>44362</v>
      </c>
      <c r="BI209" t="s">
        <v>331</v>
      </c>
      <c r="BJ209">
        <v>1996</v>
      </c>
      <c r="BK209" t="s">
        <v>260</v>
      </c>
      <c r="BL209" t="s">
        <v>177</v>
      </c>
      <c r="BM209">
        <v>12150</v>
      </c>
      <c r="BN209">
        <v>1</v>
      </c>
      <c r="BO209">
        <v>5</v>
      </c>
      <c r="BP209">
        <v>4</v>
      </c>
      <c r="BQ209">
        <v>840</v>
      </c>
      <c r="BR209">
        <v>3086</v>
      </c>
      <c r="BS209">
        <v>37.894431490999899</v>
      </c>
      <c r="BT209">
        <v>-82.361960691999897</v>
      </c>
      <c r="BU209">
        <v>1.8365449</v>
      </c>
      <c r="BV209">
        <v>-2.1634551286697299</v>
      </c>
      <c r="BW209">
        <v>1</v>
      </c>
      <c r="BX209" t="s">
        <v>181</v>
      </c>
      <c r="BY209">
        <v>189</v>
      </c>
      <c r="BZ209">
        <v>0</v>
      </c>
      <c r="CA209">
        <v>0</v>
      </c>
      <c r="CB209">
        <v>6075</v>
      </c>
      <c r="CC209">
        <v>74</v>
      </c>
      <c r="CD209">
        <v>0</v>
      </c>
      <c r="CE209">
        <v>0</v>
      </c>
      <c r="CF209">
        <v>0</v>
      </c>
      <c r="CG209">
        <v>0</v>
      </c>
      <c r="CH209">
        <v>0</v>
      </c>
      <c r="CI209">
        <v>0</v>
      </c>
      <c r="CO209">
        <v>0</v>
      </c>
      <c r="CP209">
        <v>0</v>
      </c>
      <c r="CQ209" t="s">
        <v>1253</v>
      </c>
      <c r="CR209" t="s">
        <v>183</v>
      </c>
      <c r="CS209" t="s">
        <v>138</v>
      </c>
      <c r="CT209" t="s">
        <v>139</v>
      </c>
      <c r="CU209" t="s">
        <v>163</v>
      </c>
      <c r="CW209">
        <v>2</v>
      </c>
      <c r="CX209" t="s">
        <v>1254</v>
      </c>
      <c r="CY209" t="s">
        <v>1255</v>
      </c>
      <c r="CZ209" t="s">
        <v>1247</v>
      </c>
      <c r="DA209" t="s">
        <v>1256</v>
      </c>
      <c r="DB209">
        <v>0</v>
      </c>
      <c r="DC209">
        <v>4700</v>
      </c>
    </row>
    <row r="210" spans="1:107" x14ac:dyDescent="0.25">
      <c r="A210" t="s">
        <v>1268</v>
      </c>
      <c r="B210" t="s">
        <v>108</v>
      </c>
      <c r="C210" t="s">
        <v>1269</v>
      </c>
      <c r="D210" t="s">
        <v>1247</v>
      </c>
      <c r="F210" s="3" t="str">
        <f>HYPERLINK("https://mapwv.gov/flood/map/?wkid=102100&amp;x=-9168459.333264744&amp;y=4564519.35998517&amp;l=13&amp;v=2","FT")</f>
        <v>FT</v>
      </c>
      <c r="G210" s="3" t="str">
        <f>HYPERLINK("https://mapwv.gov/Assessment/Detail/?PID=30050181001800030000","Assessment")</f>
        <v>Assessment</v>
      </c>
      <c r="H210">
        <v>540133</v>
      </c>
      <c r="I210" t="s">
        <v>1248</v>
      </c>
      <c r="J210" t="s">
        <v>1249</v>
      </c>
      <c r="K210" t="s">
        <v>148</v>
      </c>
      <c r="L210" t="s">
        <v>1250</v>
      </c>
      <c r="M210" t="s">
        <v>787</v>
      </c>
      <c r="N210" t="s">
        <v>149</v>
      </c>
      <c r="O210" t="s">
        <v>117</v>
      </c>
      <c r="P210" t="s">
        <v>150</v>
      </c>
      <c r="Q210" t="s">
        <v>260</v>
      </c>
      <c r="R210">
        <v>0.9</v>
      </c>
      <c r="S210" t="s">
        <v>120</v>
      </c>
      <c r="T210">
        <v>686.5</v>
      </c>
      <c r="U210" t="s">
        <v>121</v>
      </c>
      <c r="V210">
        <v>685.1</v>
      </c>
      <c r="X210" t="s">
        <v>1251</v>
      </c>
      <c r="Y210" t="s">
        <v>1252</v>
      </c>
      <c r="Z210">
        <v>1996</v>
      </c>
      <c r="AA210" t="s">
        <v>241</v>
      </c>
      <c r="AB210" t="s">
        <v>155</v>
      </c>
      <c r="AC210" t="s">
        <v>129</v>
      </c>
      <c r="AD210">
        <v>2</v>
      </c>
      <c r="AE210">
        <v>108</v>
      </c>
      <c r="AF210" t="s">
        <v>176</v>
      </c>
      <c r="AG210" t="s">
        <v>177</v>
      </c>
      <c r="AH210" t="s">
        <v>129</v>
      </c>
      <c r="AI210">
        <v>1</v>
      </c>
      <c r="AL210">
        <v>2000</v>
      </c>
      <c r="AN210" t="s">
        <v>158</v>
      </c>
      <c r="AO210">
        <v>4</v>
      </c>
      <c r="AP210">
        <v>0</v>
      </c>
      <c r="AQ210">
        <v>0</v>
      </c>
      <c r="AR210">
        <v>4720</v>
      </c>
      <c r="AS210">
        <v>28000</v>
      </c>
      <c r="AT210" t="s">
        <v>762</v>
      </c>
      <c r="AU210">
        <v>1</v>
      </c>
      <c r="AV210">
        <v>2</v>
      </c>
      <c r="AW210">
        <v>1</v>
      </c>
      <c r="BC210" t="s">
        <v>230</v>
      </c>
      <c r="BE210">
        <v>2.4</v>
      </c>
      <c r="BF210">
        <v>0</v>
      </c>
      <c r="BG210">
        <v>0</v>
      </c>
      <c r="BH210" s="1">
        <v>44362</v>
      </c>
      <c r="BI210" t="s">
        <v>331</v>
      </c>
      <c r="BJ210">
        <v>1996</v>
      </c>
      <c r="BK210" t="s">
        <v>260</v>
      </c>
      <c r="BL210" t="s">
        <v>177</v>
      </c>
      <c r="BM210">
        <v>28000</v>
      </c>
      <c r="BN210">
        <v>1</v>
      </c>
      <c r="BO210">
        <v>5</v>
      </c>
      <c r="BP210">
        <v>4</v>
      </c>
      <c r="BQ210">
        <v>2000</v>
      </c>
      <c r="BR210">
        <v>3096</v>
      </c>
      <c r="BS210">
        <v>37.894403996000101</v>
      </c>
      <c r="BT210">
        <v>-82.361671509000004</v>
      </c>
      <c r="BU210">
        <v>0.89033174999999998</v>
      </c>
      <c r="BV210">
        <v>-3.10966825485229</v>
      </c>
      <c r="BW210">
        <v>1</v>
      </c>
      <c r="BX210" t="s">
        <v>181</v>
      </c>
      <c r="BY210">
        <v>189</v>
      </c>
      <c r="BZ210">
        <v>0</v>
      </c>
      <c r="CA210">
        <v>0</v>
      </c>
      <c r="CB210">
        <v>14000</v>
      </c>
      <c r="CC210">
        <v>74</v>
      </c>
      <c r="CD210">
        <v>0</v>
      </c>
      <c r="CE210">
        <v>0</v>
      </c>
      <c r="CF210">
        <v>0</v>
      </c>
      <c r="CG210">
        <v>0</v>
      </c>
      <c r="CH210">
        <v>0</v>
      </c>
      <c r="CI210">
        <v>0</v>
      </c>
      <c r="CO210">
        <v>0</v>
      </c>
      <c r="CP210">
        <v>0</v>
      </c>
      <c r="CQ210" t="s">
        <v>1253</v>
      </c>
      <c r="CR210" t="s">
        <v>183</v>
      </c>
      <c r="CS210" t="s">
        <v>138</v>
      </c>
      <c r="CT210" t="s">
        <v>139</v>
      </c>
      <c r="CU210" t="s">
        <v>163</v>
      </c>
      <c r="CW210">
        <v>2</v>
      </c>
      <c r="CX210" t="s">
        <v>1254</v>
      </c>
      <c r="CY210" t="s">
        <v>1255</v>
      </c>
      <c r="CZ210" t="s">
        <v>1247</v>
      </c>
      <c r="DA210" t="s">
        <v>1256</v>
      </c>
      <c r="DB210">
        <v>0</v>
      </c>
      <c r="DC210">
        <v>4700</v>
      </c>
    </row>
    <row r="211" spans="1:107" x14ac:dyDescent="0.25">
      <c r="A211" t="s">
        <v>449</v>
      </c>
      <c r="B211" t="s">
        <v>108</v>
      </c>
      <c r="C211" t="s">
        <v>450</v>
      </c>
      <c r="D211" t="s">
        <v>451</v>
      </c>
      <c r="F211" s="3" t="str">
        <f>HYPERLINK("https://mapwv.gov/flood/map/?wkid=102100&amp;x=-8944445.376853839&amp;y=4775077.993391036&amp;l=13&amp;v=2","FT")</f>
        <v>FT</v>
      </c>
      <c r="G211" s="3" t="str">
        <f>HYPERLINK("https://mapwv.gov/Assessment/Detail/?PID=17101803010900000000","Assessment")</f>
        <v>Assessment</v>
      </c>
      <c r="H211">
        <v>540058</v>
      </c>
      <c r="I211" t="s">
        <v>452</v>
      </c>
      <c r="J211" t="s">
        <v>453</v>
      </c>
      <c r="K211" t="s">
        <v>113</v>
      </c>
      <c r="L211" t="s">
        <v>454</v>
      </c>
      <c r="M211" t="s">
        <v>328</v>
      </c>
      <c r="N211" t="s">
        <v>199</v>
      </c>
      <c r="O211" t="s">
        <v>117</v>
      </c>
      <c r="P211" t="s">
        <v>150</v>
      </c>
      <c r="Q211" t="s">
        <v>119</v>
      </c>
      <c r="R211">
        <v>3.6</v>
      </c>
      <c r="S211" t="s">
        <v>120</v>
      </c>
      <c r="T211" t="s">
        <v>151</v>
      </c>
      <c r="U211" t="s">
        <v>151</v>
      </c>
      <c r="V211">
        <v>917.5</v>
      </c>
      <c r="X211" t="s">
        <v>455</v>
      </c>
      <c r="Y211" t="s">
        <v>456</v>
      </c>
      <c r="Z211">
        <v>1977</v>
      </c>
      <c r="AA211" t="s">
        <v>241</v>
      </c>
      <c r="AB211" t="s">
        <v>155</v>
      </c>
      <c r="AC211" t="s">
        <v>129</v>
      </c>
      <c r="AD211">
        <v>4</v>
      </c>
      <c r="AE211">
        <v>108</v>
      </c>
      <c r="AF211" t="s">
        <v>176</v>
      </c>
      <c r="AG211" t="s">
        <v>177</v>
      </c>
      <c r="AH211" t="s">
        <v>129</v>
      </c>
      <c r="AI211">
        <v>1</v>
      </c>
      <c r="AL211">
        <v>1300</v>
      </c>
      <c r="AN211" t="s">
        <v>158</v>
      </c>
      <c r="AO211">
        <v>3</v>
      </c>
      <c r="AP211">
        <v>0</v>
      </c>
      <c r="AQ211">
        <v>0</v>
      </c>
      <c r="AR211">
        <v>4580</v>
      </c>
      <c r="AS211">
        <v>15430</v>
      </c>
      <c r="AT211" t="s">
        <v>178</v>
      </c>
      <c r="AU211">
        <v>1</v>
      </c>
      <c r="AV211">
        <v>4</v>
      </c>
      <c r="AW211">
        <v>1</v>
      </c>
      <c r="BE211">
        <v>2.6</v>
      </c>
      <c r="BF211">
        <v>1</v>
      </c>
      <c r="BG211">
        <v>2.6</v>
      </c>
      <c r="BH211" s="1">
        <v>44291</v>
      </c>
      <c r="BI211" t="s">
        <v>210</v>
      </c>
      <c r="BJ211">
        <v>1977</v>
      </c>
      <c r="BK211" t="s">
        <v>119</v>
      </c>
      <c r="BL211" t="s">
        <v>177</v>
      </c>
      <c r="BM211">
        <v>15430</v>
      </c>
      <c r="BN211">
        <v>1</v>
      </c>
      <c r="BO211">
        <v>5</v>
      </c>
      <c r="BP211">
        <v>3</v>
      </c>
      <c r="BQ211">
        <v>1300</v>
      </c>
      <c r="BR211">
        <v>1748</v>
      </c>
      <c r="BS211">
        <v>39.3718587830001</v>
      </c>
      <c r="BT211">
        <v>-80.349319899999898</v>
      </c>
      <c r="BU211">
        <v>3.6130981000000002</v>
      </c>
      <c r="BV211">
        <v>0.61309814453125</v>
      </c>
      <c r="BW211">
        <v>1</v>
      </c>
      <c r="BX211" t="s">
        <v>181</v>
      </c>
      <c r="BY211">
        <v>189</v>
      </c>
      <c r="BZ211">
        <v>31.2322387695312</v>
      </c>
      <c r="CA211">
        <v>4819.1344421386702</v>
      </c>
      <c r="CB211">
        <v>7715</v>
      </c>
      <c r="CC211">
        <v>74</v>
      </c>
      <c r="CD211">
        <v>17.71435546875</v>
      </c>
      <c r="CE211">
        <v>1366.66252441406</v>
      </c>
      <c r="CF211">
        <v>0</v>
      </c>
      <c r="CG211">
        <v>0</v>
      </c>
      <c r="CH211">
        <v>0</v>
      </c>
      <c r="CI211">
        <v>0</v>
      </c>
      <c r="CJ211" t="s">
        <v>263</v>
      </c>
      <c r="CK211">
        <v>5.3299999999999903</v>
      </c>
      <c r="CL211">
        <v>0</v>
      </c>
      <c r="CM211">
        <v>0</v>
      </c>
      <c r="CN211">
        <v>5.3299999999999903</v>
      </c>
      <c r="CO211">
        <v>180</v>
      </c>
      <c r="CP211">
        <v>360</v>
      </c>
      <c r="CQ211" t="s">
        <v>457</v>
      </c>
      <c r="CR211" t="s">
        <v>183</v>
      </c>
      <c r="CS211" t="s">
        <v>138</v>
      </c>
      <c r="CT211" t="s">
        <v>139</v>
      </c>
      <c r="CU211" t="s">
        <v>140</v>
      </c>
      <c r="CW211">
        <v>6</v>
      </c>
      <c r="CX211" t="s">
        <v>458</v>
      </c>
      <c r="CY211" t="s">
        <v>459</v>
      </c>
      <c r="CZ211" t="s">
        <v>451</v>
      </c>
      <c r="DA211" t="s">
        <v>460</v>
      </c>
      <c r="DB211">
        <v>0</v>
      </c>
      <c r="DC211">
        <v>4600</v>
      </c>
    </row>
    <row r="212" spans="1:107" x14ac:dyDescent="0.25">
      <c r="A212" t="s">
        <v>1213</v>
      </c>
      <c r="B212" t="s">
        <v>108</v>
      </c>
      <c r="C212" t="s">
        <v>1214</v>
      </c>
      <c r="D212" t="s">
        <v>1215</v>
      </c>
      <c r="F212" s="3" t="str">
        <f>HYPERLINK("https://mapwv.gov/flood/map/?wkid=102100&amp;x=-9102787.600808557&amp;y=4591326.175239663&amp;l=13&amp;v=2","FT")</f>
        <v>FT</v>
      </c>
      <c r="G212" s="3" t="str">
        <f>HYPERLINK("https://mapwv.gov/Assessment/Detail/?PID=03050025007000050000","Assessment")</f>
        <v>Assessment</v>
      </c>
      <c r="H212">
        <v>540007</v>
      </c>
      <c r="I212" t="s">
        <v>1170</v>
      </c>
      <c r="J212" t="s">
        <v>1171</v>
      </c>
      <c r="K212" t="s">
        <v>148</v>
      </c>
      <c r="L212" t="s">
        <v>1216</v>
      </c>
      <c r="M212" t="s">
        <v>662</v>
      </c>
      <c r="N212" t="s">
        <v>149</v>
      </c>
      <c r="O212" t="s">
        <v>117</v>
      </c>
      <c r="P212" t="s">
        <v>150</v>
      </c>
      <c r="Q212" t="s">
        <v>119</v>
      </c>
      <c r="R212">
        <v>0.4</v>
      </c>
      <c r="S212" t="s">
        <v>120</v>
      </c>
      <c r="T212">
        <v>887.9</v>
      </c>
      <c r="U212" t="s">
        <v>121</v>
      </c>
      <c r="V212">
        <v>887.4</v>
      </c>
      <c r="X212" t="s">
        <v>1217</v>
      </c>
      <c r="Y212" t="s">
        <v>1218</v>
      </c>
      <c r="Z212">
        <v>1977</v>
      </c>
      <c r="AA212" t="s">
        <v>241</v>
      </c>
      <c r="AB212" t="s">
        <v>155</v>
      </c>
      <c r="AC212" t="s">
        <v>129</v>
      </c>
      <c r="AD212">
        <v>3</v>
      </c>
      <c r="AE212">
        <v>108</v>
      </c>
      <c r="AF212" t="s">
        <v>176</v>
      </c>
      <c r="AG212" t="s">
        <v>177</v>
      </c>
      <c r="AH212" t="s">
        <v>129</v>
      </c>
      <c r="AI212">
        <v>1</v>
      </c>
      <c r="AL212">
        <v>980</v>
      </c>
      <c r="AN212" t="s">
        <v>158</v>
      </c>
      <c r="AO212">
        <v>3</v>
      </c>
      <c r="AP212">
        <v>0</v>
      </c>
      <c r="AQ212">
        <v>0</v>
      </c>
      <c r="AR212">
        <v>4480</v>
      </c>
      <c r="AS212">
        <v>4500</v>
      </c>
      <c r="AT212" t="s">
        <v>132</v>
      </c>
      <c r="AU212">
        <v>1</v>
      </c>
      <c r="AV212">
        <v>5</v>
      </c>
      <c r="AW212">
        <v>1</v>
      </c>
      <c r="BE212">
        <v>2.5</v>
      </c>
      <c r="BF212">
        <v>0</v>
      </c>
      <c r="BG212">
        <v>0</v>
      </c>
      <c r="BH212" s="1">
        <v>44362</v>
      </c>
      <c r="BI212" t="s">
        <v>331</v>
      </c>
      <c r="BJ212">
        <v>1977</v>
      </c>
      <c r="BK212" t="s">
        <v>119</v>
      </c>
      <c r="BL212" t="s">
        <v>177</v>
      </c>
      <c r="BM212">
        <v>4500</v>
      </c>
      <c r="BN212">
        <v>1</v>
      </c>
      <c r="BO212">
        <v>5</v>
      </c>
      <c r="BP212">
        <v>3</v>
      </c>
      <c r="BQ212">
        <v>980</v>
      </c>
      <c r="BR212">
        <v>2035</v>
      </c>
      <c r="BS212">
        <v>38.084192139999899</v>
      </c>
      <c r="BT212">
        <v>-81.771732299000007</v>
      </c>
      <c r="BU212">
        <v>0.44628906000000002</v>
      </c>
      <c r="BV212">
        <v>-2.5537109375</v>
      </c>
      <c r="BW212">
        <v>1</v>
      </c>
      <c r="BX212" t="s">
        <v>181</v>
      </c>
      <c r="BY212">
        <v>189</v>
      </c>
      <c r="BZ212">
        <v>0</v>
      </c>
      <c r="CA212">
        <v>0</v>
      </c>
      <c r="CB212">
        <v>2250</v>
      </c>
      <c r="CC212">
        <v>74</v>
      </c>
      <c r="CD212">
        <v>0</v>
      </c>
      <c r="CE212">
        <v>0</v>
      </c>
      <c r="CF212">
        <v>0</v>
      </c>
      <c r="CG212">
        <v>0</v>
      </c>
      <c r="CH212">
        <v>0</v>
      </c>
      <c r="CI212">
        <v>0</v>
      </c>
      <c r="CO212">
        <v>0</v>
      </c>
      <c r="CP212">
        <v>0</v>
      </c>
      <c r="CQ212" t="s">
        <v>1175</v>
      </c>
      <c r="CR212" t="s">
        <v>183</v>
      </c>
      <c r="CS212" t="s">
        <v>138</v>
      </c>
      <c r="CT212" t="s">
        <v>139</v>
      </c>
      <c r="CU212" t="s">
        <v>163</v>
      </c>
      <c r="CW212">
        <v>3</v>
      </c>
      <c r="CX212" t="s">
        <v>1176</v>
      </c>
      <c r="CY212" t="s">
        <v>1177</v>
      </c>
      <c r="CZ212" t="s">
        <v>1215</v>
      </c>
      <c r="DA212" t="s">
        <v>1178</v>
      </c>
      <c r="DB212">
        <v>0</v>
      </c>
      <c r="DC212">
        <v>4500</v>
      </c>
    </row>
    <row r="213" spans="1:107" x14ac:dyDescent="0.25">
      <c r="A213" t="s">
        <v>1801</v>
      </c>
      <c r="B213" t="s">
        <v>108</v>
      </c>
      <c r="C213" t="s">
        <v>1802</v>
      </c>
      <c r="D213" t="s">
        <v>1803</v>
      </c>
      <c r="F213" s="3" t="str">
        <f>HYPERLINK("https://mapwv.gov/flood/map/?wkid=102100&amp;x=-9089102.659989534&amp;y=4474491.4519219445&amp;l=13&amp;v=2","FT")</f>
        <v>FT</v>
      </c>
      <c r="G213" s="3" t="str">
        <f>HYPERLINK("https://mapwv.gov/Assessment/Detail/?PID=27030002000900000000","Assessment")</f>
        <v>Assessment</v>
      </c>
      <c r="H213">
        <v>540114</v>
      </c>
      <c r="I213" t="s">
        <v>1780</v>
      </c>
      <c r="J213" t="s">
        <v>1781</v>
      </c>
      <c r="K213" t="s">
        <v>148</v>
      </c>
      <c r="L213" t="s">
        <v>1792</v>
      </c>
      <c r="M213" t="s">
        <v>787</v>
      </c>
      <c r="N213" t="s">
        <v>149</v>
      </c>
      <c r="O213" t="s">
        <v>117</v>
      </c>
      <c r="P213" t="s">
        <v>150</v>
      </c>
      <c r="Q213" t="s">
        <v>225</v>
      </c>
      <c r="R213">
        <v>1.7</v>
      </c>
      <c r="S213" t="s">
        <v>120</v>
      </c>
      <c r="T213">
        <v>1522.8</v>
      </c>
      <c r="U213" t="s">
        <v>121</v>
      </c>
      <c r="V213">
        <v>1518.4</v>
      </c>
      <c r="X213" t="s">
        <v>1804</v>
      </c>
      <c r="Y213" t="s">
        <v>1805</v>
      </c>
      <c r="Z213">
        <v>0</v>
      </c>
      <c r="AB213" t="s">
        <v>155</v>
      </c>
      <c r="AC213" t="s">
        <v>129</v>
      </c>
      <c r="AD213">
        <v>3</v>
      </c>
      <c r="AE213">
        <v>101</v>
      </c>
      <c r="AF213" t="s">
        <v>127</v>
      </c>
      <c r="AG213" t="s">
        <v>177</v>
      </c>
      <c r="AH213" t="s">
        <v>129</v>
      </c>
      <c r="AI213">
        <v>1</v>
      </c>
      <c r="AL213">
        <v>1040</v>
      </c>
      <c r="AN213" t="s">
        <v>158</v>
      </c>
      <c r="AO213">
        <v>3.5</v>
      </c>
      <c r="AP213">
        <v>0</v>
      </c>
      <c r="AQ213">
        <v>0</v>
      </c>
      <c r="AR213">
        <v>0</v>
      </c>
      <c r="AS213">
        <v>13000</v>
      </c>
      <c r="AT213" t="s">
        <v>178</v>
      </c>
      <c r="AU213">
        <v>1</v>
      </c>
      <c r="AV213">
        <v>0</v>
      </c>
      <c r="AW213">
        <v>0</v>
      </c>
      <c r="BE213">
        <v>2.4</v>
      </c>
      <c r="BF213">
        <v>1</v>
      </c>
      <c r="BG213">
        <v>2.4</v>
      </c>
      <c r="BH213" s="1">
        <v>44399</v>
      </c>
      <c r="BI213" t="s">
        <v>331</v>
      </c>
      <c r="BJ213">
        <v>0</v>
      </c>
      <c r="BK213" t="s">
        <v>225</v>
      </c>
      <c r="BL213" t="s">
        <v>177</v>
      </c>
      <c r="BM213">
        <v>13000</v>
      </c>
      <c r="BN213">
        <v>1</v>
      </c>
      <c r="BO213">
        <v>5</v>
      </c>
      <c r="BP213">
        <v>3.5</v>
      </c>
      <c r="BQ213">
        <v>1040</v>
      </c>
      <c r="BR213">
        <v>116</v>
      </c>
      <c r="BS213">
        <v>37.253434814000101</v>
      </c>
      <c r="BT213">
        <v>-81.648798384000003</v>
      </c>
      <c r="BU213">
        <v>1.6533924</v>
      </c>
      <c r="BV213">
        <v>-1.84660756587982</v>
      </c>
      <c r="BW213">
        <v>1</v>
      </c>
      <c r="BX213" t="s">
        <v>181</v>
      </c>
      <c r="BY213">
        <v>189</v>
      </c>
      <c r="BZ213">
        <v>0</v>
      </c>
      <c r="CA213">
        <v>0</v>
      </c>
      <c r="CB213">
        <v>6500</v>
      </c>
      <c r="CC213">
        <v>74</v>
      </c>
      <c r="CD213">
        <v>0</v>
      </c>
      <c r="CE213">
        <v>0</v>
      </c>
      <c r="CF213">
        <v>0</v>
      </c>
      <c r="CG213">
        <v>0</v>
      </c>
      <c r="CH213">
        <v>0</v>
      </c>
      <c r="CI213">
        <v>0</v>
      </c>
      <c r="CO213">
        <v>0</v>
      </c>
      <c r="CP213">
        <v>0</v>
      </c>
      <c r="CQ213" t="s">
        <v>1785</v>
      </c>
      <c r="CR213" t="s">
        <v>183</v>
      </c>
      <c r="CS213" t="s">
        <v>138</v>
      </c>
      <c r="CT213" t="s">
        <v>139</v>
      </c>
      <c r="CU213" t="s">
        <v>163</v>
      </c>
      <c r="CW213">
        <v>1</v>
      </c>
      <c r="CX213" t="s">
        <v>1786</v>
      </c>
      <c r="CY213" t="s">
        <v>1787</v>
      </c>
      <c r="CZ213" t="s">
        <v>1803</v>
      </c>
      <c r="DA213" t="s">
        <v>1788</v>
      </c>
      <c r="DB213">
        <v>0</v>
      </c>
      <c r="DC213">
        <v>4300</v>
      </c>
    </row>
    <row r="214" spans="1:107" x14ac:dyDescent="0.25">
      <c r="A214" t="s">
        <v>513</v>
      </c>
      <c r="B214" t="s">
        <v>108</v>
      </c>
      <c r="C214" t="s">
        <v>514</v>
      </c>
      <c r="D214" t="s">
        <v>515</v>
      </c>
      <c r="F214" s="3" t="str">
        <f>HYPERLINK("https://mapwv.gov/flood/map/?wkid=102100&amp;x=-8930623.268826177&amp;y=4791268.49324198&amp;l=13&amp;v=2","FT")</f>
        <v>FT</v>
      </c>
      <c r="G214" s="3" t="str">
        <f>HYPERLINK("https://mapwv.gov/Assessment/Detail/?PID=24110033000600000000","Assessment")</f>
        <v>Assessment</v>
      </c>
      <c r="H214">
        <v>540097</v>
      </c>
      <c r="I214" t="s">
        <v>490</v>
      </c>
      <c r="J214" t="s">
        <v>491</v>
      </c>
      <c r="K214" t="s">
        <v>148</v>
      </c>
      <c r="L214" t="s">
        <v>516</v>
      </c>
      <c r="M214" t="s">
        <v>328</v>
      </c>
      <c r="N214" t="s">
        <v>116</v>
      </c>
      <c r="O214" t="s">
        <v>117</v>
      </c>
      <c r="P214" t="s">
        <v>118</v>
      </c>
      <c r="Q214" t="s">
        <v>119</v>
      </c>
      <c r="R214">
        <v>1.4</v>
      </c>
      <c r="S214" t="s">
        <v>120</v>
      </c>
      <c r="T214">
        <v>1002.1</v>
      </c>
      <c r="U214" t="s">
        <v>121</v>
      </c>
      <c r="V214">
        <v>999.5</v>
      </c>
      <c r="X214" t="s">
        <v>517</v>
      </c>
      <c r="Y214" t="s">
        <v>518</v>
      </c>
      <c r="Z214">
        <v>1890</v>
      </c>
      <c r="AA214" t="s">
        <v>287</v>
      </c>
      <c r="AB214" t="s">
        <v>155</v>
      </c>
      <c r="AC214" t="s">
        <v>129</v>
      </c>
      <c r="AD214">
        <v>3</v>
      </c>
      <c r="AE214">
        <v>101</v>
      </c>
      <c r="AF214" t="s">
        <v>127</v>
      </c>
      <c r="AG214" t="s">
        <v>128</v>
      </c>
      <c r="AH214" t="s">
        <v>129</v>
      </c>
      <c r="AI214">
        <v>1</v>
      </c>
      <c r="AJ214" t="s">
        <v>156</v>
      </c>
      <c r="AK214" t="s">
        <v>130</v>
      </c>
      <c r="AL214">
        <v>1120</v>
      </c>
      <c r="AM214" t="s">
        <v>519</v>
      </c>
      <c r="AN214" t="s">
        <v>208</v>
      </c>
      <c r="AO214">
        <v>4</v>
      </c>
      <c r="AP214">
        <v>3800</v>
      </c>
      <c r="AQ214">
        <v>0</v>
      </c>
      <c r="AR214">
        <v>310</v>
      </c>
      <c r="AS214">
        <v>4100</v>
      </c>
      <c r="AT214" t="s">
        <v>132</v>
      </c>
      <c r="AU214">
        <v>1</v>
      </c>
      <c r="AV214">
        <v>1</v>
      </c>
      <c r="AW214">
        <v>1</v>
      </c>
      <c r="BE214">
        <v>2.5</v>
      </c>
      <c r="BF214">
        <v>1</v>
      </c>
      <c r="BG214">
        <v>2.5</v>
      </c>
      <c r="BH214" s="1">
        <v>44291</v>
      </c>
      <c r="BI214" t="s">
        <v>520</v>
      </c>
      <c r="BJ214">
        <v>1890</v>
      </c>
      <c r="BK214" t="s">
        <v>119</v>
      </c>
      <c r="BL214" t="s">
        <v>128</v>
      </c>
      <c r="BM214">
        <v>4100</v>
      </c>
      <c r="BN214">
        <v>1</v>
      </c>
      <c r="BO214">
        <v>4</v>
      </c>
      <c r="BP214">
        <v>4</v>
      </c>
      <c r="BQ214">
        <v>1120</v>
      </c>
      <c r="BR214">
        <v>427</v>
      </c>
      <c r="BS214">
        <v>39.4842012760001</v>
      </c>
      <c r="BT214">
        <v>-80.225153790999897</v>
      </c>
      <c r="BU214">
        <v>1.304354</v>
      </c>
      <c r="BV214">
        <v>-2.69564604759216</v>
      </c>
      <c r="BW214">
        <v>1</v>
      </c>
      <c r="BX214" t="s">
        <v>354</v>
      </c>
      <c r="BY214">
        <v>704</v>
      </c>
      <c r="BZ214">
        <v>4.2609553337097097</v>
      </c>
      <c r="CA214">
        <v>174.69916868209799</v>
      </c>
      <c r="CB214">
        <v>2050</v>
      </c>
      <c r="CC214">
        <v>535</v>
      </c>
      <c r="CD214">
        <v>3.3478934764861998</v>
      </c>
      <c r="CE214">
        <v>68.631816267967196</v>
      </c>
      <c r="CF214">
        <v>0</v>
      </c>
      <c r="CG214">
        <v>0</v>
      </c>
      <c r="CH214">
        <v>0</v>
      </c>
      <c r="CI214">
        <v>0</v>
      </c>
      <c r="CO214">
        <v>0</v>
      </c>
      <c r="CP214">
        <v>0</v>
      </c>
      <c r="CQ214" t="s">
        <v>495</v>
      </c>
      <c r="CR214" t="s">
        <v>137</v>
      </c>
      <c r="CS214" t="s">
        <v>138</v>
      </c>
      <c r="CT214" t="s">
        <v>139</v>
      </c>
      <c r="CU214" t="s">
        <v>267</v>
      </c>
      <c r="CW214">
        <v>6</v>
      </c>
      <c r="CX214" t="s">
        <v>496</v>
      </c>
      <c r="CY214" t="s">
        <v>497</v>
      </c>
      <c r="CZ214" t="s">
        <v>515</v>
      </c>
      <c r="DA214" t="s">
        <v>498</v>
      </c>
      <c r="DB214">
        <v>0</v>
      </c>
      <c r="DC214">
        <v>4100</v>
      </c>
    </row>
    <row r="215" spans="1:107" x14ac:dyDescent="0.25">
      <c r="A215" t="s">
        <v>1777</v>
      </c>
      <c r="B215" t="s">
        <v>108</v>
      </c>
      <c r="C215" t="s">
        <v>1778</v>
      </c>
      <c r="D215" t="s">
        <v>1779</v>
      </c>
      <c r="F215" s="3" t="str">
        <f>HYPERLINK("https://mapwv.gov/flood/map/?wkid=102100&amp;x=-9085969.788769647&amp;y=4475699.16922989&amp;l=13&amp;v=2","FT")</f>
        <v>FT</v>
      </c>
      <c r="G215" s="3" t="str">
        <f>HYPERLINK("https://mapwv.gov/Assessment/Detail/?PID=27030004002100000000","Assessment")</f>
        <v>Assessment</v>
      </c>
      <c r="H215">
        <v>540114</v>
      </c>
      <c r="I215" t="s">
        <v>1780</v>
      </c>
      <c r="J215" t="s">
        <v>1781</v>
      </c>
      <c r="K215" t="s">
        <v>148</v>
      </c>
      <c r="L215" t="s">
        <v>1782</v>
      </c>
      <c r="M215" t="s">
        <v>787</v>
      </c>
      <c r="N215" t="s">
        <v>149</v>
      </c>
      <c r="O215" t="s">
        <v>117</v>
      </c>
      <c r="P215" t="s">
        <v>150</v>
      </c>
      <c r="Q215" t="s">
        <v>225</v>
      </c>
      <c r="R215">
        <v>0.6</v>
      </c>
      <c r="S215" t="s">
        <v>120</v>
      </c>
      <c r="T215">
        <v>1590.8</v>
      </c>
      <c r="U215" t="s">
        <v>121</v>
      </c>
      <c r="V215">
        <v>1586</v>
      </c>
      <c r="X215" t="s">
        <v>1783</v>
      </c>
      <c r="Y215" t="s">
        <v>1784</v>
      </c>
      <c r="Z215">
        <v>0</v>
      </c>
      <c r="AB215" t="s">
        <v>155</v>
      </c>
      <c r="AC215" t="s">
        <v>129</v>
      </c>
      <c r="AD215">
        <v>3</v>
      </c>
      <c r="AE215">
        <v>108</v>
      </c>
      <c r="AF215" t="s">
        <v>176</v>
      </c>
      <c r="AG215" t="s">
        <v>177</v>
      </c>
      <c r="AH215" t="s">
        <v>129</v>
      </c>
      <c r="AI215">
        <v>1</v>
      </c>
      <c r="AL215">
        <v>870</v>
      </c>
      <c r="AN215" t="s">
        <v>158</v>
      </c>
      <c r="AO215">
        <v>3.5</v>
      </c>
      <c r="AP215">
        <v>0</v>
      </c>
      <c r="AQ215">
        <v>0</v>
      </c>
      <c r="AR215">
        <v>0</v>
      </c>
      <c r="AS215">
        <v>13330</v>
      </c>
      <c r="AT215" t="s">
        <v>178</v>
      </c>
      <c r="AU215">
        <v>1</v>
      </c>
      <c r="AV215">
        <v>0</v>
      </c>
      <c r="AW215">
        <v>1</v>
      </c>
      <c r="BE215">
        <v>2.4</v>
      </c>
      <c r="BF215">
        <v>0</v>
      </c>
      <c r="BG215">
        <v>0</v>
      </c>
      <c r="BH215" s="1">
        <v>44399</v>
      </c>
      <c r="BI215" t="s">
        <v>331</v>
      </c>
      <c r="BJ215">
        <v>0</v>
      </c>
      <c r="BK215" t="s">
        <v>225</v>
      </c>
      <c r="BL215" t="s">
        <v>177</v>
      </c>
      <c r="BM215">
        <v>13330</v>
      </c>
      <c r="BN215">
        <v>1</v>
      </c>
      <c r="BO215">
        <v>5</v>
      </c>
      <c r="BP215">
        <v>3.5</v>
      </c>
      <c r="BQ215">
        <v>870</v>
      </c>
      <c r="BR215">
        <v>152</v>
      </c>
      <c r="BS215">
        <v>37.262069838000102</v>
      </c>
      <c r="BT215">
        <v>-81.620655322999795</v>
      </c>
      <c r="BU215">
        <v>0.61531369999999996</v>
      </c>
      <c r="BV215">
        <v>-2.8846862912178</v>
      </c>
      <c r="BW215">
        <v>1</v>
      </c>
      <c r="BX215" t="s">
        <v>181</v>
      </c>
      <c r="BY215">
        <v>189</v>
      </c>
      <c r="BZ215">
        <v>0</v>
      </c>
      <c r="CA215">
        <v>0</v>
      </c>
      <c r="CB215">
        <v>6665</v>
      </c>
      <c r="CC215">
        <v>74</v>
      </c>
      <c r="CD215">
        <v>0</v>
      </c>
      <c r="CE215">
        <v>0</v>
      </c>
      <c r="CF215">
        <v>0</v>
      </c>
      <c r="CG215">
        <v>0</v>
      </c>
      <c r="CH215">
        <v>0</v>
      </c>
      <c r="CI215">
        <v>0</v>
      </c>
      <c r="CO215">
        <v>0</v>
      </c>
      <c r="CP215">
        <v>0</v>
      </c>
      <c r="CQ215" t="s">
        <v>1785</v>
      </c>
      <c r="CR215" t="s">
        <v>183</v>
      </c>
      <c r="CS215" t="s">
        <v>138</v>
      </c>
      <c r="CT215" t="s">
        <v>139</v>
      </c>
      <c r="CU215" t="s">
        <v>163</v>
      </c>
      <c r="CW215">
        <v>1</v>
      </c>
      <c r="CX215" t="s">
        <v>1786</v>
      </c>
      <c r="CY215" t="s">
        <v>1787</v>
      </c>
      <c r="CZ215" t="s">
        <v>1779</v>
      </c>
      <c r="DA215" t="s">
        <v>1788</v>
      </c>
      <c r="DB215">
        <v>0</v>
      </c>
      <c r="DC215">
        <v>4000</v>
      </c>
    </row>
    <row r="216" spans="1:107" x14ac:dyDescent="0.25">
      <c r="A216" t="s">
        <v>609</v>
      </c>
      <c r="B216" t="s">
        <v>108</v>
      </c>
      <c r="C216" t="s">
        <v>610</v>
      </c>
      <c r="D216" t="s">
        <v>611</v>
      </c>
      <c r="F216" s="3" t="str">
        <f>HYPERLINK("https://mapwv.gov/flood/map/?wkid=102100&amp;x=-9040836.379690742&amp;y=4649399.385236115&amp;l=13&amp;v=2","FT")</f>
        <v>FT</v>
      </c>
      <c r="G216" s="3" t="str">
        <f>HYPERLINK("https://mapwv.gov/Assessment/Detail/?PID=08060006004800000000","Assessment")</f>
        <v>Assessment</v>
      </c>
      <c r="H216">
        <v>540022</v>
      </c>
      <c r="I216" t="s">
        <v>584</v>
      </c>
      <c r="J216" t="s">
        <v>585</v>
      </c>
      <c r="K216" t="s">
        <v>148</v>
      </c>
      <c r="L216" t="s">
        <v>596</v>
      </c>
      <c r="M216" t="s">
        <v>172</v>
      </c>
      <c r="N216" t="s">
        <v>199</v>
      </c>
      <c r="O216" t="s">
        <v>117</v>
      </c>
      <c r="P216" t="s">
        <v>150</v>
      </c>
      <c r="Q216" t="s">
        <v>119</v>
      </c>
      <c r="R216">
        <v>5.8</v>
      </c>
      <c r="S216" t="s">
        <v>120</v>
      </c>
      <c r="T216" t="s">
        <v>151</v>
      </c>
      <c r="U216" t="s">
        <v>151</v>
      </c>
      <c r="V216">
        <v>646.4</v>
      </c>
      <c r="X216" t="s">
        <v>612</v>
      </c>
      <c r="Y216" t="s">
        <v>613</v>
      </c>
      <c r="Z216">
        <v>1934</v>
      </c>
      <c r="AA216" t="s">
        <v>191</v>
      </c>
      <c r="AB216" t="s">
        <v>155</v>
      </c>
      <c r="AC216" t="s">
        <v>129</v>
      </c>
      <c r="AD216">
        <v>3</v>
      </c>
      <c r="AE216">
        <v>101</v>
      </c>
      <c r="AF216" t="s">
        <v>127</v>
      </c>
      <c r="AG216" t="s">
        <v>128</v>
      </c>
      <c r="AH216" t="s">
        <v>129</v>
      </c>
      <c r="AI216">
        <v>1</v>
      </c>
      <c r="AJ216" t="s">
        <v>156</v>
      </c>
      <c r="AK216" t="s">
        <v>130</v>
      </c>
      <c r="AL216">
        <v>756</v>
      </c>
      <c r="AM216" t="s">
        <v>157</v>
      </c>
      <c r="AN216" t="s">
        <v>158</v>
      </c>
      <c r="AO216">
        <v>3</v>
      </c>
      <c r="AP216">
        <v>2500</v>
      </c>
      <c r="AQ216">
        <v>0</v>
      </c>
      <c r="AR216">
        <v>1440</v>
      </c>
      <c r="AS216">
        <v>3900</v>
      </c>
      <c r="AT216" t="s">
        <v>132</v>
      </c>
      <c r="AU216">
        <v>1</v>
      </c>
      <c r="AV216">
        <v>1</v>
      </c>
      <c r="AW216">
        <v>1</v>
      </c>
      <c r="BC216" t="s">
        <v>614</v>
      </c>
      <c r="BE216">
        <v>2.6</v>
      </c>
      <c r="BF216">
        <v>1</v>
      </c>
      <c r="BG216">
        <v>2.6</v>
      </c>
      <c r="BH216" s="1">
        <v>44322</v>
      </c>
      <c r="BI216" t="s">
        <v>210</v>
      </c>
      <c r="BJ216">
        <v>1934</v>
      </c>
      <c r="BK216" t="s">
        <v>119</v>
      </c>
      <c r="BL216" t="s">
        <v>128</v>
      </c>
      <c r="BM216">
        <v>3900</v>
      </c>
      <c r="BN216">
        <v>1</v>
      </c>
      <c r="BO216">
        <v>5</v>
      </c>
      <c r="BP216">
        <v>3</v>
      </c>
      <c r="BQ216">
        <v>756</v>
      </c>
      <c r="BR216">
        <v>619</v>
      </c>
      <c r="BS216">
        <v>38.493655226000001</v>
      </c>
      <c r="BT216">
        <v>-81.215215010999799</v>
      </c>
      <c r="BU216">
        <v>5.1019287000000002</v>
      </c>
      <c r="BV216">
        <v>2.1019287109375</v>
      </c>
      <c r="BW216">
        <v>1</v>
      </c>
      <c r="BX216" t="s">
        <v>134</v>
      </c>
      <c r="BY216">
        <v>129</v>
      </c>
      <c r="BZ216">
        <v>32.8154296875</v>
      </c>
      <c r="CA216">
        <v>1279.8017578125</v>
      </c>
      <c r="CB216">
        <v>1950</v>
      </c>
      <c r="CC216">
        <v>45</v>
      </c>
      <c r="CD216">
        <v>36.8154296875</v>
      </c>
      <c r="CE216">
        <v>717.90087890625</v>
      </c>
      <c r="CF216">
        <v>0</v>
      </c>
      <c r="CG216">
        <v>0</v>
      </c>
      <c r="CH216">
        <v>0</v>
      </c>
      <c r="CI216">
        <v>0</v>
      </c>
      <c r="CJ216" t="s">
        <v>368</v>
      </c>
      <c r="CK216">
        <v>3.0996000000000001</v>
      </c>
      <c r="CL216">
        <v>0</v>
      </c>
      <c r="CM216">
        <v>0</v>
      </c>
      <c r="CN216">
        <v>3.0996000000000001</v>
      </c>
      <c r="CO216">
        <v>180</v>
      </c>
      <c r="CP216">
        <v>360</v>
      </c>
      <c r="CQ216" t="s">
        <v>589</v>
      </c>
      <c r="CR216" t="s">
        <v>183</v>
      </c>
      <c r="CS216" t="s">
        <v>138</v>
      </c>
      <c r="CT216" t="s">
        <v>139</v>
      </c>
      <c r="CU216" t="s">
        <v>140</v>
      </c>
      <c r="CW216">
        <v>3</v>
      </c>
      <c r="CX216" t="s">
        <v>590</v>
      </c>
      <c r="CY216" t="s">
        <v>591</v>
      </c>
      <c r="CZ216" t="s">
        <v>611</v>
      </c>
      <c r="DA216" t="s">
        <v>592</v>
      </c>
      <c r="DB216">
        <v>0</v>
      </c>
      <c r="DC216">
        <v>3900</v>
      </c>
    </row>
    <row r="217" spans="1:107" x14ac:dyDescent="0.25">
      <c r="A217" t="s">
        <v>422</v>
      </c>
      <c r="B217" t="s">
        <v>108</v>
      </c>
      <c r="C217" t="s">
        <v>423</v>
      </c>
      <c r="D217" t="s">
        <v>424</v>
      </c>
      <c r="F217" s="3" t="str">
        <f>HYPERLINK("https://mapwv.gov/flood/map/?wkid=102100&amp;x=-8875885.32306341&amp;y=4708745.33540748&amp;l=13&amp;v=2","FT")</f>
        <v>FT</v>
      </c>
      <c r="G217" s="3" t="str">
        <f>HYPERLINK("https://mapwv.gov/Assessment/Detail/?PID=42020005004600000000","Assessment")</f>
        <v>Assessment</v>
      </c>
      <c r="H217">
        <v>540175</v>
      </c>
      <c r="I217" t="s">
        <v>409</v>
      </c>
      <c r="J217" t="s">
        <v>410</v>
      </c>
      <c r="K217" t="s">
        <v>148</v>
      </c>
      <c r="L217" t="s">
        <v>247</v>
      </c>
      <c r="M217" t="s">
        <v>248</v>
      </c>
      <c r="N217" t="s">
        <v>149</v>
      </c>
      <c r="O217" t="s">
        <v>117</v>
      </c>
      <c r="P217" t="s">
        <v>150</v>
      </c>
      <c r="Q217" t="s">
        <v>225</v>
      </c>
      <c r="R217">
        <v>5</v>
      </c>
      <c r="S217" t="s">
        <v>315</v>
      </c>
      <c r="T217" t="s">
        <v>151</v>
      </c>
      <c r="U217" t="s">
        <v>151</v>
      </c>
      <c r="V217">
        <v>2166.8000000000002</v>
      </c>
      <c r="X217" t="s">
        <v>425</v>
      </c>
      <c r="Y217" t="s">
        <v>426</v>
      </c>
      <c r="Z217">
        <v>0</v>
      </c>
      <c r="AB217" t="s">
        <v>155</v>
      </c>
      <c r="AC217" t="s">
        <v>129</v>
      </c>
      <c r="AD217">
        <v>2</v>
      </c>
      <c r="AE217">
        <v>101</v>
      </c>
      <c r="AF217" t="s">
        <v>127</v>
      </c>
      <c r="AG217" t="s">
        <v>177</v>
      </c>
      <c r="AH217" t="s">
        <v>129</v>
      </c>
      <c r="AI217">
        <v>1</v>
      </c>
      <c r="AL217">
        <v>660</v>
      </c>
      <c r="AN217" t="s">
        <v>158</v>
      </c>
      <c r="AO217">
        <v>3.5</v>
      </c>
      <c r="AP217">
        <v>0</v>
      </c>
      <c r="AQ217">
        <v>0</v>
      </c>
      <c r="AR217">
        <v>3760</v>
      </c>
      <c r="AS217">
        <v>10400</v>
      </c>
      <c r="AT217" t="s">
        <v>178</v>
      </c>
      <c r="AU217">
        <v>1</v>
      </c>
      <c r="AV217">
        <v>1</v>
      </c>
      <c r="AW217">
        <v>0</v>
      </c>
      <c r="BE217">
        <v>2.4</v>
      </c>
      <c r="BF217">
        <v>1</v>
      </c>
      <c r="BG217">
        <v>2.4</v>
      </c>
      <c r="BH217" s="1">
        <v>44291</v>
      </c>
      <c r="BI217" t="s">
        <v>321</v>
      </c>
      <c r="BJ217">
        <v>0</v>
      </c>
      <c r="BK217" t="s">
        <v>225</v>
      </c>
      <c r="BL217" t="s">
        <v>177</v>
      </c>
      <c r="BM217">
        <v>10400</v>
      </c>
      <c r="BN217">
        <v>1</v>
      </c>
      <c r="BO217">
        <v>5</v>
      </c>
      <c r="BP217">
        <v>3.5</v>
      </c>
      <c r="BQ217">
        <v>660</v>
      </c>
      <c r="BR217">
        <v>1149</v>
      </c>
      <c r="BS217">
        <v>38.909701548000001</v>
      </c>
      <c r="BT217">
        <v>-79.733434458000005</v>
      </c>
      <c r="BU217">
        <v>5</v>
      </c>
      <c r="BV217">
        <v>1.5</v>
      </c>
      <c r="BW217">
        <v>1</v>
      </c>
      <c r="BX217" t="s">
        <v>181</v>
      </c>
      <c r="BY217">
        <v>189</v>
      </c>
      <c r="BZ217">
        <v>53.5</v>
      </c>
      <c r="CA217">
        <v>5564</v>
      </c>
      <c r="CB217">
        <v>5200</v>
      </c>
      <c r="CC217">
        <v>74</v>
      </c>
      <c r="CD217">
        <v>38</v>
      </c>
      <c r="CE217">
        <v>1976</v>
      </c>
      <c r="CF217">
        <v>0</v>
      </c>
      <c r="CG217">
        <v>0</v>
      </c>
      <c r="CH217">
        <v>0</v>
      </c>
      <c r="CI217">
        <v>0</v>
      </c>
      <c r="CJ217" t="s">
        <v>273</v>
      </c>
      <c r="CK217">
        <v>4.29</v>
      </c>
      <c r="CL217">
        <v>6.6</v>
      </c>
      <c r="CM217">
        <v>7.92</v>
      </c>
      <c r="CN217">
        <v>18.809999999999999</v>
      </c>
      <c r="CO217">
        <v>360</v>
      </c>
      <c r="CP217">
        <v>720</v>
      </c>
      <c r="CQ217" t="s">
        <v>413</v>
      </c>
      <c r="CR217" t="s">
        <v>183</v>
      </c>
      <c r="CS217" t="s">
        <v>138</v>
      </c>
      <c r="CT217" t="s">
        <v>139</v>
      </c>
      <c r="CU217" t="s">
        <v>274</v>
      </c>
      <c r="CW217">
        <v>7</v>
      </c>
      <c r="CX217" t="s">
        <v>414</v>
      </c>
      <c r="CY217" t="s">
        <v>415</v>
      </c>
      <c r="CZ217" t="s">
        <v>424</v>
      </c>
      <c r="DA217" t="s">
        <v>416</v>
      </c>
      <c r="DB217">
        <v>0</v>
      </c>
      <c r="DC217">
        <v>3800</v>
      </c>
    </row>
    <row r="218" spans="1:107" x14ac:dyDescent="0.25">
      <c r="A218" t="s">
        <v>897</v>
      </c>
      <c r="B218" t="s">
        <v>108</v>
      </c>
      <c r="C218" t="s">
        <v>898</v>
      </c>
      <c r="D218" t="s">
        <v>899</v>
      </c>
      <c r="F218" s="3" t="str">
        <f>HYPERLINK("https://mapwv.gov/flood/map/?wkid=102100&amp;x=-8863339.076551478&amp;y=4821836.110127343&amp;l=13&amp;v=2","FT")</f>
        <v>FT</v>
      </c>
      <c r="G218" s="3" t="str">
        <f>HYPERLINK("https://mapwv.gov/Assessment/Detail/?PID=39100012003400000000","Assessment")</f>
        <v>Assessment</v>
      </c>
      <c r="H218">
        <v>540160</v>
      </c>
      <c r="I218" t="s">
        <v>889</v>
      </c>
      <c r="J218" t="s">
        <v>890</v>
      </c>
      <c r="K218" t="s">
        <v>148</v>
      </c>
      <c r="L218" t="s">
        <v>900</v>
      </c>
      <c r="M218" t="s">
        <v>248</v>
      </c>
      <c r="N218" t="s">
        <v>199</v>
      </c>
      <c r="O218" t="s">
        <v>117</v>
      </c>
      <c r="P218" t="s">
        <v>150</v>
      </c>
      <c r="Q218" t="s">
        <v>119</v>
      </c>
      <c r="R218">
        <v>8.1999999999999993</v>
      </c>
      <c r="S218" t="s">
        <v>120</v>
      </c>
      <c r="T218">
        <v>1534.7</v>
      </c>
      <c r="U218" t="s">
        <v>365</v>
      </c>
      <c r="V218">
        <v>1526.5</v>
      </c>
      <c r="X218" t="s">
        <v>901</v>
      </c>
      <c r="Y218" t="s">
        <v>902</v>
      </c>
      <c r="Z218">
        <v>1976</v>
      </c>
      <c r="AA218" t="s">
        <v>241</v>
      </c>
      <c r="AB218" t="s">
        <v>155</v>
      </c>
      <c r="AC218" t="s">
        <v>129</v>
      </c>
      <c r="AD218">
        <v>2</v>
      </c>
      <c r="AE218">
        <v>108</v>
      </c>
      <c r="AF218" t="s">
        <v>176</v>
      </c>
      <c r="AG218" t="s">
        <v>177</v>
      </c>
      <c r="AH218" t="s">
        <v>129</v>
      </c>
      <c r="AI218">
        <v>1</v>
      </c>
      <c r="AL218">
        <v>1014</v>
      </c>
      <c r="AN218" t="s">
        <v>158</v>
      </c>
      <c r="AO218">
        <v>3</v>
      </c>
      <c r="AP218">
        <v>0</v>
      </c>
      <c r="AQ218">
        <v>0</v>
      </c>
      <c r="AR218">
        <v>3650</v>
      </c>
      <c r="AS218">
        <v>12570</v>
      </c>
      <c r="AT218" t="s">
        <v>178</v>
      </c>
      <c r="AU218">
        <v>1</v>
      </c>
      <c r="AV218">
        <v>1</v>
      </c>
      <c r="AW218">
        <v>1</v>
      </c>
      <c r="BE218">
        <v>2.5</v>
      </c>
      <c r="BF218">
        <v>1</v>
      </c>
      <c r="BG218">
        <v>2.5</v>
      </c>
      <c r="BH218" s="1">
        <v>44298</v>
      </c>
      <c r="BI218" t="s">
        <v>210</v>
      </c>
      <c r="BJ218">
        <v>1976</v>
      </c>
      <c r="BK218" t="s">
        <v>119</v>
      </c>
      <c r="BL218" t="s">
        <v>177</v>
      </c>
      <c r="BM218">
        <v>12570</v>
      </c>
      <c r="BN218">
        <v>1</v>
      </c>
      <c r="BO218">
        <v>5</v>
      </c>
      <c r="BP218">
        <v>3</v>
      </c>
      <c r="BQ218">
        <v>1014</v>
      </c>
      <c r="BR218">
        <v>202</v>
      </c>
      <c r="BS218">
        <v>39.695809506000003</v>
      </c>
      <c r="BT218">
        <v>-79.620729608000005</v>
      </c>
      <c r="BU218">
        <v>8.2043459999999904</v>
      </c>
      <c r="BV218">
        <v>5.204345703125</v>
      </c>
      <c r="BW218">
        <v>1</v>
      </c>
      <c r="BX218" t="s">
        <v>181</v>
      </c>
      <c r="BY218">
        <v>189</v>
      </c>
      <c r="BZ218">
        <v>79.40869140625</v>
      </c>
      <c r="CA218">
        <v>9981.6725097656199</v>
      </c>
      <c r="CB218">
        <v>6285</v>
      </c>
      <c r="CC218">
        <v>74</v>
      </c>
      <c r="CD218">
        <v>76.40869140625</v>
      </c>
      <c r="CE218">
        <v>4802.2862548828098</v>
      </c>
      <c r="CF218">
        <v>0</v>
      </c>
      <c r="CG218">
        <v>0</v>
      </c>
      <c r="CH218">
        <v>0</v>
      </c>
      <c r="CI218">
        <v>0</v>
      </c>
      <c r="CJ218" t="s">
        <v>826</v>
      </c>
      <c r="CK218">
        <v>6.5910000000000002</v>
      </c>
      <c r="CL218">
        <v>10.14</v>
      </c>
      <c r="CM218">
        <v>12.1679999999999</v>
      </c>
      <c r="CN218">
        <v>28.899000000000001</v>
      </c>
      <c r="CO218">
        <v>360</v>
      </c>
      <c r="CP218">
        <v>720</v>
      </c>
      <c r="CQ218" t="s">
        <v>893</v>
      </c>
      <c r="CR218" t="s">
        <v>183</v>
      </c>
      <c r="CS218" t="s">
        <v>138</v>
      </c>
      <c r="CT218" t="s">
        <v>139</v>
      </c>
      <c r="CU218" t="s">
        <v>274</v>
      </c>
      <c r="CW218">
        <v>6</v>
      </c>
      <c r="CX218" t="s">
        <v>894</v>
      </c>
      <c r="CY218" t="s">
        <v>895</v>
      </c>
      <c r="CZ218" t="s">
        <v>899</v>
      </c>
      <c r="DA218" t="s">
        <v>896</v>
      </c>
      <c r="DB218">
        <v>0</v>
      </c>
      <c r="DC218">
        <v>3700</v>
      </c>
    </row>
    <row r="219" spans="1:107" x14ac:dyDescent="0.25">
      <c r="A219" t="s">
        <v>1067</v>
      </c>
      <c r="B219" t="s">
        <v>108</v>
      </c>
      <c r="C219" t="s">
        <v>1068</v>
      </c>
      <c r="D219" t="s">
        <v>1069</v>
      </c>
      <c r="F219" s="3" t="str">
        <f>HYPERLINK("https://mapwv.gov/flood/map/?wkid=102100&amp;x=-9112690.99804255&amp;y=4541257.280140088&amp;l=13&amp;v=2","FT")</f>
        <v>FT</v>
      </c>
      <c r="G219" s="3" t="str">
        <f>HYPERLINK("https://mapwv.gov/Assessment/Detail/?PID=23080039005200000000","Assessment")</f>
        <v>Assessment</v>
      </c>
      <c r="H219">
        <v>545536</v>
      </c>
      <c r="I219" t="s">
        <v>964</v>
      </c>
      <c r="J219" t="s">
        <v>965</v>
      </c>
      <c r="K219" t="s">
        <v>148</v>
      </c>
      <c r="L219" t="s">
        <v>1070</v>
      </c>
      <c r="M219" t="s">
        <v>967</v>
      </c>
      <c r="N219" t="s">
        <v>199</v>
      </c>
      <c r="O219" t="s">
        <v>117</v>
      </c>
      <c r="P219" t="s">
        <v>150</v>
      </c>
      <c r="Q219" t="s">
        <v>260</v>
      </c>
      <c r="R219">
        <v>6</v>
      </c>
      <c r="S219" t="s">
        <v>120</v>
      </c>
      <c r="T219">
        <v>752.8</v>
      </c>
      <c r="U219" t="s">
        <v>365</v>
      </c>
      <c r="V219">
        <v>746.1</v>
      </c>
      <c r="X219" t="s">
        <v>1071</v>
      </c>
      <c r="Y219" t="s">
        <v>1072</v>
      </c>
      <c r="Z219">
        <v>9999</v>
      </c>
      <c r="AA219" t="s">
        <v>318</v>
      </c>
      <c r="AB219" t="s">
        <v>155</v>
      </c>
      <c r="AC219" t="s">
        <v>129</v>
      </c>
      <c r="AD219">
        <v>3</v>
      </c>
      <c r="AE219">
        <v>108</v>
      </c>
      <c r="AF219" t="s">
        <v>176</v>
      </c>
      <c r="AG219" t="s">
        <v>177</v>
      </c>
      <c r="AH219" t="s">
        <v>129</v>
      </c>
      <c r="AI219">
        <v>1</v>
      </c>
      <c r="AL219">
        <v>1000</v>
      </c>
      <c r="AN219" t="s">
        <v>158</v>
      </c>
      <c r="AO219">
        <v>4</v>
      </c>
      <c r="AP219">
        <v>0</v>
      </c>
      <c r="AQ219">
        <v>0</v>
      </c>
      <c r="AR219">
        <v>3510</v>
      </c>
      <c r="AS219">
        <v>16000</v>
      </c>
      <c r="AT219" t="s">
        <v>228</v>
      </c>
      <c r="AU219">
        <v>1</v>
      </c>
      <c r="AV219">
        <v>4</v>
      </c>
      <c r="AW219">
        <v>1</v>
      </c>
      <c r="BB219" t="s">
        <v>1073</v>
      </c>
      <c r="BC219" t="s">
        <v>209</v>
      </c>
      <c r="BD219" t="s">
        <v>230</v>
      </c>
      <c r="BE219">
        <v>2.4</v>
      </c>
      <c r="BF219">
        <v>1</v>
      </c>
      <c r="BG219">
        <v>2.4</v>
      </c>
      <c r="BH219" s="1">
        <v>44348</v>
      </c>
      <c r="BI219" t="s">
        <v>210</v>
      </c>
      <c r="BJ219">
        <v>9999</v>
      </c>
      <c r="BK219" t="s">
        <v>260</v>
      </c>
      <c r="BL219" t="s">
        <v>177</v>
      </c>
      <c r="BM219">
        <v>16000</v>
      </c>
      <c r="BN219">
        <v>1</v>
      </c>
      <c r="BO219">
        <v>5</v>
      </c>
      <c r="BP219">
        <v>4</v>
      </c>
      <c r="BQ219">
        <v>1000</v>
      </c>
      <c r="BR219">
        <v>298</v>
      </c>
      <c r="BS219">
        <v>37.729314455999997</v>
      </c>
      <c r="BT219">
        <v>-81.86069603</v>
      </c>
      <c r="BU219">
        <v>6.0299683000000002</v>
      </c>
      <c r="BV219">
        <v>2.02996826171875</v>
      </c>
      <c r="BW219">
        <v>1</v>
      </c>
      <c r="BX219" t="s">
        <v>181</v>
      </c>
      <c r="BY219">
        <v>189</v>
      </c>
      <c r="BZ219">
        <v>63.2996826171875</v>
      </c>
      <c r="CA219">
        <v>10127.94921875</v>
      </c>
      <c r="CB219">
        <v>8000</v>
      </c>
      <c r="CC219">
        <v>74</v>
      </c>
      <c r="CD219">
        <v>49.4495239257812</v>
      </c>
      <c r="CE219">
        <v>3955.9619140625</v>
      </c>
      <c r="CF219">
        <v>0</v>
      </c>
      <c r="CG219">
        <v>0</v>
      </c>
      <c r="CH219">
        <v>0</v>
      </c>
      <c r="CI219">
        <v>0</v>
      </c>
      <c r="CJ219" t="s">
        <v>273</v>
      </c>
      <c r="CK219">
        <v>6.5</v>
      </c>
      <c r="CL219">
        <v>10</v>
      </c>
      <c r="CM219">
        <v>12</v>
      </c>
      <c r="CN219">
        <v>28.5</v>
      </c>
      <c r="CO219">
        <v>360</v>
      </c>
      <c r="CP219">
        <v>720</v>
      </c>
      <c r="CQ219" t="s">
        <v>974</v>
      </c>
      <c r="CR219" t="s">
        <v>183</v>
      </c>
      <c r="CS219" t="s">
        <v>138</v>
      </c>
      <c r="CT219" t="s">
        <v>139</v>
      </c>
      <c r="CU219" t="s">
        <v>274</v>
      </c>
      <c r="CW219">
        <v>2</v>
      </c>
      <c r="CX219" t="s">
        <v>975</v>
      </c>
      <c r="CY219" t="s">
        <v>976</v>
      </c>
      <c r="CZ219" t="s">
        <v>1069</v>
      </c>
      <c r="DA219" t="s">
        <v>977</v>
      </c>
      <c r="DB219">
        <v>0</v>
      </c>
      <c r="DC219">
        <v>3500</v>
      </c>
    </row>
    <row r="220" spans="1:107" x14ac:dyDescent="0.25">
      <c r="A220" t="s">
        <v>1406</v>
      </c>
      <c r="B220" t="s">
        <v>108</v>
      </c>
      <c r="C220" t="s">
        <v>1407</v>
      </c>
      <c r="D220" t="s">
        <v>1408</v>
      </c>
      <c r="F220" s="3" t="str">
        <f>HYPERLINK("https://mapwv.gov/flood/map/?wkid=102100&amp;x=-9090974.87760592&amp;y=4631964.515074605&amp;l=13&amp;v=2","FT")</f>
        <v>FT</v>
      </c>
      <c r="G220" s="3" t="str">
        <f>HYPERLINK("https://mapwv.gov/Assessment/Detail/?PID=20120010021600000000","Assessment")</f>
        <v>Assessment</v>
      </c>
      <c r="H220">
        <v>540073</v>
      </c>
      <c r="I220" t="s">
        <v>1333</v>
      </c>
      <c r="J220" t="s">
        <v>1282</v>
      </c>
      <c r="K220" t="s">
        <v>113</v>
      </c>
      <c r="L220" t="s">
        <v>1283</v>
      </c>
      <c r="M220" t="s">
        <v>909</v>
      </c>
      <c r="N220" t="s">
        <v>199</v>
      </c>
      <c r="O220" t="s">
        <v>117</v>
      </c>
      <c r="P220" t="s">
        <v>150</v>
      </c>
      <c r="Q220" t="s">
        <v>119</v>
      </c>
      <c r="R220" t="s">
        <v>151</v>
      </c>
      <c r="S220" t="s">
        <v>151</v>
      </c>
      <c r="T220" t="s">
        <v>151</v>
      </c>
      <c r="U220" t="s">
        <v>151</v>
      </c>
      <c r="V220">
        <v>593.79999999999995</v>
      </c>
      <c r="X220" t="s">
        <v>1409</v>
      </c>
      <c r="Y220" t="s">
        <v>1410</v>
      </c>
      <c r="Z220">
        <v>1906</v>
      </c>
      <c r="AA220" t="s">
        <v>241</v>
      </c>
      <c r="AB220" t="s">
        <v>155</v>
      </c>
      <c r="AC220" t="s">
        <v>129</v>
      </c>
      <c r="AD220">
        <v>4</v>
      </c>
      <c r="AE220">
        <v>101</v>
      </c>
      <c r="AF220" t="s">
        <v>127</v>
      </c>
      <c r="AG220" t="s">
        <v>128</v>
      </c>
      <c r="AH220" t="s">
        <v>129</v>
      </c>
      <c r="AI220">
        <v>1</v>
      </c>
      <c r="AJ220" t="s">
        <v>341</v>
      </c>
      <c r="AK220" t="s">
        <v>130</v>
      </c>
      <c r="AL220">
        <v>1040</v>
      </c>
      <c r="AM220" t="s">
        <v>353</v>
      </c>
      <c r="AN220" t="s">
        <v>208</v>
      </c>
      <c r="AO220">
        <v>4</v>
      </c>
      <c r="AP220">
        <v>3500</v>
      </c>
      <c r="AQ220">
        <v>0</v>
      </c>
      <c r="AR220">
        <v>0</v>
      </c>
      <c r="AS220">
        <v>3500</v>
      </c>
      <c r="AT220" t="s">
        <v>132</v>
      </c>
      <c r="AU220">
        <v>1</v>
      </c>
      <c r="AV220">
        <v>0</v>
      </c>
      <c r="AW220">
        <v>1</v>
      </c>
      <c r="BE220">
        <v>2.1</v>
      </c>
      <c r="BF220">
        <v>0</v>
      </c>
      <c r="BG220">
        <v>0</v>
      </c>
      <c r="BH220" s="1">
        <v>44362</v>
      </c>
      <c r="BI220" t="s">
        <v>441</v>
      </c>
      <c r="BJ220">
        <v>1906</v>
      </c>
      <c r="BK220" t="s">
        <v>119</v>
      </c>
      <c r="BL220" t="s">
        <v>128</v>
      </c>
      <c r="BM220">
        <v>3500</v>
      </c>
      <c r="BN220">
        <v>1</v>
      </c>
      <c r="BO220">
        <v>4</v>
      </c>
      <c r="BP220">
        <v>4</v>
      </c>
      <c r="BQ220">
        <v>1040</v>
      </c>
      <c r="BR220">
        <v>10412</v>
      </c>
      <c r="BS220">
        <v>38.370968011000102</v>
      </c>
      <c r="BT220">
        <v>-81.6656168009998</v>
      </c>
      <c r="BU220">
        <v>0</v>
      </c>
      <c r="BV220">
        <v>-4</v>
      </c>
      <c r="BW220">
        <v>0</v>
      </c>
      <c r="BX220" t="s">
        <v>354</v>
      </c>
      <c r="BY220">
        <v>0</v>
      </c>
      <c r="BZ220">
        <v>0</v>
      </c>
      <c r="CA220">
        <v>0</v>
      </c>
      <c r="CB220">
        <v>1750</v>
      </c>
      <c r="CC220">
        <v>0</v>
      </c>
      <c r="CD220">
        <v>0</v>
      </c>
      <c r="CE220">
        <v>0</v>
      </c>
      <c r="CF220">
        <v>0</v>
      </c>
      <c r="CG220">
        <v>0</v>
      </c>
      <c r="CH220">
        <v>0</v>
      </c>
      <c r="CI220">
        <v>0</v>
      </c>
      <c r="CO220">
        <v>0</v>
      </c>
      <c r="CP220">
        <v>0</v>
      </c>
      <c r="CQ220" t="s">
        <v>1286</v>
      </c>
      <c r="CR220" t="s">
        <v>160</v>
      </c>
      <c r="CS220" t="s">
        <v>161</v>
      </c>
      <c r="CT220" t="s">
        <v>139</v>
      </c>
      <c r="CU220" t="s">
        <v>163</v>
      </c>
      <c r="CW220">
        <v>3</v>
      </c>
      <c r="CX220" t="s">
        <v>1338</v>
      </c>
      <c r="CY220" t="s">
        <v>1288</v>
      </c>
      <c r="CZ220" t="s">
        <v>1408</v>
      </c>
      <c r="DA220" t="s">
        <v>1289</v>
      </c>
      <c r="DB220">
        <v>0</v>
      </c>
      <c r="DC220">
        <v>3500</v>
      </c>
    </row>
    <row r="221" spans="1:107" x14ac:dyDescent="0.25">
      <c r="A221" t="s">
        <v>1761</v>
      </c>
      <c r="B221" t="s">
        <v>108</v>
      </c>
      <c r="C221" t="s">
        <v>1762</v>
      </c>
      <c r="D221" t="s">
        <v>1763</v>
      </c>
      <c r="E221" t="s">
        <v>1764</v>
      </c>
      <c r="F221" s="3" t="str">
        <f>HYPERLINK("https://mapwv.gov/flood/map/?wkid=102100&amp;x=-9048193.606064195&amp;y=4492052.858452372&amp;l=13&amp;v=2","FT")</f>
        <v>FT</v>
      </c>
      <c r="G221" s="3" t="str">
        <f>HYPERLINK("https://mapwv.gov/Assessment/Detail/?PID=2811044F003100000000","Assessment")</f>
        <v>Assessment</v>
      </c>
      <c r="H221">
        <v>540124</v>
      </c>
      <c r="I221" t="s">
        <v>1765</v>
      </c>
      <c r="J221" t="s">
        <v>1766</v>
      </c>
      <c r="K221" t="s">
        <v>148</v>
      </c>
      <c r="L221" t="s">
        <v>1767</v>
      </c>
      <c r="M221" t="s">
        <v>1768</v>
      </c>
      <c r="N221" t="s">
        <v>149</v>
      </c>
      <c r="O221" t="s">
        <v>117</v>
      </c>
      <c r="P221" t="s">
        <v>150</v>
      </c>
      <c r="Q221" t="s">
        <v>119</v>
      </c>
      <c r="R221" t="s">
        <v>151</v>
      </c>
      <c r="S221" t="s">
        <v>151</v>
      </c>
      <c r="T221" t="s">
        <v>151</v>
      </c>
      <c r="U221" t="s">
        <v>151</v>
      </c>
      <c r="V221">
        <v>2289.6</v>
      </c>
      <c r="X221" t="s">
        <v>1769</v>
      </c>
      <c r="Y221" t="s">
        <v>1770</v>
      </c>
      <c r="Z221">
        <v>1934</v>
      </c>
      <c r="AA221" t="s">
        <v>191</v>
      </c>
      <c r="AB221" t="s">
        <v>175</v>
      </c>
      <c r="AC221" t="s">
        <v>288</v>
      </c>
      <c r="AD221">
        <v>3</v>
      </c>
      <c r="AE221">
        <v>319</v>
      </c>
      <c r="AF221" t="s">
        <v>1771</v>
      </c>
      <c r="AG221" t="s">
        <v>483</v>
      </c>
      <c r="AH221" t="s">
        <v>288</v>
      </c>
      <c r="AI221">
        <v>2</v>
      </c>
      <c r="AJ221" t="s">
        <v>1186</v>
      </c>
      <c r="AL221">
        <v>2306</v>
      </c>
      <c r="AM221" t="s">
        <v>206</v>
      </c>
      <c r="AN221" t="s">
        <v>131</v>
      </c>
      <c r="AO221">
        <v>1</v>
      </c>
      <c r="AP221">
        <v>0</v>
      </c>
      <c r="AQ221">
        <v>4600</v>
      </c>
      <c r="AR221">
        <v>0</v>
      </c>
      <c r="AS221">
        <v>4600</v>
      </c>
      <c r="AT221" t="s">
        <v>132</v>
      </c>
      <c r="AU221">
        <v>1</v>
      </c>
      <c r="AV221">
        <v>0</v>
      </c>
      <c r="AW221">
        <v>0</v>
      </c>
      <c r="BB221" t="s">
        <v>1772</v>
      </c>
      <c r="BC221" t="s">
        <v>180</v>
      </c>
      <c r="BE221">
        <v>2.4</v>
      </c>
      <c r="BF221">
        <v>0</v>
      </c>
      <c r="BG221">
        <v>0</v>
      </c>
      <c r="BH221" s="1">
        <v>44397</v>
      </c>
      <c r="BI221" t="s">
        <v>159</v>
      </c>
      <c r="BJ221">
        <v>1934</v>
      </c>
      <c r="BK221" t="s">
        <v>119</v>
      </c>
      <c r="BL221" t="s">
        <v>483</v>
      </c>
      <c r="BM221">
        <v>4600</v>
      </c>
      <c r="BN221">
        <v>2</v>
      </c>
      <c r="BO221">
        <v>7</v>
      </c>
      <c r="BP221">
        <v>1</v>
      </c>
      <c r="BQ221">
        <v>2306</v>
      </c>
      <c r="BR221">
        <v>1695</v>
      </c>
      <c r="BS221">
        <v>37.378899130000001</v>
      </c>
      <c r="BT221">
        <v>-81.281306099999796</v>
      </c>
      <c r="BU221">
        <v>0</v>
      </c>
      <c r="BV221">
        <v>-1</v>
      </c>
      <c r="BW221">
        <v>0</v>
      </c>
      <c r="BX221" t="s">
        <v>484</v>
      </c>
      <c r="BY221">
        <v>0</v>
      </c>
      <c r="BZ221">
        <v>0</v>
      </c>
      <c r="CA221">
        <v>0</v>
      </c>
      <c r="CB221">
        <v>4600</v>
      </c>
      <c r="CC221">
        <v>0</v>
      </c>
      <c r="CD221">
        <v>0</v>
      </c>
      <c r="CE221">
        <v>0</v>
      </c>
      <c r="CF221">
        <v>15888.34</v>
      </c>
      <c r="CG221">
        <v>0</v>
      </c>
      <c r="CH221">
        <v>0</v>
      </c>
      <c r="CI221">
        <v>0</v>
      </c>
      <c r="CO221">
        <v>0</v>
      </c>
      <c r="CP221">
        <v>0</v>
      </c>
      <c r="CQ221" t="s">
        <v>1773</v>
      </c>
      <c r="CR221" t="s">
        <v>1163</v>
      </c>
      <c r="CS221" t="s">
        <v>161</v>
      </c>
      <c r="CT221" t="s">
        <v>139</v>
      </c>
      <c r="CU221" t="s">
        <v>163</v>
      </c>
      <c r="CW221">
        <v>1</v>
      </c>
      <c r="CX221" t="s">
        <v>1774</v>
      </c>
      <c r="CY221" t="s">
        <v>1775</v>
      </c>
      <c r="CZ221" t="s">
        <v>1763</v>
      </c>
      <c r="DA221" t="s">
        <v>1776</v>
      </c>
      <c r="DB221">
        <v>0</v>
      </c>
      <c r="DC221">
        <v>3500</v>
      </c>
    </row>
    <row r="222" spans="1:107" x14ac:dyDescent="0.25">
      <c r="A222" t="s">
        <v>442</v>
      </c>
      <c r="B222" t="s">
        <v>108</v>
      </c>
      <c r="C222" t="s">
        <v>443</v>
      </c>
      <c r="D222" t="s">
        <v>444</v>
      </c>
      <c r="F222" s="3" t="str">
        <f>HYPERLINK("https://mapwv.gov/flood/map/?wkid=102100&amp;x=-8887304.958887653&amp;y=4710962.942616293&amp;l=13&amp;v=2","FT")</f>
        <v>FT</v>
      </c>
      <c r="G222" s="3" t="str">
        <f>HYPERLINK("https://mapwv.gov/Assessment/Detail/?PID=42100017001900000000","Assessment")</f>
        <v>Assessment</v>
      </c>
      <c r="H222">
        <v>540177</v>
      </c>
      <c r="I222" t="s">
        <v>430</v>
      </c>
      <c r="J222" t="s">
        <v>410</v>
      </c>
      <c r="K222" t="s">
        <v>113</v>
      </c>
      <c r="L222" t="s">
        <v>445</v>
      </c>
      <c r="M222" t="s">
        <v>115</v>
      </c>
      <c r="N222" t="s">
        <v>149</v>
      </c>
      <c r="O222" t="s">
        <v>117</v>
      </c>
      <c r="P222" t="s">
        <v>150</v>
      </c>
      <c r="Q222" t="s">
        <v>119</v>
      </c>
      <c r="R222" t="s">
        <v>151</v>
      </c>
      <c r="S222" t="s">
        <v>151</v>
      </c>
      <c r="T222" t="s">
        <v>151</v>
      </c>
      <c r="U222" t="s">
        <v>151</v>
      </c>
      <c r="V222">
        <v>1945.5</v>
      </c>
      <c r="X222" t="s">
        <v>446</v>
      </c>
      <c r="Y222" t="s">
        <v>447</v>
      </c>
      <c r="Z222">
        <v>1940</v>
      </c>
      <c r="AA222" t="s">
        <v>318</v>
      </c>
      <c r="AB222" t="s">
        <v>155</v>
      </c>
      <c r="AC222" t="s">
        <v>129</v>
      </c>
      <c r="AD222">
        <v>3</v>
      </c>
      <c r="AE222">
        <v>101</v>
      </c>
      <c r="AF222" t="s">
        <v>127</v>
      </c>
      <c r="AG222" t="s">
        <v>128</v>
      </c>
      <c r="AH222" t="s">
        <v>129</v>
      </c>
      <c r="AI222">
        <v>1</v>
      </c>
      <c r="AJ222" t="s">
        <v>448</v>
      </c>
      <c r="AK222" t="s">
        <v>130</v>
      </c>
      <c r="AL222">
        <v>952</v>
      </c>
      <c r="AM222" t="s">
        <v>157</v>
      </c>
      <c r="AN222" t="s">
        <v>158</v>
      </c>
      <c r="AO222">
        <v>3</v>
      </c>
      <c r="AP222">
        <v>3400</v>
      </c>
      <c r="AQ222">
        <v>0</v>
      </c>
      <c r="AR222">
        <v>0</v>
      </c>
      <c r="AS222">
        <v>3400</v>
      </c>
      <c r="AT222" t="s">
        <v>132</v>
      </c>
      <c r="AU222">
        <v>1</v>
      </c>
      <c r="AV222">
        <v>0</v>
      </c>
      <c r="AW222">
        <v>2</v>
      </c>
      <c r="BE222">
        <v>2.2000000000000002</v>
      </c>
      <c r="BF222">
        <v>0</v>
      </c>
      <c r="BG222">
        <v>0</v>
      </c>
      <c r="BH222" s="1">
        <v>44291</v>
      </c>
      <c r="BI222" t="s">
        <v>159</v>
      </c>
      <c r="BJ222">
        <v>1940</v>
      </c>
      <c r="BK222" t="s">
        <v>119</v>
      </c>
      <c r="BL222" t="s">
        <v>128</v>
      </c>
      <c r="BM222">
        <v>3400</v>
      </c>
      <c r="BN222">
        <v>1</v>
      </c>
      <c r="BO222">
        <v>5</v>
      </c>
      <c r="BP222">
        <v>3</v>
      </c>
      <c r="BQ222">
        <v>952</v>
      </c>
      <c r="BR222">
        <v>297</v>
      </c>
      <c r="BS222">
        <v>38.925201200000103</v>
      </c>
      <c r="BT222">
        <v>-79.836018791999905</v>
      </c>
      <c r="BU222">
        <v>0</v>
      </c>
      <c r="BV222">
        <v>-3</v>
      </c>
      <c r="BW222">
        <v>0</v>
      </c>
      <c r="BX222" t="s">
        <v>134</v>
      </c>
      <c r="BY222">
        <v>0</v>
      </c>
      <c r="BZ222">
        <v>0</v>
      </c>
      <c r="CA222">
        <v>0</v>
      </c>
      <c r="CB222">
        <v>1700</v>
      </c>
      <c r="CC222">
        <v>0</v>
      </c>
      <c r="CD222">
        <v>0</v>
      </c>
      <c r="CE222">
        <v>0</v>
      </c>
      <c r="CF222">
        <v>0</v>
      </c>
      <c r="CG222">
        <v>0</v>
      </c>
      <c r="CH222">
        <v>0</v>
      </c>
      <c r="CI222">
        <v>0</v>
      </c>
      <c r="CO222">
        <v>0</v>
      </c>
      <c r="CP222">
        <v>0</v>
      </c>
      <c r="CQ222" t="s">
        <v>413</v>
      </c>
      <c r="CR222" t="s">
        <v>183</v>
      </c>
      <c r="CS222" t="s">
        <v>161</v>
      </c>
      <c r="CT222" t="s">
        <v>139</v>
      </c>
      <c r="CU222" t="s">
        <v>163</v>
      </c>
      <c r="CW222">
        <v>7</v>
      </c>
      <c r="CX222" t="s">
        <v>435</v>
      </c>
      <c r="CY222" t="s">
        <v>415</v>
      </c>
      <c r="CZ222" t="s">
        <v>444</v>
      </c>
      <c r="DA222" t="s">
        <v>416</v>
      </c>
      <c r="DB222">
        <v>0</v>
      </c>
      <c r="DC222">
        <v>3400</v>
      </c>
    </row>
    <row r="223" spans="1:107" x14ac:dyDescent="0.25">
      <c r="A223" t="s">
        <v>812</v>
      </c>
      <c r="B223" t="s">
        <v>108</v>
      </c>
      <c r="C223" t="s">
        <v>813</v>
      </c>
      <c r="D223" t="s">
        <v>814</v>
      </c>
      <c r="F223" s="3" t="str">
        <f>HYPERLINK("https://mapwv.gov/flood/map/?wkid=102100&amp;x=-9185334.407604435&amp;y=4593169.6819210015&amp;l=13&amp;v=2","FT")</f>
        <v>FT</v>
      </c>
      <c r="G223" s="3" t="str">
        <f>HYPERLINK("https://mapwv.gov/Assessment/Detail/?PID=50080003000600020000","Assessment")</f>
        <v>Assessment</v>
      </c>
      <c r="H223">
        <v>540200</v>
      </c>
      <c r="I223" t="s">
        <v>773</v>
      </c>
      <c r="J223" t="s">
        <v>774</v>
      </c>
      <c r="K223" t="s">
        <v>148</v>
      </c>
      <c r="L223" t="s">
        <v>815</v>
      </c>
      <c r="M223" t="s">
        <v>787</v>
      </c>
      <c r="N223" t="s">
        <v>116</v>
      </c>
      <c r="O223" t="s">
        <v>117</v>
      </c>
      <c r="P223" t="s">
        <v>118</v>
      </c>
      <c r="Q223" t="s">
        <v>119</v>
      </c>
      <c r="R223">
        <v>0.5</v>
      </c>
      <c r="S223" t="s">
        <v>120</v>
      </c>
      <c r="T223">
        <v>699.7</v>
      </c>
      <c r="U223" t="s">
        <v>121</v>
      </c>
      <c r="V223">
        <v>702.9</v>
      </c>
      <c r="X223" t="s">
        <v>816</v>
      </c>
      <c r="Y223" t="s">
        <v>817</v>
      </c>
      <c r="Z223">
        <v>1976</v>
      </c>
      <c r="AA223" t="s">
        <v>287</v>
      </c>
      <c r="AB223" t="s">
        <v>155</v>
      </c>
      <c r="AC223" t="s">
        <v>129</v>
      </c>
      <c r="AD223">
        <v>2</v>
      </c>
      <c r="AE223">
        <v>101</v>
      </c>
      <c r="AF223" t="s">
        <v>127</v>
      </c>
      <c r="AG223" t="s">
        <v>128</v>
      </c>
      <c r="AH223" t="s">
        <v>129</v>
      </c>
      <c r="AI223">
        <v>1</v>
      </c>
      <c r="AJ223" t="s">
        <v>341</v>
      </c>
      <c r="AK223" t="s">
        <v>130</v>
      </c>
      <c r="AL223">
        <v>1800</v>
      </c>
      <c r="AM223" t="s">
        <v>206</v>
      </c>
      <c r="AN223" t="s">
        <v>131</v>
      </c>
      <c r="AO223">
        <v>1</v>
      </c>
      <c r="AP223">
        <v>3400</v>
      </c>
      <c r="AQ223">
        <v>0</v>
      </c>
      <c r="AR223">
        <v>0</v>
      </c>
      <c r="AS223">
        <v>3400</v>
      </c>
      <c r="AT223" t="s">
        <v>132</v>
      </c>
      <c r="AU223">
        <v>1</v>
      </c>
      <c r="AV223">
        <v>0</v>
      </c>
      <c r="AW223">
        <v>1</v>
      </c>
      <c r="BE223">
        <v>2.6</v>
      </c>
      <c r="BF223">
        <v>0</v>
      </c>
      <c r="BG223">
        <v>0</v>
      </c>
      <c r="BH223" s="1">
        <v>44319</v>
      </c>
      <c r="BI223" t="s">
        <v>520</v>
      </c>
      <c r="BJ223">
        <v>1976</v>
      </c>
      <c r="BK223" t="s">
        <v>119</v>
      </c>
      <c r="BL223" t="s">
        <v>128</v>
      </c>
      <c r="BM223">
        <v>3400</v>
      </c>
      <c r="BN223">
        <v>1</v>
      </c>
      <c r="BO223">
        <v>7</v>
      </c>
      <c r="BP223">
        <v>1</v>
      </c>
      <c r="BQ223">
        <v>1800</v>
      </c>
      <c r="BR223">
        <v>730</v>
      </c>
      <c r="BS223">
        <v>38.097225836</v>
      </c>
      <c r="BT223">
        <v>-82.513262880999903</v>
      </c>
      <c r="BU223">
        <v>0</v>
      </c>
      <c r="BV223">
        <v>-1</v>
      </c>
      <c r="BW223">
        <v>0</v>
      </c>
      <c r="BX223" t="s">
        <v>134</v>
      </c>
      <c r="BY223">
        <v>0</v>
      </c>
      <c r="BZ223">
        <v>0</v>
      </c>
      <c r="CA223">
        <v>0</v>
      </c>
      <c r="CB223">
        <v>1700</v>
      </c>
      <c r="CC223">
        <v>0</v>
      </c>
      <c r="CD223">
        <v>0</v>
      </c>
      <c r="CE223">
        <v>0</v>
      </c>
      <c r="CF223">
        <v>0</v>
      </c>
      <c r="CG223">
        <v>0</v>
      </c>
      <c r="CH223">
        <v>0</v>
      </c>
      <c r="CI223">
        <v>0</v>
      </c>
      <c r="CO223">
        <v>0</v>
      </c>
      <c r="CP223">
        <v>0</v>
      </c>
      <c r="CQ223" t="s">
        <v>779</v>
      </c>
      <c r="CR223" t="s">
        <v>137</v>
      </c>
      <c r="CS223" t="s">
        <v>161</v>
      </c>
      <c r="CT223" t="s">
        <v>139</v>
      </c>
      <c r="CU223" t="s">
        <v>163</v>
      </c>
      <c r="CW223">
        <v>2</v>
      </c>
      <c r="CX223" t="s">
        <v>780</v>
      </c>
      <c r="CY223" t="s">
        <v>781</v>
      </c>
      <c r="CZ223" t="s">
        <v>814</v>
      </c>
      <c r="DA223" t="s">
        <v>782</v>
      </c>
      <c r="DB223">
        <v>0</v>
      </c>
      <c r="DC223">
        <v>3400</v>
      </c>
    </row>
    <row r="224" spans="1:107" ht="30" x14ac:dyDescent="0.25">
      <c r="A224" t="s">
        <v>1650</v>
      </c>
      <c r="B224" t="s">
        <v>108</v>
      </c>
      <c r="C224" t="s">
        <v>1651</v>
      </c>
      <c r="D224" t="s">
        <v>1652</v>
      </c>
      <c r="F224" s="3" t="str">
        <f>HYPERLINK("https://mapwv.gov/flood/map/?wkid=102100&amp;x=-8989041.573209627&amp;y=4650160.60467855&amp;l=13&amp;v=2","FT")</f>
        <v>FT</v>
      </c>
      <c r="G224" s="3" t="str">
        <f>HYPERLINK("https://mapwv.gov/Assessment/Detail/?PID=34030013006700150000","Assessment")</f>
        <v>Assessment</v>
      </c>
      <c r="H224">
        <v>540146</v>
      </c>
      <c r="I224" t="s">
        <v>1653</v>
      </c>
      <c r="J224" t="s">
        <v>1654</v>
      </c>
      <c r="K224" t="s">
        <v>148</v>
      </c>
      <c r="L224" t="s">
        <v>1655</v>
      </c>
      <c r="M224" t="s">
        <v>172</v>
      </c>
      <c r="N224" t="s">
        <v>199</v>
      </c>
      <c r="O224" t="s">
        <v>117</v>
      </c>
      <c r="P224" t="s">
        <v>150</v>
      </c>
      <c r="Q224" t="s">
        <v>225</v>
      </c>
      <c r="R224">
        <v>1</v>
      </c>
      <c r="S224" t="s">
        <v>120</v>
      </c>
      <c r="T224">
        <v>1111.0999999999999</v>
      </c>
      <c r="U224" t="s">
        <v>365</v>
      </c>
      <c r="V224">
        <v>1114.8</v>
      </c>
      <c r="X224" t="s">
        <v>1656</v>
      </c>
      <c r="Y224" t="s">
        <v>1657</v>
      </c>
      <c r="Z224">
        <v>0</v>
      </c>
      <c r="AB224" t="s">
        <v>155</v>
      </c>
      <c r="AC224" t="s">
        <v>129</v>
      </c>
      <c r="AD224">
        <v>3</v>
      </c>
      <c r="AE224">
        <v>108</v>
      </c>
      <c r="AF224" t="s">
        <v>176</v>
      </c>
      <c r="AG224" t="s">
        <v>177</v>
      </c>
      <c r="AH224" t="s">
        <v>129</v>
      </c>
      <c r="AI224">
        <v>1</v>
      </c>
      <c r="AL224">
        <v>720</v>
      </c>
      <c r="AN224" t="s">
        <v>158</v>
      </c>
      <c r="AO224">
        <v>3.5</v>
      </c>
      <c r="AP224">
        <v>0</v>
      </c>
      <c r="AQ224">
        <v>0</v>
      </c>
      <c r="AR224">
        <v>0</v>
      </c>
      <c r="AS224">
        <v>10990</v>
      </c>
      <c r="AT224" t="s">
        <v>178</v>
      </c>
      <c r="AU224">
        <v>1</v>
      </c>
      <c r="AV224">
        <v>0</v>
      </c>
      <c r="AW224">
        <v>1</v>
      </c>
      <c r="BB224" s="2" t="s">
        <v>1658</v>
      </c>
      <c r="BC224" t="s">
        <v>841</v>
      </c>
      <c r="BE224">
        <v>2.5</v>
      </c>
      <c r="BF224">
        <v>1</v>
      </c>
      <c r="BG224">
        <v>2.5</v>
      </c>
      <c r="BH224" s="1">
        <v>44397</v>
      </c>
      <c r="BI224" t="s">
        <v>210</v>
      </c>
      <c r="BJ224">
        <v>0</v>
      </c>
      <c r="BK224" t="s">
        <v>225</v>
      </c>
      <c r="BL224" t="s">
        <v>177</v>
      </c>
      <c r="BM224">
        <v>10990</v>
      </c>
      <c r="BN224">
        <v>1</v>
      </c>
      <c r="BO224">
        <v>5</v>
      </c>
      <c r="BP224">
        <v>3.5</v>
      </c>
      <c r="BQ224">
        <v>720</v>
      </c>
      <c r="BR224">
        <v>643</v>
      </c>
      <c r="BS224">
        <v>38.499007091000102</v>
      </c>
      <c r="BT224">
        <v>-80.749934347999897</v>
      </c>
      <c r="BU224">
        <v>0.13024901999999999</v>
      </c>
      <c r="BV224">
        <v>-3.3697509765625</v>
      </c>
      <c r="BW224">
        <v>1</v>
      </c>
      <c r="BX224" t="s">
        <v>181</v>
      </c>
      <c r="BY224">
        <v>189</v>
      </c>
      <c r="BZ224">
        <v>0</v>
      </c>
      <c r="CA224">
        <v>0</v>
      </c>
      <c r="CB224">
        <v>5495</v>
      </c>
      <c r="CC224">
        <v>74</v>
      </c>
      <c r="CD224">
        <v>0</v>
      </c>
      <c r="CE224">
        <v>0</v>
      </c>
      <c r="CF224">
        <v>0</v>
      </c>
      <c r="CG224">
        <v>0</v>
      </c>
      <c r="CH224">
        <v>0</v>
      </c>
      <c r="CI224">
        <v>0</v>
      </c>
      <c r="CO224">
        <v>0</v>
      </c>
      <c r="CP224">
        <v>0</v>
      </c>
      <c r="CQ224" t="s">
        <v>1659</v>
      </c>
      <c r="CR224" t="s">
        <v>183</v>
      </c>
      <c r="CS224" t="s">
        <v>138</v>
      </c>
      <c r="CT224" t="s">
        <v>139</v>
      </c>
      <c r="CU224" t="s">
        <v>163</v>
      </c>
      <c r="CW224">
        <v>4</v>
      </c>
      <c r="CX224" t="s">
        <v>1660</v>
      </c>
      <c r="CY224" t="s">
        <v>1661</v>
      </c>
      <c r="CZ224" t="s">
        <v>1652</v>
      </c>
      <c r="DA224" t="s">
        <v>1662</v>
      </c>
      <c r="DB224">
        <v>0</v>
      </c>
      <c r="DC224">
        <v>3400</v>
      </c>
    </row>
    <row r="225" spans="1:107" x14ac:dyDescent="0.25">
      <c r="A225" t="s">
        <v>1850</v>
      </c>
      <c r="B225" t="s">
        <v>108</v>
      </c>
      <c r="C225" t="s">
        <v>1851</v>
      </c>
      <c r="D225" t="s">
        <v>1852</v>
      </c>
      <c r="E225" t="s">
        <v>1853</v>
      </c>
      <c r="F225" s="3" t="str">
        <f>HYPERLINK("https://mapwv.gov/flood/map/?wkid=102100&amp;x=-9023396.927555233&amp;y=4796201.369063708&amp;l=13&amp;v=2","FT")</f>
        <v>FT</v>
      </c>
      <c r="G225" s="3" t="str">
        <f>HYPERLINK("https://mapwv.gov/Assessment/Detail/?PID=48100001000200270000","Assessment")</f>
        <v>Assessment</v>
      </c>
      <c r="H225">
        <v>540277</v>
      </c>
      <c r="I225" t="s">
        <v>1831</v>
      </c>
      <c r="J225" t="s">
        <v>1832</v>
      </c>
      <c r="K225" t="s">
        <v>148</v>
      </c>
      <c r="L225" t="s">
        <v>920</v>
      </c>
      <c r="M225" t="s">
        <v>1834</v>
      </c>
      <c r="N225" t="s">
        <v>199</v>
      </c>
      <c r="O225" t="s">
        <v>117</v>
      </c>
      <c r="P225" t="s">
        <v>150</v>
      </c>
      <c r="Q225" t="s">
        <v>260</v>
      </c>
      <c r="R225">
        <v>11.3</v>
      </c>
      <c r="S225" t="s">
        <v>120</v>
      </c>
      <c r="T225">
        <v>630.9</v>
      </c>
      <c r="U225" t="s">
        <v>365</v>
      </c>
      <c r="V225">
        <v>619.20000000000005</v>
      </c>
      <c r="X225" t="s">
        <v>1854</v>
      </c>
      <c r="Y225" t="s">
        <v>1855</v>
      </c>
      <c r="Z225">
        <v>2005</v>
      </c>
      <c r="AA225" t="s">
        <v>1856</v>
      </c>
      <c r="AB225" t="s">
        <v>155</v>
      </c>
      <c r="AC225" t="s">
        <v>129</v>
      </c>
      <c r="AD225">
        <v>2</v>
      </c>
      <c r="AE225">
        <v>109</v>
      </c>
      <c r="AF225" t="s">
        <v>724</v>
      </c>
      <c r="AG225" t="s">
        <v>128</v>
      </c>
      <c r="AH225" t="s">
        <v>129</v>
      </c>
      <c r="AI225">
        <v>1</v>
      </c>
      <c r="AJ225" t="s">
        <v>341</v>
      </c>
      <c r="AK225" t="s">
        <v>320</v>
      </c>
      <c r="AL225">
        <v>864</v>
      </c>
      <c r="AM225" t="s">
        <v>353</v>
      </c>
      <c r="AN225" t="s">
        <v>208</v>
      </c>
      <c r="AO225">
        <v>4</v>
      </c>
      <c r="AP225">
        <v>74600</v>
      </c>
      <c r="AQ225">
        <v>0</v>
      </c>
      <c r="AR225">
        <v>5260</v>
      </c>
      <c r="AS225">
        <v>80300</v>
      </c>
      <c r="AT225" t="s">
        <v>132</v>
      </c>
      <c r="AU225">
        <v>1</v>
      </c>
      <c r="AV225">
        <v>2</v>
      </c>
      <c r="AW225">
        <v>0</v>
      </c>
      <c r="BC225" t="s">
        <v>180</v>
      </c>
      <c r="BE225">
        <v>2.5</v>
      </c>
      <c r="BF225">
        <v>1</v>
      </c>
      <c r="BG225">
        <v>2.5</v>
      </c>
      <c r="BH225" s="1">
        <v>44412</v>
      </c>
      <c r="BI225" t="s">
        <v>210</v>
      </c>
      <c r="BJ225">
        <v>2005</v>
      </c>
      <c r="BK225" t="s">
        <v>260</v>
      </c>
      <c r="BL225" t="s">
        <v>128</v>
      </c>
      <c r="BM225">
        <v>80300</v>
      </c>
      <c r="BN225">
        <v>1</v>
      </c>
      <c r="BO225">
        <v>4</v>
      </c>
      <c r="BP225">
        <v>4</v>
      </c>
      <c r="BQ225">
        <v>864</v>
      </c>
      <c r="BR225">
        <v>230</v>
      </c>
      <c r="BS225">
        <v>39.518393465000003</v>
      </c>
      <c r="BT225">
        <v>-81.058553747000005</v>
      </c>
      <c r="BU225">
        <v>11.3400269999999</v>
      </c>
      <c r="BV225">
        <v>7.34002685546875</v>
      </c>
      <c r="BW225">
        <v>1</v>
      </c>
      <c r="BX225" t="s">
        <v>354</v>
      </c>
      <c r="BY225">
        <v>704</v>
      </c>
      <c r="BZ225">
        <v>71.360107421875</v>
      </c>
      <c r="CA225">
        <v>57302.166259765603</v>
      </c>
      <c r="CB225">
        <v>40150</v>
      </c>
      <c r="CC225">
        <v>535</v>
      </c>
      <c r="CD225">
        <v>35.3400268554687</v>
      </c>
      <c r="CE225">
        <v>14189.020782470699</v>
      </c>
      <c r="CF225">
        <v>0</v>
      </c>
      <c r="CG225">
        <v>0</v>
      </c>
      <c r="CH225">
        <v>0</v>
      </c>
      <c r="CI225">
        <v>0</v>
      </c>
      <c r="CJ225" t="s">
        <v>1588</v>
      </c>
      <c r="CK225">
        <v>8.8127999999999904</v>
      </c>
      <c r="CL225">
        <v>27.648</v>
      </c>
      <c r="CM225">
        <v>21.6</v>
      </c>
      <c r="CN225">
        <v>58.0608</v>
      </c>
      <c r="CO225">
        <v>270</v>
      </c>
      <c r="CP225">
        <v>450</v>
      </c>
      <c r="CQ225" t="s">
        <v>1837</v>
      </c>
      <c r="CR225" t="s">
        <v>183</v>
      </c>
      <c r="CS225" t="s">
        <v>1857</v>
      </c>
      <c r="CT225" t="s">
        <v>162</v>
      </c>
      <c r="CU225" t="s">
        <v>274</v>
      </c>
      <c r="CW225">
        <v>5</v>
      </c>
      <c r="CX225" t="s">
        <v>1838</v>
      </c>
      <c r="CY225" t="s">
        <v>1839</v>
      </c>
      <c r="CZ225" t="s">
        <v>1852</v>
      </c>
      <c r="DA225" t="s">
        <v>1840</v>
      </c>
      <c r="DB225">
        <v>0</v>
      </c>
      <c r="DC225">
        <v>3400</v>
      </c>
    </row>
    <row r="226" spans="1:107" x14ac:dyDescent="0.25">
      <c r="A226" t="s">
        <v>806</v>
      </c>
      <c r="B226" t="s">
        <v>108</v>
      </c>
      <c r="C226" t="s">
        <v>807</v>
      </c>
      <c r="D226" t="s">
        <v>808</v>
      </c>
      <c r="F226" s="3" t="str">
        <f>HYPERLINK("https://mapwv.gov/flood/map/?wkid=102100&amp;x=-9172328.71750149&amp;y=4605022.869338865&amp;l=13&amp;v=2","FT")</f>
        <v>FT</v>
      </c>
      <c r="G226" s="3" t="str">
        <f>HYPERLINK("https://mapwv.gov/Assessment/Detail/?PID=50090016008000000000","Assessment")</f>
        <v>Assessment</v>
      </c>
      <c r="H226">
        <v>540200</v>
      </c>
      <c r="I226" t="s">
        <v>773</v>
      </c>
      <c r="J226" t="s">
        <v>774</v>
      </c>
      <c r="K226" t="s">
        <v>148</v>
      </c>
      <c r="L226" t="s">
        <v>715</v>
      </c>
      <c r="M226" t="s">
        <v>532</v>
      </c>
      <c r="N226" t="s">
        <v>149</v>
      </c>
      <c r="O226" t="s">
        <v>117</v>
      </c>
      <c r="P226" t="s">
        <v>150</v>
      </c>
      <c r="Q226" t="s">
        <v>119</v>
      </c>
      <c r="R226">
        <v>12.7</v>
      </c>
      <c r="S226" t="s">
        <v>120</v>
      </c>
      <c r="T226">
        <v>628.29999999999995</v>
      </c>
      <c r="U226" t="s">
        <v>121</v>
      </c>
      <c r="V226">
        <v>618.5</v>
      </c>
      <c r="X226" t="s">
        <v>809</v>
      </c>
      <c r="Y226" t="s">
        <v>810</v>
      </c>
      <c r="Z226">
        <v>1969</v>
      </c>
      <c r="AA226" t="s">
        <v>241</v>
      </c>
      <c r="AB226" t="s">
        <v>155</v>
      </c>
      <c r="AC226" t="s">
        <v>129</v>
      </c>
      <c r="AD226">
        <v>2</v>
      </c>
      <c r="AE226">
        <v>108</v>
      </c>
      <c r="AF226" t="s">
        <v>176</v>
      </c>
      <c r="AG226" t="s">
        <v>177</v>
      </c>
      <c r="AH226" t="s">
        <v>129</v>
      </c>
      <c r="AI226">
        <v>1</v>
      </c>
      <c r="AL226">
        <v>720</v>
      </c>
      <c r="AN226" t="s">
        <v>158</v>
      </c>
      <c r="AO226">
        <v>3</v>
      </c>
      <c r="AP226">
        <v>0</v>
      </c>
      <c r="AQ226">
        <v>0</v>
      </c>
      <c r="AR226">
        <v>3240</v>
      </c>
      <c r="AS226">
        <v>3200</v>
      </c>
      <c r="AT226" t="s">
        <v>132</v>
      </c>
      <c r="AU226">
        <v>1</v>
      </c>
      <c r="AV226">
        <v>2</v>
      </c>
      <c r="AW226">
        <v>1</v>
      </c>
      <c r="BE226">
        <v>2.6</v>
      </c>
      <c r="BF226">
        <v>1</v>
      </c>
      <c r="BG226">
        <v>2.6</v>
      </c>
      <c r="BH226" s="1">
        <v>44319</v>
      </c>
      <c r="BI226" t="s">
        <v>331</v>
      </c>
      <c r="BJ226">
        <v>1969</v>
      </c>
      <c r="BK226" t="s">
        <v>119</v>
      </c>
      <c r="BL226" t="s">
        <v>177</v>
      </c>
      <c r="BM226">
        <v>3200</v>
      </c>
      <c r="BN226">
        <v>1</v>
      </c>
      <c r="BO226">
        <v>5</v>
      </c>
      <c r="BP226">
        <v>3</v>
      </c>
      <c r="BQ226">
        <v>720</v>
      </c>
      <c r="BR226">
        <v>1127</v>
      </c>
      <c r="BS226">
        <v>38.180973014000102</v>
      </c>
      <c r="BT226">
        <v>-82.3964307789999</v>
      </c>
      <c r="BU226">
        <v>12.6554369999999</v>
      </c>
      <c r="BV226">
        <v>9.6554374694824201</v>
      </c>
      <c r="BW226">
        <v>1</v>
      </c>
      <c r="BX226" t="s">
        <v>181</v>
      </c>
      <c r="BY226">
        <v>189</v>
      </c>
      <c r="BZ226">
        <v>84.655437469482393</v>
      </c>
      <c r="CA226">
        <v>2708.9739990234302</v>
      </c>
      <c r="CB226">
        <v>1600</v>
      </c>
      <c r="CC226">
        <v>74</v>
      </c>
      <c r="CD226">
        <v>83</v>
      </c>
      <c r="CE226">
        <v>1328</v>
      </c>
      <c r="CF226">
        <v>0</v>
      </c>
      <c r="CG226">
        <v>0</v>
      </c>
      <c r="CH226">
        <v>0</v>
      </c>
      <c r="CI226">
        <v>0</v>
      </c>
      <c r="CJ226" t="s">
        <v>811</v>
      </c>
      <c r="CK226">
        <v>4.68</v>
      </c>
      <c r="CL226">
        <v>7.2</v>
      </c>
      <c r="CM226">
        <v>8.64</v>
      </c>
      <c r="CN226">
        <v>20.52</v>
      </c>
      <c r="CO226">
        <v>360</v>
      </c>
      <c r="CP226">
        <v>720</v>
      </c>
      <c r="CQ226" t="s">
        <v>779</v>
      </c>
      <c r="CR226" t="s">
        <v>183</v>
      </c>
      <c r="CS226" t="s">
        <v>138</v>
      </c>
      <c r="CT226" t="s">
        <v>139</v>
      </c>
      <c r="CU226" t="s">
        <v>274</v>
      </c>
      <c r="CW226">
        <v>2</v>
      </c>
      <c r="CX226" t="s">
        <v>780</v>
      </c>
      <c r="CY226" t="s">
        <v>781</v>
      </c>
      <c r="CZ226" t="s">
        <v>808</v>
      </c>
      <c r="DA226" t="s">
        <v>782</v>
      </c>
      <c r="DB226">
        <v>0</v>
      </c>
      <c r="DC226">
        <v>3200</v>
      </c>
    </row>
    <row r="227" spans="1:107" x14ac:dyDescent="0.25">
      <c r="A227" t="s">
        <v>818</v>
      </c>
      <c r="B227" t="s">
        <v>108</v>
      </c>
      <c r="C227" t="s">
        <v>819</v>
      </c>
      <c r="D227" t="s">
        <v>820</v>
      </c>
      <c r="F227" s="3" t="str">
        <f>HYPERLINK("https://mapwv.gov/flood/map/?wkid=102100&amp;x=-9177267.406153938&amp;y=4611974.2329265755&amp;l=13&amp;v=2","FT")</f>
        <v>FT</v>
      </c>
      <c r="G227" s="3" t="str">
        <f>HYPERLINK("https://mapwv.gov/Assessment/Detail/?PID=50110001002200000000","Assessment")</f>
        <v>Assessment</v>
      </c>
      <c r="H227">
        <v>540231</v>
      </c>
      <c r="I227" t="s">
        <v>821</v>
      </c>
      <c r="J227" t="s">
        <v>774</v>
      </c>
      <c r="K227" t="s">
        <v>113</v>
      </c>
      <c r="L227" t="s">
        <v>775</v>
      </c>
      <c r="M227" t="s">
        <v>532</v>
      </c>
      <c r="N227" t="s">
        <v>199</v>
      </c>
      <c r="O227" t="s">
        <v>117</v>
      </c>
      <c r="P227" t="s">
        <v>150</v>
      </c>
      <c r="Q227" t="s">
        <v>119</v>
      </c>
      <c r="R227">
        <v>2.9</v>
      </c>
      <c r="S227" t="s">
        <v>120</v>
      </c>
      <c r="T227">
        <v>596.5</v>
      </c>
      <c r="U227" t="s">
        <v>365</v>
      </c>
      <c r="V227">
        <v>593.6</v>
      </c>
      <c r="X227" t="s">
        <v>822</v>
      </c>
      <c r="Y227" t="s">
        <v>823</v>
      </c>
      <c r="Z227">
        <v>1970</v>
      </c>
      <c r="AA227" t="s">
        <v>241</v>
      </c>
      <c r="AB227" t="s">
        <v>155</v>
      </c>
      <c r="AC227" t="s">
        <v>129</v>
      </c>
      <c r="AD227">
        <v>4</v>
      </c>
      <c r="AE227">
        <v>108</v>
      </c>
      <c r="AF227" t="s">
        <v>176</v>
      </c>
      <c r="AG227" t="s">
        <v>177</v>
      </c>
      <c r="AH227" t="s">
        <v>129</v>
      </c>
      <c r="AI227">
        <v>1</v>
      </c>
      <c r="AL227">
        <v>720</v>
      </c>
      <c r="AN227" t="s">
        <v>158</v>
      </c>
      <c r="AO227">
        <v>3</v>
      </c>
      <c r="AP227">
        <v>0</v>
      </c>
      <c r="AQ227">
        <v>0</v>
      </c>
      <c r="AR227">
        <v>3240</v>
      </c>
      <c r="AS227">
        <v>3200</v>
      </c>
      <c r="AT227" t="s">
        <v>132</v>
      </c>
      <c r="AU227">
        <v>1</v>
      </c>
      <c r="AV227">
        <v>2</v>
      </c>
      <c r="AW227">
        <v>1</v>
      </c>
      <c r="BE227">
        <v>2.2999999999999998</v>
      </c>
      <c r="BF227">
        <v>1</v>
      </c>
      <c r="BG227">
        <v>2.2999999999999998</v>
      </c>
      <c r="BH227" s="1">
        <v>44319</v>
      </c>
      <c r="BI227" t="s">
        <v>210</v>
      </c>
      <c r="BJ227">
        <v>1970</v>
      </c>
      <c r="BK227" t="s">
        <v>119</v>
      </c>
      <c r="BL227" t="s">
        <v>177</v>
      </c>
      <c r="BM227">
        <v>3200</v>
      </c>
      <c r="BN227">
        <v>1</v>
      </c>
      <c r="BO227">
        <v>5</v>
      </c>
      <c r="BP227">
        <v>3</v>
      </c>
      <c r="BQ227">
        <v>720</v>
      </c>
      <c r="BR227">
        <v>2808</v>
      </c>
      <c r="BS227">
        <v>38.230042259000101</v>
      </c>
      <c r="BT227">
        <v>-82.440795773999895</v>
      </c>
      <c r="BU227">
        <v>2.8525999999999998</v>
      </c>
      <c r="BV227">
        <v>-0.14739990234375</v>
      </c>
      <c r="BW227">
        <v>1</v>
      </c>
      <c r="BX227" t="s">
        <v>181</v>
      </c>
      <c r="BY227">
        <v>189</v>
      </c>
      <c r="BZ227">
        <v>9.37860107421875</v>
      </c>
      <c r="CA227">
        <v>300.115234375</v>
      </c>
      <c r="CB227">
        <v>1600</v>
      </c>
      <c r="CC227">
        <v>74</v>
      </c>
      <c r="CD227">
        <v>2.55780029296875</v>
      </c>
      <c r="CE227">
        <v>40.9248046875</v>
      </c>
      <c r="CF227">
        <v>0</v>
      </c>
      <c r="CG227">
        <v>0</v>
      </c>
      <c r="CH227">
        <v>0</v>
      </c>
      <c r="CI227">
        <v>0</v>
      </c>
      <c r="CO227">
        <v>0</v>
      </c>
      <c r="CP227">
        <v>0</v>
      </c>
      <c r="CQ227" t="s">
        <v>779</v>
      </c>
      <c r="CR227" t="s">
        <v>183</v>
      </c>
      <c r="CS227" t="s">
        <v>138</v>
      </c>
      <c r="CT227" t="s">
        <v>139</v>
      </c>
      <c r="CU227" t="s">
        <v>267</v>
      </c>
      <c r="CW227">
        <v>2</v>
      </c>
      <c r="CX227" t="s">
        <v>782</v>
      </c>
      <c r="CY227" t="s">
        <v>781</v>
      </c>
      <c r="CZ227" t="s">
        <v>820</v>
      </c>
      <c r="DA227" t="s">
        <v>782</v>
      </c>
      <c r="DB227">
        <v>0</v>
      </c>
      <c r="DC227">
        <v>3200</v>
      </c>
    </row>
    <row r="228" spans="1:107" x14ac:dyDescent="0.25">
      <c r="A228" t="s">
        <v>824</v>
      </c>
      <c r="B228" t="s">
        <v>108</v>
      </c>
      <c r="C228" t="s">
        <v>825</v>
      </c>
      <c r="D228" t="s">
        <v>808</v>
      </c>
      <c r="F228" s="3" t="str">
        <f>HYPERLINK("https://mapwv.gov/flood/map/?wkid=102100&amp;x=-9172297.267407633&amp;y=4605014.75499172&amp;l=13&amp;v=2","FT")</f>
        <v>FT</v>
      </c>
      <c r="G228" s="3" t="str">
        <f>HYPERLINK("https://mapwv.gov/Assessment/Detail/?PID=50090016008000000000","Assessment")</f>
        <v>Assessment</v>
      </c>
      <c r="H228">
        <v>540200</v>
      </c>
      <c r="I228" t="s">
        <v>773</v>
      </c>
      <c r="J228" t="s">
        <v>774</v>
      </c>
      <c r="K228" t="s">
        <v>148</v>
      </c>
      <c r="L228" t="s">
        <v>715</v>
      </c>
      <c r="M228" t="s">
        <v>532</v>
      </c>
      <c r="N228" t="s">
        <v>149</v>
      </c>
      <c r="O228" t="s">
        <v>117</v>
      </c>
      <c r="P228" t="s">
        <v>150</v>
      </c>
      <c r="Q228" t="s">
        <v>260</v>
      </c>
      <c r="R228">
        <v>9.6999999999999993</v>
      </c>
      <c r="S228" t="s">
        <v>120</v>
      </c>
      <c r="T228">
        <v>628.4</v>
      </c>
      <c r="U228" t="s">
        <v>121</v>
      </c>
      <c r="V228">
        <v>618.29999999999995</v>
      </c>
      <c r="X228" t="s">
        <v>809</v>
      </c>
      <c r="Y228" t="s">
        <v>810</v>
      </c>
      <c r="Z228">
        <v>9999</v>
      </c>
      <c r="AA228" t="s">
        <v>241</v>
      </c>
      <c r="AB228" t="s">
        <v>155</v>
      </c>
      <c r="AC228" t="s">
        <v>129</v>
      </c>
      <c r="AD228">
        <v>2</v>
      </c>
      <c r="AE228">
        <v>108</v>
      </c>
      <c r="AF228" t="s">
        <v>176</v>
      </c>
      <c r="AG228" t="s">
        <v>177</v>
      </c>
      <c r="AH228" t="s">
        <v>129</v>
      </c>
      <c r="AI228">
        <v>1</v>
      </c>
      <c r="AL228">
        <v>2000</v>
      </c>
      <c r="AN228" t="s">
        <v>158</v>
      </c>
      <c r="AO228">
        <v>4</v>
      </c>
      <c r="AP228">
        <v>0</v>
      </c>
      <c r="AQ228">
        <v>0</v>
      </c>
      <c r="AR228">
        <v>3240</v>
      </c>
      <c r="AS228">
        <v>24000</v>
      </c>
      <c r="AT228" t="s">
        <v>762</v>
      </c>
      <c r="AU228">
        <v>1</v>
      </c>
      <c r="AV228">
        <v>2</v>
      </c>
      <c r="AW228">
        <v>1</v>
      </c>
      <c r="BC228" t="s">
        <v>230</v>
      </c>
      <c r="BE228">
        <v>2.6</v>
      </c>
      <c r="BF228">
        <v>1</v>
      </c>
      <c r="BG228">
        <v>2.6</v>
      </c>
      <c r="BH228" s="1">
        <v>44319</v>
      </c>
      <c r="BI228" t="s">
        <v>331</v>
      </c>
      <c r="BJ228">
        <v>9999</v>
      </c>
      <c r="BK228" t="s">
        <v>260</v>
      </c>
      <c r="BL228" t="s">
        <v>177</v>
      </c>
      <c r="BM228">
        <v>24000</v>
      </c>
      <c r="BN228">
        <v>1</v>
      </c>
      <c r="BO228">
        <v>5</v>
      </c>
      <c r="BP228">
        <v>4</v>
      </c>
      <c r="BQ228">
        <v>2000</v>
      </c>
      <c r="BR228">
        <v>1131</v>
      </c>
      <c r="BS228">
        <v>38.180915716000101</v>
      </c>
      <c r="BT228">
        <v>-82.396148257999897</v>
      </c>
      <c r="BU228">
        <v>9.6945870000000003</v>
      </c>
      <c r="BV228">
        <v>5.6945867538452104</v>
      </c>
      <c r="BW228">
        <v>1</v>
      </c>
      <c r="BX228" t="s">
        <v>181</v>
      </c>
      <c r="BY228">
        <v>189</v>
      </c>
      <c r="BZ228">
        <v>80.389173507690401</v>
      </c>
      <c r="CA228">
        <v>19293.401641845699</v>
      </c>
      <c r="CB228">
        <v>12000</v>
      </c>
      <c r="CC228">
        <v>74</v>
      </c>
      <c r="CD228">
        <v>77.389173507690401</v>
      </c>
      <c r="CE228">
        <v>9286.7008209228497</v>
      </c>
      <c r="CF228">
        <v>0</v>
      </c>
      <c r="CG228">
        <v>0</v>
      </c>
      <c r="CH228">
        <v>0</v>
      </c>
      <c r="CI228">
        <v>0</v>
      </c>
      <c r="CJ228" t="s">
        <v>826</v>
      </c>
      <c r="CK228">
        <v>13</v>
      </c>
      <c r="CL228">
        <v>20</v>
      </c>
      <c r="CM228">
        <v>24</v>
      </c>
      <c r="CN228">
        <v>57</v>
      </c>
      <c r="CO228">
        <v>360</v>
      </c>
      <c r="CP228">
        <v>720</v>
      </c>
      <c r="CQ228" t="s">
        <v>779</v>
      </c>
      <c r="CR228" t="s">
        <v>183</v>
      </c>
      <c r="CS228" t="s">
        <v>138</v>
      </c>
      <c r="CT228" t="s">
        <v>139</v>
      </c>
      <c r="CU228" t="s">
        <v>274</v>
      </c>
      <c r="CW228">
        <v>2</v>
      </c>
      <c r="CX228" t="s">
        <v>780</v>
      </c>
      <c r="CY228" t="s">
        <v>781</v>
      </c>
      <c r="CZ228" t="s">
        <v>808</v>
      </c>
      <c r="DA228" t="s">
        <v>782</v>
      </c>
      <c r="DB228">
        <v>0</v>
      </c>
      <c r="DC228">
        <v>3200</v>
      </c>
    </row>
    <row r="229" spans="1:107" x14ac:dyDescent="0.25">
      <c r="A229" t="s">
        <v>843</v>
      </c>
      <c r="B229" t="s">
        <v>108</v>
      </c>
      <c r="C229" t="s">
        <v>844</v>
      </c>
      <c r="D229" t="s">
        <v>820</v>
      </c>
      <c r="F229" s="3" t="str">
        <f>HYPERLINK("https://mapwv.gov/flood/map/?wkid=102100&amp;x=-9177273.31900001&amp;y=4611967.364283469&amp;l=13&amp;v=2","FT")</f>
        <v>FT</v>
      </c>
      <c r="G229" s="3" t="str">
        <f>HYPERLINK("https://mapwv.gov/Assessment/Detail/?PID=50110001002200000000","Assessment")</f>
        <v>Assessment</v>
      </c>
      <c r="H229">
        <v>540231</v>
      </c>
      <c r="I229" t="s">
        <v>821</v>
      </c>
      <c r="J229" t="s">
        <v>774</v>
      </c>
      <c r="K229" t="s">
        <v>113</v>
      </c>
      <c r="L229" t="s">
        <v>775</v>
      </c>
      <c r="M229" t="s">
        <v>532</v>
      </c>
      <c r="N229" t="s">
        <v>199</v>
      </c>
      <c r="O229" t="s">
        <v>117</v>
      </c>
      <c r="P229" t="s">
        <v>150</v>
      </c>
      <c r="Q229" t="s">
        <v>119</v>
      </c>
      <c r="R229">
        <v>2.2999999999999998</v>
      </c>
      <c r="S229" t="s">
        <v>120</v>
      </c>
      <c r="T229">
        <v>596.6</v>
      </c>
      <c r="U229" t="s">
        <v>365</v>
      </c>
      <c r="V229">
        <v>594.20000000000005</v>
      </c>
      <c r="X229" t="s">
        <v>822</v>
      </c>
      <c r="Y229" t="s">
        <v>823</v>
      </c>
      <c r="Z229">
        <v>1111</v>
      </c>
      <c r="AA229" t="s">
        <v>241</v>
      </c>
      <c r="AB229" t="s">
        <v>155</v>
      </c>
      <c r="AC229" t="s">
        <v>129</v>
      </c>
      <c r="AD229">
        <v>4</v>
      </c>
      <c r="AE229">
        <v>108</v>
      </c>
      <c r="AF229" t="s">
        <v>176</v>
      </c>
      <c r="AG229" t="s">
        <v>177</v>
      </c>
      <c r="AH229" t="s">
        <v>129</v>
      </c>
      <c r="AI229">
        <v>1</v>
      </c>
      <c r="AL229">
        <v>1000</v>
      </c>
      <c r="AN229" t="s">
        <v>158</v>
      </c>
      <c r="AO229">
        <v>3</v>
      </c>
      <c r="AP229">
        <v>0</v>
      </c>
      <c r="AQ229">
        <v>0</v>
      </c>
      <c r="AR229">
        <v>3240</v>
      </c>
      <c r="AS229">
        <v>12000</v>
      </c>
      <c r="AT229" t="s">
        <v>228</v>
      </c>
      <c r="AU229">
        <v>1</v>
      </c>
      <c r="AV229">
        <v>2</v>
      </c>
      <c r="AW229">
        <v>1</v>
      </c>
      <c r="BC229" t="s">
        <v>230</v>
      </c>
      <c r="BD229" t="s">
        <v>614</v>
      </c>
      <c r="BE229">
        <v>2.2999999999999998</v>
      </c>
      <c r="BF229">
        <v>1</v>
      </c>
      <c r="BG229">
        <v>2.2999999999999998</v>
      </c>
      <c r="BH229" s="1">
        <v>44319</v>
      </c>
      <c r="BI229" t="s">
        <v>210</v>
      </c>
      <c r="BJ229">
        <v>1111</v>
      </c>
      <c r="BK229" t="s">
        <v>119</v>
      </c>
      <c r="BL229" t="s">
        <v>177</v>
      </c>
      <c r="BM229">
        <v>12000</v>
      </c>
      <c r="BN229">
        <v>1</v>
      </c>
      <c r="BO229">
        <v>5</v>
      </c>
      <c r="BP229">
        <v>3</v>
      </c>
      <c r="BQ229">
        <v>1000</v>
      </c>
      <c r="BR229">
        <v>2828</v>
      </c>
      <c r="BS229">
        <v>38.229993790000002</v>
      </c>
      <c r="BT229">
        <v>-82.440848889999899</v>
      </c>
      <c r="BU229">
        <v>2.0444336000000001</v>
      </c>
      <c r="BV229">
        <v>-0.95556640625</v>
      </c>
      <c r="BW229">
        <v>1</v>
      </c>
      <c r="BX229" t="s">
        <v>181</v>
      </c>
      <c r="BY229">
        <v>189</v>
      </c>
      <c r="BZ229">
        <v>0.48876953125</v>
      </c>
      <c r="CA229">
        <v>58.65234375</v>
      </c>
      <c r="CB229">
        <v>6000</v>
      </c>
      <c r="CC229">
        <v>74</v>
      </c>
      <c r="CD229">
        <v>0.13330078125</v>
      </c>
      <c r="CE229">
        <v>7.998046875</v>
      </c>
      <c r="CF229">
        <v>0</v>
      </c>
      <c r="CG229">
        <v>0</v>
      </c>
      <c r="CH229">
        <v>0</v>
      </c>
      <c r="CI229">
        <v>0</v>
      </c>
      <c r="CO229">
        <v>0</v>
      </c>
      <c r="CP229">
        <v>0</v>
      </c>
      <c r="CQ229" t="s">
        <v>779</v>
      </c>
      <c r="CR229" t="s">
        <v>183</v>
      </c>
      <c r="CS229" t="s">
        <v>138</v>
      </c>
      <c r="CT229" t="s">
        <v>139</v>
      </c>
      <c r="CU229" t="s">
        <v>163</v>
      </c>
      <c r="CW229">
        <v>2</v>
      </c>
      <c r="CX229" t="s">
        <v>782</v>
      </c>
      <c r="CY229" t="s">
        <v>781</v>
      </c>
      <c r="CZ229" t="s">
        <v>820</v>
      </c>
      <c r="DA229" t="s">
        <v>782</v>
      </c>
      <c r="DB229">
        <v>0</v>
      </c>
      <c r="DC229">
        <v>3200</v>
      </c>
    </row>
    <row r="230" spans="1:107" x14ac:dyDescent="0.25">
      <c r="A230" t="s">
        <v>954</v>
      </c>
      <c r="B230" t="s">
        <v>108</v>
      </c>
      <c r="C230" t="s">
        <v>955</v>
      </c>
      <c r="D230" t="s">
        <v>956</v>
      </c>
      <c r="F230" s="3" t="str">
        <f>HYPERLINK("https://mapwv.gov/flood/map/?wkid=102100&amp;x=-9127100.248813212&amp;y=4722553.373751135&amp;l=13&amp;v=2","FT")</f>
        <v>FT</v>
      </c>
      <c r="G230" s="3" t="str">
        <f>HYPERLINK("https://mapwv.gov/Assessment/Detail/?PID=26070001003800000000","Assessment")</f>
        <v>Assessment</v>
      </c>
      <c r="H230">
        <v>540247</v>
      </c>
      <c r="I230" t="s">
        <v>936</v>
      </c>
      <c r="J230" t="s">
        <v>907</v>
      </c>
      <c r="K230" t="s">
        <v>113</v>
      </c>
      <c r="L230" t="s">
        <v>920</v>
      </c>
      <c r="M230" t="s">
        <v>921</v>
      </c>
      <c r="N230" t="s">
        <v>199</v>
      </c>
      <c r="O230" t="s">
        <v>117</v>
      </c>
      <c r="P230" t="s">
        <v>150</v>
      </c>
      <c r="Q230" t="s">
        <v>119</v>
      </c>
      <c r="R230">
        <v>6.1</v>
      </c>
      <c r="S230" t="s">
        <v>120</v>
      </c>
      <c r="T230" t="s">
        <v>151</v>
      </c>
      <c r="U230" t="s">
        <v>151</v>
      </c>
      <c r="V230">
        <v>573.6</v>
      </c>
      <c r="X230" t="s">
        <v>957</v>
      </c>
      <c r="Y230" t="s">
        <v>958</v>
      </c>
      <c r="Z230">
        <v>1920</v>
      </c>
      <c r="AA230" t="s">
        <v>241</v>
      </c>
      <c r="AB230" t="s">
        <v>155</v>
      </c>
      <c r="AC230" t="s">
        <v>129</v>
      </c>
      <c r="AD230">
        <v>4</v>
      </c>
      <c r="AE230">
        <v>101</v>
      </c>
      <c r="AF230" t="s">
        <v>127</v>
      </c>
      <c r="AG230" t="s">
        <v>128</v>
      </c>
      <c r="AH230" t="s">
        <v>129</v>
      </c>
      <c r="AI230">
        <v>1</v>
      </c>
      <c r="AJ230" t="s">
        <v>156</v>
      </c>
      <c r="AK230" t="s">
        <v>342</v>
      </c>
      <c r="AL230">
        <v>1000</v>
      </c>
      <c r="AM230" t="s">
        <v>157</v>
      </c>
      <c r="AN230" t="s">
        <v>158</v>
      </c>
      <c r="AO230">
        <v>3</v>
      </c>
      <c r="AP230">
        <v>3200</v>
      </c>
      <c r="AQ230">
        <v>0</v>
      </c>
      <c r="AR230">
        <v>0</v>
      </c>
      <c r="AS230">
        <v>3200</v>
      </c>
      <c r="AT230" t="s">
        <v>132</v>
      </c>
      <c r="AU230">
        <v>1</v>
      </c>
      <c r="AV230">
        <v>0</v>
      </c>
      <c r="AW230">
        <v>1</v>
      </c>
      <c r="BC230" t="s">
        <v>209</v>
      </c>
      <c r="BE230">
        <v>2.2999999999999998</v>
      </c>
      <c r="BF230">
        <v>1</v>
      </c>
      <c r="BG230">
        <v>2.2999999999999998</v>
      </c>
      <c r="BH230" s="1">
        <v>44335</v>
      </c>
      <c r="BI230" t="s">
        <v>210</v>
      </c>
      <c r="BJ230">
        <v>1920</v>
      </c>
      <c r="BK230" t="s">
        <v>119</v>
      </c>
      <c r="BL230" t="s">
        <v>128</v>
      </c>
      <c r="BM230">
        <v>3200</v>
      </c>
      <c r="BN230">
        <v>1</v>
      </c>
      <c r="BO230">
        <v>5</v>
      </c>
      <c r="BP230">
        <v>3</v>
      </c>
      <c r="BQ230">
        <v>1000</v>
      </c>
      <c r="BR230">
        <v>1116</v>
      </c>
      <c r="BS230">
        <v>39.006155781000103</v>
      </c>
      <c r="BT230">
        <v>-81.990136531999894</v>
      </c>
      <c r="BU230">
        <v>6.8695069999999996</v>
      </c>
      <c r="BV230">
        <v>3.8695068359375</v>
      </c>
      <c r="BW230">
        <v>1</v>
      </c>
      <c r="BX230" t="s">
        <v>134</v>
      </c>
      <c r="BY230">
        <v>129</v>
      </c>
      <c r="BZ230">
        <v>46.0865478515625</v>
      </c>
      <c r="CA230">
        <v>1474.76953125</v>
      </c>
      <c r="CB230">
        <v>1600</v>
      </c>
      <c r="CC230">
        <v>45</v>
      </c>
      <c r="CD230">
        <v>50.9560546875</v>
      </c>
      <c r="CE230">
        <v>815.296875</v>
      </c>
      <c r="CF230">
        <v>0</v>
      </c>
      <c r="CG230">
        <v>0</v>
      </c>
      <c r="CH230">
        <v>0</v>
      </c>
      <c r="CI230">
        <v>0</v>
      </c>
      <c r="CJ230" t="s">
        <v>368</v>
      </c>
      <c r="CK230">
        <v>4.0999999999999996</v>
      </c>
      <c r="CL230">
        <v>0</v>
      </c>
      <c r="CM230">
        <v>0</v>
      </c>
      <c r="CN230">
        <v>4.0999999999999996</v>
      </c>
      <c r="CO230">
        <v>180</v>
      </c>
      <c r="CP230">
        <v>360</v>
      </c>
      <c r="CQ230" t="s">
        <v>912</v>
      </c>
      <c r="CR230" t="s">
        <v>183</v>
      </c>
      <c r="CS230" t="s">
        <v>138</v>
      </c>
      <c r="CT230" t="s">
        <v>139</v>
      </c>
      <c r="CU230" t="s">
        <v>140</v>
      </c>
      <c r="CW230">
        <v>2</v>
      </c>
      <c r="CX230" t="s">
        <v>939</v>
      </c>
      <c r="CY230" t="s">
        <v>914</v>
      </c>
      <c r="CZ230" t="s">
        <v>956</v>
      </c>
      <c r="DA230" t="s">
        <v>915</v>
      </c>
      <c r="DB230">
        <v>0</v>
      </c>
      <c r="DC230">
        <v>3200</v>
      </c>
    </row>
    <row r="231" spans="1:107" x14ac:dyDescent="0.25">
      <c r="A231" t="s">
        <v>1811</v>
      </c>
      <c r="B231" t="s">
        <v>108</v>
      </c>
      <c r="C231" t="s">
        <v>1812</v>
      </c>
      <c r="D231" t="s">
        <v>1813</v>
      </c>
      <c r="F231" s="3" t="str">
        <f>HYPERLINK("https://mapwv.gov/flood/map/?wkid=102100&amp;x=-9064174.624370117&amp;y=4479872.2128448505&amp;l=13&amp;v=2","FT")</f>
        <v>FT</v>
      </c>
      <c r="G231" s="3" t="str">
        <f>HYPERLINK("https://mapwv.gov/Assessment/Detail/?PID=27010004002500000000","Assessment")</f>
        <v>Assessment</v>
      </c>
      <c r="H231">
        <v>540114</v>
      </c>
      <c r="I231" t="s">
        <v>1780</v>
      </c>
      <c r="J231" t="s">
        <v>1781</v>
      </c>
      <c r="K231" t="s">
        <v>148</v>
      </c>
      <c r="L231" t="s">
        <v>1814</v>
      </c>
      <c r="M231" t="s">
        <v>787</v>
      </c>
      <c r="N231" t="s">
        <v>116</v>
      </c>
      <c r="O231" t="s">
        <v>117</v>
      </c>
      <c r="P231" t="s">
        <v>118</v>
      </c>
      <c r="Q231" t="s">
        <v>225</v>
      </c>
      <c r="R231">
        <v>1.5</v>
      </c>
      <c r="S231" t="s">
        <v>120</v>
      </c>
      <c r="T231">
        <v>1930.1</v>
      </c>
      <c r="U231" t="s">
        <v>121</v>
      </c>
      <c r="V231">
        <v>1929.9</v>
      </c>
      <c r="X231" t="s">
        <v>1815</v>
      </c>
      <c r="Y231" t="s">
        <v>1816</v>
      </c>
      <c r="Z231">
        <v>0</v>
      </c>
      <c r="AB231" t="s">
        <v>155</v>
      </c>
      <c r="AC231" t="s">
        <v>129</v>
      </c>
      <c r="AD231">
        <v>3</v>
      </c>
      <c r="AE231">
        <v>108</v>
      </c>
      <c r="AF231" t="s">
        <v>176</v>
      </c>
      <c r="AG231" t="s">
        <v>177</v>
      </c>
      <c r="AH231" t="s">
        <v>129</v>
      </c>
      <c r="AI231">
        <v>1</v>
      </c>
      <c r="AL231">
        <v>1196</v>
      </c>
      <c r="AN231" t="s">
        <v>158</v>
      </c>
      <c r="AO231">
        <v>3.5</v>
      </c>
      <c r="AP231">
        <v>0</v>
      </c>
      <c r="AQ231">
        <v>0</v>
      </c>
      <c r="AR231">
        <v>0</v>
      </c>
      <c r="AS231">
        <v>14310</v>
      </c>
      <c r="AT231" t="s">
        <v>178</v>
      </c>
      <c r="AU231">
        <v>1</v>
      </c>
      <c r="AV231">
        <v>0</v>
      </c>
      <c r="AW231">
        <v>0</v>
      </c>
      <c r="BE231">
        <v>2.4</v>
      </c>
      <c r="BF231">
        <v>1</v>
      </c>
      <c r="BG231">
        <v>2.4</v>
      </c>
      <c r="BH231" s="1">
        <v>44399</v>
      </c>
      <c r="BI231" t="s">
        <v>133</v>
      </c>
      <c r="BJ231">
        <v>0</v>
      </c>
      <c r="BK231" t="s">
        <v>225</v>
      </c>
      <c r="BL231" t="s">
        <v>177</v>
      </c>
      <c r="BM231">
        <v>14310</v>
      </c>
      <c r="BN231">
        <v>1</v>
      </c>
      <c r="BO231">
        <v>5</v>
      </c>
      <c r="BP231">
        <v>3.5</v>
      </c>
      <c r="BQ231">
        <v>1196</v>
      </c>
      <c r="BR231">
        <v>440</v>
      </c>
      <c r="BS231">
        <v>37.291898945</v>
      </c>
      <c r="BT231">
        <v>-81.424866030000004</v>
      </c>
      <c r="BU231">
        <v>1.5269045000000001</v>
      </c>
      <c r="BV231">
        <v>-1.97309553623199</v>
      </c>
      <c r="BW231">
        <v>1</v>
      </c>
      <c r="BX231" t="s">
        <v>181</v>
      </c>
      <c r="BY231">
        <v>189</v>
      </c>
      <c r="BZ231">
        <v>0</v>
      </c>
      <c r="CA231">
        <v>0</v>
      </c>
      <c r="CB231">
        <v>7155</v>
      </c>
      <c r="CC231">
        <v>74</v>
      </c>
      <c r="CD231">
        <v>0</v>
      </c>
      <c r="CE231">
        <v>0</v>
      </c>
      <c r="CF231">
        <v>0</v>
      </c>
      <c r="CG231">
        <v>0</v>
      </c>
      <c r="CH231">
        <v>0</v>
      </c>
      <c r="CI231">
        <v>0</v>
      </c>
      <c r="CO231">
        <v>0</v>
      </c>
      <c r="CP231">
        <v>0</v>
      </c>
      <c r="CQ231" t="s">
        <v>1785</v>
      </c>
      <c r="CR231" t="s">
        <v>137</v>
      </c>
      <c r="CS231" t="s">
        <v>138</v>
      </c>
      <c r="CT231" t="s">
        <v>139</v>
      </c>
      <c r="CU231" t="s">
        <v>163</v>
      </c>
      <c r="CW231">
        <v>1</v>
      </c>
      <c r="CX231" t="s">
        <v>1786</v>
      </c>
      <c r="CY231" t="s">
        <v>1787</v>
      </c>
      <c r="CZ231" t="s">
        <v>1813</v>
      </c>
      <c r="DA231" t="s">
        <v>1788</v>
      </c>
      <c r="DB231">
        <v>0</v>
      </c>
      <c r="DC231">
        <v>3200</v>
      </c>
    </row>
    <row r="232" spans="1:107" x14ac:dyDescent="0.25">
      <c r="A232" t="s">
        <v>1127</v>
      </c>
      <c r="B232" t="s">
        <v>108</v>
      </c>
      <c r="C232" t="s">
        <v>1128</v>
      </c>
      <c r="D232" t="s">
        <v>1129</v>
      </c>
      <c r="F232" s="3" t="str">
        <f>HYPERLINK("https://mapwv.gov/flood/map/?wkid=102100&amp;x=-9098443.166544782&amp;y=4550516.87827909&amp;l=13&amp;v=2","FT")</f>
        <v>FT</v>
      </c>
      <c r="G232" s="3" t="str">
        <f>HYPERLINK("https://mapwv.gov/Assessment/Detail/?PID=23080002001700000000","Assessment")</f>
        <v>Assessment</v>
      </c>
      <c r="H232">
        <v>545536</v>
      </c>
      <c r="I232" t="s">
        <v>964</v>
      </c>
      <c r="J232" t="s">
        <v>965</v>
      </c>
      <c r="K232" t="s">
        <v>148</v>
      </c>
      <c r="L232" t="s">
        <v>1118</v>
      </c>
      <c r="M232" t="s">
        <v>967</v>
      </c>
      <c r="N232" t="s">
        <v>116</v>
      </c>
      <c r="O232" t="s">
        <v>117</v>
      </c>
      <c r="P232" t="s">
        <v>118</v>
      </c>
      <c r="Q232" t="s">
        <v>260</v>
      </c>
      <c r="R232" t="s">
        <v>151</v>
      </c>
      <c r="S232" t="s">
        <v>151</v>
      </c>
      <c r="T232">
        <v>1181.8</v>
      </c>
      <c r="U232" t="s">
        <v>121</v>
      </c>
      <c r="V232">
        <v>1175.2</v>
      </c>
      <c r="X232" t="s">
        <v>1130</v>
      </c>
      <c r="Y232" t="s">
        <v>1131</v>
      </c>
      <c r="Z232">
        <v>1976</v>
      </c>
      <c r="AA232" t="s">
        <v>241</v>
      </c>
      <c r="AB232" t="s">
        <v>155</v>
      </c>
      <c r="AC232" t="s">
        <v>129</v>
      </c>
      <c r="AD232">
        <v>3</v>
      </c>
      <c r="AE232">
        <v>108</v>
      </c>
      <c r="AF232" t="s">
        <v>176</v>
      </c>
      <c r="AG232" t="s">
        <v>177</v>
      </c>
      <c r="AH232" t="s">
        <v>129</v>
      </c>
      <c r="AI232">
        <v>1</v>
      </c>
      <c r="AL232">
        <v>720</v>
      </c>
      <c r="AN232" t="s">
        <v>158</v>
      </c>
      <c r="AO232">
        <v>4</v>
      </c>
      <c r="AP232">
        <v>0</v>
      </c>
      <c r="AQ232">
        <v>0</v>
      </c>
      <c r="AR232">
        <v>3120</v>
      </c>
      <c r="AS232">
        <v>3100</v>
      </c>
      <c r="AT232" t="s">
        <v>132</v>
      </c>
      <c r="AU232">
        <v>1</v>
      </c>
      <c r="AV232">
        <v>1</v>
      </c>
      <c r="AW232">
        <v>1</v>
      </c>
      <c r="BE232">
        <v>2.4</v>
      </c>
      <c r="BF232">
        <v>0</v>
      </c>
      <c r="BG232">
        <v>0</v>
      </c>
      <c r="BH232" s="1">
        <v>44348</v>
      </c>
      <c r="BI232" t="s">
        <v>1121</v>
      </c>
      <c r="BJ232">
        <v>1976</v>
      </c>
      <c r="BK232" t="s">
        <v>260</v>
      </c>
      <c r="BL232" t="s">
        <v>177</v>
      </c>
      <c r="BM232">
        <v>3100</v>
      </c>
      <c r="BN232">
        <v>1</v>
      </c>
      <c r="BO232">
        <v>5</v>
      </c>
      <c r="BP232">
        <v>4</v>
      </c>
      <c r="BQ232">
        <v>720</v>
      </c>
      <c r="BR232">
        <v>2135</v>
      </c>
      <c r="BS232">
        <v>37.795073471999999</v>
      </c>
      <c r="BT232">
        <v>-81.732705581999795</v>
      </c>
      <c r="BU232">
        <v>0</v>
      </c>
      <c r="BV232">
        <v>-4</v>
      </c>
      <c r="BW232">
        <v>0</v>
      </c>
      <c r="BX232" t="s">
        <v>181</v>
      </c>
      <c r="BY232">
        <v>0</v>
      </c>
      <c r="BZ232">
        <v>0</v>
      </c>
      <c r="CA232">
        <v>0</v>
      </c>
      <c r="CB232">
        <v>1550</v>
      </c>
      <c r="CC232">
        <v>0</v>
      </c>
      <c r="CD232">
        <v>0</v>
      </c>
      <c r="CE232">
        <v>0</v>
      </c>
      <c r="CF232">
        <v>0</v>
      </c>
      <c r="CG232">
        <v>0</v>
      </c>
      <c r="CH232">
        <v>0</v>
      </c>
      <c r="CI232">
        <v>0</v>
      </c>
      <c r="CO232">
        <v>0</v>
      </c>
      <c r="CP232">
        <v>0</v>
      </c>
      <c r="CQ232" t="s">
        <v>974</v>
      </c>
      <c r="CR232" t="s">
        <v>137</v>
      </c>
      <c r="CS232" t="s">
        <v>161</v>
      </c>
      <c r="CT232" t="s">
        <v>139</v>
      </c>
      <c r="CU232" t="s">
        <v>163</v>
      </c>
      <c r="CW232">
        <v>2</v>
      </c>
      <c r="CX232" t="s">
        <v>975</v>
      </c>
      <c r="CY232" t="s">
        <v>976</v>
      </c>
      <c r="CZ232" t="s">
        <v>1129</v>
      </c>
      <c r="DA232" t="s">
        <v>977</v>
      </c>
      <c r="DB232">
        <v>0</v>
      </c>
      <c r="DC232">
        <v>3100</v>
      </c>
    </row>
    <row r="233" spans="1:107" x14ac:dyDescent="0.25">
      <c r="A233" t="s">
        <v>903</v>
      </c>
      <c r="B233" t="s">
        <v>108</v>
      </c>
      <c r="C233" t="s">
        <v>904</v>
      </c>
      <c r="D233" t="s">
        <v>905</v>
      </c>
      <c r="F233" s="3" t="str">
        <f>HYPERLINK("https://mapwv.gov/flood/map/?wkid=102100&amp;x=-9123510.871946316&amp;y=4686082.997489382&amp;l=13&amp;v=2","FT")</f>
        <v>FT</v>
      </c>
      <c r="G233" s="3" t="str">
        <f>HYPERLINK("https://mapwv.gov/Assessment/Detail/?PID=26090001004800000000","Assessment")</f>
        <v>Assessment</v>
      </c>
      <c r="H233">
        <v>540113</v>
      </c>
      <c r="I233" t="s">
        <v>906</v>
      </c>
      <c r="J233" t="s">
        <v>907</v>
      </c>
      <c r="K233" t="s">
        <v>113</v>
      </c>
      <c r="L233" t="s">
        <v>908</v>
      </c>
      <c r="M233" t="s">
        <v>909</v>
      </c>
      <c r="N233" t="s">
        <v>199</v>
      </c>
      <c r="O233" t="s">
        <v>117</v>
      </c>
      <c r="P233" t="s">
        <v>150</v>
      </c>
      <c r="Q233" t="s">
        <v>119</v>
      </c>
      <c r="R233">
        <v>6.9</v>
      </c>
      <c r="S233" t="s">
        <v>120</v>
      </c>
      <c r="T233" t="s">
        <v>151</v>
      </c>
      <c r="U233" t="s">
        <v>151</v>
      </c>
      <c r="V233">
        <v>563.6</v>
      </c>
      <c r="X233" t="s">
        <v>910</v>
      </c>
      <c r="Y233" t="s">
        <v>911</v>
      </c>
      <c r="Z233">
        <v>1930</v>
      </c>
      <c r="AA233" t="s">
        <v>318</v>
      </c>
      <c r="AB233" t="s">
        <v>155</v>
      </c>
      <c r="AC233" t="s">
        <v>129</v>
      </c>
      <c r="AD233">
        <v>4</v>
      </c>
      <c r="AE233">
        <v>101</v>
      </c>
      <c r="AF233" t="s">
        <v>127</v>
      </c>
      <c r="AG233" t="s">
        <v>128</v>
      </c>
      <c r="AH233" t="s">
        <v>129</v>
      </c>
      <c r="AI233">
        <v>1</v>
      </c>
      <c r="AJ233" t="s">
        <v>341</v>
      </c>
      <c r="AK233" t="s">
        <v>130</v>
      </c>
      <c r="AL233">
        <v>468</v>
      </c>
      <c r="AM233" t="s">
        <v>157</v>
      </c>
      <c r="AN233" t="s">
        <v>158</v>
      </c>
      <c r="AO233">
        <v>3</v>
      </c>
      <c r="AP233">
        <v>3000</v>
      </c>
      <c r="AQ233">
        <v>0</v>
      </c>
      <c r="AR233">
        <v>0</v>
      </c>
      <c r="AS233">
        <v>3000</v>
      </c>
      <c r="AT233" t="s">
        <v>132</v>
      </c>
      <c r="AU233">
        <v>1</v>
      </c>
      <c r="AV233">
        <v>0</v>
      </c>
      <c r="AW233">
        <v>1</v>
      </c>
      <c r="BE233">
        <v>2.7</v>
      </c>
      <c r="BF233">
        <v>1</v>
      </c>
      <c r="BG233">
        <v>2.7</v>
      </c>
      <c r="BH233" s="1">
        <v>44335</v>
      </c>
      <c r="BI233" t="s">
        <v>210</v>
      </c>
      <c r="BJ233">
        <v>1930</v>
      </c>
      <c r="BK233" t="s">
        <v>119</v>
      </c>
      <c r="BL233" t="s">
        <v>128</v>
      </c>
      <c r="BM233">
        <v>3000</v>
      </c>
      <c r="BN233">
        <v>1</v>
      </c>
      <c r="BO233">
        <v>5</v>
      </c>
      <c r="BP233">
        <v>3</v>
      </c>
      <c r="BQ233">
        <v>468</v>
      </c>
      <c r="BR233">
        <v>887</v>
      </c>
      <c r="BS233">
        <v>38.75111235</v>
      </c>
      <c r="BT233">
        <v>-81.957892611000005</v>
      </c>
      <c r="BU233">
        <v>6.6387939999999999</v>
      </c>
      <c r="BV233">
        <v>3.6387939453125</v>
      </c>
      <c r="BW233">
        <v>1</v>
      </c>
      <c r="BX233" t="s">
        <v>134</v>
      </c>
      <c r="BY233">
        <v>129</v>
      </c>
      <c r="BZ233">
        <v>44.4715576171875</v>
      </c>
      <c r="CA233">
        <v>1334.14672851562</v>
      </c>
      <c r="CB233">
        <v>1500</v>
      </c>
      <c r="CC233">
        <v>45</v>
      </c>
      <c r="CD233">
        <v>49.1103515625</v>
      </c>
      <c r="CE233">
        <v>736.6552734375</v>
      </c>
      <c r="CF233">
        <v>0</v>
      </c>
      <c r="CG233">
        <v>0</v>
      </c>
      <c r="CH233">
        <v>0</v>
      </c>
      <c r="CI233">
        <v>0</v>
      </c>
      <c r="CJ233" t="s">
        <v>368</v>
      </c>
      <c r="CK233">
        <v>1.9188000000000001</v>
      </c>
      <c r="CL233">
        <v>0</v>
      </c>
      <c r="CM233">
        <v>0</v>
      </c>
      <c r="CN233">
        <v>1.9188000000000001</v>
      </c>
      <c r="CO233">
        <v>180</v>
      </c>
      <c r="CP233">
        <v>360</v>
      </c>
      <c r="CQ233" t="s">
        <v>912</v>
      </c>
      <c r="CR233" t="s">
        <v>183</v>
      </c>
      <c r="CS233" t="s">
        <v>138</v>
      </c>
      <c r="CT233" t="s">
        <v>139</v>
      </c>
      <c r="CU233" t="s">
        <v>140</v>
      </c>
      <c r="CW233">
        <v>2</v>
      </c>
      <c r="CX233" t="s">
        <v>913</v>
      </c>
      <c r="CY233" t="s">
        <v>914</v>
      </c>
      <c r="CZ233" t="s">
        <v>905</v>
      </c>
      <c r="DA233" t="s">
        <v>915</v>
      </c>
      <c r="DB233">
        <v>0</v>
      </c>
      <c r="DC233">
        <v>3000</v>
      </c>
    </row>
    <row r="234" spans="1:107" x14ac:dyDescent="0.25">
      <c r="A234" t="s">
        <v>1193</v>
      </c>
      <c r="B234" t="s">
        <v>108</v>
      </c>
      <c r="C234" t="s">
        <v>1194</v>
      </c>
      <c r="D234" t="s">
        <v>1195</v>
      </c>
      <c r="F234" s="3" t="str">
        <f>HYPERLINK("https://mapwv.gov/flood/map/?wkid=102100&amp;x=-9090168.309897672&amp;y=4599503.325674127&amp;l=13&amp;v=2","FT")</f>
        <v>FT</v>
      </c>
      <c r="G234" s="3" t="str">
        <f>HYPERLINK("https://mapwv.gov/Assessment/Detail/?PID=0306007A001100000000","Assessment")</f>
        <v>Assessment</v>
      </c>
      <c r="H234">
        <v>540007</v>
      </c>
      <c r="I234" t="s">
        <v>1170</v>
      </c>
      <c r="J234" t="s">
        <v>1171</v>
      </c>
      <c r="K234" t="s">
        <v>148</v>
      </c>
      <c r="L234" t="s">
        <v>1172</v>
      </c>
      <c r="M234" t="s">
        <v>662</v>
      </c>
      <c r="N234" t="s">
        <v>199</v>
      </c>
      <c r="O234" t="s">
        <v>117</v>
      </c>
      <c r="P234" t="s">
        <v>150</v>
      </c>
      <c r="Q234" t="s">
        <v>119</v>
      </c>
      <c r="R234">
        <v>2.2999999999999998</v>
      </c>
      <c r="S234" t="s">
        <v>120</v>
      </c>
      <c r="T234" t="s">
        <v>151</v>
      </c>
      <c r="U234" t="s">
        <v>151</v>
      </c>
      <c r="V234">
        <v>678.4</v>
      </c>
      <c r="X234" t="s">
        <v>1196</v>
      </c>
      <c r="Y234" t="s">
        <v>1197</v>
      </c>
      <c r="Z234">
        <v>1946</v>
      </c>
      <c r="AA234" t="s">
        <v>318</v>
      </c>
      <c r="AB234" t="s">
        <v>155</v>
      </c>
      <c r="AC234" t="s">
        <v>129</v>
      </c>
      <c r="AD234">
        <v>3</v>
      </c>
      <c r="AE234">
        <v>101</v>
      </c>
      <c r="AF234" t="s">
        <v>127</v>
      </c>
      <c r="AG234" t="s">
        <v>128</v>
      </c>
      <c r="AH234" t="s">
        <v>129</v>
      </c>
      <c r="AI234">
        <v>1</v>
      </c>
      <c r="AJ234" t="s">
        <v>291</v>
      </c>
      <c r="AK234" t="s">
        <v>130</v>
      </c>
      <c r="AL234">
        <v>1064</v>
      </c>
      <c r="AM234" t="s">
        <v>353</v>
      </c>
      <c r="AN234" t="s">
        <v>208</v>
      </c>
      <c r="AO234">
        <v>4</v>
      </c>
      <c r="AP234">
        <v>2800</v>
      </c>
      <c r="AQ234">
        <v>0</v>
      </c>
      <c r="AR234">
        <v>0</v>
      </c>
      <c r="AS234">
        <v>2800</v>
      </c>
      <c r="AT234" t="s">
        <v>132</v>
      </c>
      <c r="AU234">
        <v>1</v>
      </c>
      <c r="AV234">
        <v>0</v>
      </c>
      <c r="AW234">
        <v>1</v>
      </c>
      <c r="BE234">
        <v>2.5</v>
      </c>
      <c r="BF234">
        <v>1</v>
      </c>
      <c r="BG234">
        <v>2.5</v>
      </c>
      <c r="BH234" s="1">
        <v>44362</v>
      </c>
      <c r="BI234" t="s">
        <v>210</v>
      </c>
      <c r="BJ234">
        <v>1946</v>
      </c>
      <c r="BK234" t="s">
        <v>119</v>
      </c>
      <c r="BL234" t="s">
        <v>128</v>
      </c>
      <c r="BM234">
        <v>2800</v>
      </c>
      <c r="BN234">
        <v>1</v>
      </c>
      <c r="BO234">
        <v>4</v>
      </c>
      <c r="BP234">
        <v>4</v>
      </c>
      <c r="BQ234">
        <v>1064</v>
      </c>
      <c r="BR234">
        <v>2702</v>
      </c>
      <c r="BS234">
        <v>38.141987342999897</v>
      </c>
      <c r="BT234">
        <v>-81.658371279999898</v>
      </c>
      <c r="BU234">
        <v>2.2559203999999999</v>
      </c>
      <c r="BV234">
        <v>-1.74407958984375</v>
      </c>
      <c r="BW234">
        <v>1</v>
      </c>
      <c r="BX234" t="s">
        <v>354</v>
      </c>
      <c r="BY234">
        <v>704</v>
      </c>
      <c r="BZ234">
        <v>15.2796020507812</v>
      </c>
      <c r="CA234">
        <v>427.828857421875</v>
      </c>
      <c r="CB234">
        <v>1400</v>
      </c>
      <c r="CC234">
        <v>535</v>
      </c>
      <c r="CD234">
        <v>11.5118408203125</v>
      </c>
      <c r="CE234">
        <v>161.165771484375</v>
      </c>
      <c r="CF234">
        <v>0</v>
      </c>
      <c r="CG234">
        <v>0</v>
      </c>
      <c r="CH234">
        <v>0</v>
      </c>
      <c r="CI234">
        <v>0</v>
      </c>
      <c r="CO234">
        <v>0</v>
      </c>
      <c r="CP234">
        <v>0</v>
      </c>
      <c r="CQ234" t="s">
        <v>1175</v>
      </c>
      <c r="CR234" t="s">
        <v>183</v>
      </c>
      <c r="CS234" t="s">
        <v>138</v>
      </c>
      <c r="CT234" t="s">
        <v>139</v>
      </c>
      <c r="CU234" t="s">
        <v>140</v>
      </c>
      <c r="CW234">
        <v>3</v>
      </c>
      <c r="CX234" t="s">
        <v>1176</v>
      </c>
      <c r="CY234" t="s">
        <v>1177</v>
      </c>
      <c r="CZ234" t="s">
        <v>1195</v>
      </c>
      <c r="DA234" t="s">
        <v>1178</v>
      </c>
      <c r="DB234">
        <v>0</v>
      </c>
      <c r="DC234">
        <v>2800</v>
      </c>
    </row>
    <row r="235" spans="1:107" x14ac:dyDescent="0.25">
      <c r="A235" t="s">
        <v>1210</v>
      </c>
      <c r="B235" t="s">
        <v>108</v>
      </c>
      <c r="C235" t="s">
        <v>1211</v>
      </c>
      <c r="D235" t="s">
        <v>1195</v>
      </c>
      <c r="F235" s="3" t="str">
        <f>HYPERLINK("https://mapwv.gov/flood/map/?wkid=102100&amp;x=-9090157.14700177&amp;y=4599476.041287989&amp;l=13&amp;v=2","FT")</f>
        <v>FT</v>
      </c>
      <c r="G235" s="3" t="str">
        <f>HYPERLINK("https://mapwv.gov/Assessment/Detail/?PID=0306007A001100000000","Assessment")</f>
        <v>Assessment</v>
      </c>
      <c r="H235">
        <v>540007</v>
      </c>
      <c r="I235" t="s">
        <v>1170</v>
      </c>
      <c r="J235" t="s">
        <v>1171</v>
      </c>
      <c r="K235" t="s">
        <v>148</v>
      </c>
      <c r="L235" t="s">
        <v>1172</v>
      </c>
      <c r="M235" t="s">
        <v>662</v>
      </c>
      <c r="N235" t="s">
        <v>199</v>
      </c>
      <c r="O235" t="s">
        <v>117</v>
      </c>
      <c r="P235" t="s">
        <v>150</v>
      </c>
      <c r="Q235" t="s">
        <v>119</v>
      </c>
      <c r="R235">
        <v>4.5999999999999996</v>
      </c>
      <c r="S235" t="s">
        <v>120</v>
      </c>
      <c r="T235" t="s">
        <v>151</v>
      </c>
      <c r="U235" t="s">
        <v>151</v>
      </c>
      <c r="V235">
        <v>676</v>
      </c>
      <c r="X235" t="s">
        <v>1196</v>
      </c>
      <c r="Y235" t="s">
        <v>1197</v>
      </c>
      <c r="Z235">
        <v>1946</v>
      </c>
      <c r="AA235" t="s">
        <v>318</v>
      </c>
      <c r="AB235" t="s">
        <v>155</v>
      </c>
      <c r="AC235" t="s">
        <v>129</v>
      </c>
      <c r="AD235">
        <v>3</v>
      </c>
      <c r="AE235">
        <v>101</v>
      </c>
      <c r="AF235" t="s">
        <v>127</v>
      </c>
      <c r="AG235" t="s">
        <v>128</v>
      </c>
      <c r="AH235" t="s">
        <v>129</v>
      </c>
      <c r="AI235">
        <v>1</v>
      </c>
      <c r="AJ235" t="s">
        <v>291</v>
      </c>
      <c r="AK235" t="s">
        <v>130</v>
      </c>
      <c r="AL235">
        <v>1064</v>
      </c>
      <c r="AM235" t="s">
        <v>353</v>
      </c>
      <c r="AN235" t="s">
        <v>208</v>
      </c>
      <c r="AO235">
        <v>4</v>
      </c>
      <c r="AP235">
        <v>2800</v>
      </c>
      <c r="AQ235">
        <v>0</v>
      </c>
      <c r="AR235">
        <v>0</v>
      </c>
      <c r="AS235">
        <v>2800</v>
      </c>
      <c r="AT235" t="s">
        <v>132</v>
      </c>
      <c r="AU235">
        <v>1</v>
      </c>
      <c r="AV235">
        <v>0</v>
      </c>
      <c r="AW235">
        <v>1</v>
      </c>
      <c r="BE235">
        <v>2.5</v>
      </c>
      <c r="BF235">
        <v>1</v>
      </c>
      <c r="BG235">
        <v>2.5</v>
      </c>
      <c r="BH235" s="1">
        <v>44362</v>
      </c>
      <c r="BI235" t="s">
        <v>210</v>
      </c>
      <c r="BJ235">
        <v>1946</v>
      </c>
      <c r="BK235" t="s">
        <v>119</v>
      </c>
      <c r="BL235" t="s">
        <v>128</v>
      </c>
      <c r="BM235">
        <v>2800</v>
      </c>
      <c r="BN235">
        <v>1</v>
      </c>
      <c r="BO235">
        <v>4</v>
      </c>
      <c r="BP235">
        <v>4</v>
      </c>
      <c r="BQ235">
        <v>1064</v>
      </c>
      <c r="BR235">
        <v>2711</v>
      </c>
      <c r="BS235">
        <v>38.141794576000102</v>
      </c>
      <c r="BT235">
        <v>-81.658271001999907</v>
      </c>
      <c r="BU235">
        <v>4.6212160000000004</v>
      </c>
      <c r="BV235">
        <v>0.6212158203125</v>
      </c>
      <c r="BW235">
        <v>1</v>
      </c>
      <c r="BX235" t="s">
        <v>354</v>
      </c>
      <c r="BY235">
        <v>704</v>
      </c>
      <c r="BZ235">
        <v>29.727294921875</v>
      </c>
      <c r="CA235">
        <v>832.3642578125</v>
      </c>
      <c r="CB235">
        <v>1400</v>
      </c>
      <c r="CC235">
        <v>535</v>
      </c>
      <c r="CD235">
        <v>17.8636474609375</v>
      </c>
      <c r="CE235">
        <v>250.091064453125</v>
      </c>
      <c r="CF235">
        <v>0</v>
      </c>
      <c r="CG235">
        <v>0</v>
      </c>
      <c r="CH235">
        <v>0</v>
      </c>
      <c r="CI235">
        <v>0</v>
      </c>
      <c r="CJ235" t="s">
        <v>1212</v>
      </c>
      <c r="CK235">
        <v>9.3632000000000009</v>
      </c>
      <c r="CL235">
        <v>0</v>
      </c>
      <c r="CM235">
        <v>0</v>
      </c>
      <c r="CN235">
        <v>9.3632000000000009</v>
      </c>
      <c r="CO235">
        <v>180</v>
      </c>
      <c r="CP235">
        <v>360</v>
      </c>
      <c r="CQ235" t="s">
        <v>1175</v>
      </c>
      <c r="CR235" t="s">
        <v>385</v>
      </c>
      <c r="CS235" t="s">
        <v>138</v>
      </c>
      <c r="CT235" t="s">
        <v>139</v>
      </c>
      <c r="CU235" t="s">
        <v>140</v>
      </c>
      <c r="CW235">
        <v>3</v>
      </c>
      <c r="CX235" t="s">
        <v>1176</v>
      </c>
      <c r="CY235" t="s">
        <v>1177</v>
      </c>
      <c r="CZ235" t="s">
        <v>1195</v>
      </c>
      <c r="DA235" t="s">
        <v>1178</v>
      </c>
      <c r="DB235">
        <v>0</v>
      </c>
      <c r="DC235">
        <v>2800</v>
      </c>
    </row>
    <row r="236" spans="1:107" x14ac:dyDescent="0.25">
      <c r="A236" t="s">
        <v>1389</v>
      </c>
      <c r="B236" t="s">
        <v>108</v>
      </c>
      <c r="C236" t="s">
        <v>1390</v>
      </c>
      <c r="D236" t="s">
        <v>1391</v>
      </c>
      <c r="F236" s="3" t="str">
        <f>HYPERLINK("https://mapwv.gov/flood/map/?wkid=102100&amp;x=-9091482.522536453&amp;y=4632035.666341533&amp;l=13&amp;v=2","FT")</f>
        <v>FT</v>
      </c>
      <c r="G236" s="3" t="str">
        <f>HYPERLINK("https://mapwv.gov/Assessment/Detail/?PID=20120009005200000000","Assessment")</f>
        <v>Assessment</v>
      </c>
      <c r="H236">
        <v>540073</v>
      </c>
      <c r="I236" t="s">
        <v>1333</v>
      </c>
      <c r="J236" t="s">
        <v>1282</v>
      </c>
      <c r="K236" t="s">
        <v>113</v>
      </c>
      <c r="L236" t="s">
        <v>1283</v>
      </c>
      <c r="M236" t="s">
        <v>909</v>
      </c>
      <c r="N236" t="s">
        <v>199</v>
      </c>
      <c r="O236" t="s">
        <v>117</v>
      </c>
      <c r="P236" t="s">
        <v>150</v>
      </c>
      <c r="Q236" t="s">
        <v>119</v>
      </c>
      <c r="R236">
        <v>3.9</v>
      </c>
      <c r="S236" t="s">
        <v>120</v>
      </c>
      <c r="T236" t="s">
        <v>151</v>
      </c>
      <c r="U236" t="s">
        <v>151</v>
      </c>
      <c r="V236">
        <v>589.29999999999995</v>
      </c>
      <c r="X236" t="s">
        <v>1392</v>
      </c>
      <c r="Y236" t="s">
        <v>1393</v>
      </c>
      <c r="Z236">
        <v>1930</v>
      </c>
      <c r="AA236" t="s">
        <v>241</v>
      </c>
      <c r="AB236" t="s">
        <v>155</v>
      </c>
      <c r="AC236" t="s">
        <v>129</v>
      </c>
      <c r="AD236">
        <v>2</v>
      </c>
      <c r="AE236">
        <v>101</v>
      </c>
      <c r="AF236" t="s">
        <v>127</v>
      </c>
      <c r="AG236" t="s">
        <v>128</v>
      </c>
      <c r="AH236" t="s">
        <v>129</v>
      </c>
      <c r="AI236">
        <v>1</v>
      </c>
      <c r="AJ236" t="s">
        <v>341</v>
      </c>
      <c r="AK236" t="s">
        <v>130</v>
      </c>
      <c r="AL236">
        <v>723</v>
      </c>
      <c r="AM236" t="s">
        <v>157</v>
      </c>
      <c r="AN236" t="s">
        <v>158</v>
      </c>
      <c r="AO236">
        <v>3</v>
      </c>
      <c r="AP236">
        <v>2700</v>
      </c>
      <c r="AQ236">
        <v>0</v>
      </c>
      <c r="AR236">
        <v>0</v>
      </c>
      <c r="AS236">
        <v>2700</v>
      </c>
      <c r="AT236" t="s">
        <v>132</v>
      </c>
      <c r="AU236">
        <v>1</v>
      </c>
      <c r="AV236">
        <v>0</v>
      </c>
      <c r="AW236">
        <v>1</v>
      </c>
      <c r="BE236">
        <v>2.1</v>
      </c>
      <c r="BF236">
        <v>1</v>
      </c>
      <c r="BG236">
        <v>2.1</v>
      </c>
      <c r="BH236" s="1">
        <v>44362</v>
      </c>
      <c r="BI236" t="s">
        <v>210</v>
      </c>
      <c r="BJ236">
        <v>1930</v>
      </c>
      <c r="BK236" t="s">
        <v>119</v>
      </c>
      <c r="BL236" t="s">
        <v>128</v>
      </c>
      <c r="BM236">
        <v>2700</v>
      </c>
      <c r="BN236">
        <v>1</v>
      </c>
      <c r="BO236">
        <v>5</v>
      </c>
      <c r="BP236">
        <v>3</v>
      </c>
      <c r="BQ236">
        <v>723</v>
      </c>
      <c r="BR236">
        <v>10256</v>
      </c>
      <c r="BS236">
        <v>38.3714691180001</v>
      </c>
      <c r="BT236">
        <v>-81.670177053000003</v>
      </c>
      <c r="BU236">
        <v>3.8500366000000001</v>
      </c>
      <c r="BV236">
        <v>0.85003662109375</v>
      </c>
      <c r="BW236">
        <v>1</v>
      </c>
      <c r="BX236" t="s">
        <v>134</v>
      </c>
      <c r="BY236">
        <v>129</v>
      </c>
      <c r="BZ236">
        <v>21.5003662109375</v>
      </c>
      <c r="CA236">
        <v>580.50988769531205</v>
      </c>
      <c r="CB236">
        <v>1350</v>
      </c>
      <c r="CC236">
        <v>45</v>
      </c>
      <c r="CD236">
        <v>24.5003662109375</v>
      </c>
      <c r="CE236">
        <v>330.75494384765602</v>
      </c>
      <c r="CF236">
        <v>0</v>
      </c>
      <c r="CG236">
        <v>0</v>
      </c>
      <c r="CH236">
        <v>0</v>
      </c>
      <c r="CI236">
        <v>0</v>
      </c>
      <c r="CJ236" t="s">
        <v>561</v>
      </c>
      <c r="CK236">
        <v>2.9643000000000002</v>
      </c>
      <c r="CL236">
        <v>0</v>
      </c>
      <c r="CM236">
        <v>0</v>
      </c>
      <c r="CN236">
        <v>2.9643000000000002</v>
      </c>
      <c r="CO236">
        <v>180</v>
      </c>
      <c r="CP236">
        <v>360</v>
      </c>
      <c r="CQ236" t="s">
        <v>1286</v>
      </c>
      <c r="CR236" t="s">
        <v>183</v>
      </c>
      <c r="CS236" t="s">
        <v>138</v>
      </c>
      <c r="CT236" t="s">
        <v>139</v>
      </c>
      <c r="CU236" t="s">
        <v>140</v>
      </c>
      <c r="CW236">
        <v>3</v>
      </c>
      <c r="CX236" t="s">
        <v>1338</v>
      </c>
      <c r="CY236" t="s">
        <v>1288</v>
      </c>
      <c r="CZ236" t="s">
        <v>1391</v>
      </c>
      <c r="DA236" t="s">
        <v>1289</v>
      </c>
      <c r="DB236">
        <v>0</v>
      </c>
      <c r="DC236">
        <v>2700</v>
      </c>
    </row>
    <row r="237" spans="1:107" x14ac:dyDescent="0.25">
      <c r="A237" t="s">
        <v>461</v>
      </c>
      <c r="B237" t="s">
        <v>108</v>
      </c>
      <c r="C237" t="s">
        <v>462</v>
      </c>
      <c r="D237" t="s">
        <v>463</v>
      </c>
      <c r="F237" s="3" t="str">
        <f>HYPERLINK("https://mapwv.gov/flood/map/?wkid=102100&amp;x=-8960987.679720882&amp;y=4780610.87917086&amp;l=13&amp;v=2","FT")</f>
        <v>FT</v>
      </c>
      <c r="G237" s="3" t="str">
        <f>HYPERLINK("https://mapwv.gov/Assessment/Detail/?PID=17142203007500000000","Assessment")</f>
        <v>Assessment</v>
      </c>
      <c r="H237">
        <v>540053</v>
      </c>
      <c r="I237" t="s">
        <v>464</v>
      </c>
      <c r="J237" t="s">
        <v>453</v>
      </c>
      <c r="K237" t="s">
        <v>148</v>
      </c>
      <c r="L237" t="s">
        <v>465</v>
      </c>
      <c r="M237" t="s">
        <v>328</v>
      </c>
      <c r="N237" t="s">
        <v>199</v>
      </c>
      <c r="O237" t="s">
        <v>117</v>
      </c>
      <c r="P237" t="s">
        <v>150</v>
      </c>
      <c r="Q237" t="s">
        <v>119</v>
      </c>
      <c r="R237">
        <v>0.2</v>
      </c>
      <c r="S237" t="s">
        <v>120</v>
      </c>
      <c r="T237" t="s">
        <v>151</v>
      </c>
      <c r="U237" t="s">
        <v>151</v>
      </c>
      <c r="V237">
        <v>1018.1</v>
      </c>
      <c r="X237" t="s">
        <v>466</v>
      </c>
      <c r="Y237" t="s">
        <v>467</v>
      </c>
      <c r="Z237">
        <v>1900</v>
      </c>
      <c r="AA237" t="s">
        <v>287</v>
      </c>
      <c r="AB237" t="s">
        <v>155</v>
      </c>
      <c r="AC237" t="s">
        <v>129</v>
      </c>
      <c r="AD237">
        <v>3</v>
      </c>
      <c r="AE237">
        <v>101</v>
      </c>
      <c r="AF237" t="s">
        <v>127</v>
      </c>
      <c r="AG237" t="s">
        <v>128</v>
      </c>
      <c r="AH237" t="s">
        <v>129</v>
      </c>
      <c r="AI237">
        <v>1</v>
      </c>
      <c r="AJ237" t="s">
        <v>156</v>
      </c>
      <c r="AK237" t="s">
        <v>130</v>
      </c>
      <c r="AL237">
        <v>1446</v>
      </c>
      <c r="AM237" t="s">
        <v>206</v>
      </c>
      <c r="AN237" t="s">
        <v>131</v>
      </c>
      <c r="AO237">
        <v>1</v>
      </c>
      <c r="AP237">
        <v>2300</v>
      </c>
      <c r="AQ237">
        <v>0</v>
      </c>
      <c r="AR237">
        <v>150</v>
      </c>
      <c r="AS237">
        <v>2500</v>
      </c>
      <c r="AT237" t="s">
        <v>132</v>
      </c>
      <c r="AU237">
        <v>1</v>
      </c>
      <c r="AV237">
        <v>1</v>
      </c>
      <c r="AW237">
        <v>1</v>
      </c>
      <c r="BE237">
        <v>2.5</v>
      </c>
      <c r="BF237">
        <v>0</v>
      </c>
      <c r="BG237">
        <v>0</v>
      </c>
      <c r="BH237" s="1">
        <v>44291</v>
      </c>
      <c r="BI237" t="s">
        <v>210</v>
      </c>
      <c r="BJ237">
        <v>1900</v>
      </c>
      <c r="BK237" t="s">
        <v>119</v>
      </c>
      <c r="BL237" t="s">
        <v>128</v>
      </c>
      <c r="BM237">
        <v>2500</v>
      </c>
      <c r="BN237">
        <v>1</v>
      </c>
      <c r="BO237">
        <v>7</v>
      </c>
      <c r="BP237">
        <v>1</v>
      </c>
      <c r="BQ237">
        <v>1446</v>
      </c>
      <c r="BR237">
        <v>851</v>
      </c>
      <c r="BS237">
        <v>39.4102706910001</v>
      </c>
      <c r="BT237">
        <v>-80.497921934999894</v>
      </c>
      <c r="BU237">
        <v>6.1645509999999999E-3</v>
      </c>
      <c r="BV237">
        <v>-0.99383544921875</v>
      </c>
      <c r="BW237">
        <v>1</v>
      </c>
      <c r="BX237" t="s">
        <v>134</v>
      </c>
      <c r="BY237">
        <v>129</v>
      </c>
      <c r="BZ237">
        <v>3.0616455078125</v>
      </c>
      <c r="CA237">
        <v>76.5411376953125</v>
      </c>
      <c r="CB237">
        <v>1250</v>
      </c>
      <c r="CC237">
        <v>45</v>
      </c>
      <c r="CD237">
        <v>4.073974609375</v>
      </c>
      <c r="CE237">
        <v>50.9246826171875</v>
      </c>
      <c r="CF237">
        <v>0</v>
      </c>
      <c r="CG237">
        <v>0</v>
      </c>
      <c r="CH237">
        <v>0</v>
      </c>
      <c r="CI237">
        <v>0</v>
      </c>
      <c r="CO237">
        <v>0</v>
      </c>
      <c r="CP237">
        <v>0</v>
      </c>
      <c r="CQ237" t="s">
        <v>457</v>
      </c>
      <c r="CR237" t="s">
        <v>183</v>
      </c>
      <c r="CS237" t="s">
        <v>138</v>
      </c>
      <c r="CT237" t="s">
        <v>139</v>
      </c>
      <c r="CU237" t="s">
        <v>267</v>
      </c>
      <c r="CW237">
        <v>6</v>
      </c>
      <c r="CX237" t="s">
        <v>468</v>
      </c>
      <c r="CY237" t="s">
        <v>459</v>
      </c>
      <c r="CZ237" t="s">
        <v>463</v>
      </c>
      <c r="DA237" t="s">
        <v>460</v>
      </c>
      <c r="DB237">
        <v>0</v>
      </c>
      <c r="DC237">
        <v>2500</v>
      </c>
    </row>
    <row r="238" spans="1:107" x14ac:dyDescent="0.25">
      <c r="A238" t="s">
        <v>790</v>
      </c>
      <c r="B238" t="s">
        <v>108</v>
      </c>
      <c r="C238" t="s">
        <v>791</v>
      </c>
      <c r="D238" t="s">
        <v>792</v>
      </c>
      <c r="F238" s="3" t="str">
        <f>HYPERLINK("https://mapwv.gov/flood/map/?wkid=102100&amp;x=-9193586.389320707&amp;y=4595838.158556646&amp;l=13&amp;v=2","FT")</f>
        <v>FT</v>
      </c>
      <c r="G238" s="3" t="str">
        <f>HYPERLINK("https://mapwv.gov/Assessment/Detail/?PID=50050004001200000000","Assessment")</f>
        <v>Assessment</v>
      </c>
      <c r="H238">
        <v>540200</v>
      </c>
      <c r="I238" t="s">
        <v>773</v>
      </c>
      <c r="J238" t="s">
        <v>774</v>
      </c>
      <c r="K238" t="s">
        <v>148</v>
      </c>
      <c r="L238" t="s">
        <v>793</v>
      </c>
      <c r="M238" t="s">
        <v>787</v>
      </c>
      <c r="N238" t="s">
        <v>199</v>
      </c>
      <c r="O238" t="s">
        <v>117</v>
      </c>
      <c r="P238" t="s">
        <v>150</v>
      </c>
      <c r="Q238" t="s">
        <v>119</v>
      </c>
      <c r="R238" t="s">
        <v>151</v>
      </c>
      <c r="S238" t="s">
        <v>151</v>
      </c>
      <c r="T238">
        <v>575.1</v>
      </c>
      <c r="U238" t="s">
        <v>365</v>
      </c>
      <c r="V238">
        <v>574.20000000000005</v>
      </c>
      <c r="X238" t="s">
        <v>794</v>
      </c>
      <c r="Y238" t="s">
        <v>795</v>
      </c>
      <c r="Z238">
        <v>1945</v>
      </c>
      <c r="AA238" t="s">
        <v>287</v>
      </c>
      <c r="AB238" t="s">
        <v>155</v>
      </c>
      <c r="AC238" t="s">
        <v>129</v>
      </c>
      <c r="AD238">
        <v>4</v>
      </c>
      <c r="AE238">
        <v>101</v>
      </c>
      <c r="AF238" t="s">
        <v>127</v>
      </c>
      <c r="AG238" t="s">
        <v>128</v>
      </c>
      <c r="AH238" t="s">
        <v>129</v>
      </c>
      <c r="AI238">
        <v>1</v>
      </c>
      <c r="AJ238" t="s">
        <v>156</v>
      </c>
      <c r="AK238" t="s">
        <v>130</v>
      </c>
      <c r="AL238">
        <v>892</v>
      </c>
      <c r="AM238" t="s">
        <v>157</v>
      </c>
      <c r="AN238" t="s">
        <v>158</v>
      </c>
      <c r="AO238">
        <v>3</v>
      </c>
      <c r="AP238">
        <v>2100</v>
      </c>
      <c r="AQ238">
        <v>0</v>
      </c>
      <c r="AR238">
        <v>370</v>
      </c>
      <c r="AS238">
        <v>2500</v>
      </c>
      <c r="AT238" t="s">
        <v>132</v>
      </c>
      <c r="AU238">
        <v>1</v>
      </c>
      <c r="AV238">
        <v>1</v>
      </c>
      <c r="AW238">
        <v>1</v>
      </c>
      <c r="BE238">
        <v>2.6</v>
      </c>
      <c r="BF238">
        <v>0</v>
      </c>
      <c r="BG238">
        <v>0</v>
      </c>
      <c r="BH238" s="1">
        <v>44319</v>
      </c>
      <c r="BI238" t="s">
        <v>441</v>
      </c>
      <c r="BJ238">
        <v>1945</v>
      </c>
      <c r="BK238" t="s">
        <v>119</v>
      </c>
      <c r="BL238" t="s">
        <v>128</v>
      </c>
      <c r="BM238">
        <v>2500</v>
      </c>
      <c r="BN238">
        <v>1</v>
      </c>
      <c r="BO238">
        <v>5</v>
      </c>
      <c r="BP238">
        <v>3</v>
      </c>
      <c r="BQ238">
        <v>892</v>
      </c>
      <c r="BR238">
        <v>760</v>
      </c>
      <c r="BS238">
        <v>38.116087999000101</v>
      </c>
      <c r="BT238">
        <v>-82.587391694000004</v>
      </c>
      <c r="BU238">
        <v>1.7115479</v>
      </c>
      <c r="BV238">
        <v>-1.2884521484375</v>
      </c>
      <c r="BW238">
        <v>1</v>
      </c>
      <c r="BX238" t="s">
        <v>134</v>
      </c>
      <c r="BY238">
        <v>129</v>
      </c>
      <c r="BZ238">
        <v>2.1346435546875</v>
      </c>
      <c r="CA238">
        <v>53.3660888671875</v>
      </c>
      <c r="CB238">
        <v>1250</v>
      </c>
      <c r="CC238">
        <v>45</v>
      </c>
      <c r="CD238">
        <v>2.84619140625</v>
      </c>
      <c r="CE238">
        <v>35.577392578125</v>
      </c>
      <c r="CF238">
        <v>0</v>
      </c>
      <c r="CG238">
        <v>0</v>
      </c>
      <c r="CH238">
        <v>0</v>
      </c>
      <c r="CI238">
        <v>0</v>
      </c>
      <c r="CO238">
        <v>0</v>
      </c>
      <c r="CP238">
        <v>0</v>
      </c>
      <c r="CQ238" t="s">
        <v>779</v>
      </c>
      <c r="CR238" t="s">
        <v>183</v>
      </c>
      <c r="CS238" t="s">
        <v>138</v>
      </c>
      <c r="CT238" t="s">
        <v>139</v>
      </c>
      <c r="CU238" t="s">
        <v>267</v>
      </c>
      <c r="CW238">
        <v>2</v>
      </c>
      <c r="CX238" t="s">
        <v>780</v>
      </c>
      <c r="CY238" t="s">
        <v>781</v>
      </c>
      <c r="CZ238" t="s">
        <v>792</v>
      </c>
      <c r="DA238" t="s">
        <v>782</v>
      </c>
      <c r="DB238">
        <v>0</v>
      </c>
      <c r="DC238">
        <v>2500</v>
      </c>
    </row>
    <row r="239" spans="1:107" x14ac:dyDescent="0.25">
      <c r="A239" t="s">
        <v>845</v>
      </c>
      <c r="B239" t="s">
        <v>108</v>
      </c>
      <c r="C239" t="s">
        <v>846</v>
      </c>
      <c r="D239" t="s">
        <v>847</v>
      </c>
      <c r="F239" s="3" t="str">
        <f>HYPERLINK("https://mapwv.gov/flood/map/?wkid=102100&amp;x=-9171137.987900304&amp;y=4601970.174150006&amp;l=13&amp;v=2","FT")</f>
        <v>FT</v>
      </c>
      <c r="G239" s="3" t="str">
        <f>HYPERLINK("https://mapwv.gov/Assessment/Detail/?PID=50090021006600000000","Assessment")</f>
        <v>Assessment</v>
      </c>
      <c r="H239">
        <v>540200</v>
      </c>
      <c r="I239" t="s">
        <v>773</v>
      </c>
      <c r="J239" t="s">
        <v>774</v>
      </c>
      <c r="K239" t="s">
        <v>148</v>
      </c>
      <c r="L239" t="s">
        <v>715</v>
      </c>
      <c r="M239" t="s">
        <v>532</v>
      </c>
      <c r="N239" t="s">
        <v>149</v>
      </c>
      <c r="O239" t="s">
        <v>117</v>
      </c>
      <c r="P239" t="s">
        <v>150</v>
      </c>
      <c r="Q239" t="s">
        <v>119</v>
      </c>
      <c r="R239">
        <v>9.8000000000000007</v>
      </c>
      <c r="S239" t="s">
        <v>120</v>
      </c>
      <c r="T239">
        <v>636.70000000000005</v>
      </c>
      <c r="U239" t="s">
        <v>121</v>
      </c>
      <c r="V239">
        <v>628.5</v>
      </c>
      <c r="X239" t="s">
        <v>848</v>
      </c>
      <c r="Y239" t="s">
        <v>849</v>
      </c>
      <c r="Z239">
        <v>1940</v>
      </c>
      <c r="AA239" t="s">
        <v>124</v>
      </c>
      <c r="AB239" t="s">
        <v>155</v>
      </c>
      <c r="AC239" t="s">
        <v>129</v>
      </c>
      <c r="AD239">
        <v>2</v>
      </c>
      <c r="AE239">
        <v>101</v>
      </c>
      <c r="AF239" t="s">
        <v>127</v>
      </c>
      <c r="AG239" t="s">
        <v>128</v>
      </c>
      <c r="AH239" t="s">
        <v>129</v>
      </c>
      <c r="AI239">
        <v>1</v>
      </c>
      <c r="AJ239" t="s">
        <v>156</v>
      </c>
      <c r="AK239" t="s">
        <v>130</v>
      </c>
      <c r="AL239">
        <v>496</v>
      </c>
      <c r="AM239" t="s">
        <v>206</v>
      </c>
      <c r="AN239" t="s">
        <v>131</v>
      </c>
      <c r="AO239">
        <v>1</v>
      </c>
      <c r="AP239">
        <v>2500</v>
      </c>
      <c r="AQ239">
        <v>0</v>
      </c>
      <c r="AR239">
        <v>0</v>
      </c>
      <c r="AS239">
        <v>2500</v>
      </c>
      <c r="AT239" t="s">
        <v>132</v>
      </c>
      <c r="AU239">
        <v>1</v>
      </c>
      <c r="AV239">
        <v>0</v>
      </c>
      <c r="AW239">
        <v>1</v>
      </c>
      <c r="BE239">
        <v>2.6</v>
      </c>
      <c r="BF239">
        <v>1</v>
      </c>
      <c r="BG239">
        <v>2.6</v>
      </c>
      <c r="BH239" s="1">
        <v>44319</v>
      </c>
      <c r="BI239" t="s">
        <v>331</v>
      </c>
      <c r="BJ239">
        <v>1940</v>
      </c>
      <c r="BK239" t="s">
        <v>119</v>
      </c>
      <c r="BL239" t="s">
        <v>128</v>
      </c>
      <c r="BM239">
        <v>2500</v>
      </c>
      <c r="BN239">
        <v>1</v>
      </c>
      <c r="BO239">
        <v>7</v>
      </c>
      <c r="BP239">
        <v>1</v>
      </c>
      <c r="BQ239">
        <v>496</v>
      </c>
      <c r="BR239">
        <v>1019</v>
      </c>
      <c r="BS239">
        <v>38.159413776999997</v>
      </c>
      <c r="BT239">
        <v>-82.385734272999898</v>
      </c>
      <c r="BU239">
        <v>9.5528139999999997</v>
      </c>
      <c r="BV239">
        <v>8.5528135299682599</v>
      </c>
      <c r="BW239">
        <v>1</v>
      </c>
      <c r="BX239" t="s">
        <v>134</v>
      </c>
      <c r="BY239">
        <v>129</v>
      </c>
      <c r="BZ239">
        <v>69.211254119873004</v>
      </c>
      <c r="CA239">
        <v>1730.28135299682</v>
      </c>
      <c r="CB239">
        <v>1250</v>
      </c>
      <c r="CC239">
        <v>45</v>
      </c>
      <c r="CD239">
        <v>73.105627059936495</v>
      </c>
      <c r="CE239">
        <v>913.82033824920597</v>
      </c>
      <c r="CF239">
        <v>0</v>
      </c>
      <c r="CG239">
        <v>0</v>
      </c>
      <c r="CH239">
        <v>0</v>
      </c>
      <c r="CI239">
        <v>0</v>
      </c>
      <c r="CJ239" t="s">
        <v>850</v>
      </c>
      <c r="CK239">
        <v>3.3727999999999998</v>
      </c>
      <c r="CL239">
        <v>3.2240000000000002</v>
      </c>
      <c r="CM239">
        <v>12.4</v>
      </c>
      <c r="CN239">
        <v>18.9968</v>
      </c>
      <c r="CO239">
        <v>360</v>
      </c>
      <c r="CP239">
        <v>720</v>
      </c>
      <c r="CQ239" t="s">
        <v>779</v>
      </c>
      <c r="CR239" t="s">
        <v>183</v>
      </c>
      <c r="CS239" t="s">
        <v>138</v>
      </c>
      <c r="CT239" t="s">
        <v>139</v>
      </c>
      <c r="CU239" t="s">
        <v>274</v>
      </c>
      <c r="CW239">
        <v>2</v>
      </c>
      <c r="CX239" t="s">
        <v>780</v>
      </c>
      <c r="CY239" t="s">
        <v>781</v>
      </c>
      <c r="CZ239" t="s">
        <v>847</v>
      </c>
      <c r="DA239" t="s">
        <v>782</v>
      </c>
      <c r="DB239">
        <v>0</v>
      </c>
      <c r="DC239">
        <v>2500</v>
      </c>
    </row>
    <row r="240" spans="1:107" x14ac:dyDescent="0.25">
      <c r="A240" t="s">
        <v>1313</v>
      </c>
      <c r="B240" t="s">
        <v>108</v>
      </c>
      <c r="C240" t="s">
        <v>1314</v>
      </c>
      <c r="D240" t="s">
        <v>1315</v>
      </c>
      <c r="F240" s="3" t="str">
        <f>HYPERLINK("https://mapwv.gov/flood/map/?wkid=102100&amp;x=-9079883.01256016&amp;y=4629904.460743668&amp;l=13&amp;v=2","FT")</f>
        <v>FT</v>
      </c>
      <c r="G240" s="3" t="str">
        <f>HYPERLINK("https://mapwv.gov/Assessment/Detail/?PID=2023007A000800000000","Assessment")</f>
        <v>Assessment</v>
      </c>
      <c r="H240">
        <v>540070</v>
      </c>
      <c r="I240" t="s">
        <v>1306</v>
      </c>
      <c r="J240" t="s">
        <v>1282</v>
      </c>
      <c r="K240" t="s">
        <v>148</v>
      </c>
      <c r="L240" t="s">
        <v>1316</v>
      </c>
      <c r="M240" t="s">
        <v>172</v>
      </c>
      <c r="N240" t="s">
        <v>149</v>
      </c>
      <c r="O240" t="s">
        <v>117</v>
      </c>
      <c r="P240" t="s">
        <v>150</v>
      </c>
      <c r="Q240" t="s">
        <v>225</v>
      </c>
      <c r="R240" t="s">
        <v>151</v>
      </c>
      <c r="S240" t="s">
        <v>151</v>
      </c>
      <c r="T240" t="s">
        <v>151</v>
      </c>
      <c r="U240" t="s">
        <v>151</v>
      </c>
      <c r="V240">
        <v>692</v>
      </c>
      <c r="X240" t="s">
        <v>1317</v>
      </c>
      <c r="Y240" t="s">
        <v>1318</v>
      </c>
      <c r="Z240">
        <v>0</v>
      </c>
      <c r="AB240" t="s">
        <v>155</v>
      </c>
      <c r="AC240" t="s">
        <v>129</v>
      </c>
      <c r="AD240">
        <v>2</v>
      </c>
      <c r="AE240">
        <v>109</v>
      </c>
      <c r="AF240" t="s">
        <v>724</v>
      </c>
      <c r="AG240" t="s">
        <v>177</v>
      </c>
      <c r="AH240" t="s">
        <v>129</v>
      </c>
      <c r="AI240">
        <v>1</v>
      </c>
      <c r="AL240">
        <v>2000</v>
      </c>
      <c r="AN240" t="s">
        <v>158</v>
      </c>
      <c r="AO240">
        <v>3.5</v>
      </c>
      <c r="AP240">
        <v>0</v>
      </c>
      <c r="AQ240">
        <v>0</v>
      </c>
      <c r="AR240">
        <v>2540</v>
      </c>
      <c r="AS240">
        <v>50000</v>
      </c>
      <c r="AT240" t="s">
        <v>762</v>
      </c>
      <c r="AU240">
        <v>1</v>
      </c>
      <c r="AV240">
        <v>1</v>
      </c>
      <c r="AW240">
        <v>0</v>
      </c>
      <c r="BC240" t="s">
        <v>230</v>
      </c>
      <c r="BE240">
        <v>2.4</v>
      </c>
      <c r="BF240">
        <v>0</v>
      </c>
      <c r="BG240">
        <v>0</v>
      </c>
      <c r="BH240" s="1">
        <v>44362</v>
      </c>
      <c r="BI240" t="s">
        <v>159</v>
      </c>
      <c r="BJ240">
        <v>0</v>
      </c>
      <c r="BK240" t="s">
        <v>225</v>
      </c>
      <c r="BL240" t="s">
        <v>177</v>
      </c>
      <c r="BM240">
        <v>50000</v>
      </c>
      <c r="BN240">
        <v>1</v>
      </c>
      <c r="BO240">
        <v>5</v>
      </c>
      <c r="BP240">
        <v>3.5</v>
      </c>
      <c r="BQ240">
        <v>2000</v>
      </c>
      <c r="BR240">
        <v>4583</v>
      </c>
      <c r="BS240">
        <v>38.356457873000103</v>
      </c>
      <c r="BT240">
        <v>-81.565976882000001</v>
      </c>
      <c r="BU240">
        <v>0</v>
      </c>
      <c r="BV240">
        <v>-3.5</v>
      </c>
      <c r="BW240">
        <v>0</v>
      </c>
      <c r="BX240" t="s">
        <v>181</v>
      </c>
      <c r="BY240">
        <v>0</v>
      </c>
      <c r="BZ240">
        <v>0</v>
      </c>
      <c r="CA240">
        <v>0</v>
      </c>
      <c r="CB240">
        <v>25000</v>
      </c>
      <c r="CC240">
        <v>0</v>
      </c>
      <c r="CD240">
        <v>0</v>
      </c>
      <c r="CE240">
        <v>0</v>
      </c>
      <c r="CF240">
        <v>0</v>
      </c>
      <c r="CG240">
        <v>0</v>
      </c>
      <c r="CH240">
        <v>0</v>
      </c>
      <c r="CI240">
        <v>0</v>
      </c>
      <c r="CO240">
        <v>0</v>
      </c>
      <c r="CP240">
        <v>0</v>
      </c>
      <c r="CQ240" t="s">
        <v>1286</v>
      </c>
      <c r="CR240" t="s">
        <v>183</v>
      </c>
      <c r="CS240" t="s">
        <v>161</v>
      </c>
      <c r="CT240" t="s">
        <v>162</v>
      </c>
      <c r="CU240" t="s">
        <v>163</v>
      </c>
      <c r="CW240">
        <v>3</v>
      </c>
      <c r="CX240" t="s">
        <v>1312</v>
      </c>
      <c r="CY240" t="s">
        <v>1288</v>
      </c>
      <c r="CZ240" t="s">
        <v>1315</v>
      </c>
      <c r="DA240" t="s">
        <v>1289</v>
      </c>
      <c r="DB240">
        <v>0</v>
      </c>
      <c r="DC240">
        <v>2500</v>
      </c>
    </row>
    <row r="241" spans="1:107" x14ac:dyDescent="0.25">
      <c r="A241" t="s">
        <v>1326</v>
      </c>
      <c r="B241" t="s">
        <v>108</v>
      </c>
      <c r="C241" t="s">
        <v>1327</v>
      </c>
      <c r="D241" t="s">
        <v>1315</v>
      </c>
      <c r="E241" t="s">
        <v>1328</v>
      </c>
      <c r="F241" s="3" t="str">
        <f>HYPERLINK("https://mapwv.gov/flood/map/?wkid=102100&amp;x=-9079911.692579811&amp;y=4629920.470491098&amp;l=13&amp;v=2","FT")</f>
        <v>FT</v>
      </c>
      <c r="G241" s="3" t="str">
        <f>HYPERLINK("https://mapwv.gov/Assessment/Detail/?PID=2023007A000700000000","Assessment")</f>
        <v>Assessment</v>
      </c>
      <c r="H241">
        <v>540070</v>
      </c>
      <c r="I241" t="s">
        <v>1306</v>
      </c>
      <c r="J241" t="s">
        <v>1282</v>
      </c>
      <c r="K241" t="s">
        <v>148</v>
      </c>
      <c r="L241" t="s">
        <v>1316</v>
      </c>
      <c r="M241" t="s">
        <v>172</v>
      </c>
      <c r="N241" t="s">
        <v>149</v>
      </c>
      <c r="O241" t="s">
        <v>117</v>
      </c>
      <c r="P241" t="s">
        <v>150</v>
      </c>
      <c r="Q241" t="s">
        <v>260</v>
      </c>
      <c r="R241">
        <v>0.8</v>
      </c>
      <c r="S241" t="s">
        <v>120</v>
      </c>
      <c r="T241">
        <v>689.3</v>
      </c>
      <c r="U241" t="s">
        <v>121</v>
      </c>
      <c r="V241">
        <v>688.4</v>
      </c>
      <c r="X241" t="s">
        <v>1317</v>
      </c>
      <c r="Y241" t="s">
        <v>1329</v>
      </c>
      <c r="Z241">
        <v>1990</v>
      </c>
      <c r="AA241" t="s">
        <v>241</v>
      </c>
      <c r="AB241" t="s">
        <v>155</v>
      </c>
      <c r="AC241" t="s">
        <v>129</v>
      </c>
      <c r="AD241">
        <v>2</v>
      </c>
      <c r="AE241">
        <v>108</v>
      </c>
      <c r="AF241" t="s">
        <v>176</v>
      </c>
      <c r="AG241" t="s">
        <v>177</v>
      </c>
      <c r="AH241" t="s">
        <v>129</v>
      </c>
      <c r="AI241">
        <v>1</v>
      </c>
      <c r="AL241">
        <v>1152</v>
      </c>
      <c r="AN241" t="s">
        <v>158</v>
      </c>
      <c r="AO241">
        <v>4</v>
      </c>
      <c r="AP241">
        <v>0</v>
      </c>
      <c r="AQ241">
        <v>0</v>
      </c>
      <c r="AR241">
        <v>21380</v>
      </c>
      <c r="AS241">
        <v>21400</v>
      </c>
      <c r="AT241" t="s">
        <v>132</v>
      </c>
      <c r="AU241">
        <v>1</v>
      </c>
      <c r="AV241">
        <v>4</v>
      </c>
      <c r="AW241">
        <v>2</v>
      </c>
      <c r="BC241" t="s">
        <v>180</v>
      </c>
      <c r="BE241">
        <v>2.4</v>
      </c>
      <c r="BF241">
        <v>0</v>
      </c>
      <c r="BG241">
        <v>0</v>
      </c>
      <c r="BH241" s="1">
        <v>44362</v>
      </c>
      <c r="BI241" t="s">
        <v>331</v>
      </c>
      <c r="BJ241">
        <v>1990</v>
      </c>
      <c r="BK241" t="s">
        <v>260</v>
      </c>
      <c r="BL241" t="s">
        <v>177</v>
      </c>
      <c r="BM241">
        <v>21400</v>
      </c>
      <c r="BN241">
        <v>1</v>
      </c>
      <c r="BO241">
        <v>5</v>
      </c>
      <c r="BP241">
        <v>4</v>
      </c>
      <c r="BQ241">
        <v>1152</v>
      </c>
      <c r="BR241">
        <v>4573</v>
      </c>
      <c r="BS241">
        <v>38.356570650000002</v>
      </c>
      <c r="BT241">
        <v>-81.566234519000005</v>
      </c>
      <c r="BU241">
        <v>1.0227835999999999</v>
      </c>
      <c r="BV241">
        <v>-2.9772163629531798</v>
      </c>
      <c r="BW241">
        <v>1</v>
      </c>
      <c r="BX241" t="s">
        <v>181</v>
      </c>
      <c r="BY241">
        <v>189</v>
      </c>
      <c r="BZ241">
        <v>0</v>
      </c>
      <c r="CA241">
        <v>0</v>
      </c>
      <c r="CB241">
        <v>10700</v>
      </c>
      <c r="CC241">
        <v>74</v>
      </c>
      <c r="CD241">
        <v>0</v>
      </c>
      <c r="CE241">
        <v>0</v>
      </c>
      <c r="CF241">
        <v>0</v>
      </c>
      <c r="CG241">
        <v>0</v>
      </c>
      <c r="CH241">
        <v>0</v>
      </c>
      <c r="CI241">
        <v>0</v>
      </c>
      <c r="CO241">
        <v>0</v>
      </c>
      <c r="CP241">
        <v>0</v>
      </c>
      <c r="CQ241" t="s">
        <v>1286</v>
      </c>
      <c r="CR241" t="s">
        <v>183</v>
      </c>
      <c r="CS241" t="s">
        <v>138</v>
      </c>
      <c r="CT241" t="s">
        <v>139</v>
      </c>
      <c r="CU241" t="s">
        <v>163</v>
      </c>
      <c r="CW241">
        <v>3</v>
      </c>
      <c r="CX241" t="s">
        <v>1312</v>
      </c>
      <c r="CY241" t="s">
        <v>1288</v>
      </c>
      <c r="CZ241" t="s">
        <v>1315</v>
      </c>
      <c r="DA241" t="s">
        <v>1289</v>
      </c>
      <c r="DB241">
        <v>0</v>
      </c>
      <c r="DC241">
        <v>2500</v>
      </c>
    </row>
    <row r="242" spans="1:107" x14ac:dyDescent="0.25">
      <c r="A242" t="s">
        <v>622</v>
      </c>
      <c r="B242" t="s">
        <v>108</v>
      </c>
      <c r="C242" t="s">
        <v>623</v>
      </c>
      <c r="D242" t="s">
        <v>624</v>
      </c>
      <c r="F242" s="3" t="str">
        <f>HYPERLINK("https://mapwv.gov/flood/map/?wkid=102100&amp;x=-9037907.207776923&amp;y=4642778.379907246&amp;l=13&amp;v=2","FT")</f>
        <v>FT</v>
      </c>
      <c r="G242" s="3" t="str">
        <f>HYPERLINK("https://mapwv.gov/Assessment/Detail/?PID=08060014003500000000","Assessment")</f>
        <v>Assessment</v>
      </c>
      <c r="H242">
        <v>540022</v>
      </c>
      <c r="I242" t="s">
        <v>584</v>
      </c>
      <c r="J242" t="s">
        <v>585</v>
      </c>
      <c r="K242" t="s">
        <v>148</v>
      </c>
      <c r="L242" t="s">
        <v>596</v>
      </c>
      <c r="M242" t="s">
        <v>172</v>
      </c>
      <c r="N242" t="s">
        <v>199</v>
      </c>
      <c r="O242" t="s">
        <v>117</v>
      </c>
      <c r="P242" t="s">
        <v>150</v>
      </c>
      <c r="Q242" t="s">
        <v>225</v>
      </c>
      <c r="R242">
        <v>2.4</v>
      </c>
      <c r="S242" t="s">
        <v>120</v>
      </c>
      <c r="T242" t="s">
        <v>151</v>
      </c>
      <c r="U242" t="s">
        <v>151</v>
      </c>
      <c r="V242">
        <v>664.6</v>
      </c>
      <c r="X242" t="s">
        <v>625</v>
      </c>
      <c r="Y242" t="s">
        <v>626</v>
      </c>
      <c r="Z242">
        <v>0</v>
      </c>
      <c r="AB242" t="s">
        <v>155</v>
      </c>
      <c r="AC242" t="s">
        <v>129</v>
      </c>
      <c r="AD242">
        <v>3</v>
      </c>
      <c r="AE242">
        <v>101</v>
      </c>
      <c r="AF242" t="s">
        <v>127</v>
      </c>
      <c r="AG242" t="s">
        <v>177</v>
      </c>
      <c r="AH242" t="s">
        <v>129</v>
      </c>
      <c r="AI242">
        <v>1</v>
      </c>
      <c r="AL242">
        <v>1000</v>
      </c>
      <c r="AN242" t="s">
        <v>158</v>
      </c>
      <c r="AO242">
        <v>3.5</v>
      </c>
      <c r="AP242">
        <v>0</v>
      </c>
      <c r="AQ242">
        <v>0</v>
      </c>
      <c r="AR242">
        <v>2400</v>
      </c>
      <c r="AS242">
        <v>7000</v>
      </c>
      <c r="AT242" t="s">
        <v>228</v>
      </c>
      <c r="AU242">
        <v>1</v>
      </c>
      <c r="AV242">
        <v>0</v>
      </c>
      <c r="AW242">
        <v>1</v>
      </c>
      <c r="BC242" t="s">
        <v>230</v>
      </c>
      <c r="BD242" t="s">
        <v>614</v>
      </c>
      <c r="BE242">
        <v>2.6</v>
      </c>
      <c r="BF242">
        <v>1</v>
      </c>
      <c r="BG242">
        <v>2.6</v>
      </c>
      <c r="BH242" s="1">
        <v>44322</v>
      </c>
      <c r="BI242" t="s">
        <v>210</v>
      </c>
      <c r="BJ242">
        <v>0</v>
      </c>
      <c r="BK242" t="s">
        <v>225</v>
      </c>
      <c r="BL242" t="s">
        <v>177</v>
      </c>
      <c r="BM242">
        <v>7000</v>
      </c>
      <c r="BN242">
        <v>1</v>
      </c>
      <c r="BO242">
        <v>5</v>
      </c>
      <c r="BP242">
        <v>3.5</v>
      </c>
      <c r="BQ242">
        <v>1000</v>
      </c>
      <c r="BR242">
        <v>336</v>
      </c>
      <c r="BS242">
        <v>38.4470885100001</v>
      </c>
      <c r="BT242">
        <v>-81.188901811999898</v>
      </c>
      <c r="BU242">
        <v>2.4002075</v>
      </c>
      <c r="BV242">
        <v>-1.09979248046875</v>
      </c>
      <c r="BW242">
        <v>1</v>
      </c>
      <c r="BX242" t="s">
        <v>181</v>
      </c>
      <c r="BY242">
        <v>189</v>
      </c>
      <c r="BZ242">
        <v>0</v>
      </c>
      <c r="CA242">
        <v>0</v>
      </c>
      <c r="CB242">
        <v>3500</v>
      </c>
      <c r="CC242">
        <v>74</v>
      </c>
      <c r="CD242">
        <v>0</v>
      </c>
      <c r="CE242">
        <v>0</v>
      </c>
      <c r="CF242">
        <v>0</v>
      </c>
      <c r="CG242">
        <v>0</v>
      </c>
      <c r="CH242">
        <v>0</v>
      </c>
      <c r="CI242">
        <v>0</v>
      </c>
      <c r="CO242">
        <v>0</v>
      </c>
      <c r="CP242">
        <v>0</v>
      </c>
      <c r="CQ242" t="s">
        <v>589</v>
      </c>
      <c r="CR242" t="s">
        <v>183</v>
      </c>
      <c r="CS242" t="s">
        <v>138</v>
      </c>
      <c r="CT242" t="s">
        <v>139</v>
      </c>
      <c r="CU242" t="s">
        <v>163</v>
      </c>
      <c r="CW242">
        <v>3</v>
      </c>
      <c r="CX242" t="s">
        <v>590</v>
      </c>
      <c r="CY242" t="s">
        <v>591</v>
      </c>
      <c r="CZ242" t="s">
        <v>624</v>
      </c>
      <c r="DA242" t="s">
        <v>592</v>
      </c>
      <c r="DB242">
        <v>0</v>
      </c>
      <c r="DC242">
        <v>2400</v>
      </c>
    </row>
    <row r="243" spans="1:107" x14ac:dyDescent="0.25">
      <c r="A243" t="s">
        <v>1594</v>
      </c>
      <c r="B243" t="s">
        <v>108</v>
      </c>
      <c r="C243" t="s">
        <v>1595</v>
      </c>
      <c r="D243" t="s">
        <v>1596</v>
      </c>
      <c r="F243" s="3" t="str">
        <f>HYPERLINK("https://mapwv.gov/flood/map/?wkid=102100&amp;x=-9066562.131671742&amp;y=4641511.649870528&amp;l=13&amp;v=2","FT")</f>
        <v>FT</v>
      </c>
      <c r="G243" s="3" t="str">
        <f>HYPERLINK("https://mapwv.gov/Assessment/Detail/?PID=20150024005900000000","Assessment")</f>
        <v>Assessment</v>
      </c>
      <c r="H243">
        <v>540070</v>
      </c>
      <c r="I243" t="s">
        <v>1306</v>
      </c>
      <c r="J243" t="s">
        <v>1282</v>
      </c>
      <c r="K243" t="s">
        <v>148</v>
      </c>
      <c r="L243" t="s">
        <v>1545</v>
      </c>
      <c r="M243" t="s">
        <v>172</v>
      </c>
      <c r="N243" t="s">
        <v>199</v>
      </c>
      <c r="O243" t="s">
        <v>117</v>
      </c>
      <c r="P243" t="s">
        <v>150</v>
      </c>
      <c r="Q243" t="s">
        <v>225</v>
      </c>
      <c r="R243" t="s">
        <v>151</v>
      </c>
      <c r="S243" t="s">
        <v>151</v>
      </c>
      <c r="T243" t="s">
        <v>151</v>
      </c>
      <c r="U243" t="s">
        <v>151</v>
      </c>
      <c r="V243">
        <v>629.4</v>
      </c>
      <c r="X243" t="s">
        <v>1597</v>
      </c>
      <c r="Y243" t="s">
        <v>1598</v>
      </c>
      <c r="Z243">
        <v>0</v>
      </c>
      <c r="AB243" t="s">
        <v>155</v>
      </c>
      <c r="AC243" t="s">
        <v>129</v>
      </c>
      <c r="AD243">
        <v>3</v>
      </c>
      <c r="AE243">
        <v>111</v>
      </c>
      <c r="AG243" t="s">
        <v>177</v>
      </c>
      <c r="AH243" t="s">
        <v>129</v>
      </c>
      <c r="AI243">
        <v>1</v>
      </c>
      <c r="AL243">
        <v>2000</v>
      </c>
      <c r="AN243" t="s">
        <v>158</v>
      </c>
      <c r="AO243">
        <v>3.5</v>
      </c>
      <c r="AP243">
        <v>0</v>
      </c>
      <c r="AQ243">
        <v>0</v>
      </c>
      <c r="AR243">
        <v>2300</v>
      </c>
      <c r="AS243">
        <v>50000</v>
      </c>
      <c r="AT243" t="s">
        <v>762</v>
      </c>
      <c r="AU243">
        <v>1</v>
      </c>
      <c r="AV243">
        <v>1</v>
      </c>
      <c r="AW243">
        <v>1</v>
      </c>
      <c r="BC243" t="s">
        <v>230</v>
      </c>
      <c r="BE243">
        <v>2.4</v>
      </c>
      <c r="BF243">
        <v>0</v>
      </c>
      <c r="BG243">
        <v>0</v>
      </c>
      <c r="BH243" s="1">
        <v>44362</v>
      </c>
      <c r="BI243" t="s">
        <v>1599</v>
      </c>
      <c r="BJ243">
        <v>0</v>
      </c>
      <c r="BK243" t="s">
        <v>225</v>
      </c>
      <c r="BL243" t="s">
        <v>177</v>
      </c>
      <c r="BM243">
        <v>50000</v>
      </c>
      <c r="BN243">
        <v>1</v>
      </c>
      <c r="BO243">
        <v>5</v>
      </c>
      <c r="BP243">
        <v>3.5</v>
      </c>
      <c r="BQ243">
        <v>2000</v>
      </c>
      <c r="BR243">
        <v>7403</v>
      </c>
      <c r="BS243">
        <v>38.438175944000101</v>
      </c>
      <c r="BT243">
        <v>-81.446313372999896</v>
      </c>
      <c r="BU243">
        <v>0</v>
      </c>
      <c r="BV243">
        <v>-3.5</v>
      </c>
      <c r="BW243">
        <v>0</v>
      </c>
      <c r="BX243" t="s">
        <v>181</v>
      </c>
      <c r="BY243">
        <v>0</v>
      </c>
      <c r="BZ243">
        <v>0</v>
      </c>
      <c r="CA243">
        <v>0</v>
      </c>
      <c r="CB243">
        <v>25000</v>
      </c>
      <c r="CC243">
        <v>0</v>
      </c>
      <c r="CD243">
        <v>0</v>
      </c>
      <c r="CE243">
        <v>0</v>
      </c>
      <c r="CF243">
        <v>0</v>
      </c>
      <c r="CG243">
        <v>0</v>
      </c>
      <c r="CH243">
        <v>0</v>
      </c>
      <c r="CI243">
        <v>0</v>
      </c>
      <c r="CO243">
        <v>0</v>
      </c>
      <c r="CP243">
        <v>0</v>
      </c>
      <c r="CQ243" t="s">
        <v>1286</v>
      </c>
      <c r="CR243" t="s">
        <v>183</v>
      </c>
      <c r="CS243" t="s">
        <v>161</v>
      </c>
      <c r="CT243" t="s">
        <v>162</v>
      </c>
      <c r="CU243" t="s">
        <v>163</v>
      </c>
      <c r="CW243">
        <v>3</v>
      </c>
      <c r="CX243" t="s">
        <v>1312</v>
      </c>
      <c r="CY243" t="s">
        <v>1288</v>
      </c>
      <c r="CZ243" t="s">
        <v>1596</v>
      </c>
      <c r="DA243" t="s">
        <v>1289</v>
      </c>
      <c r="DB243">
        <v>0</v>
      </c>
      <c r="DC243">
        <v>2300</v>
      </c>
    </row>
    <row r="244" spans="1:107" x14ac:dyDescent="0.25">
      <c r="A244" t="s">
        <v>1411</v>
      </c>
      <c r="B244" t="s">
        <v>108</v>
      </c>
      <c r="C244" t="s">
        <v>1412</v>
      </c>
      <c r="D244" t="s">
        <v>1413</v>
      </c>
      <c r="F244" s="3" t="str">
        <f>HYPERLINK("https://mapwv.gov/flood/map/?wkid=102100&amp;x=-9090250.108350065&amp;y=4631623.077434975&amp;l=13&amp;v=2","FT")</f>
        <v>FT</v>
      </c>
      <c r="G244" s="3" t="str">
        <f>HYPERLINK("https://mapwv.gov/Assessment/Detail/?PID=20120010050600000000","Assessment")</f>
        <v>Assessment</v>
      </c>
      <c r="H244">
        <v>540073</v>
      </c>
      <c r="I244" t="s">
        <v>1333</v>
      </c>
      <c r="J244" t="s">
        <v>1282</v>
      </c>
      <c r="K244" t="s">
        <v>113</v>
      </c>
      <c r="L244" t="s">
        <v>1283</v>
      </c>
      <c r="M244" t="s">
        <v>909</v>
      </c>
      <c r="N244" t="s">
        <v>704</v>
      </c>
      <c r="O244" t="s">
        <v>117</v>
      </c>
      <c r="P244" t="s">
        <v>118</v>
      </c>
      <c r="Q244" t="s">
        <v>119</v>
      </c>
      <c r="R244">
        <v>0.2</v>
      </c>
      <c r="S244" t="s">
        <v>120</v>
      </c>
      <c r="T244" t="s">
        <v>151</v>
      </c>
      <c r="U244" t="s">
        <v>151</v>
      </c>
      <c r="V244">
        <v>593.20000000000005</v>
      </c>
      <c r="X244" t="s">
        <v>1414</v>
      </c>
      <c r="Y244" t="s">
        <v>1415</v>
      </c>
      <c r="Z244">
        <v>1920</v>
      </c>
      <c r="AA244" t="s">
        <v>318</v>
      </c>
      <c r="AB244" t="s">
        <v>175</v>
      </c>
      <c r="AC244" t="s">
        <v>288</v>
      </c>
      <c r="AD244">
        <v>4</v>
      </c>
      <c r="AE244">
        <v>373</v>
      </c>
      <c r="AF244" t="s">
        <v>1347</v>
      </c>
      <c r="AG244" t="s">
        <v>483</v>
      </c>
      <c r="AH244" t="s">
        <v>288</v>
      </c>
      <c r="AI244">
        <v>1</v>
      </c>
      <c r="AJ244" t="s">
        <v>156</v>
      </c>
      <c r="AL244">
        <v>794</v>
      </c>
      <c r="AM244" t="s">
        <v>206</v>
      </c>
      <c r="AN244" t="s">
        <v>131</v>
      </c>
      <c r="AO244">
        <v>1</v>
      </c>
      <c r="AP244">
        <v>0</v>
      </c>
      <c r="AQ244">
        <v>2200</v>
      </c>
      <c r="AR244">
        <v>0</v>
      </c>
      <c r="AS244">
        <v>2200</v>
      </c>
      <c r="AT244" t="s">
        <v>132</v>
      </c>
      <c r="AU244">
        <v>1</v>
      </c>
      <c r="AV244">
        <v>0</v>
      </c>
      <c r="AW244">
        <v>0</v>
      </c>
      <c r="BC244" t="s">
        <v>209</v>
      </c>
      <c r="BE244">
        <v>2.1</v>
      </c>
      <c r="BF244">
        <v>0</v>
      </c>
      <c r="BG244">
        <v>0</v>
      </c>
      <c r="BH244" s="1">
        <v>44362</v>
      </c>
      <c r="BI244" t="s">
        <v>707</v>
      </c>
      <c r="BJ244">
        <v>1920</v>
      </c>
      <c r="BK244" t="s">
        <v>119</v>
      </c>
      <c r="BL244" t="s">
        <v>483</v>
      </c>
      <c r="BM244">
        <v>2200</v>
      </c>
      <c r="BN244">
        <v>1</v>
      </c>
      <c r="BO244">
        <v>7</v>
      </c>
      <c r="BP244">
        <v>1</v>
      </c>
      <c r="BQ244">
        <v>794</v>
      </c>
      <c r="BR244">
        <v>10782</v>
      </c>
      <c r="BS244">
        <v>38.368563272000102</v>
      </c>
      <c r="BT244">
        <v>-81.659106088000001</v>
      </c>
      <c r="BU244">
        <v>0.25</v>
      </c>
      <c r="BV244">
        <v>-0.75</v>
      </c>
      <c r="BW244">
        <v>1</v>
      </c>
      <c r="BX244" t="s">
        <v>484</v>
      </c>
      <c r="BY244">
        <v>217</v>
      </c>
      <c r="BZ244">
        <v>0.25</v>
      </c>
      <c r="CA244">
        <v>5.5</v>
      </c>
      <c r="CB244">
        <v>2200</v>
      </c>
      <c r="CC244">
        <v>90</v>
      </c>
      <c r="CD244">
        <v>0.5</v>
      </c>
      <c r="CE244">
        <v>11</v>
      </c>
      <c r="CF244">
        <v>5470.6599999999899</v>
      </c>
      <c r="CG244">
        <v>1</v>
      </c>
      <c r="CH244">
        <v>1</v>
      </c>
      <c r="CI244">
        <v>54.706600000000002</v>
      </c>
      <c r="CO244">
        <v>0</v>
      </c>
      <c r="CP244">
        <v>0</v>
      </c>
      <c r="CQ244" t="s">
        <v>1286</v>
      </c>
      <c r="CR244" t="s">
        <v>1416</v>
      </c>
      <c r="CS244" t="s">
        <v>138</v>
      </c>
      <c r="CT244" t="s">
        <v>139</v>
      </c>
      <c r="CU244" t="s">
        <v>163</v>
      </c>
      <c r="CW244">
        <v>3</v>
      </c>
      <c r="CX244" t="s">
        <v>1338</v>
      </c>
      <c r="CY244" t="s">
        <v>1288</v>
      </c>
      <c r="CZ244" t="s">
        <v>1413</v>
      </c>
      <c r="DA244" t="s">
        <v>1289</v>
      </c>
      <c r="DB244">
        <v>0</v>
      </c>
      <c r="DC244">
        <v>2200</v>
      </c>
    </row>
    <row r="245" spans="1:107" x14ac:dyDescent="0.25">
      <c r="A245" t="s">
        <v>1817</v>
      </c>
      <c r="B245" t="s">
        <v>108</v>
      </c>
      <c r="C245" t="s">
        <v>1818</v>
      </c>
      <c r="D245" t="s">
        <v>1819</v>
      </c>
      <c r="F245" s="3" t="str">
        <f>HYPERLINK("https://mapwv.gov/flood/map/?wkid=102100&amp;x=-9027065.708614916&amp;y=4711204.588617142&amp;l=13&amp;v=2","FT")</f>
        <v>FT</v>
      </c>
      <c r="G245" s="3" t="str">
        <f>HYPERLINK("https://mapwv.gov/Assessment/Detail/?PID=07020001001400000000","Assessment")</f>
        <v>Assessment</v>
      </c>
      <c r="H245">
        <v>540021</v>
      </c>
      <c r="I245" t="s">
        <v>1820</v>
      </c>
      <c r="J245" t="s">
        <v>1821</v>
      </c>
      <c r="K245" t="s">
        <v>113</v>
      </c>
      <c r="L245" t="s">
        <v>197</v>
      </c>
      <c r="M245" t="s">
        <v>198</v>
      </c>
      <c r="N245" t="s">
        <v>199</v>
      </c>
      <c r="O245" t="s">
        <v>117</v>
      </c>
      <c r="P245" t="s">
        <v>150</v>
      </c>
      <c r="Q245" t="s">
        <v>225</v>
      </c>
      <c r="R245">
        <v>3</v>
      </c>
      <c r="S245" t="s">
        <v>120</v>
      </c>
      <c r="T245">
        <v>695.5</v>
      </c>
      <c r="U245" t="s">
        <v>365</v>
      </c>
      <c r="V245">
        <v>692.5</v>
      </c>
      <c r="X245" t="s">
        <v>1822</v>
      </c>
      <c r="Y245" t="s">
        <v>1823</v>
      </c>
      <c r="Z245">
        <v>0</v>
      </c>
      <c r="AB245" t="s">
        <v>155</v>
      </c>
      <c r="AC245" t="s">
        <v>129</v>
      </c>
      <c r="AD245">
        <v>2</v>
      </c>
      <c r="AE245">
        <v>101</v>
      </c>
      <c r="AF245" t="s">
        <v>127</v>
      </c>
      <c r="AG245" t="s">
        <v>177</v>
      </c>
      <c r="AH245" t="s">
        <v>129</v>
      </c>
      <c r="AI245">
        <v>1</v>
      </c>
      <c r="AL245">
        <v>1000</v>
      </c>
      <c r="AN245" t="s">
        <v>158</v>
      </c>
      <c r="AO245">
        <v>3.5</v>
      </c>
      <c r="AP245">
        <v>0</v>
      </c>
      <c r="AQ245">
        <v>0</v>
      </c>
      <c r="AR245">
        <v>0</v>
      </c>
      <c r="AS245">
        <v>10000</v>
      </c>
      <c r="AT245" t="s">
        <v>228</v>
      </c>
      <c r="AU245">
        <v>1</v>
      </c>
      <c r="AV245">
        <v>0</v>
      </c>
      <c r="AW245">
        <v>1</v>
      </c>
      <c r="BC245" t="s">
        <v>230</v>
      </c>
      <c r="BE245">
        <v>2.7</v>
      </c>
      <c r="BF245">
        <v>1</v>
      </c>
      <c r="BG245">
        <v>2.7</v>
      </c>
      <c r="BH245" s="1">
        <v>44403</v>
      </c>
      <c r="BI245" t="s">
        <v>210</v>
      </c>
      <c r="BJ245">
        <v>0</v>
      </c>
      <c r="BK245" t="s">
        <v>225</v>
      </c>
      <c r="BL245" t="s">
        <v>177</v>
      </c>
      <c r="BM245">
        <v>10000</v>
      </c>
      <c r="BN245">
        <v>1</v>
      </c>
      <c r="BO245">
        <v>5</v>
      </c>
      <c r="BP245">
        <v>3.5</v>
      </c>
      <c r="BQ245">
        <v>1000</v>
      </c>
      <c r="BR245">
        <v>510</v>
      </c>
      <c r="BS245">
        <v>38.926889946000102</v>
      </c>
      <c r="BT245">
        <v>-81.091510967999895</v>
      </c>
      <c r="BU245">
        <v>3.0346679999999999</v>
      </c>
      <c r="BV245">
        <v>-0.46533203125</v>
      </c>
      <c r="BW245">
        <v>1</v>
      </c>
      <c r="BX245" t="s">
        <v>181</v>
      </c>
      <c r="BY245">
        <v>189</v>
      </c>
      <c r="BZ245">
        <v>5.88134765625</v>
      </c>
      <c r="CA245">
        <v>588.134765625</v>
      </c>
      <c r="CB245">
        <v>5000</v>
      </c>
      <c r="CC245">
        <v>74</v>
      </c>
      <c r="CD245">
        <v>1.60400390625</v>
      </c>
      <c r="CE245">
        <v>80.2001953125</v>
      </c>
      <c r="CF245">
        <v>0</v>
      </c>
      <c r="CG245">
        <v>0</v>
      </c>
      <c r="CH245">
        <v>0</v>
      </c>
      <c r="CI245">
        <v>0</v>
      </c>
      <c r="CO245">
        <v>0</v>
      </c>
      <c r="CP245">
        <v>0</v>
      </c>
      <c r="CQ245" t="s">
        <v>1824</v>
      </c>
      <c r="CR245" t="s">
        <v>183</v>
      </c>
      <c r="CS245" t="s">
        <v>138</v>
      </c>
      <c r="CT245" t="s">
        <v>139</v>
      </c>
      <c r="CU245" t="s">
        <v>267</v>
      </c>
      <c r="CW245">
        <v>5</v>
      </c>
      <c r="CX245" t="s">
        <v>1825</v>
      </c>
      <c r="CY245" t="s">
        <v>1826</v>
      </c>
      <c r="CZ245" t="s">
        <v>1819</v>
      </c>
      <c r="DA245" t="s">
        <v>1827</v>
      </c>
      <c r="DB245">
        <v>0</v>
      </c>
      <c r="DC245">
        <v>2200</v>
      </c>
    </row>
    <row r="246" spans="1:107" x14ac:dyDescent="0.25">
      <c r="A246" t="s">
        <v>268</v>
      </c>
      <c r="B246" t="s">
        <v>108</v>
      </c>
      <c r="C246" t="s">
        <v>269</v>
      </c>
      <c r="D246" t="s">
        <v>270</v>
      </c>
      <c r="F246" s="3" t="str">
        <f>HYPERLINK("https://mapwv.gov/flood/map/?wkid=102100&amp;x=-8869440.357467981&amp;y=4736078.127375967&amp;l=13&amp;v=2","FT")</f>
        <v>FT</v>
      </c>
      <c r="G246" s="3" t="str">
        <f>HYPERLINK("https://mapwv.gov/Assessment/Detail/?PID=47100005003400020000","Assessment")</f>
        <v>Assessment</v>
      </c>
      <c r="H246">
        <v>540194</v>
      </c>
      <c r="I246" t="s">
        <v>258</v>
      </c>
      <c r="J246" t="s">
        <v>246</v>
      </c>
      <c r="K246" t="s">
        <v>113</v>
      </c>
      <c r="L246" t="s">
        <v>259</v>
      </c>
      <c r="M246" t="s">
        <v>248</v>
      </c>
      <c r="N246" t="s">
        <v>199</v>
      </c>
      <c r="O246" t="s">
        <v>117</v>
      </c>
      <c r="P246" t="s">
        <v>150</v>
      </c>
      <c r="Q246" t="s">
        <v>119</v>
      </c>
      <c r="R246">
        <v>5</v>
      </c>
      <c r="S246" t="s">
        <v>120</v>
      </c>
      <c r="T246" t="s">
        <v>151</v>
      </c>
      <c r="U246" t="s">
        <v>151</v>
      </c>
      <c r="V246">
        <v>1643.4</v>
      </c>
      <c r="X246" t="s">
        <v>271</v>
      </c>
      <c r="Y246" t="s">
        <v>272</v>
      </c>
      <c r="Z246">
        <v>1977</v>
      </c>
      <c r="AA246" t="s">
        <v>241</v>
      </c>
      <c r="AB246" t="s">
        <v>155</v>
      </c>
      <c r="AC246" t="s">
        <v>129</v>
      </c>
      <c r="AD246">
        <v>4</v>
      </c>
      <c r="AE246">
        <v>108</v>
      </c>
      <c r="AF246" t="s">
        <v>176</v>
      </c>
      <c r="AG246" t="s">
        <v>177</v>
      </c>
      <c r="AH246" t="s">
        <v>129</v>
      </c>
      <c r="AI246">
        <v>1</v>
      </c>
      <c r="AL246">
        <v>910</v>
      </c>
      <c r="AN246" t="s">
        <v>158</v>
      </c>
      <c r="AO246">
        <v>3</v>
      </c>
      <c r="AP246">
        <v>0</v>
      </c>
      <c r="AQ246">
        <v>0</v>
      </c>
      <c r="AR246">
        <v>2070</v>
      </c>
      <c r="AS246">
        <v>12820</v>
      </c>
      <c r="AT246" t="s">
        <v>178</v>
      </c>
      <c r="AU246">
        <v>1</v>
      </c>
      <c r="AV246">
        <v>1</v>
      </c>
      <c r="AW246">
        <v>1</v>
      </c>
      <c r="BE246">
        <v>2.4</v>
      </c>
      <c r="BF246">
        <v>1</v>
      </c>
      <c r="BG246">
        <v>2.4</v>
      </c>
      <c r="BH246" s="1">
        <v>44284</v>
      </c>
      <c r="BI246" t="s">
        <v>210</v>
      </c>
      <c r="BJ246">
        <v>1977</v>
      </c>
      <c r="BK246" t="s">
        <v>119</v>
      </c>
      <c r="BL246" t="s">
        <v>177</v>
      </c>
      <c r="BM246">
        <v>12820</v>
      </c>
      <c r="BN246">
        <v>1</v>
      </c>
      <c r="BO246">
        <v>5</v>
      </c>
      <c r="BP246">
        <v>3</v>
      </c>
      <c r="BQ246">
        <v>910</v>
      </c>
      <c r="BR246">
        <v>476</v>
      </c>
      <c r="BS246">
        <v>39.100503842000101</v>
      </c>
      <c r="BT246">
        <v>-79.675538347</v>
      </c>
      <c r="BU246">
        <v>4.9680175999999996</v>
      </c>
      <c r="BV246">
        <v>1.968017578125</v>
      </c>
      <c r="BW246">
        <v>1</v>
      </c>
      <c r="BX246" t="s">
        <v>181</v>
      </c>
      <c r="BY246">
        <v>189</v>
      </c>
      <c r="BZ246">
        <v>62.392333984375</v>
      </c>
      <c r="CA246">
        <v>7998.6972167968697</v>
      </c>
      <c r="CB246">
        <v>6410</v>
      </c>
      <c r="CC246">
        <v>74</v>
      </c>
      <c r="CD246">
        <v>48.29638671875</v>
      </c>
      <c r="CE246">
        <v>3095.7983886718698</v>
      </c>
      <c r="CF246">
        <v>0</v>
      </c>
      <c r="CG246">
        <v>0</v>
      </c>
      <c r="CH246">
        <v>0</v>
      </c>
      <c r="CI246">
        <v>0</v>
      </c>
      <c r="CJ246" t="s">
        <v>273</v>
      </c>
      <c r="CK246">
        <v>5.915</v>
      </c>
      <c r="CL246">
        <v>9.1</v>
      </c>
      <c r="CM246">
        <v>10.92</v>
      </c>
      <c r="CN246">
        <v>25.934999999999999</v>
      </c>
      <c r="CO246">
        <v>360</v>
      </c>
      <c r="CP246">
        <v>720</v>
      </c>
      <c r="CQ246" t="s">
        <v>251</v>
      </c>
      <c r="CR246" t="s">
        <v>183</v>
      </c>
      <c r="CS246" t="s">
        <v>138</v>
      </c>
      <c r="CT246" t="s">
        <v>139</v>
      </c>
      <c r="CU246" t="s">
        <v>274</v>
      </c>
      <c r="CW246">
        <v>7</v>
      </c>
      <c r="CX246" t="s">
        <v>264</v>
      </c>
      <c r="CY246" t="s">
        <v>253</v>
      </c>
      <c r="CZ246" t="s">
        <v>270</v>
      </c>
      <c r="DA246" t="s">
        <v>254</v>
      </c>
      <c r="DB246">
        <v>0</v>
      </c>
      <c r="DC246">
        <v>2100</v>
      </c>
    </row>
    <row r="247" spans="1:107" x14ac:dyDescent="0.25">
      <c r="A247" t="s">
        <v>417</v>
      </c>
      <c r="B247" t="s">
        <v>108</v>
      </c>
      <c r="C247" t="s">
        <v>418</v>
      </c>
      <c r="D247" t="s">
        <v>419</v>
      </c>
      <c r="F247" s="3" t="str">
        <f>HYPERLINK("https://mapwv.gov/flood/map/?wkid=102100&amp;x=-8876682.829810387&amp;y=4694673.306861374&amp;l=13&amp;v=2","FT")</f>
        <v>FT</v>
      </c>
      <c r="G247" s="3" t="str">
        <f>HYPERLINK("https://mapwv.gov/Assessment/Detail/?PID=42020002001000000000","Assessment")</f>
        <v>Assessment</v>
      </c>
      <c r="H247">
        <v>540175</v>
      </c>
      <c r="I247" t="s">
        <v>409</v>
      </c>
      <c r="J247" t="s">
        <v>410</v>
      </c>
      <c r="K247" t="s">
        <v>148</v>
      </c>
      <c r="L247" t="s">
        <v>247</v>
      </c>
      <c r="M247" t="s">
        <v>248</v>
      </c>
      <c r="N247" t="s">
        <v>149</v>
      </c>
      <c r="O247" t="s">
        <v>117</v>
      </c>
      <c r="P247" t="s">
        <v>150</v>
      </c>
      <c r="Q247" t="s">
        <v>119</v>
      </c>
      <c r="R247" t="s">
        <v>151</v>
      </c>
      <c r="S247" t="s">
        <v>151</v>
      </c>
      <c r="T247" t="s">
        <v>151</v>
      </c>
      <c r="U247" t="s">
        <v>151</v>
      </c>
      <c r="V247">
        <v>2585</v>
      </c>
      <c r="X247" t="s">
        <v>420</v>
      </c>
      <c r="Y247" t="s">
        <v>421</v>
      </c>
      <c r="Z247">
        <v>1962</v>
      </c>
      <c r="AA247" t="s">
        <v>318</v>
      </c>
      <c r="AB247" t="s">
        <v>155</v>
      </c>
      <c r="AC247" t="s">
        <v>129</v>
      </c>
      <c r="AD247">
        <v>2</v>
      </c>
      <c r="AE247">
        <v>108</v>
      </c>
      <c r="AF247" t="s">
        <v>176</v>
      </c>
      <c r="AG247" t="s">
        <v>177</v>
      </c>
      <c r="AH247" t="s">
        <v>129</v>
      </c>
      <c r="AI247">
        <v>1</v>
      </c>
      <c r="AL247">
        <v>800</v>
      </c>
      <c r="AN247" t="s">
        <v>158</v>
      </c>
      <c r="AO247">
        <v>3</v>
      </c>
      <c r="AP247">
        <v>0</v>
      </c>
      <c r="AQ247">
        <v>0</v>
      </c>
      <c r="AR247">
        <v>2140</v>
      </c>
      <c r="AS247">
        <v>2100</v>
      </c>
      <c r="AT247" t="s">
        <v>132</v>
      </c>
      <c r="AU247">
        <v>1</v>
      </c>
      <c r="AV247">
        <v>1</v>
      </c>
      <c r="AW247">
        <v>1</v>
      </c>
      <c r="BE247">
        <v>2.4</v>
      </c>
      <c r="BF247">
        <v>0</v>
      </c>
      <c r="BG247">
        <v>0</v>
      </c>
      <c r="BH247" s="1">
        <v>44291</v>
      </c>
      <c r="BI247" t="s">
        <v>159</v>
      </c>
      <c r="BJ247">
        <v>1962</v>
      </c>
      <c r="BK247" t="s">
        <v>119</v>
      </c>
      <c r="BL247" t="s">
        <v>177</v>
      </c>
      <c r="BM247">
        <v>2100</v>
      </c>
      <c r="BN247">
        <v>1</v>
      </c>
      <c r="BO247">
        <v>5</v>
      </c>
      <c r="BP247">
        <v>3</v>
      </c>
      <c r="BQ247">
        <v>800</v>
      </c>
      <c r="BR247">
        <v>709</v>
      </c>
      <c r="BS247">
        <v>38.811268214999899</v>
      </c>
      <c r="BT247">
        <v>-79.740598582999894</v>
      </c>
      <c r="BU247">
        <v>0</v>
      </c>
      <c r="BV247">
        <v>-3</v>
      </c>
      <c r="BW247">
        <v>0</v>
      </c>
      <c r="BX247" t="s">
        <v>181</v>
      </c>
      <c r="BY247">
        <v>0</v>
      </c>
      <c r="BZ247">
        <v>0</v>
      </c>
      <c r="CA247">
        <v>0</v>
      </c>
      <c r="CB247">
        <v>1050</v>
      </c>
      <c r="CC247">
        <v>0</v>
      </c>
      <c r="CD247">
        <v>0</v>
      </c>
      <c r="CE247">
        <v>0</v>
      </c>
      <c r="CF247">
        <v>0</v>
      </c>
      <c r="CG247">
        <v>0</v>
      </c>
      <c r="CH247">
        <v>0</v>
      </c>
      <c r="CI247">
        <v>0</v>
      </c>
      <c r="CO247">
        <v>0</v>
      </c>
      <c r="CP247">
        <v>0</v>
      </c>
      <c r="CQ247" t="s">
        <v>413</v>
      </c>
      <c r="CR247" t="s">
        <v>183</v>
      </c>
      <c r="CS247" t="s">
        <v>161</v>
      </c>
      <c r="CT247" t="s">
        <v>139</v>
      </c>
      <c r="CU247" t="s">
        <v>163</v>
      </c>
      <c r="CW247">
        <v>7</v>
      </c>
      <c r="CX247" t="s">
        <v>414</v>
      </c>
      <c r="CY247" t="s">
        <v>415</v>
      </c>
      <c r="CZ247" t="s">
        <v>419</v>
      </c>
      <c r="DA247" t="s">
        <v>416</v>
      </c>
      <c r="DB247">
        <v>0</v>
      </c>
      <c r="DC247">
        <v>2100</v>
      </c>
    </row>
    <row r="248" spans="1:107" x14ac:dyDescent="0.25">
      <c r="A248" t="s">
        <v>744</v>
      </c>
      <c r="B248" t="s">
        <v>108</v>
      </c>
      <c r="C248" t="s">
        <v>745</v>
      </c>
      <c r="D248" t="s">
        <v>746</v>
      </c>
      <c r="F248" s="3" t="str">
        <f>HYPERLINK("https://mapwv.gov/flood/map/?wkid=102100&amp;x=-9140491.366845667&amp;y=4581085.409708879&amp;l=13&amp;v=2","FT")</f>
        <v>FT</v>
      </c>
      <c r="G248" s="3" t="str">
        <f>HYPERLINK("https://mapwv.gov/Assessment/Detail/?PID=22040034000900000000","Assessment")</f>
        <v>Assessment</v>
      </c>
      <c r="H248">
        <v>540088</v>
      </c>
      <c r="I248" t="s">
        <v>632</v>
      </c>
      <c r="J248" t="s">
        <v>633</v>
      </c>
      <c r="K248" t="s">
        <v>148</v>
      </c>
      <c r="L248" t="s">
        <v>747</v>
      </c>
      <c r="M248" t="s">
        <v>550</v>
      </c>
      <c r="N248" t="s">
        <v>149</v>
      </c>
      <c r="O248" t="s">
        <v>117</v>
      </c>
      <c r="P248" t="s">
        <v>150</v>
      </c>
      <c r="Q248" t="s">
        <v>225</v>
      </c>
      <c r="R248" t="s">
        <v>151</v>
      </c>
      <c r="S248" t="s">
        <v>151</v>
      </c>
      <c r="T248" t="s">
        <v>151</v>
      </c>
      <c r="U248" t="s">
        <v>151</v>
      </c>
      <c r="V248">
        <v>631.29999999999995</v>
      </c>
      <c r="X248" t="s">
        <v>748</v>
      </c>
      <c r="Y248" t="s">
        <v>749</v>
      </c>
      <c r="Z248">
        <v>0</v>
      </c>
      <c r="AB248" t="s">
        <v>155</v>
      </c>
      <c r="AC248" t="s">
        <v>129</v>
      </c>
      <c r="AD248">
        <v>2</v>
      </c>
      <c r="AE248">
        <v>101</v>
      </c>
      <c r="AF248" t="s">
        <v>127</v>
      </c>
      <c r="AG248" t="s">
        <v>177</v>
      </c>
      <c r="AH248" t="s">
        <v>129</v>
      </c>
      <c r="AI248">
        <v>1</v>
      </c>
      <c r="AL248">
        <v>1000</v>
      </c>
      <c r="AN248" t="s">
        <v>158</v>
      </c>
      <c r="AO248">
        <v>3.5</v>
      </c>
      <c r="AP248">
        <v>0</v>
      </c>
      <c r="AQ248">
        <v>0</v>
      </c>
      <c r="AR248">
        <v>0</v>
      </c>
      <c r="AS248">
        <v>18000</v>
      </c>
      <c r="AT248" t="s">
        <v>228</v>
      </c>
      <c r="AU248">
        <v>1</v>
      </c>
      <c r="AV248">
        <v>0</v>
      </c>
      <c r="AW248">
        <v>1</v>
      </c>
      <c r="BB248" t="s">
        <v>750</v>
      </c>
      <c r="BC248" t="s">
        <v>230</v>
      </c>
      <c r="BE248">
        <v>2.6</v>
      </c>
      <c r="BF248">
        <v>0</v>
      </c>
      <c r="BG248">
        <v>0</v>
      </c>
      <c r="BH248" s="1">
        <v>44319</v>
      </c>
      <c r="BI248" t="s">
        <v>159</v>
      </c>
      <c r="BJ248">
        <v>0</v>
      </c>
      <c r="BK248" t="s">
        <v>225</v>
      </c>
      <c r="BL248" t="s">
        <v>177</v>
      </c>
      <c r="BM248">
        <v>18000</v>
      </c>
      <c r="BN248">
        <v>1</v>
      </c>
      <c r="BO248">
        <v>5</v>
      </c>
      <c r="BP248">
        <v>3.5</v>
      </c>
      <c r="BQ248">
        <v>1000</v>
      </c>
      <c r="BR248">
        <v>86</v>
      </c>
      <c r="BS248">
        <v>38.011747048000103</v>
      </c>
      <c r="BT248">
        <v>-82.110430992000005</v>
      </c>
      <c r="BU248">
        <v>0</v>
      </c>
      <c r="BV248">
        <v>-3.5</v>
      </c>
      <c r="BW248">
        <v>0</v>
      </c>
      <c r="BX248" t="s">
        <v>181</v>
      </c>
      <c r="BY248">
        <v>0</v>
      </c>
      <c r="BZ248">
        <v>0</v>
      </c>
      <c r="CA248">
        <v>0</v>
      </c>
      <c r="CB248">
        <v>9000</v>
      </c>
      <c r="CC248">
        <v>0</v>
      </c>
      <c r="CD248">
        <v>0</v>
      </c>
      <c r="CE248">
        <v>0</v>
      </c>
      <c r="CF248">
        <v>0</v>
      </c>
      <c r="CG248">
        <v>0</v>
      </c>
      <c r="CH248">
        <v>0</v>
      </c>
      <c r="CI248">
        <v>0</v>
      </c>
      <c r="CO248">
        <v>0</v>
      </c>
      <c r="CP248">
        <v>0</v>
      </c>
      <c r="CQ248" t="s">
        <v>637</v>
      </c>
      <c r="CR248" t="s">
        <v>183</v>
      </c>
      <c r="CS248" t="s">
        <v>161</v>
      </c>
      <c r="CT248" t="s">
        <v>139</v>
      </c>
      <c r="CU248" t="s">
        <v>163</v>
      </c>
      <c r="CW248">
        <v>2</v>
      </c>
      <c r="CX248" t="s">
        <v>638</v>
      </c>
      <c r="CY248" t="s">
        <v>639</v>
      </c>
      <c r="CZ248" t="s">
        <v>746</v>
      </c>
      <c r="DA248" t="s">
        <v>640</v>
      </c>
      <c r="DB248">
        <v>0</v>
      </c>
      <c r="DC248">
        <v>2000</v>
      </c>
    </row>
    <row r="249" spans="1:107" x14ac:dyDescent="0.25">
      <c r="A249" t="s">
        <v>107</v>
      </c>
      <c r="B249" t="s">
        <v>108</v>
      </c>
      <c r="C249" t="s">
        <v>109</v>
      </c>
      <c r="D249" t="s">
        <v>110</v>
      </c>
      <c r="F249" s="3" t="str">
        <f>HYPERLINK("https://mapwv.gov/flood/map/?wkid=102100&amp;x=-8908089.272624785&amp;y=4769735.036646957&amp;l=13&amp;v=2","FT")</f>
        <v>FT</v>
      </c>
      <c r="G249" s="3" t="str">
        <f>HYPERLINK("https://mapwv.gov/Assessment/Detail/?PID=46010014002600000000","Assessment")</f>
        <v>Assessment</v>
      </c>
      <c r="H249">
        <v>540190</v>
      </c>
      <c r="I249" t="s">
        <v>111</v>
      </c>
      <c r="J249" t="s">
        <v>112</v>
      </c>
      <c r="K249" t="s">
        <v>113</v>
      </c>
      <c r="L249" t="s">
        <v>114</v>
      </c>
      <c r="M249" t="s">
        <v>115</v>
      </c>
      <c r="N249" t="s">
        <v>116</v>
      </c>
      <c r="O249" t="s">
        <v>117</v>
      </c>
      <c r="P249" t="s">
        <v>118</v>
      </c>
      <c r="Q249" t="s">
        <v>119</v>
      </c>
      <c r="R249">
        <v>2.8</v>
      </c>
      <c r="S249" t="s">
        <v>120</v>
      </c>
      <c r="T249">
        <v>989.1</v>
      </c>
      <c r="U249" t="s">
        <v>121</v>
      </c>
      <c r="V249">
        <v>986.1</v>
      </c>
      <c r="X249" t="s">
        <v>122</v>
      </c>
      <c r="Y249" t="s">
        <v>123</v>
      </c>
      <c r="Z249">
        <v>1900</v>
      </c>
      <c r="AA249" t="s">
        <v>124</v>
      </c>
      <c r="AB249" t="s">
        <v>125</v>
      </c>
      <c r="AC249" t="s">
        <v>126</v>
      </c>
      <c r="AD249">
        <v>4</v>
      </c>
      <c r="AE249">
        <v>101</v>
      </c>
      <c r="AF249" t="s">
        <v>127</v>
      </c>
      <c r="AG249" t="s">
        <v>128</v>
      </c>
      <c r="AH249" t="s">
        <v>129</v>
      </c>
      <c r="AI249">
        <v>1</v>
      </c>
      <c r="AK249" t="s">
        <v>130</v>
      </c>
      <c r="AL249">
        <v>830</v>
      </c>
      <c r="AN249" t="s">
        <v>131</v>
      </c>
      <c r="AO249">
        <v>1</v>
      </c>
      <c r="AP249">
        <v>1300</v>
      </c>
      <c r="AQ249">
        <v>0</v>
      </c>
      <c r="AR249">
        <v>0</v>
      </c>
      <c r="AS249">
        <v>1300</v>
      </c>
      <c r="AT249" t="s">
        <v>132</v>
      </c>
      <c r="AU249">
        <v>1</v>
      </c>
      <c r="AV249">
        <v>0</v>
      </c>
      <c r="AW249">
        <v>1</v>
      </c>
      <c r="BE249">
        <v>2.4</v>
      </c>
      <c r="BF249">
        <v>1</v>
      </c>
      <c r="BG249">
        <v>2.4</v>
      </c>
      <c r="BH249" s="1">
        <v>44286</v>
      </c>
      <c r="BI249" t="s">
        <v>133</v>
      </c>
      <c r="BJ249">
        <v>1900</v>
      </c>
      <c r="BK249" t="s">
        <v>119</v>
      </c>
      <c r="BL249" t="s">
        <v>128</v>
      </c>
      <c r="BM249">
        <v>1300</v>
      </c>
      <c r="BN249">
        <v>1</v>
      </c>
      <c r="BO249">
        <v>7</v>
      </c>
      <c r="BP249">
        <v>1</v>
      </c>
      <c r="BQ249">
        <v>830</v>
      </c>
      <c r="BR249">
        <v>297</v>
      </c>
      <c r="BS249">
        <v>39.334745384999998</v>
      </c>
      <c r="BT249">
        <v>-80.022727458999896</v>
      </c>
      <c r="BU249">
        <v>2.9423857</v>
      </c>
      <c r="BV249">
        <v>1.9423856735229399</v>
      </c>
      <c r="BW249">
        <v>1</v>
      </c>
      <c r="BX249" t="s">
        <v>134</v>
      </c>
      <c r="BY249">
        <v>129</v>
      </c>
      <c r="BZ249">
        <v>31.4814710617065</v>
      </c>
      <c r="CA249">
        <v>409.259123802185</v>
      </c>
      <c r="CB249">
        <v>650</v>
      </c>
      <c r="CC249">
        <v>45</v>
      </c>
      <c r="CD249">
        <v>35.4238567352294</v>
      </c>
      <c r="CE249">
        <v>230.25506877899099</v>
      </c>
      <c r="CF249">
        <v>0</v>
      </c>
      <c r="CG249">
        <v>0</v>
      </c>
      <c r="CH249">
        <v>0</v>
      </c>
      <c r="CI249">
        <v>0</v>
      </c>
      <c r="CJ249" t="s">
        <v>135</v>
      </c>
      <c r="CK249">
        <v>3.403</v>
      </c>
      <c r="CL249">
        <v>0</v>
      </c>
      <c r="CM249">
        <v>0</v>
      </c>
      <c r="CN249">
        <v>3.403</v>
      </c>
      <c r="CO249">
        <v>180</v>
      </c>
      <c r="CP249">
        <v>360</v>
      </c>
      <c r="CQ249" t="s">
        <v>136</v>
      </c>
      <c r="CR249" t="s">
        <v>137</v>
      </c>
      <c r="CS249" t="s">
        <v>138</v>
      </c>
      <c r="CT249" t="s">
        <v>139</v>
      </c>
      <c r="CU249" t="s">
        <v>140</v>
      </c>
      <c r="CW249">
        <v>6</v>
      </c>
      <c r="CX249" t="s">
        <v>141</v>
      </c>
      <c r="CY249" t="s">
        <v>142</v>
      </c>
      <c r="CZ249" t="s">
        <v>110</v>
      </c>
      <c r="DA249" t="s">
        <v>143</v>
      </c>
      <c r="DB249">
        <v>0</v>
      </c>
      <c r="DC249">
        <v>1300</v>
      </c>
    </row>
    <row r="250" spans="1:107" x14ac:dyDescent="0.25">
      <c r="A250" t="s">
        <v>615</v>
      </c>
      <c r="B250" t="s">
        <v>108</v>
      </c>
      <c r="C250" t="s">
        <v>616</v>
      </c>
      <c r="D250" t="s">
        <v>617</v>
      </c>
      <c r="E250" t="s">
        <v>618</v>
      </c>
      <c r="F250" s="3" t="str">
        <f>HYPERLINK("https://mapwv.gov/flood/map/?wkid=102100&amp;x=-9029715.307527542&amp;y=4634191.4150195075&amp;l=13&amp;v=2","FT")</f>
        <v>FT</v>
      </c>
      <c r="G250" s="3" t="str">
        <f>HYPERLINK("https://mapwv.gov/Assessment/Detail/?PID=08050014011300000000","Assessment")</f>
        <v>Assessment</v>
      </c>
      <c r="H250">
        <v>540022</v>
      </c>
      <c r="I250" t="s">
        <v>584</v>
      </c>
      <c r="J250" t="s">
        <v>585</v>
      </c>
      <c r="K250" t="s">
        <v>148</v>
      </c>
      <c r="L250" t="s">
        <v>619</v>
      </c>
      <c r="M250" t="s">
        <v>172</v>
      </c>
      <c r="N250" t="s">
        <v>199</v>
      </c>
      <c r="O250" t="s">
        <v>117</v>
      </c>
      <c r="P250" t="s">
        <v>150</v>
      </c>
      <c r="Q250" t="s">
        <v>119</v>
      </c>
      <c r="R250">
        <v>1</v>
      </c>
      <c r="S250" t="s">
        <v>120</v>
      </c>
      <c r="T250" t="s">
        <v>151</v>
      </c>
      <c r="U250" t="s">
        <v>151</v>
      </c>
      <c r="V250">
        <v>918.3</v>
      </c>
      <c r="X250" t="s">
        <v>620</v>
      </c>
      <c r="Y250" t="s">
        <v>621</v>
      </c>
      <c r="Z250">
        <v>1976</v>
      </c>
      <c r="AA250" t="s">
        <v>287</v>
      </c>
      <c r="AB250" t="s">
        <v>155</v>
      </c>
      <c r="AC250" t="s">
        <v>129</v>
      </c>
      <c r="AD250">
        <v>2</v>
      </c>
      <c r="AE250">
        <v>101</v>
      </c>
      <c r="AF250" t="s">
        <v>127</v>
      </c>
      <c r="AG250" t="s">
        <v>177</v>
      </c>
      <c r="AH250" t="s">
        <v>129</v>
      </c>
      <c r="AI250">
        <v>1</v>
      </c>
      <c r="AJ250" t="s">
        <v>156</v>
      </c>
      <c r="AK250" t="s">
        <v>130</v>
      </c>
      <c r="AL250">
        <v>1202</v>
      </c>
      <c r="AM250" t="s">
        <v>157</v>
      </c>
      <c r="AN250" t="s">
        <v>158</v>
      </c>
      <c r="AO250">
        <v>3</v>
      </c>
      <c r="AP250">
        <v>6500</v>
      </c>
      <c r="AQ250">
        <v>0</v>
      </c>
      <c r="AR250">
        <v>18370</v>
      </c>
      <c r="AS250">
        <v>14990</v>
      </c>
      <c r="AT250" t="s">
        <v>178</v>
      </c>
      <c r="AU250">
        <v>1</v>
      </c>
      <c r="AV250">
        <v>2</v>
      </c>
      <c r="AW250">
        <v>1</v>
      </c>
      <c r="BC250" t="s">
        <v>180</v>
      </c>
      <c r="BE250">
        <v>2.6</v>
      </c>
      <c r="BF250">
        <v>1</v>
      </c>
      <c r="BG250">
        <v>2.6</v>
      </c>
      <c r="BH250" s="1">
        <v>44322</v>
      </c>
      <c r="BI250" t="s">
        <v>210</v>
      </c>
      <c r="BJ250">
        <v>1976</v>
      </c>
      <c r="BK250" t="s">
        <v>119</v>
      </c>
      <c r="BL250" t="s">
        <v>177</v>
      </c>
      <c r="BM250">
        <v>14990</v>
      </c>
      <c r="BN250">
        <v>1</v>
      </c>
      <c r="BO250">
        <v>5</v>
      </c>
      <c r="BP250">
        <v>3</v>
      </c>
      <c r="BQ250">
        <v>1202</v>
      </c>
      <c r="BR250">
        <v>259</v>
      </c>
      <c r="BS250">
        <v>38.386650066000101</v>
      </c>
      <c r="BT250">
        <v>-81.115312720000006</v>
      </c>
      <c r="BU250">
        <v>1</v>
      </c>
      <c r="BV250">
        <v>-2</v>
      </c>
      <c r="BW250">
        <v>1</v>
      </c>
      <c r="BX250" t="s">
        <v>181</v>
      </c>
      <c r="BY250">
        <v>189</v>
      </c>
      <c r="BZ250">
        <v>0</v>
      </c>
      <c r="CA250">
        <v>0</v>
      </c>
      <c r="CB250">
        <v>7495</v>
      </c>
      <c r="CC250">
        <v>74</v>
      </c>
      <c r="CD250">
        <v>0</v>
      </c>
      <c r="CE250">
        <v>0</v>
      </c>
      <c r="CF250">
        <v>0</v>
      </c>
      <c r="CG250">
        <v>0</v>
      </c>
      <c r="CH250">
        <v>0</v>
      </c>
      <c r="CI250">
        <v>0</v>
      </c>
      <c r="CO250">
        <v>0</v>
      </c>
      <c r="CP250">
        <v>0</v>
      </c>
      <c r="CQ250" t="s">
        <v>589</v>
      </c>
      <c r="CR250" t="s">
        <v>183</v>
      </c>
      <c r="CS250" t="s">
        <v>138</v>
      </c>
      <c r="CT250" t="s">
        <v>139</v>
      </c>
      <c r="CU250" t="s">
        <v>163</v>
      </c>
      <c r="CW250">
        <v>3</v>
      </c>
      <c r="CX250" t="s">
        <v>590</v>
      </c>
      <c r="CY250" t="s">
        <v>591</v>
      </c>
      <c r="CZ250" t="s">
        <v>617</v>
      </c>
      <c r="DA250" t="s">
        <v>592</v>
      </c>
      <c r="DB250">
        <v>0</v>
      </c>
      <c r="DC250">
        <v>1000</v>
      </c>
    </row>
    <row r="251" spans="1:107" x14ac:dyDescent="0.25">
      <c r="A251" t="s">
        <v>1167</v>
      </c>
      <c r="B251" t="s">
        <v>108</v>
      </c>
      <c r="C251" t="s">
        <v>1168</v>
      </c>
      <c r="D251" t="s">
        <v>1169</v>
      </c>
      <c r="F251" s="3" t="str">
        <f>HYPERLINK("https://mapwv.gov/flood/map/?wkid=102100&amp;x=-9086403.832481133&amp;y=4594779.822772064&amp;l=13&amp;v=2","FT")</f>
        <v>FT</v>
      </c>
      <c r="G251" s="3" t="str">
        <f>HYPERLINK("https://mapwv.gov/Assessment/Detail/?PID=03060011003400020000","Assessment")</f>
        <v>Assessment</v>
      </c>
      <c r="H251">
        <v>540007</v>
      </c>
      <c r="I251" t="s">
        <v>1170</v>
      </c>
      <c r="J251" t="s">
        <v>1171</v>
      </c>
      <c r="K251" t="s">
        <v>148</v>
      </c>
      <c r="L251" t="s">
        <v>1172</v>
      </c>
      <c r="M251" t="s">
        <v>662</v>
      </c>
      <c r="N251" t="s">
        <v>199</v>
      </c>
      <c r="O251" t="s">
        <v>117</v>
      </c>
      <c r="P251" t="s">
        <v>150</v>
      </c>
      <c r="Q251" t="s">
        <v>225</v>
      </c>
      <c r="R251">
        <v>0.2</v>
      </c>
      <c r="S251" t="s">
        <v>120</v>
      </c>
      <c r="T251" t="s">
        <v>151</v>
      </c>
      <c r="U251" t="s">
        <v>151</v>
      </c>
      <c r="V251">
        <v>696.7</v>
      </c>
      <c r="X251" t="s">
        <v>1173</v>
      </c>
      <c r="Y251" t="s">
        <v>1174</v>
      </c>
      <c r="Z251">
        <v>0</v>
      </c>
      <c r="AB251" t="s">
        <v>155</v>
      </c>
      <c r="AC251" t="s">
        <v>129</v>
      </c>
      <c r="AD251">
        <v>2</v>
      </c>
      <c r="AE251">
        <v>109</v>
      </c>
      <c r="AF251" t="s">
        <v>724</v>
      </c>
      <c r="AG251" t="s">
        <v>177</v>
      </c>
      <c r="AH251" t="s">
        <v>129</v>
      </c>
      <c r="AI251">
        <v>1</v>
      </c>
      <c r="AL251">
        <v>1000</v>
      </c>
      <c r="AN251" t="s">
        <v>158</v>
      </c>
      <c r="AO251">
        <v>3.5</v>
      </c>
      <c r="AP251">
        <v>0</v>
      </c>
      <c r="AQ251">
        <v>0</v>
      </c>
      <c r="AR251">
        <v>0</v>
      </c>
      <c r="AS251">
        <v>28000</v>
      </c>
      <c r="AT251" t="s">
        <v>228</v>
      </c>
      <c r="AU251">
        <v>1</v>
      </c>
      <c r="AV251">
        <v>0</v>
      </c>
      <c r="AW251">
        <v>0</v>
      </c>
      <c r="BC251" t="s">
        <v>230</v>
      </c>
      <c r="BE251">
        <v>2.5</v>
      </c>
      <c r="BF251">
        <v>0</v>
      </c>
      <c r="BG251">
        <v>0</v>
      </c>
      <c r="BH251" s="1">
        <v>44362</v>
      </c>
      <c r="BI251" t="s">
        <v>210</v>
      </c>
      <c r="BJ251">
        <v>0</v>
      </c>
      <c r="BK251" t="s">
        <v>225</v>
      </c>
      <c r="BL251" t="s">
        <v>177</v>
      </c>
      <c r="BM251">
        <v>28000</v>
      </c>
      <c r="BN251">
        <v>1</v>
      </c>
      <c r="BO251">
        <v>5</v>
      </c>
      <c r="BP251">
        <v>3.5</v>
      </c>
      <c r="BQ251">
        <v>1000</v>
      </c>
      <c r="BR251">
        <v>2471</v>
      </c>
      <c r="BS251">
        <v>38.108607720999998</v>
      </c>
      <c r="BT251">
        <v>-81.624554403999895</v>
      </c>
      <c r="BU251">
        <v>0.55456539999999999</v>
      </c>
      <c r="BV251">
        <v>-2.9454345703125</v>
      </c>
      <c r="BW251">
        <v>1</v>
      </c>
      <c r="BX251" t="s">
        <v>181</v>
      </c>
      <c r="BY251">
        <v>189</v>
      </c>
      <c r="BZ251">
        <v>0</v>
      </c>
      <c r="CA251">
        <v>0</v>
      </c>
      <c r="CB251">
        <v>14000</v>
      </c>
      <c r="CC251">
        <v>74</v>
      </c>
      <c r="CD251">
        <v>0</v>
      </c>
      <c r="CE251">
        <v>0</v>
      </c>
      <c r="CF251">
        <v>0</v>
      </c>
      <c r="CG251">
        <v>0</v>
      </c>
      <c r="CH251">
        <v>0</v>
      </c>
      <c r="CI251">
        <v>0</v>
      </c>
      <c r="CO251">
        <v>0</v>
      </c>
      <c r="CP251">
        <v>0</v>
      </c>
      <c r="CQ251" t="s">
        <v>1175</v>
      </c>
      <c r="CR251" t="s">
        <v>183</v>
      </c>
      <c r="CS251" t="s">
        <v>138</v>
      </c>
      <c r="CT251" t="s">
        <v>139</v>
      </c>
      <c r="CU251" t="s">
        <v>163</v>
      </c>
      <c r="CW251">
        <v>3</v>
      </c>
      <c r="CX251" t="s">
        <v>1176</v>
      </c>
      <c r="CY251" t="s">
        <v>1177</v>
      </c>
      <c r="CZ251" t="s">
        <v>1169</v>
      </c>
      <c r="DA251" t="s">
        <v>1178</v>
      </c>
      <c r="DB251">
        <v>0</v>
      </c>
      <c r="DC251">
        <v>1000</v>
      </c>
    </row>
    <row r="252" spans="1:107" x14ac:dyDescent="0.25">
      <c r="A252" t="s">
        <v>1272</v>
      </c>
      <c r="B252" t="s">
        <v>108</v>
      </c>
      <c r="C252" t="s">
        <v>1273</v>
      </c>
      <c r="D252" t="s">
        <v>1274</v>
      </c>
      <c r="F252" s="3" t="str">
        <f>HYPERLINK("https://mapwv.gov/flood/map/?wkid=102100&amp;x=-9125214.801097985&amp;y=4518951.896488342&amp;l=13&amp;v=2","FT")</f>
        <v>FT</v>
      </c>
      <c r="G252" s="3" t="str">
        <f>HYPERLINK("https://mapwv.gov/Assessment/Detail/?PID=30090531002500000000","Assessment")</f>
        <v>Assessment</v>
      </c>
      <c r="H252">
        <v>540133</v>
      </c>
      <c r="I252" t="s">
        <v>1248</v>
      </c>
      <c r="J252" t="s">
        <v>1249</v>
      </c>
      <c r="K252" t="s">
        <v>148</v>
      </c>
      <c r="L252" t="s">
        <v>1275</v>
      </c>
      <c r="M252" t="s">
        <v>787</v>
      </c>
      <c r="N252" t="s">
        <v>149</v>
      </c>
      <c r="O252" t="s">
        <v>117</v>
      </c>
      <c r="P252" t="s">
        <v>150</v>
      </c>
      <c r="Q252" t="s">
        <v>260</v>
      </c>
      <c r="R252">
        <v>1.7</v>
      </c>
      <c r="S252" t="s">
        <v>120</v>
      </c>
      <c r="T252">
        <v>939.7</v>
      </c>
      <c r="U252" t="s">
        <v>121</v>
      </c>
      <c r="V252">
        <v>932.3</v>
      </c>
      <c r="X252" t="s">
        <v>1276</v>
      </c>
      <c r="Y252" t="s">
        <v>1277</v>
      </c>
      <c r="Z252">
        <v>9999</v>
      </c>
      <c r="AB252" t="s">
        <v>155</v>
      </c>
      <c r="AC252" t="s">
        <v>129</v>
      </c>
      <c r="AD252">
        <v>2</v>
      </c>
      <c r="AE252">
        <v>108</v>
      </c>
      <c r="AF252" t="s">
        <v>176</v>
      </c>
      <c r="AG252" t="s">
        <v>177</v>
      </c>
      <c r="AH252" t="s">
        <v>129</v>
      </c>
      <c r="AI252">
        <v>1</v>
      </c>
      <c r="AL252">
        <v>1000</v>
      </c>
      <c r="AN252" t="s">
        <v>158</v>
      </c>
      <c r="AO252">
        <v>4</v>
      </c>
      <c r="AP252">
        <v>0</v>
      </c>
      <c r="AQ252">
        <v>0</v>
      </c>
      <c r="AR252">
        <v>0</v>
      </c>
      <c r="AS252">
        <v>14000</v>
      </c>
      <c r="AT252" t="s">
        <v>228</v>
      </c>
      <c r="AU252">
        <v>1</v>
      </c>
      <c r="AV252">
        <v>0</v>
      </c>
      <c r="AW252">
        <v>1</v>
      </c>
      <c r="BC252" t="s">
        <v>230</v>
      </c>
      <c r="BE252">
        <v>2.4</v>
      </c>
      <c r="BF252">
        <v>1</v>
      </c>
      <c r="BG252">
        <v>2.4</v>
      </c>
      <c r="BH252" s="1">
        <v>44362</v>
      </c>
      <c r="BI252" t="s">
        <v>331</v>
      </c>
      <c r="BJ252">
        <v>9999</v>
      </c>
      <c r="BK252" t="s">
        <v>260</v>
      </c>
      <c r="BL252" t="s">
        <v>177</v>
      </c>
      <c r="BM252">
        <v>14000</v>
      </c>
      <c r="BN252">
        <v>1</v>
      </c>
      <c r="BO252">
        <v>5</v>
      </c>
      <c r="BP252">
        <v>4</v>
      </c>
      <c r="BQ252">
        <v>1000</v>
      </c>
      <c r="BR252">
        <v>143</v>
      </c>
      <c r="BS252">
        <v>37.5706681059999</v>
      </c>
      <c r="BT252">
        <v>-81.973199266999899</v>
      </c>
      <c r="BU252">
        <v>1.8514478999999999</v>
      </c>
      <c r="BV252">
        <v>-2.1485520601272499</v>
      </c>
      <c r="BW252">
        <v>1</v>
      </c>
      <c r="BX252" t="s">
        <v>181</v>
      </c>
      <c r="BY252">
        <v>189</v>
      </c>
      <c r="BZ252">
        <v>0</v>
      </c>
      <c r="CA252">
        <v>0</v>
      </c>
      <c r="CB252">
        <v>7000</v>
      </c>
      <c r="CC252">
        <v>74</v>
      </c>
      <c r="CD252">
        <v>0</v>
      </c>
      <c r="CE252">
        <v>0</v>
      </c>
      <c r="CF252">
        <v>0</v>
      </c>
      <c r="CG252">
        <v>0</v>
      </c>
      <c r="CH252">
        <v>0</v>
      </c>
      <c r="CI252">
        <v>0</v>
      </c>
      <c r="CO252">
        <v>0</v>
      </c>
      <c r="CP252">
        <v>0</v>
      </c>
      <c r="CQ252" t="s">
        <v>1253</v>
      </c>
      <c r="CR252" t="s">
        <v>183</v>
      </c>
      <c r="CS252" t="s">
        <v>138</v>
      </c>
      <c r="CT252" t="s">
        <v>139</v>
      </c>
      <c r="CU252" t="s">
        <v>163</v>
      </c>
      <c r="CW252">
        <v>2</v>
      </c>
      <c r="CX252" t="s">
        <v>1254</v>
      </c>
      <c r="CY252" t="s">
        <v>1255</v>
      </c>
      <c r="CZ252" t="s">
        <v>1274</v>
      </c>
      <c r="DA252" t="s">
        <v>1256</v>
      </c>
      <c r="DB252">
        <v>0</v>
      </c>
      <c r="DC252">
        <v>1000</v>
      </c>
    </row>
    <row r="253" spans="1:107" x14ac:dyDescent="0.25">
      <c r="A253" t="s">
        <v>1747</v>
      </c>
      <c r="B253" t="s">
        <v>108</v>
      </c>
      <c r="C253" t="s">
        <v>1748</v>
      </c>
      <c r="D253" t="s">
        <v>1749</v>
      </c>
      <c r="F253" s="3" t="str">
        <f>HYPERLINK("https://mapwv.gov/flood/map/?wkid=102100&amp;x=-9027685.84411728&amp;y=4558425.319483525&amp;l=13&amp;v=2","FT")</f>
        <v>FT</v>
      </c>
      <c r="G253" s="3" t="str">
        <f>HYPERLINK("https://mapwv.gov/Assessment/Detail/?PID=4111010A006100000000","Assessment")</f>
        <v>Assessment</v>
      </c>
      <c r="H253">
        <v>540169</v>
      </c>
      <c r="I253" t="s">
        <v>1731</v>
      </c>
      <c r="J253" t="s">
        <v>1732</v>
      </c>
      <c r="K253" t="s">
        <v>148</v>
      </c>
      <c r="L253" t="s">
        <v>1750</v>
      </c>
      <c r="M253" t="s">
        <v>1751</v>
      </c>
      <c r="N253" t="s">
        <v>149</v>
      </c>
      <c r="O253" t="s">
        <v>117</v>
      </c>
      <c r="P253" t="s">
        <v>150</v>
      </c>
      <c r="Q253" t="s">
        <v>225</v>
      </c>
      <c r="R253">
        <v>10.9</v>
      </c>
      <c r="S253" t="s">
        <v>120</v>
      </c>
      <c r="T253">
        <v>1170.5999999999999</v>
      </c>
      <c r="U253" t="s">
        <v>121</v>
      </c>
      <c r="V253">
        <v>1152.7</v>
      </c>
      <c r="X253" t="s">
        <v>1752</v>
      </c>
      <c r="Y253" t="s">
        <v>1753</v>
      </c>
      <c r="Z253">
        <v>0</v>
      </c>
      <c r="AB253" t="s">
        <v>155</v>
      </c>
      <c r="AC253" t="s">
        <v>129</v>
      </c>
      <c r="AD253">
        <v>3</v>
      </c>
      <c r="AE253">
        <v>100</v>
      </c>
      <c r="AF253" t="s">
        <v>1507</v>
      </c>
      <c r="AG253" t="s">
        <v>177</v>
      </c>
      <c r="AH253" t="s">
        <v>129</v>
      </c>
      <c r="AI253">
        <v>1</v>
      </c>
      <c r="AL253">
        <v>1000</v>
      </c>
      <c r="AN253" t="s">
        <v>158</v>
      </c>
      <c r="AO253">
        <v>3.5</v>
      </c>
      <c r="AP253">
        <v>0</v>
      </c>
      <c r="AQ253">
        <v>0</v>
      </c>
      <c r="AR253">
        <v>0</v>
      </c>
      <c r="AS253">
        <v>26000</v>
      </c>
      <c r="AT253" t="s">
        <v>228</v>
      </c>
      <c r="AU253">
        <v>1</v>
      </c>
      <c r="AV253">
        <v>0</v>
      </c>
      <c r="AW253">
        <v>0</v>
      </c>
      <c r="BA253" t="s">
        <v>1754</v>
      </c>
      <c r="BB253" t="s">
        <v>1746</v>
      </c>
      <c r="BC253" t="s">
        <v>230</v>
      </c>
      <c r="BE253">
        <v>2.4</v>
      </c>
      <c r="BF253">
        <v>0</v>
      </c>
      <c r="BG253">
        <v>0</v>
      </c>
      <c r="BH253" s="1">
        <v>44397</v>
      </c>
      <c r="BI253" t="s">
        <v>331</v>
      </c>
      <c r="BJ253">
        <v>0</v>
      </c>
      <c r="BK253" t="s">
        <v>225</v>
      </c>
      <c r="BL253" t="s">
        <v>177</v>
      </c>
      <c r="BM253">
        <v>26000</v>
      </c>
      <c r="BN253">
        <v>1</v>
      </c>
      <c r="BO253">
        <v>5</v>
      </c>
      <c r="BP253">
        <v>3.5</v>
      </c>
      <c r="BQ253">
        <v>1000</v>
      </c>
      <c r="BR253">
        <v>1474</v>
      </c>
      <c r="BS253">
        <v>37.851190657000103</v>
      </c>
      <c r="BT253">
        <v>-81.097081739999894</v>
      </c>
      <c r="BU253">
        <v>10.882973</v>
      </c>
      <c r="BV253">
        <v>7.38297271728515</v>
      </c>
      <c r="BW253">
        <v>1</v>
      </c>
      <c r="BX253" t="s">
        <v>181</v>
      </c>
      <c r="BY253">
        <v>189</v>
      </c>
      <c r="BZ253">
        <v>82.382972717285099</v>
      </c>
      <c r="CA253">
        <v>21419.572906494101</v>
      </c>
      <c r="CB253">
        <v>13000</v>
      </c>
      <c r="CC253">
        <v>74</v>
      </c>
      <c r="CD253">
        <v>79.765945434570298</v>
      </c>
      <c r="CE253">
        <v>10369.572906494101</v>
      </c>
      <c r="CF253">
        <v>0</v>
      </c>
      <c r="CG253">
        <v>0</v>
      </c>
      <c r="CH253">
        <v>0</v>
      </c>
      <c r="CI253">
        <v>0</v>
      </c>
      <c r="CJ253" t="s">
        <v>826</v>
      </c>
      <c r="CK253">
        <v>6.5</v>
      </c>
      <c r="CL253">
        <v>10</v>
      </c>
      <c r="CM253">
        <v>12</v>
      </c>
      <c r="CN253">
        <v>28.5</v>
      </c>
      <c r="CO253">
        <v>360</v>
      </c>
      <c r="CP253">
        <v>720</v>
      </c>
      <c r="CQ253" t="s">
        <v>1737</v>
      </c>
      <c r="CR253" t="s">
        <v>183</v>
      </c>
      <c r="CS253" t="s">
        <v>138</v>
      </c>
      <c r="CT253" t="s">
        <v>139</v>
      </c>
      <c r="CU253" t="s">
        <v>274</v>
      </c>
      <c r="CW253">
        <v>1</v>
      </c>
      <c r="CX253" t="s">
        <v>1738</v>
      </c>
      <c r="CY253" t="s">
        <v>1739</v>
      </c>
      <c r="CZ253" t="s">
        <v>1749</v>
      </c>
      <c r="DA253" t="s">
        <v>1740</v>
      </c>
      <c r="DB253">
        <v>0</v>
      </c>
      <c r="DC253">
        <v>800</v>
      </c>
    </row>
    <row r="254" spans="1:107" x14ac:dyDescent="0.25">
      <c r="A254" t="s">
        <v>521</v>
      </c>
      <c r="B254" t="s">
        <v>108</v>
      </c>
      <c r="C254" t="s">
        <v>522</v>
      </c>
      <c r="D254" t="s">
        <v>523</v>
      </c>
      <c r="F254" s="3" t="str">
        <f>HYPERLINK("https://mapwv.gov/flood/map/?wkid=102100&amp;x=-8921944.197527014&amp;y=4781627.9018152235&amp;l=13&amp;v=2","FT")</f>
        <v>FT</v>
      </c>
      <c r="G254" s="3" t="str">
        <f>HYPERLINK("https://mapwv.gov/Assessment/Detail/?PID=24180034008900000000","Assessment")</f>
        <v>Assessment</v>
      </c>
      <c r="H254">
        <v>540097</v>
      </c>
      <c r="I254" t="s">
        <v>490</v>
      </c>
      <c r="J254" t="s">
        <v>491</v>
      </c>
      <c r="K254" t="s">
        <v>148</v>
      </c>
      <c r="L254" t="s">
        <v>114</v>
      </c>
      <c r="M254" t="s">
        <v>115</v>
      </c>
      <c r="N254" t="s">
        <v>149</v>
      </c>
      <c r="O254" t="s">
        <v>117</v>
      </c>
      <c r="P254" t="s">
        <v>150</v>
      </c>
      <c r="Q254" t="s">
        <v>119</v>
      </c>
      <c r="R254">
        <v>2.2999999999999998</v>
      </c>
      <c r="S254" t="s">
        <v>120</v>
      </c>
      <c r="T254">
        <v>889.2</v>
      </c>
      <c r="U254" t="s">
        <v>121</v>
      </c>
      <c r="V254">
        <v>890.4</v>
      </c>
      <c r="X254" t="s">
        <v>524</v>
      </c>
      <c r="Y254" t="s">
        <v>525</v>
      </c>
      <c r="Z254">
        <v>1950</v>
      </c>
      <c r="AA254" t="s">
        <v>287</v>
      </c>
      <c r="AB254" t="s">
        <v>155</v>
      </c>
      <c r="AC254" t="s">
        <v>129</v>
      </c>
      <c r="AD254">
        <v>3</v>
      </c>
      <c r="AE254">
        <v>101</v>
      </c>
      <c r="AF254" t="s">
        <v>127</v>
      </c>
      <c r="AG254" t="s">
        <v>128</v>
      </c>
      <c r="AH254" t="s">
        <v>129</v>
      </c>
      <c r="AI254">
        <v>1</v>
      </c>
      <c r="AJ254" t="s">
        <v>156</v>
      </c>
      <c r="AK254" t="s">
        <v>320</v>
      </c>
      <c r="AL254">
        <v>688</v>
      </c>
      <c r="AM254" t="s">
        <v>157</v>
      </c>
      <c r="AN254" t="s">
        <v>158</v>
      </c>
      <c r="AO254">
        <v>3</v>
      </c>
      <c r="AP254">
        <v>700</v>
      </c>
      <c r="AQ254">
        <v>0</v>
      </c>
      <c r="AR254">
        <v>0</v>
      </c>
      <c r="AS254">
        <v>700</v>
      </c>
      <c r="AT254" t="s">
        <v>132</v>
      </c>
      <c r="AU254">
        <v>1</v>
      </c>
      <c r="AV254">
        <v>0</v>
      </c>
      <c r="AW254">
        <v>1</v>
      </c>
      <c r="BC254" t="s">
        <v>209</v>
      </c>
      <c r="BE254">
        <v>2.5</v>
      </c>
      <c r="BF254">
        <v>1</v>
      </c>
      <c r="BG254">
        <v>2.5</v>
      </c>
      <c r="BH254" s="1">
        <v>44291</v>
      </c>
      <c r="BI254" t="s">
        <v>331</v>
      </c>
      <c r="BJ254">
        <v>1950</v>
      </c>
      <c r="BK254" t="s">
        <v>119</v>
      </c>
      <c r="BL254" t="s">
        <v>128</v>
      </c>
      <c r="BM254">
        <v>700</v>
      </c>
      <c r="BN254">
        <v>1</v>
      </c>
      <c r="BO254">
        <v>5</v>
      </c>
      <c r="BP254">
        <v>3</v>
      </c>
      <c r="BQ254">
        <v>688</v>
      </c>
      <c r="BR254">
        <v>107</v>
      </c>
      <c r="BS254">
        <v>39.417329041999999</v>
      </c>
      <c r="BT254">
        <v>-80.147188366999899</v>
      </c>
      <c r="BU254">
        <v>2.4633994000000001</v>
      </c>
      <c r="BV254">
        <v>-0.53660058975219704</v>
      </c>
      <c r="BW254">
        <v>1</v>
      </c>
      <c r="BX254" t="s">
        <v>134</v>
      </c>
      <c r="BY254">
        <v>129</v>
      </c>
      <c r="BZ254">
        <v>7.6339941024780202</v>
      </c>
      <c r="CA254">
        <v>53.437958717346099</v>
      </c>
      <c r="CB254">
        <v>350</v>
      </c>
      <c r="CC254">
        <v>45</v>
      </c>
      <c r="CD254">
        <v>9.5607929229736293</v>
      </c>
      <c r="CE254">
        <v>33.462775230407701</v>
      </c>
      <c r="CF254">
        <v>0</v>
      </c>
      <c r="CG254">
        <v>0</v>
      </c>
      <c r="CH254">
        <v>0</v>
      </c>
      <c r="CI254">
        <v>0</v>
      </c>
      <c r="CO254">
        <v>0</v>
      </c>
      <c r="CP254">
        <v>0</v>
      </c>
      <c r="CQ254" t="s">
        <v>495</v>
      </c>
      <c r="CR254" t="s">
        <v>183</v>
      </c>
      <c r="CS254" t="s">
        <v>138</v>
      </c>
      <c r="CT254" t="s">
        <v>139</v>
      </c>
      <c r="CU254" t="s">
        <v>267</v>
      </c>
      <c r="CW254">
        <v>6</v>
      </c>
      <c r="CX254" t="s">
        <v>496</v>
      </c>
      <c r="CY254" t="s">
        <v>497</v>
      </c>
      <c r="CZ254" t="s">
        <v>523</v>
      </c>
      <c r="DA254" t="s">
        <v>498</v>
      </c>
      <c r="DB254">
        <v>0</v>
      </c>
      <c r="DC254">
        <v>700</v>
      </c>
    </row>
    <row r="255" spans="1:107" x14ac:dyDescent="0.25">
      <c r="A255" t="s">
        <v>1795</v>
      </c>
      <c r="B255" t="s">
        <v>108</v>
      </c>
      <c r="C255" t="s">
        <v>1796</v>
      </c>
      <c r="D255" t="s">
        <v>1797</v>
      </c>
      <c r="E255" t="s">
        <v>1798</v>
      </c>
      <c r="F255" s="3" t="str">
        <f>HYPERLINK("https://mapwv.gov/flood/map/?wkid=102100&amp;x=-9096318.251235265&amp;y=4483362.639042983&amp;l=13&amp;v=2","FT")</f>
        <v>FT</v>
      </c>
      <c r="G255" s="3" t="str">
        <f>HYPERLINK("https://mapwv.gov/Assessment/Detail/?PID=27030036003400000000","Assessment")</f>
        <v>Assessment</v>
      </c>
      <c r="H255">
        <v>540114</v>
      </c>
      <c r="I255" t="s">
        <v>1780</v>
      </c>
      <c r="J255" t="s">
        <v>1781</v>
      </c>
      <c r="K255" t="s">
        <v>148</v>
      </c>
      <c r="L255" t="s">
        <v>1792</v>
      </c>
      <c r="M255" t="s">
        <v>787</v>
      </c>
      <c r="N255" t="s">
        <v>199</v>
      </c>
      <c r="O255" t="s">
        <v>383</v>
      </c>
      <c r="P255" t="s">
        <v>150</v>
      </c>
      <c r="Q255" t="s">
        <v>119</v>
      </c>
      <c r="R255">
        <v>3.7</v>
      </c>
      <c r="S255" t="s">
        <v>120</v>
      </c>
      <c r="T255">
        <v>1306.2</v>
      </c>
      <c r="U255" t="s">
        <v>365</v>
      </c>
      <c r="V255">
        <v>1302.3</v>
      </c>
      <c r="X255" t="s">
        <v>1799</v>
      </c>
      <c r="Y255" t="s">
        <v>1800</v>
      </c>
      <c r="Z255">
        <v>1972</v>
      </c>
      <c r="AA255" t="s">
        <v>241</v>
      </c>
      <c r="AB255" t="s">
        <v>155</v>
      </c>
      <c r="AC255" t="s">
        <v>129</v>
      </c>
      <c r="AD255">
        <v>3</v>
      </c>
      <c r="AE255">
        <v>101</v>
      </c>
      <c r="AF255" t="s">
        <v>127</v>
      </c>
      <c r="AG255" t="s">
        <v>128</v>
      </c>
      <c r="AH255" t="s">
        <v>129</v>
      </c>
      <c r="AI255">
        <v>1</v>
      </c>
      <c r="AJ255" t="s">
        <v>156</v>
      </c>
      <c r="AK255" t="s">
        <v>130</v>
      </c>
      <c r="AL255">
        <v>800</v>
      </c>
      <c r="AM255" t="s">
        <v>206</v>
      </c>
      <c r="AN255" t="s">
        <v>131</v>
      </c>
      <c r="AO255">
        <v>1</v>
      </c>
      <c r="AP255">
        <v>9900</v>
      </c>
      <c r="AQ255">
        <v>0</v>
      </c>
      <c r="AR255">
        <v>0</v>
      </c>
      <c r="AS255">
        <v>9900</v>
      </c>
      <c r="AT255" t="s">
        <v>132</v>
      </c>
      <c r="AU255">
        <v>1</v>
      </c>
      <c r="AV255">
        <v>0</v>
      </c>
      <c r="AW255">
        <v>1</v>
      </c>
      <c r="BC255" t="s">
        <v>180</v>
      </c>
      <c r="BE255">
        <v>2.4</v>
      </c>
      <c r="BF255">
        <v>1</v>
      </c>
      <c r="BG255">
        <v>2.4</v>
      </c>
      <c r="BH255" s="1">
        <v>44399</v>
      </c>
      <c r="BI255" t="s">
        <v>384</v>
      </c>
      <c r="BJ255">
        <v>1972</v>
      </c>
      <c r="BK255" t="s">
        <v>119</v>
      </c>
      <c r="BL255" t="s">
        <v>128</v>
      </c>
      <c r="BM255">
        <v>9900</v>
      </c>
      <c r="BN255">
        <v>1</v>
      </c>
      <c r="BO255">
        <v>7</v>
      </c>
      <c r="BP255">
        <v>1</v>
      </c>
      <c r="BQ255">
        <v>800</v>
      </c>
      <c r="BR255">
        <v>477</v>
      </c>
      <c r="BS255">
        <v>37.3168395920001</v>
      </c>
      <c r="BT255">
        <v>-81.713617142999894</v>
      </c>
      <c r="BU255">
        <v>3.6914061999999999</v>
      </c>
      <c r="BV255">
        <v>2.69140625</v>
      </c>
      <c r="BW255">
        <v>1</v>
      </c>
      <c r="BX255" t="s">
        <v>134</v>
      </c>
      <c r="BY255">
        <v>129</v>
      </c>
      <c r="BZ255">
        <v>37.53125</v>
      </c>
      <c r="CA255">
        <v>3715.59375</v>
      </c>
      <c r="CB255">
        <v>4950</v>
      </c>
      <c r="CC255">
        <v>45</v>
      </c>
      <c r="CD255">
        <v>41.53125</v>
      </c>
      <c r="CE255">
        <v>2055.796875</v>
      </c>
      <c r="CF255">
        <v>0</v>
      </c>
      <c r="CG255">
        <v>0</v>
      </c>
      <c r="CH255">
        <v>0</v>
      </c>
      <c r="CI255">
        <v>0</v>
      </c>
      <c r="CJ255" t="s">
        <v>135</v>
      </c>
      <c r="CK255">
        <v>3.27999999999999</v>
      </c>
      <c r="CL255">
        <v>0</v>
      </c>
      <c r="CM255">
        <v>0</v>
      </c>
      <c r="CN255">
        <v>3.27999999999999</v>
      </c>
      <c r="CO255">
        <v>180</v>
      </c>
      <c r="CP255">
        <v>360</v>
      </c>
      <c r="CQ255" t="s">
        <v>1785</v>
      </c>
      <c r="CR255" t="s">
        <v>385</v>
      </c>
      <c r="CS255" t="s">
        <v>138</v>
      </c>
      <c r="CT255" t="s">
        <v>139</v>
      </c>
      <c r="CU255" t="s">
        <v>140</v>
      </c>
      <c r="CW255">
        <v>1</v>
      </c>
      <c r="CX255" t="s">
        <v>1786</v>
      </c>
      <c r="CY255" t="s">
        <v>1787</v>
      </c>
      <c r="CZ255" t="s">
        <v>1797</v>
      </c>
      <c r="DA255" t="s">
        <v>1788</v>
      </c>
      <c r="DB255">
        <v>0</v>
      </c>
      <c r="DC255">
        <v>400</v>
      </c>
    </row>
    <row r="256" spans="1:107" x14ac:dyDescent="0.25">
      <c r="A256" t="s">
        <v>1663</v>
      </c>
      <c r="B256" t="s">
        <v>108</v>
      </c>
      <c r="C256" t="s">
        <v>1664</v>
      </c>
      <c r="D256" t="s">
        <v>1665</v>
      </c>
      <c r="F256" s="3" t="str">
        <f>HYPERLINK("https://mapwv.gov/flood/map/?wkid=102100&amp;x=-8993610.767870521&amp;y=4637780.653306973&amp;l=13&amp;v=2","FT")</f>
        <v>FT</v>
      </c>
      <c r="G256" s="3" t="str">
        <f>HYPERLINK("https://mapwv.gov/Assessment/Detail/?PID=34030036003400000000","Assessment")</f>
        <v>Assessment</v>
      </c>
      <c r="H256">
        <v>540146</v>
      </c>
      <c r="I256" t="s">
        <v>1653</v>
      </c>
      <c r="J256" t="s">
        <v>1654</v>
      </c>
      <c r="K256" t="s">
        <v>148</v>
      </c>
      <c r="L256" t="s">
        <v>1666</v>
      </c>
      <c r="M256" t="s">
        <v>1667</v>
      </c>
      <c r="N256" t="s">
        <v>149</v>
      </c>
      <c r="O256" t="s">
        <v>117</v>
      </c>
      <c r="P256" t="s">
        <v>150</v>
      </c>
      <c r="Q256" t="s">
        <v>225</v>
      </c>
      <c r="R256" t="s">
        <v>151</v>
      </c>
      <c r="S256" t="s">
        <v>151</v>
      </c>
      <c r="T256" t="s">
        <v>151</v>
      </c>
      <c r="U256" t="s">
        <v>151</v>
      </c>
      <c r="V256">
        <v>1878.5</v>
      </c>
      <c r="X256" t="s">
        <v>1668</v>
      </c>
      <c r="Y256" t="s">
        <v>1669</v>
      </c>
      <c r="Z256">
        <v>0</v>
      </c>
      <c r="AB256" t="s">
        <v>155</v>
      </c>
      <c r="AC256" t="s">
        <v>129</v>
      </c>
      <c r="AD256">
        <v>3</v>
      </c>
      <c r="AE256">
        <v>100</v>
      </c>
      <c r="AF256" t="s">
        <v>1507</v>
      </c>
      <c r="AG256" t="s">
        <v>177</v>
      </c>
      <c r="AH256" t="s">
        <v>129</v>
      </c>
      <c r="AI256">
        <v>1</v>
      </c>
      <c r="AL256">
        <v>2000</v>
      </c>
      <c r="AN256" t="s">
        <v>158</v>
      </c>
      <c r="AO256">
        <v>3.5</v>
      </c>
      <c r="AP256">
        <v>0</v>
      </c>
      <c r="AQ256">
        <v>0</v>
      </c>
      <c r="AR256">
        <v>0</v>
      </c>
      <c r="AS256">
        <v>20000</v>
      </c>
      <c r="AT256" t="s">
        <v>762</v>
      </c>
      <c r="AU256">
        <v>1</v>
      </c>
      <c r="AV256">
        <v>0</v>
      </c>
      <c r="AW256">
        <v>1</v>
      </c>
      <c r="BB256" t="s">
        <v>1670</v>
      </c>
      <c r="BC256" t="s">
        <v>230</v>
      </c>
      <c r="BE256">
        <v>2.5</v>
      </c>
      <c r="BF256">
        <v>0</v>
      </c>
      <c r="BG256">
        <v>0</v>
      </c>
      <c r="BH256" s="1">
        <v>44397</v>
      </c>
      <c r="BI256" t="s">
        <v>159</v>
      </c>
      <c r="BJ256">
        <v>0</v>
      </c>
      <c r="BK256" t="s">
        <v>225</v>
      </c>
      <c r="BL256" t="s">
        <v>177</v>
      </c>
      <c r="BM256">
        <v>20000</v>
      </c>
      <c r="BN256">
        <v>1</v>
      </c>
      <c r="BO256">
        <v>5</v>
      </c>
      <c r="BP256">
        <v>3.5</v>
      </c>
      <c r="BQ256">
        <v>2000</v>
      </c>
      <c r="BR256">
        <v>567</v>
      </c>
      <c r="BS256">
        <v>38.41191869</v>
      </c>
      <c r="BT256">
        <v>-80.790980121999894</v>
      </c>
      <c r="BU256">
        <v>0</v>
      </c>
      <c r="BV256">
        <v>-3.5</v>
      </c>
      <c r="BW256">
        <v>0</v>
      </c>
      <c r="BX256" t="s">
        <v>181</v>
      </c>
      <c r="BY256">
        <v>0</v>
      </c>
      <c r="BZ256">
        <v>0</v>
      </c>
      <c r="CA256">
        <v>0</v>
      </c>
      <c r="CB256">
        <v>10000</v>
      </c>
      <c r="CC256">
        <v>0</v>
      </c>
      <c r="CD256">
        <v>0</v>
      </c>
      <c r="CE256">
        <v>0</v>
      </c>
      <c r="CF256">
        <v>0</v>
      </c>
      <c r="CG256">
        <v>0</v>
      </c>
      <c r="CH256">
        <v>0</v>
      </c>
      <c r="CI256">
        <v>0</v>
      </c>
      <c r="CO256">
        <v>0</v>
      </c>
      <c r="CP256">
        <v>0</v>
      </c>
      <c r="CQ256" t="s">
        <v>1659</v>
      </c>
      <c r="CR256" t="s">
        <v>183</v>
      </c>
      <c r="CS256" t="s">
        <v>161</v>
      </c>
      <c r="CT256" t="s">
        <v>139</v>
      </c>
      <c r="CU256" t="s">
        <v>163</v>
      </c>
      <c r="CW256">
        <v>4</v>
      </c>
      <c r="CX256" t="s">
        <v>1660</v>
      </c>
      <c r="CY256" t="s">
        <v>1661</v>
      </c>
      <c r="CZ256" t="s">
        <v>1665</v>
      </c>
      <c r="DA256" t="s">
        <v>1662</v>
      </c>
      <c r="DB256">
        <v>0</v>
      </c>
      <c r="DC256">
        <v>300</v>
      </c>
    </row>
    <row r="257" spans="1:107" x14ac:dyDescent="0.25">
      <c r="A257" t="s">
        <v>219</v>
      </c>
      <c r="B257" t="s">
        <v>108</v>
      </c>
      <c r="C257" t="s">
        <v>220</v>
      </c>
      <c r="D257" t="s">
        <v>221</v>
      </c>
      <c r="F257" s="3" t="str">
        <f>HYPERLINK("https://mapwv.gov/flood/map/?wkid=102100&amp;x=-8980656.20647574&amp;y=4726820.067579872&amp;l=13&amp;v=2","FT")</f>
        <v>FT</v>
      </c>
      <c r="G257" s="3" t="str">
        <f>HYPERLINK("https://mapwv.gov/Assessment/Detail/?PID=2103002G003200010000","Assessment")</f>
        <v>Assessment</v>
      </c>
      <c r="H257">
        <v>540085</v>
      </c>
      <c r="I257" t="s">
        <v>222</v>
      </c>
      <c r="J257" t="s">
        <v>223</v>
      </c>
      <c r="K257" t="s">
        <v>148</v>
      </c>
      <c r="L257" t="s">
        <v>224</v>
      </c>
      <c r="M257" t="s">
        <v>198</v>
      </c>
      <c r="N257" t="s">
        <v>149</v>
      </c>
      <c r="O257" t="s">
        <v>117</v>
      </c>
      <c r="P257" t="s">
        <v>150</v>
      </c>
      <c r="Q257" t="s">
        <v>225</v>
      </c>
      <c r="R257" t="s">
        <v>151</v>
      </c>
      <c r="S257" t="s">
        <v>151</v>
      </c>
      <c r="T257" t="s">
        <v>151</v>
      </c>
      <c r="U257" t="s">
        <v>151</v>
      </c>
      <c r="V257">
        <v>809.4</v>
      </c>
      <c r="X257" t="s">
        <v>226</v>
      </c>
      <c r="Y257" t="s">
        <v>227</v>
      </c>
      <c r="Z257">
        <v>0</v>
      </c>
      <c r="AB257" t="s">
        <v>155</v>
      </c>
      <c r="AC257" t="s">
        <v>129</v>
      </c>
      <c r="AD257">
        <v>3</v>
      </c>
      <c r="AE257">
        <v>108</v>
      </c>
      <c r="AF257" t="s">
        <v>176</v>
      </c>
      <c r="AG257" t="s">
        <v>177</v>
      </c>
      <c r="AH257" t="s">
        <v>129</v>
      </c>
      <c r="AI257">
        <v>1</v>
      </c>
      <c r="AL257">
        <v>1000</v>
      </c>
      <c r="AN257" t="s">
        <v>158</v>
      </c>
      <c r="AO257">
        <v>3.5</v>
      </c>
      <c r="AP257">
        <v>0</v>
      </c>
      <c r="AQ257">
        <v>0</v>
      </c>
      <c r="AR257">
        <v>170</v>
      </c>
      <c r="AS257">
        <v>11000</v>
      </c>
      <c r="AT257" t="s">
        <v>228</v>
      </c>
      <c r="AU257">
        <v>1</v>
      </c>
      <c r="AV257">
        <v>1</v>
      </c>
      <c r="AW257">
        <v>1</v>
      </c>
      <c r="BB257" t="s">
        <v>229</v>
      </c>
      <c r="BC257" t="s">
        <v>230</v>
      </c>
      <c r="BE257">
        <v>2.5</v>
      </c>
      <c r="BF257">
        <v>0</v>
      </c>
      <c r="BG257">
        <v>0</v>
      </c>
      <c r="BH257" s="1">
        <v>44279</v>
      </c>
      <c r="BI257" t="s">
        <v>159</v>
      </c>
      <c r="BJ257">
        <v>0</v>
      </c>
      <c r="BK257" t="s">
        <v>225</v>
      </c>
      <c r="BL257" t="s">
        <v>177</v>
      </c>
      <c r="BM257">
        <v>11000</v>
      </c>
      <c r="BN257">
        <v>1</v>
      </c>
      <c r="BO257">
        <v>5</v>
      </c>
      <c r="BP257">
        <v>3.5</v>
      </c>
      <c r="BQ257">
        <v>1000</v>
      </c>
      <c r="BR257">
        <v>271</v>
      </c>
      <c r="BS257">
        <v>39.0359336510001</v>
      </c>
      <c r="BT257">
        <v>-80.674607316999897</v>
      </c>
      <c r="BU257">
        <v>0</v>
      </c>
      <c r="BV257">
        <v>-3.5</v>
      </c>
      <c r="BW257">
        <v>0</v>
      </c>
      <c r="BX257" t="s">
        <v>181</v>
      </c>
      <c r="BY257">
        <v>0</v>
      </c>
      <c r="BZ257">
        <v>0</v>
      </c>
      <c r="CA257">
        <v>0</v>
      </c>
      <c r="CB257">
        <v>5500</v>
      </c>
      <c r="CC257">
        <v>0</v>
      </c>
      <c r="CD257">
        <v>0</v>
      </c>
      <c r="CE257">
        <v>0</v>
      </c>
      <c r="CF257">
        <v>0</v>
      </c>
      <c r="CG257">
        <v>0</v>
      </c>
      <c r="CH257">
        <v>0</v>
      </c>
      <c r="CI257">
        <v>0</v>
      </c>
      <c r="CO257">
        <v>0</v>
      </c>
      <c r="CP257">
        <v>0</v>
      </c>
      <c r="CQ257" t="s">
        <v>231</v>
      </c>
      <c r="CR257" t="s">
        <v>183</v>
      </c>
      <c r="CS257" t="s">
        <v>161</v>
      </c>
      <c r="CT257" t="s">
        <v>139</v>
      </c>
      <c r="CU257" t="s">
        <v>163</v>
      </c>
      <c r="CW257">
        <v>7</v>
      </c>
      <c r="CX257" t="s">
        <v>232</v>
      </c>
      <c r="CY257" t="s">
        <v>233</v>
      </c>
      <c r="CZ257" t="s">
        <v>221</v>
      </c>
      <c r="DA257" t="s">
        <v>234</v>
      </c>
      <c r="DB257">
        <v>0</v>
      </c>
      <c r="DC257">
        <v>200</v>
      </c>
    </row>
    <row r="258" spans="1:107" x14ac:dyDescent="0.25">
      <c r="A258" t="s">
        <v>1474</v>
      </c>
      <c r="B258" t="s">
        <v>108</v>
      </c>
      <c r="C258" t="s">
        <v>1475</v>
      </c>
      <c r="D258" t="s">
        <v>1476</v>
      </c>
      <c r="F258" s="3" t="str">
        <f>HYPERLINK("https://mapwv.gov/flood/map/?wkid=102100&amp;x=-9062584.447485391&amp;y=4644846.163278854&amp;l=13&amp;v=2","FT")</f>
        <v>FT</v>
      </c>
      <c r="G258" s="3" t="str">
        <f>HYPERLINK("https://mapwv.gov/Assessment/Detail/?PID=2001024A000200000000","Assessment")</f>
        <v>Assessment</v>
      </c>
      <c r="H258">
        <v>540070</v>
      </c>
      <c r="I258" t="s">
        <v>1306</v>
      </c>
      <c r="J258" t="s">
        <v>1282</v>
      </c>
      <c r="K258" t="s">
        <v>148</v>
      </c>
      <c r="L258" t="s">
        <v>596</v>
      </c>
      <c r="M258" t="s">
        <v>172</v>
      </c>
      <c r="N258" t="s">
        <v>199</v>
      </c>
      <c r="O258" t="s">
        <v>117</v>
      </c>
      <c r="P258" t="s">
        <v>150</v>
      </c>
      <c r="Q258" t="s">
        <v>119</v>
      </c>
      <c r="R258" t="s">
        <v>151</v>
      </c>
      <c r="S258" t="s">
        <v>151</v>
      </c>
      <c r="T258" t="s">
        <v>151</v>
      </c>
      <c r="U258" t="s">
        <v>151</v>
      </c>
      <c r="V258">
        <v>625.9</v>
      </c>
      <c r="X258" t="s">
        <v>1477</v>
      </c>
      <c r="Y258" t="s">
        <v>1478</v>
      </c>
      <c r="Z258">
        <v>1111</v>
      </c>
      <c r="AB258" t="s">
        <v>155</v>
      </c>
      <c r="AC258" t="s">
        <v>129</v>
      </c>
      <c r="AD258">
        <v>3</v>
      </c>
      <c r="AE258">
        <v>109</v>
      </c>
      <c r="AF258" t="s">
        <v>724</v>
      </c>
      <c r="AG258" t="s">
        <v>177</v>
      </c>
      <c r="AH258" t="s">
        <v>129</v>
      </c>
      <c r="AI258">
        <v>1</v>
      </c>
      <c r="AL258">
        <v>1000</v>
      </c>
      <c r="AN258" t="s">
        <v>158</v>
      </c>
      <c r="AO258">
        <v>3</v>
      </c>
      <c r="AP258">
        <v>0</v>
      </c>
      <c r="AQ258">
        <v>0</v>
      </c>
      <c r="AR258">
        <v>0</v>
      </c>
      <c r="AS258">
        <v>25000</v>
      </c>
      <c r="AT258" t="s">
        <v>178</v>
      </c>
      <c r="AU258">
        <v>1</v>
      </c>
      <c r="AV258">
        <v>0</v>
      </c>
      <c r="AW258">
        <v>2</v>
      </c>
      <c r="BE258">
        <v>2.4</v>
      </c>
      <c r="BF258">
        <v>0</v>
      </c>
      <c r="BG258">
        <v>0</v>
      </c>
      <c r="BH258" s="1">
        <v>44362</v>
      </c>
      <c r="BI258" t="s">
        <v>441</v>
      </c>
      <c r="BJ258">
        <v>1111</v>
      </c>
      <c r="BK258" t="s">
        <v>119</v>
      </c>
      <c r="BL258" t="s">
        <v>177</v>
      </c>
      <c r="BM258">
        <v>25000</v>
      </c>
      <c r="BN258">
        <v>1</v>
      </c>
      <c r="BO258">
        <v>5</v>
      </c>
      <c r="BP258">
        <v>3</v>
      </c>
      <c r="BQ258">
        <v>1000</v>
      </c>
      <c r="BR258">
        <v>7760</v>
      </c>
      <c r="BS258">
        <v>38.461634830000001</v>
      </c>
      <c r="BT258">
        <v>-81.410581227999899</v>
      </c>
      <c r="BU258">
        <v>0</v>
      </c>
      <c r="BV258">
        <v>-3</v>
      </c>
      <c r="BW258">
        <v>0</v>
      </c>
      <c r="BX258" t="s">
        <v>181</v>
      </c>
      <c r="BY258">
        <v>0</v>
      </c>
      <c r="BZ258">
        <v>0</v>
      </c>
      <c r="CA258">
        <v>0</v>
      </c>
      <c r="CB258">
        <v>12500</v>
      </c>
      <c r="CC258">
        <v>0</v>
      </c>
      <c r="CD258">
        <v>0</v>
      </c>
      <c r="CE258">
        <v>0</v>
      </c>
      <c r="CF258">
        <v>0</v>
      </c>
      <c r="CG258">
        <v>0</v>
      </c>
      <c r="CH258">
        <v>0</v>
      </c>
      <c r="CI258">
        <v>0</v>
      </c>
      <c r="CO258">
        <v>0</v>
      </c>
      <c r="CP258">
        <v>0</v>
      </c>
      <c r="CQ258" t="s">
        <v>1286</v>
      </c>
      <c r="CR258" t="s">
        <v>183</v>
      </c>
      <c r="CS258" t="s">
        <v>161</v>
      </c>
      <c r="CT258" t="s">
        <v>139</v>
      </c>
      <c r="CU258" t="s">
        <v>163</v>
      </c>
      <c r="CW258">
        <v>3</v>
      </c>
      <c r="CX258" t="s">
        <v>1312</v>
      </c>
      <c r="CY258" t="s">
        <v>1288</v>
      </c>
      <c r="CZ258" t="s">
        <v>1476</v>
      </c>
      <c r="DA258" t="s">
        <v>1289</v>
      </c>
      <c r="DB258">
        <v>0</v>
      </c>
      <c r="DC258">
        <v>200</v>
      </c>
    </row>
    <row r="259" spans="1:107" x14ac:dyDescent="0.25">
      <c r="A259" t="s">
        <v>1501</v>
      </c>
      <c r="B259" t="s">
        <v>108</v>
      </c>
      <c r="C259" t="s">
        <v>1502</v>
      </c>
      <c r="D259" t="s">
        <v>1503</v>
      </c>
      <c r="F259" s="3" t="str">
        <f>HYPERLINK("https://mapwv.gov/flood/map/?wkid=102100&amp;x=-9087357.64314777&amp;y=4653959.871611286&amp;l=13&amp;v=2","FT")</f>
        <v>FT</v>
      </c>
      <c r="G259" s="3" t="str">
        <f>HYPERLINK("https://mapwv.gov/Assessment/Detail/?PID=20240025007400000000","Assessment")</f>
        <v>Assessment</v>
      </c>
      <c r="H259">
        <v>540070</v>
      </c>
      <c r="I259" t="s">
        <v>1306</v>
      </c>
      <c r="J259" t="s">
        <v>1282</v>
      </c>
      <c r="K259" t="s">
        <v>148</v>
      </c>
      <c r="L259" t="s">
        <v>1504</v>
      </c>
      <c r="M259" t="s">
        <v>909</v>
      </c>
      <c r="N259" t="s">
        <v>199</v>
      </c>
      <c r="O259" t="s">
        <v>117</v>
      </c>
      <c r="P259" t="s">
        <v>150</v>
      </c>
      <c r="Q259" t="s">
        <v>260</v>
      </c>
      <c r="R259">
        <v>1.4</v>
      </c>
      <c r="S259" t="s">
        <v>120</v>
      </c>
      <c r="T259" t="s">
        <v>151</v>
      </c>
      <c r="U259" t="s">
        <v>151</v>
      </c>
      <c r="V259">
        <v>628.29999999999995</v>
      </c>
      <c r="X259" t="s">
        <v>1505</v>
      </c>
      <c r="Y259" t="s">
        <v>1506</v>
      </c>
      <c r="Z259">
        <v>9999</v>
      </c>
      <c r="AB259" t="s">
        <v>155</v>
      </c>
      <c r="AC259" t="s">
        <v>129</v>
      </c>
      <c r="AD259">
        <v>2</v>
      </c>
      <c r="AE259">
        <v>100</v>
      </c>
      <c r="AF259" t="s">
        <v>1507</v>
      </c>
      <c r="AG259" t="s">
        <v>177</v>
      </c>
      <c r="AH259" t="s">
        <v>129</v>
      </c>
      <c r="AI259">
        <v>1</v>
      </c>
      <c r="AL259">
        <v>1000</v>
      </c>
      <c r="AN259" t="s">
        <v>158</v>
      </c>
      <c r="AO259">
        <v>4</v>
      </c>
      <c r="AP259">
        <v>0</v>
      </c>
      <c r="AQ259">
        <v>0</v>
      </c>
      <c r="AR259">
        <v>0</v>
      </c>
      <c r="AS259">
        <v>25000</v>
      </c>
      <c r="AT259" t="s">
        <v>228</v>
      </c>
      <c r="AU259">
        <v>1</v>
      </c>
      <c r="AV259">
        <v>0</v>
      </c>
      <c r="AW259">
        <v>0</v>
      </c>
      <c r="BC259" t="s">
        <v>230</v>
      </c>
      <c r="BE259">
        <v>2.4</v>
      </c>
      <c r="BF259">
        <v>0</v>
      </c>
      <c r="BG259">
        <v>0</v>
      </c>
      <c r="BH259" s="1">
        <v>44362</v>
      </c>
      <c r="BI259" t="s">
        <v>210</v>
      </c>
      <c r="BJ259">
        <v>9999</v>
      </c>
      <c r="BK259" t="s">
        <v>260</v>
      </c>
      <c r="BL259" t="s">
        <v>177</v>
      </c>
      <c r="BM259">
        <v>25000</v>
      </c>
      <c r="BN259">
        <v>1</v>
      </c>
      <c r="BO259">
        <v>5</v>
      </c>
      <c r="BP259">
        <v>4</v>
      </c>
      <c r="BQ259">
        <v>1000</v>
      </c>
      <c r="BR259">
        <v>8493</v>
      </c>
      <c r="BS259">
        <v>38.5257124500001</v>
      </c>
      <c r="BT259">
        <v>-81.633122630999907</v>
      </c>
      <c r="BU259">
        <v>1.4265747</v>
      </c>
      <c r="BV259">
        <v>-2.57342529296875</v>
      </c>
      <c r="BW259">
        <v>1</v>
      </c>
      <c r="BX259" t="s">
        <v>181</v>
      </c>
      <c r="BY259">
        <v>189</v>
      </c>
      <c r="BZ259">
        <v>0</v>
      </c>
      <c r="CA259">
        <v>0</v>
      </c>
      <c r="CB259">
        <v>12500</v>
      </c>
      <c r="CC259">
        <v>74</v>
      </c>
      <c r="CD259">
        <v>0</v>
      </c>
      <c r="CE259">
        <v>0</v>
      </c>
      <c r="CF259">
        <v>0</v>
      </c>
      <c r="CG259">
        <v>0</v>
      </c>
      <c r="CH259">
        <v>0</v>
      </c>
      <c r="CI259">
        <v>0</v>
      </c>
      <c r="CO259">
        <v>0</v>
      </c>
      <c r="CP259">
        <v>0</v>
      </c>
      <c r="CQ259" t="s">
        <v>1286</v>
      </c>
      <c r="CR259" t="s">
        <v>183</v>
      </c>
      <c r="CS259" t="s">
        <v>138</v>
      </c>
      <c r="CT259" t="s">
        <v>139</v>
      </c>
      <c r="CU259" t="s">
        <v>163</v>
      </c>
      <c r="CW259">
        <v>3</v>
      </c>
      <c r="CX259" t="s">
        <v>1312</v>
      </c>
      <c r="CY259" t="s">
        <v>1288</v>
      </c>
      <c r="CZ259" t="s">
        <v>1503</v>
      </c>
      <c r="DA259" t="s">
        <v>1289</v>
      </c>
      <c r="DB259">
        <v>0</v>
      </c>
      <c r="DC259">
        <v>100</v>
      </c>
    </row>
    <row r="260" spans="1:107" x14ac:dyDescent="0.25">
      <c r="A260" t="s">
        <v>1728</v>
      </c>
      <c r="B260" t="s">
        <v>108</v>
      </c>
      <c r="C260" t="s">
        <v>1729</v>
      </c>
      <c r="D260" t="s">
        <v>1730</v>
      </c>
      <c r="F260" s="3" t="str">
        <f>HYPERLINK("https://mapwv.gov/flood/map/?wkid=102100&amp;x=-9069942.011602182&amp;y=4558017.750950597&amp;l=13&amp;v=2","FT")</f>
        <v>FT</v>
      </c>
      <c r="G260" s="3" t="str">
        <f>HYPERLINK("https://mapwv.gov/Assessment/Detail/?PID=41050016008100000000","Assessment")</f>
        <v>Assessment</v>
      </c>
      <c r="H260">
        <v>540169</v>
      </c>
      <c r="I260" t="s">
        <v>1731</v>
      </c>
      <c r="J260" t="s">
        <v>1732</v>
      </c>
      <c r="K260" t="s">
        <v>148</v>
      </c>
      <c r="L260" t="s">
        <v>1733</v>
      </c>
      <c r="M260" t="s">
        <v>662</v>
      </c>
      <c r="N260" t="s">
        <v>149</v>
      </c>
      <c r="O260" t="s">
        <v>117</v>
      </c>
      <c r="P260" t="s">
        <v>150</v>
      </c>
      <c r="Q260" t="s">
        <v>225</v>
      </c>
      <c r="R260" t="s">
        <v>151</v>
      </c>
      <c r="S260" t="s">
        <v>151</v>
      </c>
      <c r="T260" t="s">
        <v>151</v>
      </c>
      <c r="U260" t="s">
        <v>151</v>
      </c>
      <c r="V260">
        <v>1316.5</v>
      </c>
      <c r="X260" t="s">
        <v>1734</v>
      </c>
      <c r="Y260" t="s">
        <v>1735</v>
      </c>
      <c r="Z260">
        <v>0</v>
      </c>
      <c r="AB260" t="s">
        <v>155</v>
      </c>
      <c r="AC260" t="s">
        <v>129</v>
      </c>
      <c r="AD260">
        <v>3</v>
      </c>
      <c r="AE260">
        <v>100</v>
      </c>
      <c r="AF260" t="s">
        <v>1507</v>
      </c>
      <c r="AG260" t="s">
        <v>128</v>
      </c>
      <c r="AH260" t="s">
        <v>129</v>
      </c>
      <c r="AI260">
        <v>1</v>
      </c>
      <c r="AL260">
        <v>800</v>
      </c>
      <c r="AN260" t="s">
        <v>131</v>
      </c>
      <c r="AO260">
        <v>1</v>
      </c>
      <c r="AP260">
        <v>0</v>
      </c>
      <c r="AQ260">
        <v>0</v>
      </c>
      <c r="AR260">
        <v>0</v>
      </c>
      <c r="AS260">
        <v>16525</v>
      </c>
      <c r="AT260" t="s">
        <v>1084</v>
      </c>
      <c r="AU260">
        <v>1</v>
      </c>
      <c r="AV260">
        <v>0</v>
      </c>
      <c r="AW260">
        <v>0</v>
      </c>
      <c r="BB260" t="s">
        <v>1736</v>
      </c>
      <c r="BC260" t="s">
        <v>230</v>
      </c>
      <c r="BE260">
        <v>2.4</v>
      </c>
      <c r="BF260">
        <v>0</v>
      </c>
      <c r="BG260">
        <v>0</v>
      </c>
      <c r="BH260" s="1">
        <v>44397</v>
      </c>
      <c r="BI260" t="s">
        <v>159</v>
      </c>
      <c r="BJ260">
        <v>0</v>
      </c>
      <c r="BK260" t="s">
        <v>225</v>
      </c>
      <c r="BL260" t="s">
        <v>128</v>
      </c>
      <c r="BM260">
        <v>16525</v>
      </c>
      <c r="BN260">
        <v>1</v>
      </c>
      <c r="BO260">
        <v>7</v>
      </c>
      <c r="BP260">
        <v>1</v>
      </c>
      <c r="BQ260">
        <v>800</v>
      </c>
      <c r="BR260">
        <v>1338</v>
      </c>
      <c r="BS260">
        <v>37.848299650999898</v>
      </c>
      <c r="BT260">
        <v>-81.476675350999898</v>
      </c>
      <c r="BU260">
        <v>0</v>
      </c>
      <c r="BV260">
        <v>-1</v>
      </c>
      <c r="BW260">
        <v>0</v>
      </c>
      <c r="BX260" t="s">
        <v>134</v>
      </c>
      <c r="BY260">
        <v>0</v>
      </c>
      <c r="BZ260">
        <v>0</v>
      </c>
      <c r="CA260">
        <v>0</v>
      </c>
      <c r="CB260">
        <v>8262.5</v>
      </c>
      <c r="CC260">
        <v>0</v>
      </c>
      <c r="CD260">
        <v>0</v>
      </c>
      <c r="CE260">
        <v>0</v>
      </c>
      <c r="CF260">
        <v>0</v>
      </c>
      <c r="CG260">
        <v>0</v>
      </c>
      <c r="CH260">
        <v>0</v>
      </c>
      <c r="CI260">
        <v>0</v>
      </c>
      <c r="CO260">
        <v>0</v>
      </c>
      <c r="CP260">
        <v>0</v>
      </c>
      <c r="CQ260" t="s">
        <v>1737</v>
      </c>
      <c r="CR260" t="s">
        <v>160</v>
      </c>
      <c r="CS260" t="s">
        <v>161</v>
      </c>
      <c r="CT260" t="s">
        <v>139</v>
      </c>
      <c r="CU260" t="s">
        <v>163</v>
      </c>
      <c r="CW260">
        <v>1</v>
      </c>
      <c r="CX260" t="s">
        <v>1738</v>
      </c>
      <c r="CY260" t="s">
        <v>1739</v>
      </c>
      <c r="CZ260" t="s">
        <v>1730</v>
      </c>
      <c r="DA260" t="s">
        <v>1740</v>
      </c>
      <c r="DB260">
        <v>0</v>
      </c>
      <c r="DC260">
        <v>100</v>
      </c>
    </row>
    <row r="261" spans="1:107" x14ac:dyDescent="0.25">
      <c r="A261" t="s">
        <v>1741</v>
      </c>
      <c r="B261" t="s">
        <v>108</v>
      </c>
      <c r="C261" t="s">
        <v>1742</v>
      </c>
      <c r="D261" t="s">
        <v>1743</v>
      </c>
      <c r="F261" s="3" t="str">
        <f>HYPERLINK("https://mapwv.gov/flood/map/?wkid=102100&amp;x=-9068113.30899738&amp;y=4559413.491321305&amp;l=13&amp;v=2","FT")</f>
        <v>FT</v>
      </c>
      <c r="G261" s="3" t="str">
        <f>HYPERLINK("https://mapwv.gov/Assessment/Detail/?PID=4105011B001200000000","Assessment")</f>
        <v>Assessment</v>
      </c>
      <c r="H261">
        <v>540169</v>
      </c>
      <c r="I261" t="s">
        <v>1731</v>
      </c>
      <c r="J261" t="s">
        <v>1732</v>
      </c>
      <c r="K261" t="s">
        <v>148</v>
      </c>
      <c r="L261" t="s">
        <v>747</v>
      </c>
      <c r="M261" t="s">
        <v>662</v>
      </c>
      <c r="N261" t="s">
        <v>149</v>
      </c>
      <c r="O261" t="s">
        <v>117</v>
      </c>
      <c r="P261" t="s">
        <v>150</v>
      </c>
      <c r="Q261" t="s">
        <v>225</v>
      </c>
      <c r="R261">
        <v>0.1</v>
      </c>
      <c r="S261" t="s">
        <v>120</v>
      </c>
      <c r="T261">
        <v>1275.5</v>
      </c>
      <c r="U261" t="s">
        <v>121</v>
      </c>
      <c r="V261">
        <v>1270.7</v>
      </c>
      <c r="X261" t="s">
        <v>1744</v>
      </c>
      <c r="Y261" t="s">
        <v>1745</v>
      </c>
      <c r="Z261">
        <v>0</v>
      </c>
      <c r="AB261" t="s">
        <v>155</v>
      </c>
      <c r="AC261" t="s">
        <v>129</v>
      </c>
      <c r="AD261">
        <v>3</v>
      </c>
      <c r="AE261">
        <v>100</v>
      </c>
      <c r="AF261" t="s">
        <v>1507</v>
      </c>
      <c r="AG261" t="s">
        <v>177</v>
      </c>
      <c r="AH261" t="s">
        <v>129</v>
      </c>
      <c r="AI261">
        <v>1</v>
      </c>
      <c r="AL261">
        <v>1000</v>
      </c>
      <c r="AN261" t="s">
        <v>158</v>
      </c>
      <c r="AO261">
        <v>3.5</v>
      </c>
      <c r="AP261">
        <v>0</v>
      </c>
      <c r="AQ261">
        <v>0</v>
      </c>
      <c r="AR261">
        <v>0</v>
      </c>
      <c r="AS261">
        <v>26000</v>
      </c>
      <c r="AT261" t="s">
        <v>228</v>
      </c>
      <c r="AU261">
        <v>1</v>
      </c>
      <c r="AV261">
        <v>0</v>
      </c>
      <c r="AW261">
        <v>0</v>
      </c>
      <c r="BB261" t="s">
        <v>1746</v>
      </c>
      <c r="BC261" t="s">
        <v>230</v>
      </c>
      <c r="BE261">
        <v>2.4</v>
      </c>
      <c r="BF261">
        <v>0</v>
      </c>
      <c r="BG261">
        <v>0</v>
      </c>
      <c r="BH261" s="1">
        <v>44397</v>
      </c>
      <c r="BI261" t="s">
        <v>331</v>
      </c>
      <c r="BJ261">
        <v>0</v>
      </c>
      <c r="BK261" t="s">
        <v>225</v>
      </c>
      <c r="BL261" t="s">
        <v>177</v>
      </c>
      <c r="BM261">
        <v>26000</v>
      </c>
      <c r="BN261">
        <v>1</v>
      </c>
      <c r="BO261">
        <v>5</v>
      </c>
      <c r="BP261">
        <v>3.5</v>
      </c>
      <c r="BQ261">
        <v>1000</v>
      </c>
      <c r="BR261">
        <v>1533</v>
      </c>
      <c r="BS261">
        <v>37.858199585999998</v>
      </c>
      <c r="BT261">
        <v>-81.460247835999894</v>
      </c>
      <c r="BU261">
        <v>6.1486285000000002E-2</v>
      </c>
      <c r="BV261">
        <v>-3.4385137148201399</v>
      </c>
      <c r="BW261">
        <v>1</v>
      </c>
      <c r="BX261" t="s">
        <v>181</v>
      </c>
      <c r="BY261">
        <v>189</v>
      </c>
      <c r="BZ261">
        <v>0</v>
      </c>
      <c r="CA261">
        <v>0</v>
      </c>
      <c r="CB261">
        <v>13000</v>
      </c>
      <c r="CC261">
        <v>74</v>
      </c>
      <c r="CD261">
        <v>0</v>
      </c>
      <c r="CE261">
        <v>0</v>
      </c>
      <c r="CF261">
        <v>0</v>
      </c>
      <c r="CG261">
        <v>0</v>
      </c>
      <c r="CH261">
        <v>0</v>
      </c>
      <c r="CI261">
        <v>0</v>
      </c>
      <c r="CO261">
        <v>0</v>
      </c>
      <c r="CP261">
        <v>0</v>
      </c>
      <c r="CQ261" t="s">
        <v>1737</v>
      </c>
      <c r="CR261" t="s">
        <v>183</v>
      </c>
      <c r="CS261" t="s">
        <v>138</v>
      </c>
      <c r="CT261" t="s">
        <v>139</v>
      </c>
      <c r="CU261" t="s">
        <v>163</v>
      </c>
      <c r="CW261">
        <v>1</v>
      </c>
      <c r="CX261" t="s">
        <v>1738</v>
      </c>
      <c r="CY261" t="s">
        <v>1739</v>
      </c>
      <c r="CZ261" t="s">
        <v>1743</v>
      </c>
      <c r="DA261" t="s">
        <v>1740</v>
      </c>
      <c r="DB261">
        <v>0</v>
      </c>
      <c r="DC261">
        <v>100</v>
      </c>
    </row>
    <row r="262" spans="1:107" x14ac:dyDescent="0.25">
      <c r="A262" t="s">
        <v>1755</v>
      </c>
      <c r="B262" t="s">
        <v>108</v>
      </c>
      <c r="C262" t="s">
        <v>1756</v>
      </c>
      <c r="D262" t="s">
        <v>1757</v>
      </c>
      <c r="E262" t="s">
        <v>1758</v>
      </c>
      <c r="F262" s="3" t="str">
        <f>HYPERLINK("https://mapwv.gov/flood/map/?wkid=102100&amp;x=-9076470.941259375&amp;y=4574755.7373989485&amp;l=13&amp;v=2","FT")</f>
        <v>FT</v>
      </c>
      <c r="G262" s="3" t="str">
        <f>HYPERLINK("https://mapwv.gov/Assessment/Detail/?PID=41050001004900000000","Assessment")</f>
        <v>Assessment</v>
      </c>
      <c r="H262">
        <v>540169</v>
      </c>
      <c r="I262" t="s">
        <v>1731</v>
      </c>
      <c r="J262" t="s">
        <v>1732</v>
      </c>
      <c r="K262" t="s">
        <v>148</v>
      </c>
      <c r="L262" t="s">
        <v>747</v>
      </c>
      <c r="M262" t="s">
        <v>662</v>
      </c>
      <c r="N262" t="s">
        <v>116</v>
      </c>
      <c r="O262" t="s">
        <v>117</v>
      </c>
      <c r="P262" t="s">
        <v>118</v>
      </c>
      <c r="Q262" t="s">
        <v>119</v>
      </c>
      <c r="R262">
        <v>4.2</v>
      </c>
      <c r="S262" t="s">
        <v>120</v>
      </c>
      <c r="T262">
        <v>841.1</v>
      </c>
      <c r="U262" t="s">
        <v>121</v>
      </c>
      <c r="V262">
        <v>837.3</v>
      </c>
      <c r="X262" t="s">
        <v>1759</v>
      </c>
      <c r="Y262" t="s">
        <v>1760</v>
      </c>
      <c r="Z262">
        <v>1977</v>
      </c>
      <c r="AA262" t="s">
        <v>175</v>
      </c>
      <c r="AB262" t="s">
        <v>155</v>
      </c>
      <c r="AC262" t="s">
        <v>129</v>
      </c>
      <c r="AD262">
        <v>2</v>
      </c>
      <c r="AE262">
        <v>101</v>
      </c>
      <c r="AF262" t="s">
        <v>127</v>
      </c>
      <c r="AG262" t="s">
        <v>128</v>
      </c>
      <c r="AH262" t="s">
        <v>129</v>
      </c>
      <c r="AI262">
        <v>1</v>
      </c>
      <c r="AJ262" t="s">
        <v>560</v>
      </c>
      <c r="AK262" t="s">
        <v>342</v>
      </c>
      <c r="AL262">
        <v>1176</v>
      </c>
      <c r="AM262" t="s">
        <v>353</v>
      </c>
      <c r="AN262" t="s">
        <v>208</v>
      </c>
      <c r="AO262">
        <v>4</v>
      </c>
      <c r="AP262">
        <v>38800</v>
      </c>
      <c r="AQ262">
        <v>0</v>
      </c>
      <c r="AR262">
        <v>1000</v>
      </c>
      <c r="AS262">
        <v>39800</v>
      </c>
      <c r="AT262" t="s">
        <v>132</v>
      </c>
      <c r="AU262">
        <v>1</v>
      </c>
      <c r="AV262">
        <v>0</v>
      </c>
      <c r="AW262">
        <v>1</v>
      </c>
      <c r="BC262" t="s">
        <v>180</v>
      </c>
      <c r="BE262">
        <v>2.4</v>
      </c>
      <c r="BF262">
        <v>1</v>
      </c>
      <c r="BG262">
        <v>2.4</v>
      </c>
      <c r="BH262" s="1">
        <v>44397</v>
      </c>
      <c r="BI262" t="s">
        <v>133</v>
      </c>
      <c r="BJ262">
        <v>1977</v>
      </c>
      <c r="BK262" t="s">
        <v>119</v>
      </c>
      <c r="BL262" t="s">
        <v>128</v>
      </c>
      <c r="BM262">
        <v>39800</v>
      </c>
      <c r="BN262">
        <v>1</v>
      </c>
      <c r="BO262">
        <v>4</v>
      </c>
      <c r="BP262">
        <v>4</v>
      </c>
      <c r="BQ262">
        <v>1176</v>
      </c>
      <c r="BR262">
        <v>2040</v>
      </c>
      <c r="BS262">
        <v>37.966933920999999</v>
      </c>
      <c r="BT262">
        <v>-81.535325724000003</v>
      </c>
      <c r="BU262">
        <v>4.2241755000000003</v>
      </c>
      <c r="BV262">
        <v>0.22417545318603499</v>
      </c>
      <c r="BW262">
        <v>1</v>
      </c>
      <c r="BX262" t="s">
        <v>354</v>
      </c>
      <c r="BY262">
        <v>704</v>
      </c>
      <c r="BZ262">
        <v>27.3450527191162</v>
      </c>
      <c r="CA262">
        <v>10883.330982208199</v>
      </c>
      <c r="CB262">
        <v>19900</v>
      </c>
      <c r="CC262">
        <v>535</v>
      </c>
      <c r="CD262">
        <v>16.672526359558098</v>
      </c>
      <c r="CE262">
        <v>3317.8327455520598</v>
      </c>
      <c r="CF262">
        <v>0</v>
      </c>
      <c r="CG262">
        <v>0</v>
      </c>
      <c r="CH262">
        <v>0</v>
      </c>
      <c r="CI262">
        <v>0</v>
      </c>
      <c r="CJ262" t="s">
        <v>1212</v>
      </c>
      <c r="CK262">
        <v>10.348800000000001</v>
      </c>
      <c r="CL262">
        <v>0</v>
      </c>
      <c r="CM262">
        <v>0</v>
      </c>
      <c r="CN262">
        <v>10.348800000000001</v>
      </c>
      <c r="CO262">
        <v>180</v>
      </c>
      <c r="CP262">
        <v>360</v>
      </c>
      <c r="CQ262" t="s">
        <v>1737</v>
      </c>
      <c r="CR262" t="s">
        <v>137</v>
      </c>
      <c r="CS262" t="s">
        <v>138</v>
      </c>
      <c r="CT262" t="s">
        <v>139</v>
      </c>
      <c r="CU262" t="s">
        <v>140</v>
      </c>
      <c r="CW262">
        <v>1</v>
      </c>
      <c r="CX262" t="s">
        <v>1738</v>
      </c>
      <c r="CY262" t="s">
        <v>1739</v>
      </c>
      <c r="CZ262" t="s">
        <v>1757</v>
      </c>
      <c r="DA262" t="s">
        <v>1740</v>
      </c>
      <c r="DB262">
        <v>0</v>
      </c>
      <c r="DC262">
        <v>100</v>
      </c>
    </row>
    <row r="263" spans="1:107" x14ac:dyDescent="0.25">
      <c r="A263" t="s">
        <v>1865</v>
      </c>
      <c r="B263" t="s">
        <v>108</v>
      </c>
      <c r="C263" t="s">
        <v>1866</v>
      </c>
      <c r="D263" t="s">
        <v>1867</v>
      </c>
      <c r="F263" s="3" t="str">
        <f>HYPERLINK("https://mapwv.gov/flood/map/?wkid=102100&amp;x=-8987527.35039271&amp;y=4853584.385365953&amp;l=13&amp;v=2","FT")</f>
        <v>FT</v>
      </c>
      <c r="G263" s="3" t="str">
        <f>HYPERLINK("https://mapwv.gov/Assessment/Detail/?PID=25110021021700000000","Assessment")</f>
        <v>Assessment</v>
      </c>
      <c r="H263">
        <v>540111</v>
      </c>
      <c r="I263" t="s">
        <v>1868</v>
      </c>
      <c r="J263" t="s">
        <v>1869</v>
      </c>
      <c r="K263" t="s">
        <v>113</v>
      </c>
      <c r="L263" t="s">
        <v>1870</v>
      </c>
      <c r="M263" t="s">
        <v>1871</v>
      </c>
      <c r="N263" t="s">
        <v>199</v>
      </c>
      <c r="O263" t="s">
        <v>117</v>
      </c>
      <c r="P263" t="s">
        <v>150</v>
      </c>
      <c r="Q263" t="s">
        <v>119</v>
      </c>
      <c r="R263">
        <v>2</v>
      </c>
      <c r="S263" t="s">
        <v>120</v>
      </c>
      <c r="T263">
        <v>651</v>
      </c>
      <c r="U263" t="s">
        <v>365</v>
      </c>
      <c r="V263">
        <v>649</v>
      </c>
      <c r="X263" t="s">
        <v>1872</v>
      </c>
      <c r="Y263" t="s">
        <v>1873</v>
      </c>
      <c r="Z263">
        <v>1111</v>
      </c>
      <c r="AB263" t="s">
        <v>155</v>
      </c>
      <c r="AC263" t="s">
        <v>129</v>
      </c>
      <c r="AD263">
        <v>4</v>
      </c>
      <c r="AE263">
        <v>109</v>
      </c>
      <c r="AF263" t="s">
        <v>724</v>
      </c>
      <c r="AG263" t="s">
        <v>177</v>
      </c>
      <c r="AH263" t="s">
        <v>129</v>
      </c>
      <c r="AI263">
        <v>1</v>
      </c>
      <c r="AL263">
        <v>1000</v>
      </c>
      <c r="AN263" t="s">
        <v>158</v>
      </c>
      <c r="AO263">
        <v>3</v>
      </c>
      <c r="AP263">
        <v>0</v>
      </c>
      <c r="AQ263">
        <v>0</v>
      </c>
      <c r="AR263">
        <v>40</v>
      </c>
      <c r="AS263">
        <v>12000</v>
      </c>
      <c r="AT263" t="s">
        <v>228</v>
      </c>
      <c r="AU263">
        <v>1</v>
      </c>
      <c r="AV263">
        <v>1</v>
      </c>
      <c r="BC263" t="s">
        <v>230</v>
      </c>
      <c r="BE263">
        <v>2.2999999999999998</v>
      </c>
      <c r="BF263">
        <v>1</v>
      </c>
      <c r="BG263">
        <v>2.2999999999999998</v>
      </c>
      <c r="BH263" s="1">
        <v>44405</v>
      </c>
      <c r="BI263" t="s">
        <v>210</v>
      </c>
      <c r="BJ263">
        <v>1111</v>
      </c>
      <c r="BK263" t="s">
        <v>119</v>
      </c>
      <c r="BL263" t="s">
        <v>177</v>
      </c>
      <c r="BM263">
        <v>12000</v>
      </c>
      <c r="BN263">
        <v>1</v>
      </c>
      <c r="BO263">
        <v>5</v>
      </c>
      <c r="BP263">
        <v>3</v>
      </c>
      <c r="BQ263">
        <v>1000</v>
      </c>
      <c r="BR263">
        <v>1417</v>
      </c>
      <c r="BS263">
        <v>39.914906275</v>
      </c>
      <c r="BT263">
        <v>-80.736331852999896</v>
      </c>
      <c r="BU263">
        <v>2.0170897999999999</v>
      </c>
      <c r="BV263">
        <v>-0.98291015625</v>
      </c>
      <c r="BW263">
        <v>1</v>
      </c>
      <c r="BX263" t="s">
        <v>181</v>
      </c>
      <c r="BY263">
        <v>189</v>
      </c>
      <c r="BZ263">
        <v>0.18798828125</v>
      </c>
      <c r="CA263">
        <v>22.55859375</v>
      </c>
      <c r="CB263">
        <v>6000</v>
      </c>
      <c r="CC263">
        <v>74</v>
      </c>
      <c r="CD263">
        <v>5.126953125E-2</v>
      </c>
      <c r="CE263">
        <v>3.076171875</v>
      </c>
      <c r="CF263">
        <v>0</v>
      </c>
      <c r="CG263">
        <v>0</v>
      </c>
      <c r="CH263">
        <v>0</v>
      </c>
      <c r="CI263">
        <v>0</v>
      </c>
      <c r="CO263">
        <v>0</v>
      </c>
      <c r="CP263">
        <v>0</v>
      </c>
      <c r="CQ263" t="s">
        <v>1874</v>
      </c>
      <c r="CR263" t="s">
        <v>183</v>
      </c>
      <c r="CS263" t="s">
        <v>138</v>
      </c>
      <c r="CT263" t="s">
        <v>139</v>
      </c>
      <c r="CU263" t="s">
        <v>163</v>
      </c>
      <c r="CW263">
        <v>10</v>
      </c>
      <c r="CX263" t="s">
        <v>1875</v>
      </c>
      <c r="CY263" t="s">
        <v>1876</v>
      </c>
      <c r="CZ263" t="s">
        <v>1867</v>
      </c>
      <c r="DA263" t="s">
        <v>1877</v>
      </c>
      <c r="DB263">
        <v>0</v>
      </c>
      <c r="DC263">
        <v>100</v>
      </c>
    </row>
    <row r="264" spans="1:107" x14ac:dyDescent="0.25">
      <c r="A264" t="s">
        <v>1885</v>
      </c>
      <c r="B264" t="s">
        <v>108</v>
      </c>
      <c r="C264" t="s">
        <v>1886</v>
      </c>
      <c r="D264" t="s">
        <v>1887</v>
      </c>
      <c r="F264" s="3" t="str">
        <f>HYPERLINK("https://mapwv.gov/flood/map/?wkid=102100&amp;x=-8987541.08554808&amp;y=4853577.994134211&amp;l=13&amp;v=2","FT")</f>
        <v>FT</v>
      </c>
      <c r="G264" s="3" t="str">
        <f>HYPERLINK("https://mapwv.gov/Assessment/Detail/?PID=25110021021800010000","Assessment")</f>
        <v>Assessment</v>
      </c>
      <c r="H264">
        <v>540111</v>
      </c>
      <c r="I264" t="s">
        <v>1868</v>
      </c>
      <c r="J264" t="s">
        <v>1869</v>
      </c>
      <c r="K264" t="s">
        <v>113</v>
      </c>
      <c r="L264" t="s">
        <v>1870</v>
      </c>
      <c r="M264" t="s">
        <v>1871</v>
      </c>
      <c r="N264" t="s">
        <v>704</v>
      </c>
      <c r="O264" t="s">
        <v>117</v>
      </c>
      <c r="P264" t="s">
        <v>118</v>
      </c>
      <c r="Q264" t="s">
        <v>225</v>
      </c>
      <c r="R264">
        <v>2.6</v>
      </c>
      <c r="S264" t="s">
        <v>120</v>
      </c>
      <c r="T264">
        <v>651</v>
      </c>
      <c r="U264" t="s">
        <v>365</v>
      </c>
      <c r="V264">
        <v>648.4</v>
      </c>
      <c r="X264" t="s">
        <v>1872</v>
      </c>
      <c r="Y264" t="s">
        <v>1873</v>
      </c>
      <c r="Z264">
        <v>0</v>
      </c>
      <c r="AB264" t="s">
        <v>155</v>
      </c>
      <c r="AC264" t="s">
        <v>129</v>
      </c>
      <c r="AD264">
        <v>4</v>
      </c>
      <c r="AE264">
        <v>109</v>
      </c>
      <c r="AF264" t="s">
        <v>724</v>
      </c>
      <c r="AG264" t="s">
        <v>177</v>
      </c>
      <c r="AH264" t="s">
        <v>129</v>
      </c>
      <c r="AI264">
        <v>1</v>
      </c>
      <c r="AL264">
        <v>1000</v>
      </c>
      <c r="AN264" t="s">
        <v>158</v>
      </c>
      <c r="AO264">
        <v>3.5</v>
      </c>
      <c r="AP264">
        <v>0</v>
      </c>
      <c r="AQ264">
        <v>0</v>
      </c>
      <c r="AR264">
        <v>40</v>
      </c>
      <c r="AS264">
        <v>12000</v>
      </c>
      <c r="AT264" t="s">
        <v>228</v>
      </c>
      <c r="AU264">
        <v>1</v>
      </c>
      <c r="AV264">
        <v>1</v>
      </c>
      <c r="AW264">
        <v>0</v>
      </c>
      <c r="BC264" t="s">
        <v>230</v>
      </c>
      <c r="BE264">
        <v>2.2999999999999998</v>
      </c>
      <c r="BF264">
        <v>1</v>
      </c>
      <c r="BG264">
        <v>2.2999999999999998</v>
      </c>
      <c r="BH264" s="1">
        <v>44405</v>
      </c>
      <c r="BI264" t="s">
        <v>707</v>
      </c>
      <c r="BJ264">
        <v>0</v>
      </c>
      <c r="BK264" t="s">
        <v>225</v>
      </c>
      <c r="BL264" t="s">
        <v>177</v>
      </c>
      <c r="BM264">
        <v>12000</v>
      </c>
      <c r="BN264">
        <v>1</v>
      </c>
      <c r="BO264">
        <v>5</v>
      </c>
      <c r="BP264">
        <v>3.5</v>
      </c>
      <c r="BQ264">
        <v>1000</v>
      </c>
      <c r="BR264">
        <v>1458</v>
      </c>
      <c r="BS264">
        <v>39.914862239000101</v>
      </c>
      <c r="BT264">
        <v>-80.736455238000005</v>
      </c>
      <c r="BU264">
        <v>2.607605</v>
      </c>
      <c r="BV264">
        <v>-0.89239501953125</v>
      </c>
      <c r="BW264">
        <v>1</v>
      </c>
      <c r="BX264" t="s">
        <v>181</v>
      </c>
      <c r="BY264">
        <v>189</v>
      </c>
      <c r="BZ264">
        <v>1.18365478515625</v>
      </c>
      <c r="CA264">
        <v>142.03857421875</v>
      </c>
      <c r="CB264">
        <v>6000</v>
      </c>
      <c r="CC264">
        <v>74</v>
      </c>
      <c r="CD264">
        <v>0.32281494140625</v>
      </c>
      <c r="CE264">
        <v>19.368896484375</v>
      </c>
      <c r="CF264">
        <v>0</v>
      </c>
      <c r="CG264">
        <v>0</v>
      </c>
      <c r="CH264">
        <v>0</v>
      </c>
      <c r="CI264">
        <v>0</v>
      </c>
      <c r="CO264">
        <v>0</v>
      </c>
      <c r="CP264">
        <v>0</v>
      </c>
      <c r="CQ264" t="s">
        <v>1874</v>
      </c>
      <c r="CR264" t="s">
        <v>137</v>
      </c>
      <c r="CS264" t="s">
        <v>138</v>
      </c>
      <c r="CT264" t="s">
        <v>139</v>
      </c>
      <c r="CU264" t="s">
        <v>267</v>
      </c>
      <c r="CW264">
        <v>10</v>
      </c>
      <c r="CX264" t="s">
        <v>1875</v>
      </c>
      <c r="CY264" t="s">
        <v>1876</v>
      </c>
      <c r="CZ264" t="s">
        <v>1887</v>
      </c>
      <c r="DA264" t="s">
        <v>1877</v>
      </c>
      <c r="DB264">
        <v>0</v>
      </c>
      <c r="DC264">
        <v>100</v>
      </c>
    </row>
  </sheetData>
  <sortState xmlns:xlrd2="http://schemas.microsoft.com/office/spreadsheetml/2017/richdata2" ref="A2:DC264">
    <sortCondition descending="1" ref="DC1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2021NoAppraisalBLRA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Yibing Han</cp:lastModifiedBy>
  <dcterms:created xsi:type="dcterms:W3CDTF">2021-09-09T20:49:27Z</dcterms:created>
  <dcterms:modified xsi:type="dcterms:W3CDTF">2021-09-09T20:49:27Z</dcterms:modified>
</cp:coreProperties>
</file>