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pub\RA\State\CL\FIRM_Status\"/>
    </mc:Choice>
  </mc:AlternateContent>
  <bookViews>
    <workbookView xWindow="5925" yWindow="540" windowWidth="19815" windowHeight="14880"/>
  </bookViews>
  <sheets>
    <sheet name="FIRM Status" sheetId="1" r:id="rId1"/>
    <sheet name="Metadata" sheetId="4" r:id="rId2"/>
    <sheet name="FIRM_Status_Freeboard" sheetId="2" r:id="rId3"/>
    <sheet name="Pre-FIRM &amp; Post-FIRM Div. Line" sheetId="3" r:id="rId4"/>
    <sheet name="SPLIT COMMUNITIES" sheetId="5" r:id="rId5"/>
    <sheet name="Flood Study Status" sheetId="6" r:id="rId6"/>
    <sheet name="Hazus Bldg. Year Built" sheetId="10" r:id="rId7"/>
    <sheet name="R9 FIRM Status" sheetId="7" r:id="rId8"/>
    <sheet name="R9 Bldg Year" sheetId="11" r:id="rId9"/>
  </sheets>
  <externalReferences>
    <externalReference r:id="rId10"/>
    <externalReference r:id="rId11"/>
  </externalReferences>
  <definedNames>
    <definedName name="_xlnm._FilterDatabase" localSheetId="0" hidden="1">'FIRM Status'!$A$6:$AO$337</definedName>
    <definedName name="_xlnm._FilterDatabase" localSheetId="2" hidden="1">FIRM_Status_Freeboard!$A$3:$L$282</definedName>
    <definedName name="_xlnm._FilterDatabase" localSheetId="3" hidden="1">'Pre-FIRM &amp; Post-FIRM Div. Line'!$A$2:$F$279</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1" i="1" l="1"/>
  <c r="N71" i="1" s="1"/>
  <c r="I68" i="1"/>
  <c r="N68" i="1" s="1"/>
  <c r="A5" i="6" l="1"/>
  <c r="A8" i="6" s="1"/>
  <c r="A14" i="6" s="1"/>
  <c r="A6" i="6"/>
  <c r="A7" i="6"/>
  <c r="A10" i="6"/>
  <c r="A12" i="6" s="1"/>
  <c r="A11" i="6"/>
  <c r="I4" i="2"/>
  <c r="F5" i="2"/>
  <c r="I5" i="2"/>
  <c r="F6" i="2"/>
  <c r="I6" i="2"/>
  <c r="F7" i="2"/>
  <c r="I7" i="2"/>
  <c r="I8" i="2"/>
  <c r="F9" i="2"/>
  <c r="F10" i="2"/>
  <c r="I10" i="2"/>
  <c r="I11" i="2"/>
  <c r="F12" i="2"/>
  <c r="I12" i="2"/>
  <c r="I13" i="2"/>
  <c r="I14" i="2"/>
  <c r="F15" i="2"/>
  <c r="I15" i="2"/>
  <c r="F16" i="2"/>
  <c r="I16" i="2"/>
  <c r="F17" i="2"/>
  <c r="I17" i="2"/>
  <c r="F18" i="2"/>
  <c r="I18" i="2"/>
  <c r="F19" i="2"/>
  <c r="I19" i="2"/>
  <c r="I21" i="2"/>
  <c r="F22" i="2"/>
  <c r="I22" i="2"/>
  <c r="F23" i="2"/>
  <c r="I23" i="2"/>
  <c r="F24" i="2"/>
  <c r="I24" i="2"/>
  <c r="F25" i="2"/>
  <c r="F26" i="2"/>
  <c r="I26" i="2"/>
  <c r="F27" i="2"/>
  <c r="I27" i="2"/>
  <c r="F28" i="2"/>
  <c r="I28" i="2"/>
  <c r="I29" i="2"/>
  <c r="F30" i="2"/>
  <c r="I30" i="2"/>
  <c r="F31" i="2"/>
  <c r="I31" i="2"/>
  <c r="I32" i="2"/>
  <c r="I33" i="2"/>
  <c r="F34" i="2"/>
  <c r="I34" i="2"/>
  <c r="F35" i="2"/>
  <c r="I35" i="2"/>
  <c r="F36" i="2"/>
  <c r="F37" i="2"/>
  <c r="I37" i="2"/>
  <c r="I38" i="2"/>
  <c r="I39" i="2"/>
  <c r="F40" i="2"/>
  <c r="I40" i="2"/>
  <c r="F41" i="2"/>
  <c r="I41" i="2"/>
  <c r="F42" i="2"/>
  <c r="I42" i="2"/>
  <c r="I43" i="2"/>
  <c r="F44" i="2"/>
  <c r="I44" i="2"/>
  <c r="F45" i="2"/>
  <c r="I45" i="2"/>
  <c r="F46" i="2"/>
  <c r="I46" i="2"/>
  <c r="F47" i="2"/>
  <c r="I47" i="2"/>
  <c r="F48" i="2"/>
  <c r="I48" i="2"/>
  <c r="I49" i="2"/>
  <c r="F50" i="2"/>
  <c r="I50" i="2"/>
  <c r="F51" i="2"/>
  <c r="I51" i="2"/>
  <c r="F52" i="2"/>
  <c r="I52" i="2"/>
  <c r="I53" i="2"/>
  <c r="F54" i="2"/>
  <c r="I54" i="2"/>
  <c r="I55" i="2"/>
  <c r="F56" i="2"/>
  <c r="F57" i="2"/>
  <c r="I57" i="2"/>
  <c r="F58" i="2"/>
  <c r="I58" i="2"/>
  <c r="F59" i="2"/>
  <c r="I59" i="2"/>
  <c r="F60" i="2"/>
  <c r="I60" i="2"/>
  <c r="F61" i="2"/>
  <c r="I61" i="2"/>
  <c r="F62" i="2"/>
  <c r="I62" i="2"/>
  <c r="F63" i="2"/>
  <c r="I63" i="2"/>
  <c r="F64" i="2"/>
  <c r="F65" i="2"/>
  <c r="I65" i="2"/>
  <c r="F66" i="2"/>
  <c r="I66" i="2"/>
  <c r="F67" i="2"/>
  <c r="I67" i="2"/>
  <c r="I68" i="2"/>
  <c r="F69" i="2"/>
  <c r="I69" i="2"/>
  <c r="F70" i="2"/>
  <c r="I70" i="2"/>
  <c r="F71" i="2"/>
  <c r="I71" i="2"/>
  <c r="I72" i="2"/>
  <c r="F73" i="2"/>
  <c r="I73" i="2"/>
  <c r="F74" i="2"/>
  <c r="I74" i="2"/>
  <c r="F75" i="2"/>
  <c r="I75" i="2"/>
  <c r="F77" i="2"/>
  <c r="I77" i="2"/>
  <c r="F78" i="2"/>
  <c r="I78" i="2"/>
  <c r="F79" i="2"/>
  <c r="I79" i="2"/>
  <c r="F80" i="2"/>
  <c r="I80" i="2"/>
  <c r="I81" i="2"/>
  <c r="F82" i="2"/>
  <c r="I82" i="2"/>
  <c r="I84" i="2"/>
  <c r="F85" i="2"/>
  <c r="F86" i="2"/>
  <c r="I86" i="2"/>
  <c r="F87" i="2"/>
  <c r="I87" i="2"/>
  <c r="F88" i="2"/>
  <c r="I88" i="2"/>
  <c r="F89" i="2"/>
  <c r="I89" i="2"/>
  <c r="I90" i="2"/>
  <c r="F91" i="2"/>
  <c r="I91" i="2"/>
  <c r="F92" i="2"/>
  <c r="I92" i="2"/>
  <c r="F93" i="2"/>
  <c r="I93" i="2"/>
  <c r="F94" i="2"/>
  <c r="I94" i="2"/>
  <c r="F95" i="2"/>
  <c r="I95" i="2"/>
  <c r="F96" i="2"/>
  <c r="I96" i="2"/>
  <c r="F97" i="2"/>
  <c r="I97" i="2"/>
  <c r="F98" i="2"/>
  <c r="I98" i="2"/>
  <c r="F99" i="2"/>
  <c r="I99" i="2"/>
  <c r="F100" i="2"/>
  <c r="I100" i="2"/>
  <c r="F101" i="2"/>
  <c r="I101" i="2"/>
  <c r="I102" i="2"/>
  <c r="F103" i="2"/>
  <c r="I103" i="2"/>
  <c r="F104" i="2"/>
  <c r="I104" i="2"/>
  <c r="F105" i="2"/>
  <c r="I105" i="2"/>
  <c r="F106" i="2"/>
  <c r="I106" i="2"/>
  <c r="F107" i="2"/>
  <c r="I107" i="2"/>
  <c r="F108" i="2"/>
  <c r="I108" i="2"/>
  <c r="F109" i="2"/>
  <c r="I109" i="2"/>
  <c r="I110" i="2"/>
  <c r="F111" i="2"/>
  <c r="I111" i="2"/>
  <c r="F112" i="2"/>
  <c r="I112" i="2"/>
  <c r="F113" i="2"/>
  <c r="I113" i="2"/>
  <c r="F114" i="2"/>
  <c r="I114" i="2"/>
  <c r="F115" i="2"/>
  <c r="I115" i="2"/>
  <c r="F116" i="2"/>
  <c r="I116" i="2"/>
  <c r="F117" i="2"/>
  <c r="I117" i="2"/>
  <c r="F118" i="2"/>
  <c r="I118" i="2"/>
  <c r="F119" i="2"/>
  <c r="I119" i="2"/>
  <c r="F120" i="2"/>
  <c r="I120" i="2"/>
  <c r="F121" i="2"/>
  <c r="I121" i="2"/>
  <c r="F122" i="2"/>
  <c r="F123" i="2"/>
  <c r="I123" i="2"/>
  <c r="I124" i="2"/>
  <c r="F125" i="2"/>
  <c r="I125" i="2"/>
  <c r="F126" i="2"/>
  <c r="I126" i="2"/>
  <c r="I127" i="2"/>
  <c r="F128" i="2"/>
  <c r="I128" i="2"/>
  <c r="I129" i="2"/>
  <c r="F130" i="2"/>
  <c r="I130" i="2"/>
  <c r="F131" i="2"/>
  <c r="I131" i="2"/>
  <c r="F132" i="2"/>
  <c r="I132" i="2"/>
  <c r="F133" i="2"/>
  <c r="I133" i="2"/>
  <c r="I134" i="2"/>
  <c r="I135" i="2"/>
  <c r="F136" i="2"/>
  <c r="I136" i="2"/>
  <c r="I137" i="2"/>
  <c r="I138" i="2"/>
  <c r="F139" i="2"/>
  <c r="I139" i="2"/>
  <c r="F140" i="2"/>
  <c r="I140" i="2"/>
  <c r="F141" i="2"/>
  <c r="I141" i="2"/>
  <c r="I142" i="2"/>
  <c r="F143" i="2"/>
  <c r="I143" i="2"/>
  <c r="F144" i="2"/>
  <c r="I144" i="2"/>
  <c r="F145" i="2"/>
  <c r="I145" i="2"/>
  <c r="F146" i="2"/>
  <c r="I146" i="2"/>
  <c r="F147" i="2"/>
  <c r="I147" i="2"/>
  <c r="F148" i="2"/>
  <c r="I148" i="2"/>
  <c r="F149" i="2"/>
  <c r="I149" i="2"/>
  <c r="F150" i="2"/>
  <c r="I150" i="2"/>
  <c r="I151" i="2"/>
  <c r="I152" i="2"/>
  <c r="I153" i="2"/>
  <c r="F154" i="2"/>
  <c r="F155" i="2"/>
  <c r="F157" i="2"/>
  <c r="I157" i="2"/>
  <c r="F158" i="2"/>
  <c r="I158" i="2"/>
  <c r="F159" i="2"/>
  <c r="I159" i="2"/>
  <c r="F160" i="2"/>
  <c r="I160" i="2"/>
  <c r="F161" i="2"/>
  <c r="I161" i="2"/>
  <c r="F163" i="2"/>
  <c r="I163" i="2"/>
  <c r="F164" i="2"/>
  <c r="I164" i="2"/>
  <c r="F165" i="2"/>
  <c r="I165" i="2"/>
  <c r="I166" i="2"/>
  <c r="F167" i="2"/>
  <c r="I167" i="2"/>
  <c r="I168" i="2"/>
  <c r="F171" i="2"/>
  <c r="I171" i="2"/>
  <c r="I172" i="2"/>
  <c r="I173" i="2"/>
  <c r="F174" i="2"/>
  <c r="I174" i="2"/>
  <c r="F175" i="2"/>
  <c r="I175" i="2"/>
  <c r="F176" i="2"/>
  <c r="I176" i="2"/>
  <c r="F178" i="2"/>
  <c r="I178" i="2"/>
  <c r="F179" i="2"/>
  <c r="I179" i="2"/>
  <c r="F181" i="2"/>
  <c r="I181" i="2"/>
  <c r="F182" i="2"/>
  <c r="I182" i="2"/>
  <c r="F183" i="2"/>
  <c r="I183" i="2"/>
  <c r="I184" i="2"/>
  <c r="I185" i="2"/>
  <c r="I186" i="2"/>
  <c r="F187" i="2"/>
  <c r="I187" i="2"/>
  <c r="F188" i="2"/>
  <c r="I188" i="2"/>
  <c r="I189" i="2"/>
  <c r="I190" i="2"/>
  <c r="F191" i="2"/>
  <c r="I191" i="2"/>
  <c r="F192" i="2"/>
  <c r="I192" i="2"/>
  <c r="F193" i="2"/>
  <c r="I193" i="2"/>
  <c r="F194" i="2"/>
  <c r="I194" i="2"/>
  <c r="F195" i="2"/>
  <c r="I195" i="2"/>
  <c r="F196" i="2"/>
  <c r="F197" i="2"/>
  <c r="I197" i="2"/>
  <c r="F198" i="2"/>
  <c r="F199" i="2"/>
  <c r="I199" i="2"/>
  <c r="I200" i="2"/>
  <c r="F201" i="2"/>
  <c r="I201" i="2"/>
  <c r="F202" i="2"/>
  <c r="I203" i="2"/>
  <c r="I204" i="2"/>
  <c r="I205" i="2"/>
  <c r="F206" i="2"/>
  <c r="I206" i="2"/>
  <c r="I207" i="2"/>
  <c r="I208" i="2"/>
  <c r="F209" i="2"/>
  <c r="I209" i="2"/>
  <c r="F210" i="2"/>
  <c r="F211" i="2"/>
  <c r="I212" i="2"/>
  <c r="F213" i="2"/>
  <c r="I213" i="2"/>
  <c r="F214" i="2"/>
  <c r="I214" i="2"/>
  <c r="F215" i="2"/>
  <c r="F217" i="2"/>
  <c r="F218" i="2"/>
  <c r="F219" i="2"/>
  <c r="I219" i="2"/>
  <c r="I220" i="2"/>
  <c r="F221" i="2"/>
  <c r="I221" i="2"/>
  <c r="F222" i="2"/>
  <c r="I222" i="2"/>
  <c r="F223" i="2"/>
  <c r="I223" i="2"/>
  <c r="F225" i="2"/>
  <c r="I225" i="2"/>
  <c r="F226" i="2"/>
  <c r="I226" i="2"/>
  <c r="I227" i="2"/>
  <c r="F228" i="2"/>
  <c r="I228" i="2"/>
  <c r="I229" i="2"/>
  <c r="F230" i="2"/>
  <c r="I230" i="2"/>
  <c r="F231" i="2"/>
  <c r="I231" i="2"/>
  <c r="F232" i="2"/>
  <c r="I232" i="2"/>
  <c r="F233" i="2"/>
  <c r="I233" i="2"/>
  <c r="F234" i="2"/>
  <c r="I234" i="2"/>
  <c r="F235" i="2"/>
  <c r="I235" i="2"/>
  <c r="F236" i="2"/>
  <c r="I236" i="2"/>
  <c r="F237" i="2"/>
  <c r="I237" i="2"/>
  <c r="F238" i="2"/>
  <c r="I238" i="2"/>
  <c r="F239" i="2"/>
  <c r="F240" i="2"/>
  <c r="I240" i="2"/>
  <c r="F241" i="2"/>
  <c r="F242" i="2"/>
  <c r="I242" i="2"/>
  <c r="I243" i="2"/>
  <c r="F244" i="2"/>
  <c r="F245" i="2"/>
  <c r="I245" i="2"/>
  <c r="I246" i="2"/>
  <c r="I247" i="2"/>
  <c r="F248" i="2"/>
  <c r="I248" i="2"/>
  <c r="I249" i="2"/>
  <c r="F250" i="2"/>
  <c r="I250" i="2"/>
  <c r="I251" i="2"/>
  <c r="F254" i="2"/>
  <c r="F255" i="2"/>
  <c r="F256" i="2"/>
  <c r="I256" i="2"/>
  <c r="F257" i="2"/>
  <c r="I257" i="2"/>
  <c r="F258" i="2"/>
  <c r="I258" i="2"/>
  <c r="F259" i="2"/>
  <c r="I259" i="2"/>
  <c r="F260" i="2"/>
  <c r="I260" i="2"/>
  <c r="F261" i="2"/>
  <c r="I261" i="2"/>
  <c r="F262" i="2"/>
  <c r="I262" i="2"/>
  <c r="F263" i="2"/>
  <c r="I263" i="2"/>
  <c r="I264" i="2"/>
  <c r="F265" i="2"/>
  <c r="I265" i="2"/>
  <c r="F266" i="2"/>
  <c r="I266" i="2"/>
  <c r="I267" i="2"/>
  <c r="I268" i="2"/>
  <c r="F269" i="2"/>
  <c r="I269" i="2"/>
  <c r="F270" i="2"/>
  <c r="I270" i="2"/>
  <c r="F271" i="2"/>
  <c r="I271" i="2"/>
  <c r="I272" i="2"/>
  <c r="F273" i="2"/>
  <c r="I273" i="2"/>
  <c r="F274" i="2"/>
  <c r="I274" i="2"/>
  <c r="F275" i="2"/>
  <c r="I275" i="2"/>
  <c r="F276" i="2"/>
  <c r="I276" i="2"/>
  <c r="F278" i="2"/>
  <c r="F279" i="2"/>
  <c r="I279" i="2"/>
  <c r="F280" i="2"/>
  <c r="I280" i="2"/>
  <c r="F281" i="2"/>
  <c r="F282" i="2"/>
  <c r="I282" i="2"/>
  <c r="AO347" i="1"/>
  <c r="AN347" i="1"/>
  <c r="AM347" i="1"/>
  <c r="AL347" i="1"/>
  <c r="AK347" i="1"/>
  <c r="AJ347" i="1"/>
  <c r="AI347" i="1"/>
  <c r="AH347" i="1"/>
  <c r="AO346" i="1"/>
  <c r="AN346" i="1"/>
  <c r="AM346" i="1"/>
  <c r="AL346" i="1"/>
  <c r="AK346" i="1"/>
  <c r="AJ346" i="1"/>
  <c r="AI346" i="1"/>
  <c r="AH346" i="1"/>
  <c r="O346" i="1"/>
  <c r="N346" i="1"/>
  <c r="M346" i="1"/>
  <c r="L346" i="1"/>
  <c r="AO345" i="1"/>
  <c r="AN345" i="1"/>
  <c r="AM345" i="1"/>
  <c r="AL345" i="1"/>
  <c r="AK345" i="1"/>
  <c r="AJ345" i="1"/>
  <c r="AI345" i="1"/>
  <c r="AH345" i="1"/>
  <c r="AO344" i="1"/>
  <c r="AN344" i="1"/>
  <c r="AM344" i="1"/>
  <c r="AL344" i="1"/>
  <c r="AK344" i="1"/>
  <c r="AJ344" i="1"/>
  <c r="AI344" i="1"/>
  <c r="AH344" i="1"/>
  <c r="AO343" i="1"/>
  <c r="AN343" i="1"/>
  <c r="AM343" i="1"/>
  <c r="AL343" i="1"/>
  <c r="AK343" i="1"/>
  <c r="AJ343" i="1"/>
  <c r="AI343" i="1"/>
  <c r="AH343" i="1"/>
  <c r="AO342" i="1"/>
  <c r="AN342" i="1"/>
  <c r="AM342" i="1"/>
  <c r="AL342" i="1"/>
  <c r="AK342" i="1"/>
  <c r="AJ342" i="1"/>
  <c r="AI342" i="1"/>
  <c r="AH342" i="1"/>
  <c r="AO341" i="1"/>
  <c r="AN341" i="1"/>
  <c r="AM341" i="1"/>
  <c r="AL341" i="1"/>
  <c r="AK341" i="1"/>
  <c r="AJ341" i="1"/>
  <c r="AI341" i="1"/>
  <c r="AH341" i="1"/>
  <c r="AO340" i="1"/>
  <c r="AN340" i="1"/>
  <c r="AM340" i="1"/>
  <c r="AL340" i="1"/>
  <c r="AK340" i="1"/>
  <c r="AJ340" i="1"/>
  <c r="AI340" i="1"/>
  <c r="AH340" i="1"/>
  <c r="AO337" i="1"/>
  <c r="AN337" i="1"/>
  <c r="AM337" i="1"/>
  <c r="AL337" i="1"/>
  <c r="AK337" i="1"/>
  <c r="AJ337" i="1"/>
  <c r="AI337" i="1"/>
  <c r="AH337" i="1"/>
  <c r="AO336" i="1"/>
  <c r="AN336" i="1"/>
  <c r="AM336" i="1"/>
  <c r="AL336" i="1"/>
  <c r="AK336" i="1"/>
  <c r="AJ336" i="1"/>
  <c r="AI336" i="1"/>
  <c r="AH336" i="1"/>
  <c r="AO335" i="1"/>
  <c r="AN335" i="1"/>
  <c r="AM335" i="1"/>
  <c r="AL335" i="1"/>
  <c r="AK335" i="1"/>
  <c r="AJ335" i="1"/>
  <c r="AI335" i="1"/>
  <c r="AH335" i="1"/>
  <c r="AO334" i="1"/>
  <c r="AN334" i="1"/>
  <c r="AM334" i="1"/>
  <c r="AL334" i="1"/>
  <c r="AK334" i="1"/>
  <c r="AJ334" i="1"/>
  <c r="AI334" i="1"/>
  <c r="AH334" i="1"/>
  <c r="AO333" i="1"/>
  <c r="AN333" i="1"/>
  <c r="AM333" i="1"/>
  <c r="AL333" i="1"/>
  <c r="AK333" i="1"/>
  <c r="AJ333" i="1"/>
  <c r="AI333" i="1"/>
  <c r="AH333" i="1"/>
  <c r="AO332" i="1"/>
  <c r="AN332" i="1"/>
  <c r="AM332" i="1"/>
  <c r="AL332" i="1"/>
  <c r="AK332" i="1"/>
  <c r="AJ332" i="1"/>
  <c r="AI332" i="1"/>
  <c r="AH332" i="1"/>
  <c r="AO331" i="1"/>
  <c r="AN331" i="1"/>
  <c r="AM331" i="1"/>
  <c r="AL331" i="1"/>
  <c r="AK331" i="1"/>
  <c r="AJ331" i="1"/>
  <c r="AI331" i="1"/>
  <c r="AH331" i="1"/>
  <c r="AO330" i="1"/>
  <c r="AN330" i="1"/>
  <c r="AM330" i="1"/>
  <c r="AL330" i="1"/>
  <c r="AK330" i="1"/>
  <c r="AJ330" i="1"/>
  <c r="AI330" i="1"/>
  <c r="AH330" i="1"/>
  <c r="AO329" i="1"/>
  <c r="AN329" i="1"/>
  <c r="AM329" i="1"/>
  <c r="AL329" i="1"/>
  <c r="AK329" i="1"/>
  <c r="AJ329" i="1"/>
  <c r="AI329" i="1"/>
  <c r="AH329" i="1"/>
  <c r="AO328" i="1"/>
  <c r="AN328" i="1"/>
  <c r="AM328" i="1"/>
  <c r="AL328" i="1"/>
  <c r="AK328" i="1"/>
  <c r="AJ328" i="1"/>
  <c r="AI328" i="1"/>
  <c r="AH328" i="1"/>
  <c r="AO327" i="1"/>
  <c r="AN327" i="1"/>
  <c r="AM327" i="1"/>
  <c r="AL327" i="1"/>
  <c r="AK327" i="1"/>
  <c r="AJ327" i="1"/>
  <c r="AI327" i="1"/>
  <c r="AH327" i="1"/>
  <c r="AO326" i="1"/>
  <c r="AN326" i="1"/>
  <c r="AM326" i="1"/>
  <c r="AL326" i="1"/>
  <c r="AK326" i="1"/>
  <c r="AJ326" i="1"/>
  <c r="AI326" i="1"/>
  <c r="AH326" i="1"/>
  <c r="AO325" i="1"/>
  <c r="AN325" i="1"/>
  <c r="AM325" i="1"/>
  <c r="AL325" i="1"/>
  <c r="AK325" i="1"/>
  <c r="AJ325" i="1"/>
  <c r="AI325" i="1"/>
  <c r="AH325" i="1"/>
  <c r="AO324" i="1"/>
  <c r="AN324" i="1"/>
  <c r="AM324" i="1"/>
  <c r="AL324" i="1"/>
  <c r="AK324" i="1"/>
  <c r="AJ324" i="1"/>
  <c r="AI324" i="1"/>
  <c r="AH324" i="1"/>
  <c r="AO323" i="1"/>
  <c r="AN323" i="1"/>
  <c r="AM323" i="1"/>
  <c r="AL323" i="1"/>
  <c r="AK323" i="1"/>
  <c r="AJ323" i="1"/>
  <c r="AI323" i="1"/>
  <c r="AH323" i="1"/>
  <c r="AO322" i="1"/>
  <c r="AN322" i="1"/>
  <c r="AM322" i="1"/>
  <c r="AL322" i="1"/>
  <c r="AK322" i="1"/>
  <c r="AJ322" i="1"/>
  <c r="AI322" i="1"/>
  <c r="AH322" i="1"/>
  <c r="AO321" i="1"/>
  <c r="AN321" i="1"/>
  <c r="AM321" i="1"/>
  <c r="AL321" i="1"/>
  <c r="AK321" i="1"/>
  <c r="AJ321" i="1"/>
  <c r="AI321" i="1"/>
  <c r="AH321" i="1"/>
  <c r="AO320" i="1"/>
  <c r="AN320" i="1"/>
  <c r="AM320" i="1"/>
  <c r="AL320" i="1"/>
  <c r="AK320" i="1"/>
  <c r="AJ320" i="1"/>
  <c r="AI320" i="1"/>
  <c r="AH320" i="1"/>
  <c r="AO319" i="1"/>
  <c r="AN319" i="1"/>
  <c r="AM319" i="1"/>
  <c r="AL319" i="1"/>
  <c r="AK319" i="1"/>
  <c r="AJ319" i="1"/>
  <c r="AI319" i="1"/>
  <c r="AH319" i="1"/>
  <c r="AO318" i="1"/>
  <c r="AN318" i="1"/>
  <c r="AM318" i="1"/>
  <c r="AL318" i="1"/>
  <c r="AK318" i="1"/>
  <c r="AJ318" i="1"/>
  <c r="AI318" i="1"/>
  <c r="AH318" i="1"/>
  <c r="AO317" i="1"/>
  <c r="AN317" i="1"/>
  <c r="AM317" i="1"/>
  <c r="AL317" i="1"/>
  <c r="AK317" i="1"/>
  <c r="AJ317" i="1"/>
  <c r="AI317" i="1"/>
  <c r="AH317" i="1"/>
  <c r="AO316" i="1"/>
  <c r="AN316" i="1"/>
  <c r="AM316" i="1"/>
  <c r="AL316" i="1"/>
  <c r="AK316" i="1"/>
  <c r="AJ316" i="1"/>
  <c r="AI316" i="1"/>
  <c r="AH316" i="1"/>
  <c r="AO315" i="1"/>
  <c r="AN315" i="1"/>
  <c r="AM315" i="1"/>
  <c r="AL315" i="1"/>
  <c r="AK315" i="1"/>
  <c r="AJ315" i="1"/>
  <c r="AI315" i="1"/>
  <c r="AH315" i="1"/>
  <c r="AO314" i="1"/>
  <c r="AN314" i="1"/>
  <c r="AM314" i="1"/>
  <c r="AL314" i="1"/>
  <c r="AK314" i="1"/>
  <c r="AJ314" i="1"/>
  <c r="AI314" i="1"/>
  <c r="AH314" i="1"/>
  <c r="AO313" i="1"/>
  <c r="AN313" i="1"/>
  <c r="AM313" i="1"/>
  <c r="AL313" i="1"/>
  <c r="AK313" i="1"/>
  <c r="AJ313" i="1"/>
  <c r="AI313" i="1"/>
  <c r="AH313" i="1"/>
  <c r="AO312" i="1"/>
  <c r="AN312" i="1"/>
  <c r="AM312" i="1"/>
  <c r="AL312" i="1"/>
  <c r="AK312" i="1"/>
  <c r="AJ312" i="1"/>
  <c r="AI312" i="1"/>
  <c r="AH312" i="1"/>
  <c r="AO311" i="1"/>
  <c r="AN311" i="1"/>
  <c r="AM311" i="1"/>
  <c r="AL311" i="1"/>
  <c r="AK311" i="1"/>
  <c r="AJ311" i="1"/>
  <c r="AI311" i="1"/>
  <c r="AH311" i="1"/>
  <c r="AO310" i="1"/>
  <c r="AN310" i="1"/>
  <c r="AM310" i="1"/>
  <c r="AL310" i="1"/>
  <c r="AK310" i="1"/>
  <c r="AJ310" i="1"/>
  <c r="AI310" i="1"/>
  <c r="AH310" i="1"/>
  <c r="AO309" i="1"/>
  <c r="AN309" i="1"/>
  <c r="AM309" i="1"/>
  <c r="AL309" i="1"/>
  <c r="AK309" i="1"/>
  <c r="AJ309" i="1"/>
  <c r="AI309" i="1"/>
  <c r="AH309" i="1"/>
  <c r="AO308" i="1"/>
  <c r="AN308" i="1"/>
  <c r="AM308" i="1"/>
  <c r="AL308" i="1"/>
  <c r="AK308" i="1"/>
  <c r="AJ308" i="1"/>
  <c r="AI308" i="1"/>
  <c r="AH308" i="1"/>
  <c r="AO307" i="1"/>
  <c r="AN307" i="1"/>
  <c r="AM307" i="1"/>
  <c r="AL307" i="1"/>
  <c r="AK307" i="1"/>
  <c r="AJ307" i="1"/>
  <c r="AI307" i="1"/>
  <c r="AH307" i="1"/>
  <c r="AO306" i="1"/>
  <c r="AN306" i="1"/>
  <c r="AM306" i="1"/>
  <c r="AL306" i="1"/>
  <c r="AK306" i="1"/>
  <c r="AJ306" i="1"/>
  <c r="AI306" i="1"/>
  <c r="AH306" i="1"/>
  <c r="AO305" i="1"/>
  <c r="AN305" i="1"/>
  <c r="AM305" i="1"/>
  <c r="AL305" i="1"/>
  <c r="AK305" i="1"/>
  <c r="AJ305" i="1"/>
  <c r="AI305" i="1"/>
  <c r="AH305" i="1"/>
  <c r="AO304" i="1"/>
  <c r="AN304" i="1"/>
  <c r="AM304" i="1"/>
  <c r="AL304" i="1"/>
  <c r="AK304" i="1"/>
  <c r="AJ304" i="1"/>
  <c r="AI304" i="1"/>
  <c r="AH304" i="1"/>
  <c r="AO303" i="1"/>
  <c r="AN303" i="1"/>
  <c r="AM303" i="1"/>
  <c r="AL303" i="1"/>
  <c r="AK303" i="1"/>
  <c r="AJ303" i="1"/>
  <c r="AI303" i="1"/>
  <c r="AH303" i="1"/>
  <c r="AO302" i="1"/>
  <c r="AN302" i="1"/>
  <c r="AM302" i="1"/>
  <c r="AL302" i="1"/>
  <c r="AK302" i="1"/>
  <c r="AJ302" i="1"/>
  <c r="AI302" i="1"/>
  <c r="AH302" i="1"/>
  <c r="AO301" i="1"/>
  <c r="AN301" i="1"/>
  <c r="AM301" i="1"/>
  <c r="AL301" i="1"/>
  <c r="AK301" i="1"/>
  <c r="AJ301" i="1"/>
  <c r="AI301" i="1"/>
  <c r="AH301" i="1"/>
  <c r="AO300" i="1"/>
  <c r="AN300" i="1"/>
  <c r="AM300" i="1"/>
  <c r="AL300" i="1"/>
  <c r="AK300" i="1"/>
  <c r="AJ300" i="1"/>
  <c r="AI300" i="1"/>
  <c r="AH300" i="1"/>
  <c r="AO299" i="1"/>
  <c r="AN299" i="1"/>
  <c r="AM299" i="1"/>
  <c r="AL299" i="1"/>
  <c r="AK299" i="1"/>
  <c r="AJ299" i="1"/>
  <c r="AI299" i="1"/>
  <c r="AH299" i="1"/>
  <c r="AO298" i="1"/>
  <c r="AN298" i="1"/>
  <c r="AM298" i="1"/>
  <c r="AL298" i="1"/>
  <c r="AK298" i="1"/>
  <c r="AJ298" i="1"/>
  <c r="AI298" i="1"/>
  <c r="AH298" i="1"/>
  <c r="AO297" i="1"/>
  <c r="AN297" i="1"/>
  <c r="AM297" i="1"/>
  <c r="AL297" i="1"/>
  <c r="AK297" i="1"/>
  <c r="AJ297" i="1"/>
  <c r="AI297" i="1"/>
  <c r="AH297" i="1"/>
  <c r="AO296" i="1"/>
  <c r="AN296" i="1"/>
  <c r="AM296" i="1"/>
  <c r="AL296" i="1"/>
  <c r="AK296" i="1"/>
  <c r="AJ296" i="1"/>
  <c r="AI296" i="1"/>
  <c r="AH296" i="1"/>
  <c r="AO295" i="1"/>
  <c r="AN295" i="1"/>
  <c r="AM295" i="1"/>
  <c r="AL295" i="1"/>
  <c r="AK295" i="1"/>
  <c r="AJ295" i="1"/>
  <c r="AI295" i="1"/>
  <c r="AH295" i="1"/>
  <c r="AO294" i="1"/>
  <c r="AN294" i="1"/>
  <c r="AM294" i="1"/>
  <c r="AL294" i="1"/>
  <c r="AK294" i="1"/>
  <c r="AJ294" i="1"/>
  <c r="AI294" i="1"/>
  <c r="AH294" i="1"/>
  <c r="AO293" i="1"/>
  <c r="AN293" i="1"/>
  <c r="AM293" i="1"/>
  <c r="AL293" i="1"/>
  <c r="AK293" i="1"/>
  <c r="AJ293" i="1"/>
  <c r="AI293" i="1"/>
  <c r="AH293" i="1"/>
  <c r="AO292" i="1"/>
  <c r="AN292" i="1"/>
  <c r="AM292" i="1"/>
  <c r="AL292" i="1"/>
  <c r="AK292" i="1"/>
  <c r="AJ292" i="1"/>
  <c r="AI292" i="1"/>
  <c r="AH292" i="1"/>
  <c r="AO291" i="1"/>
  <c r="AN291" i="1"/>
  <c r="AM291" i="1"/>
  <c r="AL291" i="1"/>
  <c r="AK291" i="1"/>
  <c r="AJ291" i="1"/>
  <c r="AI291" i="1"/>
  <c r="AH291" i="1"/>
  <c r="AO290" i="1"/>
  <c r="AN290" i="1"/>
  <c r="AM290" i="1"/>
  <c r="AL290" i="1"/>
  <c r="AK290" i="1"/>
  <c r="AJ290" i="1"/>
  <c r="AI290" i="1"/>
  <c r="AH290" i="1"/>
  <c r="AO289" i="1"/>
  <c r="AN289" i="1"/>
  <c r="AM289" i="1"/>
  <c r="AL289" i="1"/>
  <c r="AK289" i="1"/>
  <c r="AJ289" i="1"/>
  <c r="AI289" i="1"/>
  <c r="AH289" i="1"/>
  <c r="AO288" i="1"/>
  <c r="AN288" i="1"/>
  <c r="AM288" i="1"/>
  <c r="AL288" i="1"/>
  <c r="AK288" i="1"/>
  <c r="AJ288" i="1"/>
  <c r="AI288" i="1"/>
  <c r="AH288" i="1"/>
  <c r="AO287" i="1"/>
  <c r="AN287" i="1"/>
  <c r="AM287" i="1"/>
  <c r="AL287" i="1"/>
  <c r="AK287" i="1"/>
  <c r="AJ287" i="1"/>
  <c r="AI287" i="1"/>
  <c r="AH287" i="1"/>
  <c r="AO286" i="1"/>
  <c r="AN286" i="1"/>
  <c r="AM286" i="1"/>
  <c r="AL286" i="1"/>
  <c r="AK286" i="1"/>
  <c r="AJ286" i="1"/>
  <c r="AI286" i="1"/>
  <c r="AH286" i="1"/>
  <c r="AO285" i="1"/>
  <c r="AN285" i="1"/>
  <c r="AM285" i="1"/>
  <c r="AL285" i="1"/>
  <c r="AK285" i="1"/>
  <c r="AJ285" i="1"/>
  <c r="AI285" i="1"/>
  <c r="AH285" i="1"/>
  <c r="AO284" i="1"/>
  <c r="AN284" i="1"/>
  <c r="AM284" i="1"/>
  <c r="AL284" i="1"/>
  <c r="AK284" i="1"/>
  <c r="AJ284" i="1"/>
  <c r="AI284" i="1"/>
  <c r="AH284" i="1"/>
  <c r="AO283" i="1"/>
  <c r="AN283" i="1"/>
  <c r="AM283" i="1"/>
  <c r="AL283" i="1"/>
  <c r="AK283" i="1"/>
  <c r="AJ283" i="1"/>
  <c r="AI283" i="1"/>
  <c r="AH283" i="1"/>
  <c r="AO282" i="1"/>
  <c r="AN282" i="1"/>
  <c r="AM282" i="1"/>
  <c r="AL282" i="1"/>
  <c r="AK282" i="1"/>
  <c r="AJ282" i="1"/>
  <c r="AI282" i="1"/>
  <c r="AH282" i="1"/>
  <c r="AO281" i="1"/>
  <c r="AN281" i="1"/>
  <c r="AM281" i="1"/>
  <c r="AL281" i="1"/>
  <c r="AK281" i="1"/>
  <c r="AJ281" i="1"/>
  <c r="AI281" i="1"/>
  <c r="AH281" i="1"/>
  <c r="AO280" i="1"/>
  <c r="AN280" i="1"/>
  <c r="AM280" i="1"/>
  <c r="AL280" i="1"/>
  <c r="AK280" i="1"/>
  <c r="AJ280" i="1"/>
  <c r="AI280" i="1"/>
  <c r="AH280" i="1"/>
  <c r="AO279" i="1"/>
  <c r="AN279" i="1"/>
  <c r="AM279" i="1"/>
  <c r="AL279" i="1"/>
  <c r="AK279" i="1"/>
  <c r="AJ279" i="1"/>
  <c r="AI279" i="1"/>
  <c r="AH279" i="1"/>
  <c r="AO278" i="1"/>
  <c r="AN278" i="1"/>
  <c r="AM278" i="1"/>
  <c r="AL278" i="1"/>
  <c r="AK278" i="1"/>
  <c r="AJ278" i="1"/>
  <c r="AI278" i="1"/>
  <c r="AH278" i="1"/>
  <c r="AO277" i="1"/>
  <c r="AN277" i="1"/>
  <c r="AM277" i="1"/>
  <c r="AL277" i="1"/>
  <c r="AK277" i="1"/>
  <c r="AJ277" i="1"/>
  <c r="AI277" i="1"/>
  <c r="AH277" i="1"/>
  <c r="AO276" i="1"/>
  <c r="AN276" i="1"/>
  <c r="AM276" i="1"/>
  <c r="AL276" i="1"/>
  <c r="AK276" i="1"/>
  <c r="AJ276" i="1"/>
  <c r="AI276" i="1"/>
  <c r="AH276" i="1"/>
  <c r="AO275" i="1"/>
  <c r="AN275" i="1"/>
  <c r="AM275" i="1"/>
  <c r="AL275" i="1"/>
  <c r="AK275" i="1"/>
  <c r="AJ275" i="1"/>
  <c r="AI275" i="1"/>
  <c r="AH275" i="1"/>
  <c r="AO274" i="1"/>
  <c r="AN274" i="1"/>
  <c r="AM274" i="1"/>
  <c r="AL274" i="1"/>
  <c r="AK274" i="1"/>
  <c r="AJ274" i="1"/>
  <c r="AI274" i="1"/>
  <c r="AH274" i="1"/>
  <c r="AO273" i="1"/>
  <c r="AN273" i="1"/>
  <c r="AM273" i="1"/>
  <c r="AL273" i="1"/>
  <c r="AK273" i="1"/>
  <c r="AJ273" i="1"/>
  <c r="AI273" i="1"/>
  <c r="AH273" i="1"/>
  <c r="AO272" i="1"/>
  <c r="AN272" i="1"/>
  <c r="AM272" i="1"/>
  <c r="AL272" i="1"/>
  <c r="AK272" i="1"/>
  <c r="AJ272" i="1"/>
  <c r="AI272" i="1"/>
  <c r="AH272" i="1"/>
  <c r="AO271" i="1"/>
  <c r="AN271" i="1"/>
  <c r="AM271" i="1"/>
  <c r="AL271" i="1"/>
  <c r="AK271" i="1"/>
  <c r="AJ271" i="1"/>
  <c r="AI271" i="1"/>
  <c r="AH271" i="1"/>
  <c r="AO270" i="1"/>
  <c r="AN270" i="1"/>
  <c r="AM270" i="1"/>
  <c r="AL270" i="1"/>
  <c r="AK270" i="1"/>
  <c r="AJ270" i="1"/>
  <c r="AI270" i="1"/>
  <c r="AH270" i="1"/>
  <c r="AO269" i="1"/>
  <c r="AN269" i="1"/>
  <c r="AM269" i="1"/>
  <c r="AL269" i="1"/>
  <c r="AK269" i="1"/>
  <c r="AJ269" i="1"/>
  <c r="AI269" i="1"/>
  <c r="AH269" i="1"/>
  <c r="AO268" i="1"/>
  <c r="AN268" i="1"/>
  <c r="AM268" i="1"/>
  <c r="AL268" i="1"/>
  <c r="AK268" i="1"/>
  <c r="AJ268" i="1"/>
  <c r="AI268" i="1"/>
  <c r="AH268" i="1"/>
  <c r="AO267" i="1"/>
  <c r="AN267" i="1"/>
  <c r="AM267" i="1"/>
  <c r="AL267" i="1"/>
  <c r="AK267" i="1"/>
  <c r="AJ267" i="1"/>
  <c r="AI267" i="1"/>
  <c r="AH267" i="1"/>
  <c r="AO266" i="1"/>
  <c r="AN266" i="1"/>
  <c r="AM266" i="1"/>
  <c r="AL266" i="1"/>
  <c r="AK266" i="1"/>
  <c r="AJ266" i="1"/>
  <c r="AI266" i="1"/>
  <c r="AH266" i="1"/>
  <c r="AO265" i="1"/>
  <c r="AN265" i="1"/>
  <c r="AM265" i="1"/>
  <c r="AL265" i="1"/>
  <c r="AK265" i="1"/>
  <c r="AJ265" i="1"/>
  <c r="AI265" i="1"/>
  <c r="AH265" i="1"/>
  <c r="AO264" i="1"/>
  <c r="AN264" i="1"/>
  <c r="AM264" i="1"/>
  <c r="AL264" i="1"/>
  <c r="AK264" i="1"/>
  <c r="AJ264" i="1"/>
  <c r="AI264" i="1"/>
  <c r="AH264" i="1"/>
  <c r="AO263" i="1"/>
  <c r="AN263" i="1"/>
  <c r="AM263" i="1"/>
  <c r="AL263" i="1"/>
  <c r="AK263" i="1"/>
  <c r="AJ263" i="1"/>
  <c r="AI263" i="1"/>
  <c r="AH263" i="1"/>
  <c r="AO262" i="1"/>
  <c r="AN262" i="1"/>
  <c r="AM262" i="1"/>
  <c r="AL262" i="1"/>
  <c r="AK262" i="1"/>
  <c r="AJ262" i="1"/>
  <c r="AI262" i="1"/>
  <c r="AH262" i="1"/>
  <c r="AO261" i="1"/>
  <c r="AN261" i="1"/>
  <c r="AM261" i="1"/>
  <c r="AL261" i="1"/>
  <c r="AK261" i="1"/>
  <c r="AJ261" i="1"/>
  <c r="AI261" i="1"/>
  <c r="AH261" i="1"/>
  <c r="AO260" i="1"/>
  <c r="AN260" i="1"/>
  <c r="AM260" i="1"/>
  <c r="AL260" i="1"/>
  <c r="AK260" i="1"/>
  <c r="AJ260" i="1"/>
  <c r="AI260" i="1"/>
  <c r="AH260" i="1"/>
  <c r="AO259" i="1"/>
  <c r="AN259" i="1"/>
  <c r="AM259" i="1"/>
  <c r="AL259" i="1"/>
  <c r="AK259" i="1"/>
  <c r="AJ259" i="1"/>
  <c r="AI259" i="1"/>
  <c r="AH259" i="1"/>
  <c r="AO258" i="1"/>
  <c r="AN258" i="1"/>
  <c r="AM258" i="1"/>
  <c r="AL258" i="1"/>
  <c r="AK258" i="1"/>
  <c r="AJ258" i="1"/>
  <c r="AI258" i="1"/>
  <c r="AH258" i="1"/>
  <c r="AO257" i="1"/>
  <c r="AN257" i="1"/>
  <c r="AM257" i="1"/>
  <c r="AL257" i="1"/>
  <c r="AK257" i="1"/>
  <c r="AJ257" i="1"/>
  <c r="AI257" i="1"/>
  <c r="AH257" i="1"/>
  <c r="AO256" i="1"/>
  <c r="AN256" i="1"/>
  <c r="AM256" i="1"/>
  <c r="AL256" i="1"/>
  <c r="AK256" i="1"/>
  <c r="AJ256" i="1"/>
  <c r="AI256" i="1"/>
  <c r="AH256" i="1"/>
  <c r="AO255" i="1"/>
  <c r="AN255" i="1"/>
  <c r="AM255" i="1"/>
  <c r="AL255" i="1"/>
  <c r="AK255" i="1"/>
  <c r="AJ255" i="1"/>
  <c r="AI255" i="1"/>
  <c r="AH255" i="1"/>
  <c r="AO254" i="1"/>
  <c r="AN254" i="1"/>
  <c r="AM254" i="1"/>
  <c r="AL254" i="1"/>
  <c r="AK254" i="1"/>
  <c r="AJ254" i="1"/>
  <c r="AI254" i="1"/>
  <c r="AH254" i="1"/>
  <c r="AO253" i="1"/>
  <c r="AN253" i="1"/>
  <c r="AM253" i="1"/>
  <c r="AL253" i="1"/>
  <c r="AK253" i="1"/>
  <c r="AJ253" i="1"/>
  <c r="AI253" i="1"/>
  <c r="AH253" i="1"/>
  <c r="AO252" i="1"/>
  <c r="AN252" i="1"/>
  <c r="AM252" i="1"/>
  <c r="AL252" i="1"/>
  <c r="AK252" i="1"/>
  <c r="AJ252" i="1"/>
  <c r="AI252" i="1"/>
  <c r="AH252" i="1"/>
  <c r="AO251" i="1"/>
  <c r="AN251" i="1"/>
  <c r="AM251" i="1"/>
  <c r="AL251" i="1"/>
  <c r="AK251" i="1"/>
  <c r="AJ251" i="1"/>
  <c r="AI251" i="1"/>
  <c r="AH251" i="1"/>
  <c r="AO250" i="1"/>
  <c r="AN250" i="1"/>
  <c r="AM250" i="1"/>
  <c r="AL250" i="1"/>
  <c r="AK250" i="1"/>
  <c r="AJ250" i="1"/>
  <c r="AI250" i="1"/>
  <c r="AH250" i="1"/>
  <c r="AO249" i="1"/>
  <c r="AN249" i="1"/>
  <c r="AM249" i="1"/>
  <c r="AL249" i="1"/>
  <c r="AK249" i="1"/>
  <c r="AJ249" i="1"/>
  <c r="AI249" i="1"/>
  <c r="AH249" i="1"/>
  <c r="AO248" i="1"/>
  <c r="AN248" i="1"/>
  <c r="AM248" i="1"/>
  <c r="AL248" i="1"/>
  <c r="AK248" i="1"/>
  <c r="AJ248" i="1"/>
  <c r="AI248" i="1"/>
  <c r="AH248" i="1"/>
  <c r="AO247" i="1"/>
  <c r="AN247" i="1"/>
  <c r="AM247" i="1"/>
  <c r="AL247" i="1"/>
  <c r="AK247" i="1"/>
  <c r="AJ247" i="1"/>
  <c r="AI247" i="1"/>
  <c r="AH247" i="1"/>
  <c r="AO246" i="1"/>
  <c r="AN246" i="1"/>
  <c r="AM246" i="1"/>
  <c r="AL246" i="1"/>
  <c r="AK246" i="1"/>
  <c r="AJ246" i="1"/>
  <c r="AI246" i="1"/>
  <c r="AH246" i="1"/>
  <c r="AO245" i="1"/>
  <c r="AN245" i="1"/>
  <c r="AM245" i="1"/>
  <c r="AL245" i="1"/>
  <c r="AK245" i="1"/>
  <c r="AJ245" i="1"/>
  <c r="AI245" i="1"/>
  <c r="AH245" i="1"/>
  <c r="AO244" i="1"/>
  <c r="AN244" i="1"/>
  <c r="AM244" i="1"/>
  <c r="AL244" i="1"/>
  <c r="AK244" i="1"/>
  <c r="AJ244" i="1"/>
  <c r="AI244" i="1"/>
  <c r="AH244" i="1"/>
  <c r="AO243" i="1"/>
  <c r="AN243" i="1"/>
  <c r="AM243" i="1"/>
  <c r="AL243" i="1"/>
  <c r="AK243" i="1"/>
  <c r="AJ243" i="1"/>
  <c r="AI243" i="1"/>
  <c r="AH243" i="1"/>
  <c r="AO242" i="1"/>
  <c r="AN242" i="1"/>
  <c r="AM242" i="1"/>
  <c r="AL242" i="1"/>
  <c r="AK242" i="1"/>
  <c r="AJ242" i="1"/>
  <c r="AI242" i="1"/>
  <c r="AH242" i="1"/>
  <c r="AO241" i="1"/>
  <c r="AN241" i="1"/>
  <c r="AM241" i="1"/>
  <c r="AL241" i="1"/>
  <c r="AK241" i="1"/>
  <c r="AJ241" i="1"/>
  <c r="AI241" i="1"/>
  <c r="AH241" i="1"/>
  <c r="AO240" i="1"/>
  <c r="AN240" i="1"/>
  <c r="AM240" i="1"/>
  <c r="AL240" i="1"/>
  <c r="AK240" i="1"/>
  <c r="AJ240" i="1"/>
  <c r="AI240" i="1"/>
  <c r="AH240" i="1"/>
  <c r="AO239" i="1"/>
  <c r="AN239" i="1"/>
  <c r="AM239" i="1"/>
  <c r="AL239" i="1"/>
  <c r="AK239" i="1"/>
  <c r="AJ239" i="1"/>
  <c r="AI239" i="1"/>
  <c r="AH239" i="1"/>
  <c r="AO238" i="1"/>
  <c r="AN238" i="1"/>
  <c r="AM238" i="1"/>
  <c r="AL238" i="1"/>
  <c r="AK238" i="1"/>
  <c r="AJ238" i="1"/>
  <c r="AI238" i="1"/>
  <c r="AH238" i="1"/>
  <c r="AO237" i="1"/>
  <c r="AN237" i="1"/>
  <c r="AM237" i="1"/>
  <c r="AL237" i="1"/>
  <c r="AK237" i="1"/>
  <c r="AJ237" i="1"/>
  <c r="AI237" i="1"/>
  <c r="AH237" i="1"/>
  <c r="AO236" i="1"/>
  <c r="AN236" i="1"/>
  <c r="AM236" i="1"/>
  <c r="AL236" i="1"/>
  <c r="AK236" i="1"/>
  <c r="AJ236" i="1"/>
  <c r="AI236" i="1"/>
  <c r="AH236" i="1"/>
  <c r="AO235" i="1"/>
  <c r="AN235" i="1"/>
  <c r="AM235" i="1"/>
  <c r="AL235" i="1"/>
  <c r="AK235" i="1"/>
  <c r="AJ235" i="1"/>
  <c r="AI235" i="1"/>
  <c r="AH235" i="1"/>
  <c r="AO234" i="1"/>
  <c r="AN234" i="1"/>
  <c r="AM234" i="1"/>
  <c r="AL234" i="1"/>
  <c r="AK234" i="1"/>
  <c r="AJ234" i="1"/>
  <c r="AI234" i="1"/>
  <c r="AH234" i="1"/>
  <c r="AO233" i="1"/>
  <c r="AN233" i="1"/>
  <c r="AM233" i="1"/>
  <c r="AL233" i="1"/>
  <c r="AK233" i="1"/>
  <c r="AJ233" i="1"/>
  <c r="AI233" i="1"/>
  <c r="AH233" i="1"/>
  <c r="AO232" i="1"/>
  <c r="AN232" i="1"/>
  <c r="AM232" i="1"/>
  <c r="AL232" i="1"/>
  <c r="AK232" i="1"/>
  <c r="AJ232" i="1"/>
  <c r="AI232" i="1"/>
  <c r="AH232" i="1"/>
  <c r="AO231" i="1"/>
  <c r="AN231" i="1"/>
  <c r="AM231" i="1"/>
  <c r="AL231" i="1"/>
  <c r="AK231" i="1"/>
  <c r="AJ231" i="1"/>
  <c r="AI231" i="1"/>
  <c r="AH231" i="1"/>
  <c r="AO230" i="1"/>
  <c r="AN230" i="1"/>
  <c r="AM230" i="1"/>
  <c r="AL230" i="1"/>
  <c r="AK230" i="1"/>
  <c r="AJ230" i="1"/>
  <c r="AI230" i="1"/>
  <c r="AH230" i="1"/>
  <c r="AO229" i="1"/>
  <c r="AN229" i="1"/>
  <c r="AM229" i="1"/>
  <c r="AL229" i="1"/>
  <c r="AK229" i="1"/>
  <c r="AJ229" i="1"/>
  <c r="AI229" i="1"/>
  <c r="AH229" i="1"/>
  <c r="AO228" i="1"/>
  <c r="AN228" i="1"/>
  <c r="AM228" i="1"/>
  <c r="AL228" i="1"/>
  <c r="AK228" i="1"/>
  <c r="AJ228" i="1"/>
  <c r="AI228" i="1"/>
  <c r="AH228" i="1"/>
  <c r="AO227" i="1"/>
  <c r="AN227" i="1"/>
  <c r="AM227" i="1"/>
  <c r="AL227" i="1"/>
  <c r="AK227" i="1"/>
  <c r="AJ227" i="1"/>
  <c r="AI227" i="1"/>
  <c r="AH227" i="1"/>
  <c r="AO226" i="1"/>
  <c r="AN226" i="1"/>
  <c r="AM226" i="1"/>
  <c r="AL226" i="1"/>
  <c r="AK226" i="1"/>
  <c r="AJ226" i="1"/>
  <c r="AI226" i="1"/>
  <c r="AH226" i="1"/>
  <c r="AO225" i="1"/>
  <c r="AN225" i="1"/>
  <c r="AM225" i="1"/>
  <c r="AL225" i="1"/>
  <c r="AK225" i="1"/>
  <c r="AJ225" i="1"/>
  <c r="AI225" i="1"/>
  <c r="AH225" i="1"/>
  <c r="AO224" i="1"/>
  <c r="AN224" i="1"/>
  <c r="AM224" i="1"/>
  <c r="AL224" i="1"/>
  <c r="AK224" i="1"/>
  <c r="AJ224" i="1"/>
  <c r="AI224" i="1"/>
  <c r="AH224" i="1"/>
  <c r="AO223" i="1"/>
  <c r="AN223" i="1"/>
  <c r="AM223" i="1"/>
  <c r="AL223" i="1"/>
  <c r="AK223" i="1"/>
  <c r="AJ223" i="1"/>
  <c r="AI223" i="1"/>
  <c r="AH223" i="1"/>
  <c r="AO222" i="1"/>
  <c r="AN222" i="1"/>
  <c r="AM222" i="1"/>
  <c r="AL222" i="1"/>
  <c r="AK222" i="1"/>
  <c r="AJ222" i="1"/>
  <c r="AI222" i="1"/>
  <c r="AH222" i="1"/>
  <c r="AO221" i="1"/>
  <c r="AN221" i="1"/>
  <c r="AM221" i="1"/>
  <c r="AL221" i="1"/>
  <c r="AK221" i="1"/>
  <c r="AJ221" i="1"/>
  <c r="AI221" i="1"/>
  <c r="AH221" i="1"/>
  <c r="AO220" i="1"/>
  <c r="AN220" i="1"/>
  <c r="AM220" i="1"/>
  <c r="AL220" i="1"/>
  <c r="AK220" i="1"/>
  <c r="AJ220" i="1"/>
  <c r="AI220" i="1"/>
  <c r="AH220" i="1"/>
  <c r="AO219" i="1"/>
  <c r="AN219" i="1"/>
  <c r="AM219" i="1"/>
  <c r="AL219" i="1"/>
  <c r="AK219" i="1"/>
  <c r="AJ219" i="1"/>
  <c r="AI219" i="1"/>
  <c r="AH219" i="1"/>
  <c r="AO218" i="1"/>
  <c r="AN218" i="1"/>
  <c r="AM218" i="1"/>
  <c r="AL218" i="1"/>
  <c r="AK218" i="1"/>
  <c r="AJ218" i="1"/>
  <c r="AI218" i="1"/>
  <c r="AH218" i="1"/>
  <c r="AO217" i="1"/>
  <c r="AN217" i="1"/>
  <c r="AM217" i="1"/>
  <c r="AL217" i="1"/>
  <c r="AK217" i="1"/>
  <c r="AJ217" i="1"/>
  <c r="AI217" i="1"/>
  <c r="AH217" i="1"/>
  <c r="AO216" i="1"/>
  <c r="AN216" i="1"/>
  <c r="AM216" i="1"/>
  <c r="AL216" i="1"/>
  <c r="AK216" i="1"/>
  <c r="AJ216" i="1"/>
  <c r="AI216" i="1"/>
  <c r="AH216" i="1"/>
  <c r="AO215" i="1"/>
  <c r="AN215" i="1"/>
  <c r="AM215" i="1"/>
  <c r="AL215" i="1"/>
  <c r="AK215" i="1"/>
  <c r="AJ215" i="1"/>
  <c r="AI215" i="1"/>
  <c r="AH215" i="1"/>
  <c r="AO214" i="1"/>
  <c r="AN214" i="1"/>
  <c r="AM214" i="1"/>
  <c r="AL214" i="1"/>
  <c r="AK214" i="1"/>
  <c r="AJ214" i="1"/>
  <c r="AI214" i="1"/>
  <c r="AH214" i="1"/>
  <c r="AO213" i="1"/>
  <c r="AN213" i="1"/>
  <c r="AM213" i="1"/>
  <c r="AL213" i="1"/>
  <c r="AK213" i="1"/>
  <c r="AJ213" i="1"/>
  <c r="AI213" i="1"/>
  <c r="AH213" i="1"/>
  <c r="AO212" i="1"/>
  <c r="AN212" i="1"/>
  <c r="AM212" i="1"/>
  <c r="AL212" i="1"/>
  <c r="AK212" i="1"/>
  <c r="AJ212" i="1"/>
  <c r="AI212" i="1"/>
  <c r="AH212" i="1"/>
  <c r="AO211" i="1"/>
  <c r="AN211" i="1"/>
  <c r="AM211" i="1"/>
  <c r="AL211" i="1"/>
  <c r="AK211" i="1"/>
  <c r="AJ211" i="1"/>
  <c r="AI211" i="1"/>
  <c r="AH211" i="1"/>
  <c r="AO210" i="1"/>
  <c r="AN210" i="1"/>
  <c r="AM210" i="1"/>
  <c r="AL210" i="1"/>
  <c r="AK210" i="1"/>
  <c r="AJ210" i="1"/>
  <c r="AI210" i="1"/>
  <c r="AH210" i="1"/>
  <c r="AO209" i="1"/>
  <c r="AN209" i="1"/>
  <c r="AM209" i="1"/>
  <c r="AL209" i="1"/>
  <c r="AK209" i="1"/>
  <c r="AJ209" i="1"/>
  <c r="AI209" i="1"/>
  <c r="AH209" i="1"/>
  <c r="AO208" i="1"/>
  <c r="AN208" i="1"/>
  <c r="AM208" i="1"/>
  <c r="AL208" i="1"/>
  <c r="AK208" i="1"/>
  <c r="AJ208" i="1"/>
  <c r="AI208" i="1"/>
  <c r="AH208" i="1"/>
  <c r="AO207" i="1"/>
  <c r="AN207" i="1"/>
  <c r="AM207" i="1"/>
  <c r="AL207" i="1"/>
  <c r="AK207" i="1"/>
  <c r="AJ207" i="1"/>
  <c r="AI207" i="1"/>
  <c r="AH207" i="1"/>
  <c r="AO206" i="1"/>
  <c r="AN206" i="1"/>
  <c r="AM206" i="1"/>
  <c r="AL206" i="1"/>
  <c r="AK206" i="1"/>
  <c r="AJ206" i="1"/>
  <c r="AI206" i="1"/>
  <c r="AH206" i="1"/>
  <c r="AO205" i="1"/>
  <c r="AN205" i="1"/>
  <c r="AM205" i="1"/>
  <c r="AL205" i="1"/>
  <c r="AK205" i="1"/>
  <c r="AJ205" i="1"/>
  <c r="AI205" i="1"/>
  <c r="AH205" i="1"/>
  <c r="AO204" i="1"/>
  <c r="AN204" i="1"/>
  <c r="AM204" i="1"/>
  <c r="AL204" i="1"/>
  <c r="AK204" i="1"/>
  <c r="AJ204" i="1"/>
  <c r="AI204" i="1"/>
  <c r="AH204" i="1"/>
  <c r="AO203" i="1"/>
  <c r="AN203" i="1"/>
  <c r="AM203" i="1"/>
  <c r="AL203" i="1"/>
  <c r="AK203" i="1"/>
  <c r="AJ203" i="1"/>
  <c r="AI203" i="1"/>
  <c r="AH203" i="1"/>
  <c r="AO202" i="1"/>
  <c r="AN202" i="1"/>
  <c r="AM202" i="1"/>
  <c r="AL202" i="1"/>
  <c r="AK202" i="1"/>
  <c r="AJ202" i="1"/>
  <c r="AI202" i="1"/>
  <c r="AH202" i="1"/>
  <c r="AO201" i="1"/>
  <c r="AN201" i="1"/>
  <c r="AM201" i="1"/>
  <c r="AL201" i="1"/>
  <c r="AK201" i="1"/>
  <c r="AJ201" i="1"/>
  <c r="AI201" i="1"/>
  <c r="AH201" i="1"/>
  <c r="AO200" i="1"/>
  <c r="AN200" i="1"/>
  <c r="AM200" i="1"/>
  <c r="AL200" i="1"/>
  <c r="AK200" i="1"/>
  <c r="AJ200" i="1"/>
  <c r="AI200" i="1"/>
  <c r="AH200" i="1"/>
  <c r="AO199" i="1"/>
  <c r="AN199" i="1"/>
  <c r="AM199" i="1"/>
  <c r="AL199" i="1"/>
  <c r="AK199" i="1"/>
  <c r="AJ199" i="1"/>
  <c r="AI199" i="1"/>
  <c r="AH199" i="1"/>
  <c r="AO198" i="1"/>
  <c r="AN198" i="1"/>
  <c r="AM198" i="1"/>
  <c r="AL198" i="1"/>
  <c r="AK198" i="1"/>
  <c r="AJ198" i="1"/>
  <c r="AI198" i="1"/>
  <c r="AH198" i="1"/>
  <c r="AO197" i="1"/>
  <c r="AN197" i="1"/>
  <c r="AM197" i="1"/>
  <c r="AL197" i="1"/>
  <c r="AK197" i="1"/>
  <c r="AJ197" i="1"/>
  <c r="AI197" i="1"/>
  <c r="AH197" i="1"/>
  <c r="AO196" i="1"/>
  <c r="AN196" i="1"/>
  <c r="AM196" i="1"/>
  <c r="AL196" i="1"/>
  <c r="AK196" i="1"/>
  <c r="AJ196" i="1"/>
  <c r="AI196" i="1"/>
  <c r="AH196" i="1"/>
  <c r="AO195" i="1"/>
  <c r="AN195" i="1"/>
  <c r="AM195" i="1"/>
  <c r="AL195" i="1"/>
  <c r="AK195" i="1"/>
  <c r="AJ195" i="1"/>
  <c r="AI195" i="1"/>
  <c r="AH195" i="1"/>
  <c r="AO194" i="1"/>
  <c r="AN194" i="1"/>
  <c r="AM194" i="1"/>
  <c r="AL194" i="1"/>
  <c r="AK194" i="1"/>
  <c r="AJ194" i="1"/>
  <c r="AI194" i="1"/>
  <c r="AH194" i="1"/>
  <c r="AO193" i="1"/>
  <c r="AN193" i="1"/>
  <c r="AM193" i="1"/>
  <c r="AL193" i="1"/>
  <c r="AK193" i="1"/>
  <c r="AJ193" i="1"/>
  <c r="AI193" i="1"/>
  <c r="AH193" i="1"/>
  <c r="AO192" i="1"/>
  <c r="AN192" i="1"/>
  <c r="AM192" i="1"/>
  <c r="AL192" i="1"/>
  <c r="AK192" i="1"/>
  <c r="AJ192" i="1"/>
  <c r="AI192" i="1"/>
  <c r="AH192" i="1"/>
  <c r="AO191" i="1"/>
  <c r="AN191" i="1"/>
  <c r="AM191" i="1"/>
  <c r="AL191" i="1"/>
  <c r="AK191" i="1"/>
  <c r="AJ191" i="1"/>
  <c r="AI191" i="1"/>
  <c r="AH191" i="1"/>
  <c r="AO190" i="1"/>
  <c r="AN190" i="1"/>
  <c r="AM190" i="1"/>
  <c r="AL190" i="1"/>
  <c r="AK190" i="1"/>
  <c r="AJ190" i="1"/>
  <c r="AI190" i="1"/>
  <c r="AH190" i="1"/>
  <c r="AO189" i="1"/>
  <c r="AN189" i="1"/>
  <c r="AM189" i="1"/>
  <c r="AL189" i="1"/>
  <c r="AK189" i="1"/>
  <c r="AJ189" i="1"/>
  <c r="AI189" i="1"/>
  <c r="AH189" i="1"/>
  <c r="AO188" i="1"/>
  <c r="AN188" i="1"/>
  <c r="AM188" i="1"/>
  <c r="AL188" i="1"/>
  <c r="AK188" i="1"/>
  <c r="AJ188" i="1"/>
  <c r="AI188" i="1"/>
  <c r="AH188" i="1"/>
  <c r="AO187" i="1"/>
  <c r="AN187" i="1"/>
  <c r="AM187" i="1"/>
  <c r="AL187" i="1"/>
  <c r="AK187" i="1"/>
  <c r="AJ187" i="1"/>
  <c r="AI187" i="1"/>
  <c r="AH187" i="1"/>
  <c r="AO186" i="1"/>
  <c r="AN186" i="1"/>
  <c r="AM186" i="1"/>
  <c r="AL186" i="1"/>
  <c r="AK186" i="1"/>
  <c r="AJ186" i="1"/>
  <c r="AI186" i="1"/>
  <c r="AH186" i="1"/>
  <c r="AO185" i="1"/>
  <c r="AN185" i="1"/>
  <c r="AM185" i="1"/>
  <c r="AL185" i="1"/>
  <c r="AK185" i="1"/>
  <c r="AJ185" i="1"/>
  <c r="AI185" i="1"/>
  <c r="AH185" i="1"/>
  <c r="AO184" i="1"/>
  <c r="AN184" i="1"/>
  <c r="AM184" i="1"/>
  <c r="AL184" i="1"/>
  <c r="AK184" i="1"/>
  <c r="AJ184" i="1"/>
  <c r="AI184" i="1"/>
  <c r="AH184" i="1"/>
  <c r="AO183" i="1"/>
  <c r="AN183" i="1"/>
  <c r="AM183" i="1"/>
  <c r="AL183" i="1"/>
  <c r="AK183" i="1"/>
  <c r="AJ183" i="1"/>
  <c r="AI183" i="1"/>
  <c r="AH183" i="1"/>
  <c r="AO182" i="1"/>
  <c r="AN182" i="1"/>
  <c r="AM182" i="1"/>
  <c r="AL182" i="1"/>
  <c r="AK182" i="1"/>
  <c r="AJ182" i="1"/>
  <c r="AI182" i="1"/>
  <c r="AH182" i="1"/>
  <c r="AO181" i="1"/>
  <c r="AN181" i="1"/>
  <c r="AM181" i="1"/>
  <c r="AL181" i="1"/>
  <c r="AK181" i="1"/>
  <c r="AJ181" i="1"/>
  <c r="AI181" i="1"/>
  <c r="AH181" i="1"/>
  <c r="AO180" i="1"/>
  <c r="AN180" i="1"/>
  <c r="AM180" i="1"/>
  <c r="AL180" i="1"/>
  <c r="AK180" i="1"/>
  <c r="AJ180" i="1"/>
  <c r="AI180" i="1"/>
  <c r="AH180" i="1"/>
  <c r="AO179" i="1"/>
  <c r="AN179" i="1"/>
  <c r="AM179" i="1"/>
  <c r="AL179" i="1"/>
  <c r="AK179" i="1"/>
  <c r="AJ179" i="1"/>
  <c r="AI179" i="1"/>
  <c r="AH179" i="1"/>
  <c r="AO178" i="1"/>
  <c r="AN178" i="1"/>
  <c r="AM178" i="1"/>
  <c r="AL178" i="1"/>
  <c r="AK178" i="1"/>
  <c r="AJ178" i="1"/>
  <c r="AI178" i="1"/>
  <c r="AH178" i="1"/>
  <c r="AO177" i="1"/>
  <c r="AN177" i="1"/>
  <c r="AM177" i="1"/>
  <c r="AL177" i="1"/>
  <c r="AK177" i="1"/>
  <c r="AJ177" i="1"/>
  <c r="AI177" i="1"/>
  <c r="AH177" i="1"/>
  <c r="AO176" i="1"/>
  <c r="AN176" i="1"/>
  <c r="AM176" i="1"/>
  <c r="AL176" i="1"/>
  <c r="AK176" i="1"/>
  <c r="AJ176" i="1"/>
  <c r="AI176" i="1"/>
  <c r="AH176" i="1"/>
  <c r="AO175" i="1"/>
  <c r="AN175" i="1"/>
  <c r="AM175" i="1"/>
  <c r="AL175" i="1"/>
  <c r="AK175" i="1"/>
  <c r="AJ175" i="1"/>
  <c r="AI175" i="1"/>
  <c r="AH175" i="1"/>
  <c r="AO174" i="1"/>
  <c r="AN174" i="1"/>
  <c r="AM174" i="1"/>
  <c r="AL174" i="1"/>
  <c r="AK174" i="1"/>
  <c r="AJ174" i="1"/>
  <c r="AI174" i="1"/>
  <c r="AH174" i="1"/>
  <c r="AO173" i="1"/>
  <c r="AN173" i="1"/>
  <c r="AM173" i="1"/>
  <c r="AL173" i="1"/>
  <c r="AK173" i="1"/>
  <c r="AJ173" i="1"/>
  <c r="AI173" i="1"/>
  <c r="AH173" i="1"/>
  <c r="AO172" i="1"/>
  <c r="AN172" i="1"/>
  <c r="AM172" i="1"/>
  <c r="AL172" i="1"/>
  <c r="AK172" i="1"/>
  <c r="AJ172" i="1"/>
  <c r="AI172" i="1"/>
  <c r="AH172" i="1"/>
  <c r="AO171" i="1"/>
  <c r="AN171" i="1"/>
  <c r="AM171" i="1"/>
  <c r="AL171" i="1"/>
  <c r="AK171" i="1"/>
  <c r="AJ171" i="1"/>
  <c r="AI171" i="1"/>
  <c r="AH171" i="1"/>
  <c r="AO170" i="1"/>
  <c r="AN170" i="1"/>
  <c r="AM170" i="1"/>
  <c r="AL170" i="1"/>
  <c r="AK170" i="1"/>
  <c r="AJ170" i="1"/>
  <c r="AI170" i="1"/>
  <c r="AH170" i="1"/>
  <c r="AO169" i="1"/>
  <c r="AN169" i="1"/>
  <c r="AM169" i="1"/>
  <c r="AL169" i="1"/>
  <c r="AK169" i="1"/>
  <c r="AJ169" i="1"/>
  <c r="AI169" i="1"/>
  <c r="AH169" i="1"/>
  <c r="AO168" i="1"/>
  <c r="AN168" i="1"/>
  <c r="AM168" i="1"/>
  <c r="AL168" i="1"/>
  <c r="AK168" i="1"/>
  <c r="AJ168" i="1"/>
  <c r="AI168" i="1"/>
  <c r="AH168" i="1"/>
  <c r="AO167" i="1"/>
  <c r="AN167" i="1"/>
  <c r="AM167" i="1"/>
  <c r="AL167" i="1"/>
  <c r="AK167" i="1"/>
  <c r="AJ167" i="1"/>
  <c r="AI167" i="1"/>
  <c r="AH167" i="1"/>
  <c r="AO166" i="1"/>
  <c r="AN166" i="1"/>
  <c r="AM166" i="1"/>
  <c r="AL166" i="1"/>
  <c r="AK166" i="1"/>
  <c r="AJ166" i="1"/>
  <c r="AI166" i="1"/>
  <c r="AH166" i="1"/>
  <c r="AO165" i="1"/>
  <c r="AN165" i="1"/>
  <c r="AM165" i="1"/>
  <c r="AL165" i="1"/>
  <c r="AK165" i="1"/>
  <c r="AJ165" i="1"/>
  <c r="AI165" i="1"/>
  <c r="AH165" i="1"/>
  <c r="AO164" i="1"/>
  <c r="AN164" i="1"/>
  <c r="AM164" i="1"/>
  <c r="AL164" i="1"/>
  <c r="AK164" i="1"/>
  <c r="AJ164" i="1"/>
  <c r="AI164" i="1"/>
  <c r="AH164" i="1"/>
  <c r="AO163" i="1"/>
  <c r="AN163" i="1"/>
  <c r="AM163" i="1"/>
  <c r="AL163" i="1"/>
  <c r="AK163" i="1"/>
  <c r="AJ163" i="1"/>
  <c r="AI163" i="1"/>
  <c r="AH163" i="1"/>
  <c r="AO162" i="1"/>
  <c r="AN162" i="1"/>
  <c r="AM162" i="1"/>
  <c r="AL162" i="1"/>
  <c r="AK162" i="1"/>
  <c r="AJ162" i="1"/>
  <c r="AI162" i="1"/>
  <c r="AH162" i="1"/>
  <c r="AO161" i="1"/>
  <c r="AN161" i="1"/>
  <c r="AM161" i="1"/>
  <c r="AL161" i="1"/>
  <c r="AK161" i="1"/>
  <c r="AJ161" i="1"/>
  <c r="AI161" i="1"/>
  <c r="AH161" i="1"/>
  <c r="AO160" i="1"/>
  <c r="AN160" i="1"/>
  <c r="AM160" i="1"/>
  <c r="AL160" i="1"/>
  <c r="AK160" i="1"/>
  <c r="AJ160" i="1"/>
  <c r="AI160" i="1"/>
  <c r="AH160" i="1"/>
  <c r="AO159" i="1"/>
  <c r="AN159" i="1"/>
  <c r="AM159" i="1"/>
  <c r="AL159" i="1"/>
  <c r="AK159" i="1"/>
  <c r="AJ159" i="1"/>
  <c r="AI159" i="1"/>
  <c r="AH159" i="1"/>
  <c r="AO158" i="1"/>
  <c r="AN158" i="1"/>
  <c r="AM158" i="1"/>
  <c r="AL158" i="1"/>
  <c r="AK158" i="1"/>
  <c r="AJ158" i="1"/>
  <c r="AI158" i="1"/>
  <c r="AH158" i="1"/>
  <c r="AO157" i="1"/>
  <c r="AN157" i="1"/>
  <c r="AM157" i="1"/>
  <c r="AL157" i="1"/>
  <c r="AK157" i="1"/>
  <c r="AJ157" i="1"/>
  <c r="AI157" i="1"/>
  <c r="AH157" i="1"/>
  <c r="AO156" i="1"/>
  <c r="AN156" i="1"/>
  <c r="AM156" i="1"/>
  <c r="AL156" i="1"/>
  <c r="AK156" i="1"/>
  <c r="AJ156" i="1"/>
  <c r="AI156" i="1"/>
  <c r="AH156" i="1"/>
  <c r="AO155" i="1"/>
  <c r="AN155" i="1"/>
  <c r="AM155" i="1"/>
  <c r="AL155" i="1"/>
  <c r="AK155" i="1"/>
  <c r="AJ155" i="1"/>
  <c r="AI155" i="1"/>
  <c r="AH155" i="1"/>
  <c r="AO154" i="1"/>
  <c r="AN154" i="1"/>
  <c r="AM154" i="1"/>
  <c r="AL154" i="1"/>
  <c r="AK154" i="1"/>
  <c r="AJ154" i="1"/>
  <c r="AI154" i="1"/>
  <c r="AH154" i="1"/>
  <c r="AO153" i="1"/>
  <c r="AN153" i="1"/>
  <c r="AM153" i="1"/>
  <c r="AL153" i="1"/>
  <c r="AK153" i="1"/>
  <c r="AJ153" i="1"/>
  <c r="AI153" i="1"/>
  <c r="AH153" i="1"/>
  <c r="AO152" i="1"/>
  <c r="AN152" i="1"/>
  <c r="AM152" i="1"/>
  <c r="AL152" i="1"/>
  <c r="AK152" i="1"/>
  <c r="AJ152" i="1"/>
  <c r="AI152" i="1"/>
  <c r="AH152" i="1"/>
  <c r="AO151" i="1"/>
  <c r="AN151" i="1"/>
  <c r="AM151" i="1"/>
  <c r="AL151" i="1"/>
  <c r="AK151" i="1"/>
  <c r="AJ151" i="1"/>
  <c r="AI151" i="1"/>
  <c r="AH151" i="1"/>
  <c r="AO150" i="1"/>
  <c r="AN150" i="1"/>
  <c r="AM150" i="1"/>
  <c r="AL150" i="1"/>
  <c r="AK150" i="1"/>
  <c r="AJ150" i="1"/>
  <c r="AI150" i="1"/>
  <c r="AH150" i="1"/>
  <c r="AO149" i="1"/>
  <c r="AN149" i="1"/>
  <c r="AM149" i="1"/>
  <c r="AL149" i="1"/>
  <c r="AK149" i="1"/>
  <c r="AJ149" i="1"/>
  <c r="AI149" i="1"/>
  <c r="AH149" i="1"/>
  <c r="AO148" i="1"/>
  <c r="AN148" i="1"/>
  <c r="AM148" i="1"/>
  <c r="AL148" i="1"/>
  <c r="AK148" i="1"/>
  <c r="AJ148" i="1"/>
  <c r="AI148" i="1"/>
  <c r="AH148" i="1"/>
  <c r="AO147" i="1"/>
  <c r="AN147" i="1"/>
  <c r="AM147" i="1"/>
  <c r="AL147" i="1"/>
  <c r="AK147" i="1"/>
  <c r="AJ147" i="1"/>
  <c r="AI147" i="1"/>
  <c r="AH147" i="1"/>
  <c r="AO146" i="1"/>
  <c r="AN146" i="1"/>
  <c r="AM146" i="1"/>
  <c r="AL146" i="1"/>
  <c r="AK146" i="1"/>
  <c r="AJ146" i="1"/>
  <c r="AI146" i="1"/>
  <c r="AH146" i="1"/>
  <c r="AO145" i="1"/>
  <c r="AN145" i="1"/>
  <c r="AM145" i="1"/>
  <c r="AL145" i="1"/>
  <c r="AK145" i="1"/>
  <c r="AJ145" i="1"/>
  <c r="AI145" i="1"/>
  <c r="AH145" i="1"/>
  <c r="AO144" i="1"/>
  <c r="AN144" i="1"/>
  <c r="AM144" i="1"/>
  <c r="AL144" i="1"/>
  <c r="AK144" i="1"/>
  <c r="AJ144" i="1"/>
  <c r="AI144" i="1"/>
  <c r="AH144" i="1"/>
  <c r="AO143" i="1"/>
  <c r="AN143" i="1"/>
  <c r="AM143" i="1"/>
  <c r="AL143" i="1"/>
  <c r="AK143" i="1"/>
  <c r="AJ143" i="1"/>
  <c r="AI143" i="1"/>
  <c r="AH143" i="1"/>
  <c r="AO142" i="1"/>
  <c r="AN142" i="1"/>
  <c r="AM142" i="1"/>
  <c r="AL142" i="1"/>
  <c r="AK142" i="1"/>
  <c r="AJ142" i="1"/>
  <c r="AI142" i="1"/>
  <c r="AH142" i="1"/>
  <c r="AO141" i="1"/>
  <c r="AN141" i="1"/>
  <c r="AM141" i="1"/>
  <c r="AL141" i="1"/>
  <c r="AK141" i="1"/>
  <c r="AJ141" i="1"/>
  <c r="AI141" i="1"/>
  <c r="AH141" i="1"/>
  <c r="AO140" i="1"/>
  <c r="AN140" i="1"/>
  <c r="AM140" i="1"/>
  <c r="AL140" i="1"/>
  <c r="AK140" i="1"/>
  <c r="AJ140" i="1"/>
  <c r="AI140" i="1"/>
  <c r="AH140" i="1"/>
  <c r="AO139" i="1"/>
  <c r="AN139" i="1"/>
  <c r="AM139" i="1"/>
  <c r="AL139" i="1"/>
  <c r="AK139" i="1"/>
  <c r="AJ139" i="1"/>
  <c r="AI139" i="1"/>
  <c r="AH139" i="1"/>
  <c r="AO138" i="1"/>
  <c r="AN138" i="1"/>
  <c r="AM138" i="1"/>
  <c r="AL138" i="1"/>
  <c r="AK138" i="1"/>
  <c r="AJ138" i="1"/>
  <c r="AI138" i="1"/>
  <c r="AH138" i="1"/>
  <c r="AO137" i="1"/>
  <c r="AN137" i="1"/>
  <c r="AM137" i="1"/>
  <c r="AL137" i="1"/>
  <c r="AK137" i="1"/>
  <c r="AJ137" i="1"/>
  <c r="AI137" i="1"/>
  <c r="AH137" i="1"/>
  <c r="AO136" i="1"/>
  <c r="AN136" i="1"/>
  <c r="AM136" i="1"/>
  <c r="AL136" i="1"/>
  <c r="AK136" i="1"/>
  <c r="AJ136" i="1"/>
  <c r="AI136" i="1"/>
  <c r="AH136" i="1"/>
  <c r="AO135" i="1"/>
  <c r="AN135" i="1"/>
  <c r="AM135" i="1"/>
  <c r="AL135" i="1"/>
  <c r="AK135" i="1"/>
  <c r="AJ135" i="1"/>
  <c r="AI135" i="1"/>
  <c r="AH135" i="1"/>
  <c r="AO134" i="1"/>
  <c r="AN134" i="1"/>
  <c r="AM134" i="1"/>
  <c r="AL134" i="1"/>
  <c r="AK134" i="1"/>
  <c r="AJ134" i="1"/>
  <c r="AI134" i="1"/>
  <c r="AH134" i="1"/>
  <c r="AO133" i="1"/>
  <c r="AN133" i="1"/>
  <c r="AM133" i="1"/>
  <c r="AL133" i="1"/>
  <c r="AK133" i="1"/>
  <c r="AJ133" i="1"/>
  <c r="AI133" i="1"/>
  <c r="AH133" i="1"/>
  <c r="AO132" i="1"/>
  <c r="AN132" i="1"/>
  <c r="AM132" i="1"/>
  <c r="AL132" i="1"/>
  <c r="AK132" i="1"/>
  <c r="AJ132" i="1"/>
  <c r="AI132" i="1"/>
  <c r="AH132" i="1"/>
  <c r="AO131" i="1"/>
  <c r="AN131" i="1"/>
  <c r="AM131" i="1"/>
  <c r="AL131" i="1"/>
  <c r="AK131" i="1"/>
  <c r="AJ131" i="1"/>
  <c r="AI131" i="1"/>
  <c r="AH131" i="1"/>
  <c r="AO130" i="1"/>
  <c r="AN130" i="1"/>
  <c r="AM130" i="1"/>
  <c r="AL130" i="1"/>
  <c r="AK130" i="1"/>
  <c r="AJ130" i="1"/>
  <c r="AI130" i="1"/>
  <c r="AH130" i="1"/>
  <c r="AO129" i="1"/>
  <c r="AN129" i="1"/>
  <c r="AM129" i="1"/>
  <c r="AL129" i="1"/>
  <c r="AK129" i="1"/>
  <c r="AJ129" i="1"/>
  <c r="AI129" i="1"/>
  <c r="AH129" i="1"/>
  <c r="AO128" i="1"/>
  <c r="AN128" i="1"/>
  <c r="AM128" i="1"/>
  <c r="AL128" i="1"/>
  <c r="AK128" i="1"/>
  <c r="AJ128" i="1"/>
  <c r="AI128" i="1"/>
  <c r="AH128" i="1"/>
  <c r="AO127" i="1"/>
  <c r="AN127" i="1"/>
  <c r="AM127" i="1"/>
  <c r="AL127" i="1"/>
  <c r="AK127" i="1"/>
  <c r="AJ127" i="1"/>
  <c r="AI127" i="1"/>
  <c r="AH127" i="1"/>
  <c r="AO126" i="1"/>
  <c r="AN126" i="1"/>
  <c r="AM126" i="1"/>
  <c r="AL126" i="1"/>
  <c r="AK126" i="1"/>
  <c r="AJ126" i="1"/>
  <c r="AI126" i="1"/>
  <c r="AH126" i="1"/>
  <c r="AO125" i="1"/>
  <c r="AN125" i="1"/>
  <c r="AM125" i="1"/>
  <c r="AL125" i="1"/>
  <c r="AK125" i="1"/>
  <c r="AJ125" i="1"/>
  <c r="AI125" i="1"/>
  <c r="AH125" i="1"/>
  <c r="AO124" i="1"/>
  <c r="AN124" i="1"/>
  <c r="AM124" i="1"/>
  <c r="AL124" i="1"/>
  <c r="AK124" i="1"/>
  <c r="AJ124" i="1"/>
  <c r="AI124" i="1"/>
  <c r="AH124" i="1"/>
  <c r="AO123" i="1"/>
  <c r="AN123" i="1"/>
  <c r="AM123" i="1"/>
  <c r="AL123" i="1"/>
  <c r="AK123" i="1"/>
  <c r="AJ123" i="1"/>
  <c r="AI123" i="1"/>
  <c r="AH123" i="1"/>
  <c r="AO122" i="1"/>
  <c r="AN122" i="1"/>
  <c r="AM122" i="1"/>
  <c r="AL122" i="1"/>
  <c r="AK122" i="1"/>
  <c r="AJ122" i="1"/>
  <c r="AI122" i="1"/>
  <c r="AH122" i="1"/>
  <c r="AO121" i="1"/>
  <c r="AN121" i="1"/>
  <c r="AM121" i="1"/>
  <c r="AL121" i="1"/>
  <c r="AK121" i="1"/>
  <c r="AJ121" i="1"/>
  <c r="AI121" i="1"/>
  <c r="AH121" i="1"/>
  <c r="AO120" i="1"/>
  <c r="AN120" i="1"/>
  <c r="AM120" i="1"/>
  <c r="AL120" i="1"/>
  <c r="AK120" i="1"/>
  <c r="AJ120" i="1"/>
  <c r="AI120" i="1"/>
  <c r="AH120" i="1"/>
  <c r="AO119" i="1"/>
  <c r="AN119" i="1"/>
  <c r="AM119" i="1"/>
  <c r="AL119" i="1"/>
  <c r="AK119" i="1"/>
  <c r="AJ119" i="1"/>
  <c r="AI119" i="1"/>
  <c r="AH119" i="1"/>
  <c r="AO118" i="1"/>
  <c r="AN118" i="1"/>
  <c r="AM118" i="1"/>
  <c r="AL118" i="1"/>
  <c r="AK118" i="1"/>
  <c r="AJ118" i="1"/>
  <c r="AI118" i="1"/>
  <c r="AH118" i="1"/>
  <c r="AO117" i="1"/>
  <c r="AN117" i="1"/>
  <c r="AM117" i="1"/>
  <c r="AL117" i="1"/>
  <c r="AK117" i="1"/>
  <c r="AJ117" i="1"/>
  <c r="AI117" i="1"/>
  <c r="AH117" i="1"/>
  <c r="AO116" i="1"/>
  <c r="AN116" i="1"/>
  <c r="AM116" i="1"/>
  <c r="AL116" i="1"/>
  <c r="AK116" i="1"/>
  <c r="AJ116" i="1"/>
  <c r="AI116" i="1"/>
  <c r="AH116" i="1"/>
  <c r="AO115" i="1"/>
  <c r="AN115" i="1"/>
  <c r="AM115" i="1"/>
  <c r="AL115" i="1"/>
  <c r="AK115" i="1"/>
  <c r="AJ115" i="1"/>
  <c r="AI115" i="1"/>
  <c r="AH115" i="1"/>
  <c r="AO114" i="1"/>
  <c r="AN114" i="1"/>
  <c r="AM114" i="1"/>
  <c r="AL114" i="1"/>
  <c r="AK114" i="1"/>
  <c r="AJ114" i="1"/>
  <c r="AI114" i="1"/>
  <c r="AH114" i="1"/>
  <c r="AO113" i="1"/>
  <c r="AN113" i="1"/>
  <c r="AM113" i="1"/>
  <c r="AL113" i="1"/>
  <c r="AK113" i="1"/>
  <c r="AJ113" i="1"/>
  <c r="AI113" i="1"/>
  <c r="AH113" i="1"/>
  <c r="AO112" i="1"/>
  <c r="AN112" i="1"/>
  <c r="AM112" i="1"/>
  <c r="AL112" i="1"/>
  <c r="AK112" i="1"/>
  <c r="AJ112" i="1"/>
  <c r="AI112" i="1"/>
  <c r="AH112" i="1"/>
  <c r="AO111" i="1"/>
  <c r="AN111" i="1"/>
  <c r="AM111" i="1"/>
  <c r="AL111" i="1"/>
  <c r="AK111" i="1"/>
  <c r="AJ111" i="1"/>
  <c r="AI111" i="1"/>
  <c r="AH111" i="1"/>
  <c r="AO110" i="1"/>
  <c r="AN110" i="1"/>
  <c r="AM110" i="1"/>
  <c r="AL110" i="1"/>
  <c r="AK110" i="1"/>
  <c r="AJ110" i="1"/>
  <c r="AI110" i="1"/>
  <c r="AH110" i="1"/>
  <c r="AO109" i="1"/>
  <c r="AN109" i="1"/>
  <c r="AM109" i="1"/>
  <c r="AL109" i="1"/>
  <c r="AK109" i="1"/>
  <c r="AJ109" i="1"/>
  <c r="AI109" i="1"/>
  <c r="AH109" i="1"/>
  <c r="AO108" i="1"/>
  <c r="AN108" i="1"/>
  <c r="AM108" i="1"/>
  <c r="AL108" i="1"/>
  <c r="AK108" i="1"/>
  <c r="AJ108" i="1"/>
  <c r="AI108" i="1"/>
  <c r="AH108" i="1"/>
  <c r="AO107" i="1"/>
  <c r="AN107" i="1"/>
  <c r="AM107" i="1"/>
  <c r="AL107" i="1"/>
  <c r="AK107" i="1"/>
  <c r="AJ107" i="1"/>
  <c r="AI107" i="1"/>
  <c r="AH107" i="1"/>
  <c r="AO106" i="1"/>
  <c r="AN106" i="1"/>
  <c r="AM106" i="1"/>
  <c r="AL106" i="1"/>
  <c r="AK106" i="1"/>
  <c r="AJ106" i="1"/>
  <c r="AI106" i="1"/>
  <c r="AH106" i="1"/>
  <c r="AO105" i="1"/>
  <c r="AN105" i="1"/>
  <c r="AM105" i="1"/>
  <c r="AL105" i="1"/>
  <c r="AK105" i="1"/>
  <c r="AJ105" i="1"/>
  <c r="AI105" i="1"/>
  <c r="AH105" i="1"/>
  <c r="AO104" i="1"/>
  <c r="AN104" i="1"/>
  <c r="AM104" i="1"/>
  <c r="AL104" i="1"/>
  <c r="AK104" i="1"/>
  <c r="AJ104" i="1"/>
  <c r="AI104" i="1"/>
  <c r="AH104" i="1"/>
  <c r="AO103" i="1"/>
  <c r="AN103" i="1"/>
  <c r="AM103" i="1"/>
  <c r="AL103" i="1"/>
  <c r="AK103" i="1"/>
  <c r="AJ103" i="1"/>
  <c r="AI103" i="1"/>
  <c r="AH103" i="1"/>
  <c r="AO102" i="1"/>
  <c r="AN102" i="1"/>
  <c r="AM102" i="1"/>
  <c r="AL102" i="1"/>
  <c r="AK102" i="1"/>
  <c r="AJ102" i="1"/>
  <c r="AI102" i="1"/>
  <c r="AH102" i="1"/>
  <c r="AO101" i="1"/>
  <c r="AN101" i="1"/>
  <c r="AM101" i="1"/>
  <c r="AL101" i="1"/>
  <c r="AK101" i="1"/>
  <c r="AJ101" i="1"/>
  <c r="AI101" i="1"/>
  <c r="AH101" i="1"/>
  <c r="AO100" i="1"/>
  <c r="AN100" i="1"/>
  <c r="AM100" i="1"/>
  <c r="AL100" i="1"/>
  <c r="AK100" i="1"/>
  <c r="AJ100" i="1"/>
  <c r="AI100" i="1"/>
  <c r="AH100" i="1"/>
  <c r="AO99" i="1"/>
  <c r="AN99" i="1"/>
  <c r="AM99" i="1"/>
  <c r="AL99" i="1"/>
  <c r="AK99" i="1"/>
  <c r="AJ99" i="1"/>
  <c r="AI99" i="1"/>
  <c r="AH99" i="1"/>
  <c r="AO98" i="1"/>
  <c r="AN98" i="1"/>
  <c r="AM98" i="1"/>
  <c r="AL98" i="1"/>
  <c r="AK98" i="1"/>
  <c r="AJ98" i="1"/>
  <c r="AI98" i="1"/>
  <c r="AH98" i="1"/>
  <c r="AO97" i="1"/>
  <c r="AN97" i="1"/>
  <c r="AM97" i="1"/>
  <c r="AL97" i="1"/>
  <c r="AK97" i="1"/>
  <c r="AJ97" i="1"/>
  <c r="AI97" i="1"/>
  <c r="AH97" i="1"/>
  <c r="AO96" i="1"/>
  <c r="AN96" i="1"/>
  <c r="AM96" i="1"/>
  <c r="AL96" i="1"/>
  <c r="AK96" i="1"/>
  <c r="AJ96" i="1"/>
  <c r="AI96" i="1"/>
  <c r="AH96" i="1"/>
  <c r="AO95" i="1"/>
  <c r="AN95" i="1"/>
  <c r="AM95" i="1"/>
  <c r="AL95" i="1"/>
  <c r="AK95" i="1"/>
  <c r="AJ95" i="1"/>
  <c r="AI95" i="1"/>
  <c r="AH95" i="1"/>
  <c r="AO94" i="1"/>
  <c r="AN94" i="1"/>
  <c r="AM94" i="1"/>
  <c r="AL94" i="1"/>
  <c r="AK94" i="1"/>
  <c r="AJ94" i="1"/>
  <c r="AI94" i="1"/>
  <c r="AH94" i="1"/>
  <c r="AO93" i="1"/>
  <c r="AN93" i="1"/>
  <c r="AM93" i="1"/>
  <c r="AL93" i="1"/>
  <c r="AK93" i="1"/>
  <c r="AJ93" i="1"/>
  <c r="AI93" i="1"/>
  <c r="AH93" i="1"/>
  <c r="AO92" i="1"/>
  <c r="AN92" i="1"/>
  <c r="AM92" i="1"/>
  <c r="AL92" i="1"/>
  <c r="AK92" i="1"/>
  <c r="AJ92" i="1"/>
  <c r="AI92" i="1"/>
  <c r="AH92" i="1"/>
  <c r="AO91" i="1"/>
  <c r="AN91" i="1"/>
  <c r="AM91" i="1"/>
  <c r="AL91" i="1"/>
  <c r="AK91" i="1"/>
  <c r="AJ91" i="1"/>
  <c r="AI91" i="1"/>
  <c r="AH91" i="1"/>
  <c r="AO90" i="1"/>
  <c r="AN90" i="1"/>
  <c r="AM90" i="1"/>
  <c r="AL90" i="1"/>
  <c r="AK90" i="1"/>
  <c r="AJ90" i="1"/>
  <c r="AI90" i="1"/>
  <c r="AH90" i="1"/>
  <c r="AO89" i="1"/>
  <c r="AN89" i="1"/>
  <c r="AM89" i="1"/>
  <c r="AL89" i="1"/>
  <c r="AK89" i="1"/>
  <c r="AJ89" i="1"/>
  <c r="AI89" i="1"/>
  <c r="AH89" i="1"/>
  <c r="AO88" i="1"/>
  <c r="AN88" i="1"/>
  <c r="AM88" i="1"/>
  <c r="AL88" i="1"/>
  <c r="AK88" i="1"/>
  <c r="AJ88" i="1"/>
  <c r="AI88" i="1"/>
  <c r="AH88" i="1"/>
  <c r="AO87" i="1"/>
  <c r="AN87" i="1"/>
  <c r="AM87" i="1"/>
  <c r="AL87" i="1"/>
  <c r="AK87" i="1"/>
  <c r="AJ87" i="1"/>
  <c r="AI87" i="1"/>
  <c r="AH87" i="1"/>
  <c r="AO86" i="1"/>
  <c r="AN86" i="1"/>
  <c r="AM86" i="1"/>
  <c r="AL86" i="1"/>
  <c r="AK86" i="1"/>
  <c r="AJ86" i="1"/>
  <c r="AI86" i="1"/>
  <c r="AH86" i="1"/>
  <c r="AO85" i="1"/>
  <c r="AN85" i="1"/>
  <c r="AM85" i="1"/>
  <c r="AL85" i="1"/>
  <c r="AK85" i="1"/>
  <c r="AJ85" i="1"/>
  <c r="AI85" i="1"/>
  <c r="AH85" i="1"/>
  <c r="AO84" i="1"/>
  <c r="AN84" i="1"/>
  <c r="AM84" i="1"/>
  <c r="AL84" i="1"/>
  <c r="AK84" i="1"/>
  <c r="AJ84" i="1"/>
  <c r="AI84" i="1"/>
  <c r="AH84" i="1"/>
  <c r="AO83" i="1"/>
  <c r="AN83" i="1"/>
  <c r="AM83" i="1"/>
  <c r="AL83" i="1"/>
  <c r="AK83" i="1"/>
  <c r="AJ83" i="1"/>
  <c r="AI83" i="1"/>
  <c r="AH83" i="1"/>
  <c r="AO82" i="1"/>
  <c r="AN82" i="1"/>
  <c r="AM82" i="1"/>
  <c r="AL82" i="1"/>
  <c r="AK82" i="1"/>
  <c r="AJ82" i="1"/>
  <c r="AI82" i="1"/>
  <c r="AH82" i="1"/>
  <c r="AO81" i="1"/>
  <c r="AN81" i="1"/>
  <c r="AM81" i="1"/>
  <c r="AL81" i="1"/>
  <c r="AK81" i="1"/>
  <c r="AJ81" i="1"/>
  <c r="AI81" i="1"/>
  <c r="AH81" i="1"/>
  <c r="AO80" i="1"/>
  <c r="AN80" i="1"/>
  <c r="AM80" i="1"/>
  <c r="AL80" i="1"/>
  <c r="AK80" i="1"/>
  <c r="AJ80" i="1"/>
  <c r="AI80" i="1"/>
  <c r="AH80" i="1"/>
  <c r="AO79" i="1"/>
  <c r="AN79" i="1"/>
  <c r="AM79" i="1"/>
  <c r="AL79" i="1"/>
  <c r="AK79" i="1"/>
  <c r="AJ79" i="1"/>
  <c r="AI79" i="1"/>
  <c r="AH79" i="1"/>
  <c r="AO78" i="1"/>
  <c r="AN78" i="1"/>
  <c r="AM78" i="1"/>
  <c r="AL78" i="1"/>
  <c r="AK78" i="1"/>
  <c r="AJ78" i="1"/>
  <c r="AI78" i="1"/>
  <c r="AH78" i="1"/>
  <c r="AO77" i="1"/>
  <c r="AN77" i="1"/>
  <c r="AM77" i="1"/>
  <c r="AL77" i="1"/>
  <c r="AK77" i="1"/>
  <c r="AJ77" i="1"/>
  <c r="AI77" i="1"/>
  <c r="AH77" i="1"/>
  <c r="AO76" i="1"/>
  <c r="AN76" i="1"/>
  <c r="AM76" i="1"/>
  <c r="AL76" i="1"/>
  <c r="AK76" i="1"/>
  <c r="AJ76" i="1"/>
  <c r="AI76" i="1"/>
  <c r="AH76" i="1"/>
  <c r="AO75" i="1"/>
  <c r="AN75" i="1"/>
  <c r="AM75" i="1"/>
  <c r="AL75" i="1"/>
  <c r="AK75" i="1"/>
  <c r="AJ75" i="1"/>
  <c r="AI75" i="1"/>
  <c r="AH75" i="1"/>
  <c r="AO74" i="1"/>
  <c r="AN74" i="1"/>
  <c r="AM74" i="1"/>
  <c r="AL74" i="1"/>
  <c r="AK74" i="1"/>
  <c r="AJ74" i="1"/>
  <c r="AI74" i="1"/>
  <c r="AH74" i="1"/>
  <c r="AO73" i="1"/>
  <c r="AN73" i="1"/>
  <c r="AM73" i="1"/>
  <c r="AL73" i="1"/>
  <c r="AK73" i="1"/>
  <c r="AJ73" i="1"/>
  <c r="AI73" i="1"/>
  <c r="AH73" i="1"/>
  <c r="AO72" i="1"/>
  <c r="AN72" i="1"/>
  <c r="AM72" i="1"/>
  <c r="AL72" i="1"/>
  <c r="AK72" i="1"/>
  <c r="AJ72" i="1"/>
  <c r="AI72" i="1"/>
  <c r="AH72" i="1"/>
  <c r="AO71" i="1"/>
  <c r="AN71" i="1"/>
  <c r="AM71" i="1"/>
  <c r="AL71" i="1"/>
  <c r="AK71" i="1"/>
  <c r="AJ71" i="1"/>
  <c r="AI71" i="1"/>
  <c r="AH71" i="1"/>
  <c r="AO70" i="1"/>
  <c r="AN70" i="1"/>
  <c r="AM70" i="1"/>
  <c r="AL70" i="1"/>
  <c r="AK70" i="1"/>
  <c r="AJ70" i="1"/>
  <c r="AI70" i="1"/>
  <c r="AH70" i="1"/>
  <c r="AO69" i="1"/>
  <c r="AN69" i="1"/>
  <c r="AM69" i="1"/>
  <c r="AL69" i="1"/>
  <c r="AK69" i="1"/>
  <c r="AJ69" i="1"/>
  <c r="AI69" i="1"/>
  <c r="AH69" i="1"/>
  <c r="AO68" i="1"/>
  <c r="AN68" i="1"/>
  <c r="AM68" i="1"/>
  <c r="AL68" i="1"/>
  <c r="AK68" i="1"/>
  <c r="AJ68" i="1"/>
  <c r="AI68" i="1"/>
  <c r="AH68" i="1"/>
  <c r="AO67" i="1"/>
  <c r="AN67" i="1"/>
  <c r="AM67" i="1"/>
  <c r="AL67" i="1"/>
  <c r="AK67" i="1"/>
  <c r="AJ67" i="1"/>
  <c r="AI67" i="1"/>
  <c r="AH67" i="1"/>
  <c r="AO66" i="1"/>
  <c r="AN66" i="1"/>
  <c r="AM66" i="1"/>
  <c r="AL66" i="1"/>
  <c r="AK66" i="1"/>
  <c r="AJ66" i="1"/>
  <c r="AI66" i="1"/>
  <c r="AH66" i="1"/>
  <c r="AO65" i="1"/>
  <c r="AN65" i="1"/>
  <c r="AM65" i="1"/>
  <c r="AL65" i="1"/>
  <c r="AK65" i="1"/>
  <c r="AJ65" i="1"/>
  <c r="AI65" i="1"/>
  <c r="AH65" i="1"/>
  <c r="AO64" i="1"/>
  <c r="AN64" i="1"/>
  <c r="AM64" i="1"/>
  <c r="AL64" i="1"/>
  <c r="AK64" i="1"/>
  <c r="AJ64" i="1"/>
  <c r="AI64" i="1"/>
  <c r="AH64" i="1"/>
  <c r="AO63" i="1"/>
  <c r="AN63" i="1"/>
  <c r="AM63" i="1"/>
  <c r="AL63" i="1"/>
  <c r="AK63" i="1"/>
  <c r="AJ63" i="1"/>
  <c r="AI63" i="1"/>
  <c r="AH63" i="1"/>
  <c r="AO62" i="1"/>
  <c r="AN62" i="1"/>
  <c r="AM62" i="1"/>
  <c r="AL62" i="1"/>
  <c r="AK62" i="1"/>
  <c r="AJ62" i="1"/>
  <c r="AI62" i="1"/>
  <c r="AH62" i="1"/>
  <c r="AO61" i="1"/>
  <c r="AN61" i="1"/>
  <c r="AM61" i="1"/>
  <c r="AL61" i="1"/>
  <c r="AK61" i="1"/>
  <c r="AJ61" i="1"/>
  <c r="AI61" i="1"/>
  <c r="AH61" i="1"/>
  <c r="AO60" i="1"/>
  <c r="AN60" i="1"/>
  <c r="AM60" i="1"/>
  <c r="AL60" i="1"/>
  <c r="AK60" i="1"/>
  <c r="AJ60" i="1"/>
  <c r="AI60" i="1"/>
  <c r="AH60" i="1"/>
  <c r="AO59" i="1"/>
  <c r="AN59" i="1"/>
  <c r="AM59" i="1"/>
  <c r="AL59" i="1"/>
  <c r="AK59" i="1"/>
  <c r="AJ59" i="1"/>
  <c r="AI59" i="1"/>
  <c r="AH59" i="1"/>
  <c r="AO58" i="1"/>
  <c r="AN58" i="1"/>
  <c r="AM58" i="1"/>
  <c r="AL58" i="1"/>
  <c r="AK58" i="1"/>
  <c r="AJ58" i="1"/>
  <c r="AI58" i="1"/>
  <c r="AH58" i="1"/>
  <c r="AO57" i="1"/>
  <c r="AN57" i="1"/>
  <c r="AM57" i="1"/>
  <c r="AL57" i="1"/>
  <c r="AK57" i="1"/>
  <c r="AJ57" i="1"/>
  <c r="AI57" i="1"/>
  <c r="AH57" i="1"/>
  <c r="AO56" i="1"/>
  <c r="AN56" i="1"/>
  <c r="AM56" i="1"/>
  <c r="AL56" i="1"/>
  <c r="AK56" i="1"/>
  <c r="AJ56" i="1"/>
  <c r="AI56" i="1"/>
  <c r="AH56" i="1"/>
  <c r="AO55" i="1"/>
  <c r="AN55" i="1"/>
  <c r="AM55" i="1"/>
  <c r="AL55" i="1"/>
  <c r="AK55" i="1"/>
  <c r="AJ55" i="1"/>
  <c r="AI55" i="1"/>
  <c r="AH55" i="1"/>
  <c r="AO54" i="1"/>
  <c r="AN54" i="1"/>
  <c r="AM54" i="1"/>
  <c r="AL54" i="1"/>
  <c r="AK54" i="1"/>
  <c r="AJ54" i="1"/>
  <c r="AI54" i="1"/>
  <c r="AH54" i="1"/>
  <c r="AO53" i="1"/>
  <c r="AN53" i="1"/>
  <c r="AM53" i="1"/>
  <c r="AL53" i="1"/>
  <c r="AK53" i="1"/>
  <c r="AJ53" i="1"/>
  <c r="AI53" i="1"/>
  <c r="AH53" i="1"/>
  <c r="AO52" i="1"/>
  <c r="AN52" i="1"/>
  <c r="AM52" i="1"/>
  <c r="AL52" i="1"/>
  <c r="AK52" i="1"/>
  <c r="AJ52" i="1"/>
  <c r="AI52" i="1"/>
  <c r="AH52" i="1"/>
  <c r="AO51" i="1"/>
  <c r="AN51" i="1"/>
  <c r="AM51" i="1"/>
  <c r="AL51" i="1"/>
  <c r="AK51" i="1"/>
  <c r="AJ51" i="1"/>
  <c r="AI51" i="1"/>
  <c r="AH51" i="1"/>
  <c r="AO50" i="1"/>
  <c r="AN50" i="1"/>
  <c r="AM50" i="1"/>
  <c r="AL50" i="1"/>
  <c r="AK50" i="1"/>
  <c r="AJ50" i="1"/>
  <c r="AI50" i="1"/>
  <c r="AH50" i="1"/>
  <c r="AO49" i="1"/>
  <c r="AN49" i="1"/>
  <c r="AM49" i="1"/>
  <c r="AL49" i="1"/>
  <c r="AK49" i="1"/>
  <c r="AJ49" i="1"/>
  <c r="AI49" i="1"/>
  <c r="AH49" i="1"/>
  <c r="AO48" i="1"/>
  <c r="AN48" i="1"/>
  <c r="AM48" i="1"/>
  <c r="AL48" i="1"/>
  <c r="AK48" i="1"/>
  <c r="AJ48" i="1"/>
  <c r="AI48" i="1"/>
  <c r="AH48" i="1"/>
  <c r="AO47" i="1"/>
  <c r="AN47" i="1"/>
  <c r="AM47" i="1"/>
  <c r="AL47" i="1"/>
  <c r="AK47" i="1"/>
  <c r="AJ47" i="1"/>
  <c r="AI47" i="1"/>
  <c r="AH47" i="1"/>
  <c r="AO46" i="1"/>
  <c r="AN46" i="1"/>
  <c r="AM46" i="1"/>
  <c r="AL46" i="1"/>
  <c r="AK46" i="1"/>
  <c r="AJ46" i="1"/>
  <c r="AI46" i="1"/>
  <c r="AH46" i="1"/>
  <c r="AO45" i="1"/>
  <c r="AN45" i="1"/>
  <c r="AM45" i="1"/>
  <c r="AL45" i="1"/>
  <c r="AK45" i="1"/>
  <c r="AJ45" i="1"/>
  <c r="AI45" i="1"/>
  <c r="AH45" i="1"/>
  <c r="AO44" i="1"/>
  <c r="AN44" i="1"/>
  <c r="AM44" i="1"/>
  <c r="AL44" i="1"/>
  <c r="AK44" i="1"/>
  <c r="AJ44" i="1"/>
  <c r="AI44" i="1"/>
  <c r="AH44" i="1"/>
  <c r="AO43" i="1"/>
  <c r="AN43" i="1"/>
  <c r="AM43" i="1"/>
  <c r="AL43" i="1"/>
  <c r="AK43" i="1"/>
  <c r="AJ43" i="1"/>
  <c r="AI43" i="1"/>
  <c r="AH43" i="1"/>
  <c r="AO42" i="1"/>
  <c r="AN42" i="1"/>
  <c r="AM42" i="1"/>
  <c r="AL42" i="1"/>
  <c r="AK42" i="1"/>
  <c r="AJ42" i="1"/>
  <c r="AI42" i="1"/>
  <c r="AH42" i="1"/>
  <c r="AO41" i="1"/>
  <c r="AN41" i="1"/>
  <c r="AM41" i="1"/>
  <c r="AL41" i="1"/>
  <c r="AK41" i="1"/>
  <c r="AJ41" i="1"/>
  <c r="AI41" i="1"/>
  <c r="AH41" i="1"/>
  <c r="AO40" i="1"/>
  <c r="AN40" i="1"/>
  <c r="AM40" i="1"/>
  <c r="AL40" i="1"/>
  <c r="AK40" i="1"/>
  <c r="AJ40" i="1"/>
  <c r="AI40" i="1"/>
  <c r="AH40" i="1"/>
  <c r="AO39" i="1"/>
  <c r="AN39" i="1"/>
  <c r="AM39" i="1"/>
  <c r="AL39" i="1"/>
  <c r="AK39" i="1"/>
  <c r="AJ39" i="1"/>
  <c r="AI39" i="1"/>
  <c r="AH39" i="1"/>
  <c r="AO38" i="1"/>
  <c r="AN38" i="1"/>
  <c r="AM38" i="1"/>
  <c r="AL38" i="1"/>
  <c r="AK38" i="1"/>
  <c r="AJ38" i="1"/>
  <c r="AI38" i="1"/>
  <c r="AH38" i="1"/>
  <c r="AO37" i="1"/>
  <c r="AN37" i="1"/>
  <c r="AM37" i="1"/>
  <c r="AL37" i="1"/>
  <c r="AK37" i="1"/>
  <c r="AJ37" i="1"/>
  <c r="AI37" i="1"/>
  <c r="AH37" i="1"/>
  <c r="AO36" i="1"/>
  <c r="AN36" i="1"/>
  <c r="AM36" i="1"/>
  <c r="AL36" i="1"/>
  <c r="AK36" i="1"/>
  <c r="AJ36" i="1"/>
  <c r="AI36" i="1"/>
  <c r="AH36" i="1"/>
  <c r="AO35" i="1"/>
  <c r="AN35" i="1"/>
  <c r="AM35" i="1"/>
  <c r="AL35" i="1"/>
  <c r="AK35" i="1"/>
  <c r="AJ35" i="1"/>
  <c r="AI35" i="1"/>
  <c r="AH35" i="1"/>
  <c r="AO34" i="1"/>
  <c r="AN34" i="1"/>
  <c r="AM34" i="1"/>
  <c r="AL34" i="1"/>
  <c r="AK34" i="1"/>
  <c r="AJ34" i="1"/>
  <c r="AI34" i="1"/>
  <c r="AH34" i="1"/>
  <c r="AO33" i="1"/>
  <c r="AN33" i="1"/>
  <c r="AM33" i="1"/>
  <c r="AL33" i="1"/>
  <c r="AK33" i="1"/>
  <c r="AJ33" i="1"/>
  <c r="AI33" i="1"/>
  <c r="AH33" i="1"/>
  <c r="AO32" i="1"/>
  <c r="AN32" i="1"/>
  <c r="AM32" i="1"/>
  <c r="AL32" i="1"/>
  <c r="AK32" i="1"/>
  <c r="AJ32" i="1"/>
  <c r="AI32" i="1"/>
  <c r="AH32" i="1"/>
  <c r="AO31" i="1"/>
  <c r="AN31" i="1"/>
  <c r="AM31" i="1"/>
  <c r="AL31" i="1"/>
  <c r="AK31" i="1"/>
  <c r="AJ31" i="1"/>
  <c r="AI31" i="1"/>
  <c r="AH31" i="1"/>
  <c r="AO30" i="1"/>
  <c r="AN30" i="1"/>
  <c r="AM30" i="1"/>
  <c r="AL30" i="1"/>
  <c r="AK30" i="1"/>
  <c r="AJ30" i="1"/>
  <c r="AI30" i="1"/>
  <c r="AH30" i="1"/>
  <c r="AO29" i="1"/>
  <c r="AN29" i="1"/>
  <c r="AM29" i="1"/>
  <c r="AL29" i="1"/>
  <c r="AK29" i="1"/>
  <c r="AJ29" i="1"/>
  <c r="AI29" i="1"/>
  <c r="AH29" i="1"/>
  <c r="AO28" i="1"/>
  <c r="AN28" i="1"/>
  <c r="AM28" i="1"/>
  <c r="AL28" i="1"/>
  <c r="AK28" i="1"/>
  <c r="AJ28" i="1"/>
  <c r="AI28" i="1"/>
  <c r="AH28" i="1"/>
  <c r="AO27" i="1"/>
  <c r="AN27" i="1"/>
  <c r="AM27" i="1"/>
  <c r="AL27" i="1"/>
  <c r="AK27" i="1"/>
  <c r="AJ27" i="1"/>
  <c r="AI27" i="1"/>
  <c r="AH27" i="1"/>
  <c r="AO26" i="1"/>
  <c r="AN26" i="1"/>
  <c r="AM26" i="1"/>
  <c r="AL26" i="1"/>
  <c r="AK26" i="1"/>
  <c r="AJ26" i="1"/>
  <c r="AI26" i="1"/>
  <c r="AH26" i="1"/>
  <c r="AO25" i="1"/>
  <c r="AN25" i="1"/>
  <c r="AM25" i="1"/>
  <c r="AL25" i="1"/>
  <c r="AK25" i="1"/>
  <c r="AJ25" i="1"/>
  <c r="AI25" i="1"/>
  <c r="AH25" i="1"/>
  <c r="AO24" i="1"/>
  <c r="AN24" i="1"/>
  <c r="AM24" i="1"/>
  <c r="AL24" i="1"/>
  <c r="AK24" i="1"/>
  <c r="AJ24" i="1"/>
  <c r="AI24" i="1"/>
  <c r="AH24" i="1"/>
  <c r="AO23" i="1"/>
  <c r="AN23" i="1"/>
  <c r="AM23" i="1"/>
  <c r="AL23" i="1"/>
  <c r="AK23" i="1"/>
  <c r="AJ23" i="1"/>
  <c r="AI23" i="1"/>
  <c r="AH23" i="1"/>
  <c r="AO22" i="1"/>
  <c r="AN22" i="1"/>
  <c r="AM22" i="1"/>
  <c r="AL22" i="1"/>
  <c r="AK22" i="1"/>
  <c r="AJ22" i="1"/>
  <c r="AI22" i="1"/>
  <c r="AH22" i="1"/>
  <c r="AO21" i="1"/>
  <c r="AN21" i="1"/>
  <c r="AM21" i="1"/>
  <c r="AL21" i="1"/>
  <c r="AK21" i="1"/>
  <c r="AJ21" i="1"/>
  <c r="AI21" i="1"/>
  <c r="AH21" i="1"/>
  <c r="AO20" i="1"/>
  <c r="AN20" i="1"/>
  <c r="AM20" i="1"/>
  <c r="AL20" i="1"/>
  <c r="AK20" i="1"/>
  <c r="AJ20" i="1"/>
  <c r="AI20" i="1"/>
  <c r="AH20" i="1"/>
  <c r="AO19" i="1"/>
  <c r="AN19" i="1"/>
  <c r="AM19" i="1"/>
  <c r="AL19" i="1"/>
  <c r="AK19" i="1"/>
  <c r="AJ19" i="1"/>
  <c r="AI19" i="1"/>
  <c r="AH19" i="1"/>
  <c r="AO18" i="1"/>
  <c r="AN18" i="1"/>
  <c r="AM18" i="1"/>
  <c r="AL18" i="1"/>
  <c r="AK18" i="1"/>
  <c r="AJ18" i="1"/>
  <c r="AI18" i="1"/>
  <c r="AH18" i="1"/>
  <c r="AO17" i="1"/>
  <c r="AN17" i="1"/>
  <c r="AM17" i="1"/>
  <c r="AL17" i="1"/>
  <c r="AK17" i="1"/>
  <c r="AJ17" i="1"/>
  <c r="AI17" i="1"/>
  <c r="AH17" i="1"/>
  <c r="AO16" i="1"/>
  <c r="AN16" i="1"/>
  <c r="AM16" i="1"/>
  <c r="AL16" i="1"/>
  <c r="AK16" i="1"/>
  <c r="AJ16" i="1"/>
  <c r="AI16" i="1"/>
  <c r="AH16" i="1"/>
  <c r="AO15" i="1"/>
  <c r="AN15" i="1"/>
  <c r="AM15" i="1"/>
  <c r="AL15" i="1"/>
  <c r="AK15" i="1"/>
  <c r="AJ15" i="1"/>
  <c r="AI15" i="1"/>
  <c r="AH15" i="1"/>
  <c r="AO14" i="1"/>
  <c r="AN14" i="1"/>
  <c r="AM14" i="1"/>
  <c r="AL14" i="1"/>
  <c r="AK14" i="1"/>
  <c r="AJ14" i="1"/>
  <c r="AI14" i="1"/>
  <c r="AH14" i="1"/>
  <c r="AO13" i="1"/>
  <c r="AN13" i="1"/>
  <c r="AM13" i="1"/>
  <c r="AL13" i="1"/>
  <c r="AK13" i="1"/>
  <c r="AJ13" i="1"/>
  <c r="AI13" i="1"/>
  <c r="AH13" i="1"/>
  <c r="AO12" i="1"/>
  <c r="AN12" i="1"/>
  <c r="AM12" i="1"/>
  <c r="AL12" i="1"/>
  <c r="AK12" i="1"/>
  <c r="AJ12" i="1"/>
  <c r="AI12" i="1"/>
  <c r="AH12" i="1"/>
  <c r="AO11" i="1"/>
  <c r="AN11" i="1"/>
  <c r="AM11" i="1"/>
  <c r="AL11" i="1"/>
  <c r="AK11" i="1"/>
  <c r="AJ11" i="1"/>
  <c r="AI11" i="1"/>
  <c r="AH11" i="1"/>
  <c r="AO10" i="1"/>
  <c r="AN10" i="1"/>
  <c r="AM10" i="1"/>
  <c r="AL10" i="1"/>
  <c r="AK10" i="1"/>
  <c r="AJ10" i="1"/>
  <c r="AI10" i="1"/>
  <c r="AH10" i="1"/>
  <c r="AO9" i="1"/>
  <c r="AN9" i="1"/>
  <c r="AM9" i="1"/>
  <c r="AL9" i="1"/>
  <c r="AK9" i="1"/>
  <c r="AJ9" i="1"/>
  <c r="AI9" i="1"/>
  <c r="AH9" i="1"/>
  <c r="AO8" i="1"/>
  <c r="AN8" i="1"/>
  <c r="AM8" i="1"/>
  <c r="AL8" i="1"/>
  <c r="AK8" i="1"/>
  <c r="AJ8" i="1"/>
  <c r="AI8" i="1"/>
  <c r="AH8" i="1"/>
  <c r="AO7" i="1"/>
  <c r="AN7" i="1"/>
  <c r="AM7" i="1"/>
  <c r="AL7" i="1"/>
  <c r="AK7" i="1"/>
  <c r="AJ7" i="1"/>
  <c r="AI7" i="1"/>
  <c r="AH7" i="1"/>
</calcChain>
</file>

<file path=xl/sharedStrings.xml><?xml version="1.0" encoding="utf-8"?>
<sst xmlns="http://schemas.openxmlformats.org/spreadsheetml/2006/main" count="3509" uniqueCount="1220">
  <si>
    <t>FIRM Status</t>
  </si>
  <si>
    <t xml:space="preserve">RANK on COMMUNITY TYPE:  </t>
  </si>
  <si>
    <t>County</t>
  </si>
  <si>
    <t>Uninc.</t>
  </si>
  <si>
    <t>Incorp.</t>
  </si>
  <si>
    <t>Split Community</t>
  </si>
  <si>
    <t>Rank</t>
  </si>
  <si>
    <t>CID</t>
  </si>
  <si>
    <t>Community Name</t>
  </si>
  <si>
    <t>Community Type</t>
  </si>
  <si>
    <t>Region</t>
  </si>
  <si>
    <t>Initial FIRM Effective Date</t>
  </si>
  <si>
    <t>Pre-FIRM</t>
  </si>
  <si>
    <t>Post-FIRM Regulated to Pre-FIRM</t>
  </si>
  <si>
    <t>Post-FIRM</t>
  </si>
  <si>
    <t>Unknown Bldg. Year / FIRM Status</t>
  </si>
  <si>
    <t xml:space="preserve">Total Building Count </t>
  </si>
  <si>
    <t>% Pre-FIRM</t>
  </si>
  <si>
    <t xml:space="preserve"> % Post-FIRM Regulated to Pre-FIRM</t>
  </si>
  <si>
    <t>% Post-FIRM</t>
  </si>
  <si>
    <t>% Unknown</t>
  </si>
  <si>
    <t>% Unknown RES2 Mobile Homes</t>
  </si>
  <si>
    <t>% Unknown Tax Exempt (Property Class X or Other Non-Residential)</t>
  </si>
  <si>
    <t>High Damage Count (BldgDmgPct &gt;= 50% OR BldgLossUSD &gt;  $10k)</t>
  </si>
  <si>
    <t>MINUS-RATED &gt; 2 &amp; POST-FIRM</t>
  </si>
  <si>
    <t>MINUS-RATED &gt; 2 &amp; BLDG YEAR UNKNOWN</t>
  </si>
  <si>
    <t>Average Building Year</t>
  </si>
  <si>
    <t>Median Building Year</t>
  </si>
  <si>
    <t>Average Building Value</t>
  </si>
  <si>
    <t>Median Building Value</t>
  </si>
  <si>
    <t>Average Building Value RES 1</t>
  </si>
  <si>
    <t>Median Building Value RES 1</t>
  </si>
  <si>
    <t>Average Percent Damage</t>
  </si>
  <si>
    <t>Median Percent Damage</t>
  </si>
  <si>
    <t>Average Dollar Damage</t>
  </si>
  <si>
    <t>Median Dollar Damage</t>
  </si>
  <si>
    <t>Rank N</t>
  </si>
  <si>
    <t>Rank S</t>
  </si>
  <si>
    <t>Rank T</t>
  </si>
  <si>
    <t>Rank X Ascending</t>
  </si>
  <si>
    <t>Rank Z</t>
  </si>
  <si>
    <t>Rank AB</t>
  </si>
  <si>
    <t>Rank AD</t>
  </si>
  <si>
    <t>Rank AF</t>
  </si>
  <si>
    <t>Post-FIRM construction regulated to Pre-FIRM (Mapped into SFHA)</t>
  </si>
  <si>
    <t>Unknown</t>
  </si>
  <si>
    <t>Total Floodplain</t>
  </si>
  <si>
    <t>% Post-FIRM construction regulated to Pre-FIRM (Mapped into SFHA)</t>
  </si>
  <si>
    <t>High Damage Count</t>
  </si>
  <si>
    <t>Rank X</t>
  </si>
  <si>
    <t>Barbour County*</t>
  </si>
  <si>
    <t>BARBOUR</t>
  </si>
  <si>
    <t>Unincorporated</t>
  </si>
  <si>
    <t>7/1/1987</t>
  </si>
  <si>
    <t>Belington</t>
  </si>
  <si>
    <t>Incorporated</t>
  </si>
  <si>
    <t>8/1/1979</t>
  </si>
  <si>
    <t>Junior</t>
  </si>
  <si>
    <t>4/17/1987</t>
  </si>
  <si>
    <t>Philippi</t>
  </si>
  <si>
    <t>9/4/1986</t>
  </si>
  <si>
    <t>Berkeley County*</t>
  </si>
  <si>
    <t>BERKELEY</t>
  </si>
  <si>
    <t>8/4/1988</t>
  </si>
  <si>
    <t>Martinsburg</t>
  </si>
  <si>
    <t>12/18/1979</t>
  </si>
  <si>
    <t>Boone County*</t>
  </si>
  <si>
    <t>BOONE</t>
  </si>
  <si>
    <t>4/16/1991</t>
  </si>
  <si>
    <t>Danville</t>
  </si>
  <si>
    <t>Madison</t>
  </si>
  <si>
    <t>Sylvester</t>
  </si>
  <si>
    <t>Whitesville</t>
  </si>
  <si>
    <t>Braxton County*</t>
  </si>
  <si>
    <t>BRAXTON</t>
  </si>
  <si>
    <t>4/19/2010</t>
  </si>
  <si>
    <t>Burnsville</t>
  </si>
  <si>
    <t>Gassaway</t>
  </si>
  <si>
    <t>Sutton</t>
  </si>
  <si>
    <t>Beech Bottom</t>
  </si>
  <si>
    <t>BROOKE</t>
  </si>
  <si>
    <t>Bethany</t>
  </si>
  <si>
    <t>9/28/1979</t>
  </si>
  <si>
    <t>Brooke County*</t>
  </si>
  <si>
    <t>12/15/1983</t>
  </si>
  <si>
    <t>Follansbee</t>
  </si>
  <si>
    <t>9/30/1982</t>
  </si>
  <si>
    <t>Weirton**</t>
  </si>
  <si>
    <t>Split</t>
  </si>
  <si>
    <t>Wellsburg</t>
  </si>
  <si>
    <t>11/17/1982</t>
  </si>
  <si>
    <t>Barboursville</t>
  </si>
  <si>
    <t>CABELL</t>
  </si>
  <si>
    <t>6/3/1988</t>
  </si>
  <si>
    <t>Cabell County*</t>
  </si>
  <si>
    <t>9/30/1987</t>
  </si>
  <si>
    <t>Huntington**</t>
  </si>
  <si>
    <t>1/17/1990</t>
  </si>
  <si>
    <t>Milton</t>
  </si>
  <si>
    <t>Calhoun County*</t>
  </si>
  <si>
    <t>CALHOUN</t>
  </si>
  <si>
    <t>3/18/1991</t>
  </si>
  <si>
    <t>Grantsville</t>
  </si>
  <si>
    <t>Clay</t>
  </si>
  <si>
    <t>CLAY</t>
  </si>
  <si>
    <t>Clay County*</t>
  </si>
  <si>
    <t>Doddridge County*</t>
  </si>
  <si>
    <t>DODDRIDGE</t>
  </si>
  <si>
    <t>West Union</t>
  </si>
  <si>
    <t>Ansted</t>
  </si>
  <si>
    <t>FAYETTE</t>
  </si>
  <si>
    <t>10/30/1981</t>
  </si>
  <si>
    <t>Fayette County*</t>
  </si>
  <si>
    <t>3/4/1988</t>
  </si>
  <si>
    <t>Gauley Bridge</t>
  </si>
  <si>
    <t>9/18/1991</t>
  </si>
  <si>
    <t>Meadow Bridge</t>
  </si>
  <si>
    <t>1/2/1991</t>
  </si>
  <si>
    <t>Montgomery**</t>
  </si>
  <si>
    <t>6/1/1982</t>
  </si>
  <si>
    <t>Mount Hope</t>
  </si>
  <si>
    <t>8/10/1979</t>
  </si>
  <si>
    <t>Oak Hill</t>
  </si>
  <si>
    <t>1/18/1980</t>
  </si>
  <si>
    <t>Pax</t>
  </si>
  <si>
    <t>Smithers**</t>
  </si>
  <si>
    <t>4/15/1982</t>
  </si>
  <si>
    <t>Gilmer County*</t>
  </si>
  <si>
    <t>GILMER</t>
  </si>
  <si>
    <t>Glenville</t>
  </si>
  <si>
    <t>Sand Fork</t>
  </si>
  <si>
    <t>Bayard</t>
  </si>
  <si>
    <t>GRANT</t>
  </si>
  <si>
    <t>Grant County*</t>
  </si>
  <si>
    <t>8/1/1987</t>
  </si>
  <si>
    <t>Petersburg</t>
  </si>
  <si>
    <t>5/3/1990</t>
  </si>
  <si>
    <t>Alderson**</t>
  </si>
  <si>
    <t>GREENBRIER</t>
  </si>
  <si>
    <t>9/27/1991</t>
  </si>
  <si>
    <t>Falling Springs</t>
  </si>
  <si>
    <t>9/24/1984</t>
  </si>
  <si>
    <t>Greenbrier County*</t>
  </si>
  <si>
    <t>1/15/1988</t>
  </si>
  <si>
    <t>Rainelle</t>
  </si>
  <si>
    <t>11/19/1987</t>
  </si>
  <si>
    <t>Ronceverte</t>
  </si>
  <si>
    <t>5/17/1990</t>
  </si>
  <si>
    <t>Rupert</t>
  </si>
  <si>
    <t>8/24/1984</t>
  </si>
  <si>
    <t>White Sulphur Springs</t>
  </si>
  <si>
    <t>8/1/1978</t>
  </si>
  <si>
    <t>Capon Bridge</t>
  </si>
  <si>
    <t>HAMPSHIRE</t>
  </si>
  <si>
    <t>4/1/1988</t>
  </si>
  <si>
    <t>Hampshire County*</t>
  </si>
  <si>
    <t>Romney</t>
  </si>
  <si>
    <t>6/15/1988</t>
  </si>
  <si>
    <t>Chester</t>
  </si>
  <si>
    <t>HANCOCK</t>
  </si>
  <si>
    <t>12/1/1982</t>
  </si>
  <si>
    <t>Hancock County*</t>
  </si>
  <si>
    <t>6/15/1984</t>
  </si>
  <si>
    <t>New Cumberland</t>
  </si>
  <si>
    <t>5/15/1980</t>
  </si>
  <si>
    <t>Hardy County*</t>
  </si>
  <si>
    <t>HARDY</t>
  </si>
  <si>
    <t>6/19/1985</t>
  </si>
  <si>
    <t>Moorefield</t>
  </si>
  <si>
    <t>12/15/1990</t>
  </si>
  <si>
    <t>Wardensville</t>
  </si>
  <si>
    <t>Anmoore</t>
  </si>
  <si>
    <t>HARRISON</t>
  </si>
  <si>
    <t>9/3/1980</t>
  </si>
  <si>
    <t>Bridgeport</t>
  </si>
  <si>
    <t>Clarksburg</t>
  </si>
  <si>
    <t>2/15/1978</t>
  </si>
  <si>
    <t>Harrison County*</t>
  </si>
  <si>
    <t>7/4/1988</t>
  </si>
  <si>
    <t>Lost Creek</t>
  </si>
  <si>
    <t>Lumberport</t>
  </si>
  <si>
    <t>Nutter Fort</t>
  </si>
  <si>
    <t>9/17/1980</t>
  </si>
  <si>
    <t>Salem</t>
  </si>
  <si>
    <t>12/4/1985</t>
  </si>
  <si>
    <t>Shinnston</t>
  </si>
  <si>
    <t>3/16/1988</t>
  </si>
  <si>
    <t>Stonewood</t>
  </si>
  <si>
    <t>9/5/1979</t>
  </si>
  <si>
    <t>West Milford</t>
  </si>
  <si>
    <t>Jackson County*</t>
  </si>
  <si>
    <t>JACKSON</t>
  </si>
  <si>
    <t>5/1/1985</t>
  </si>
  <si>
    <t>Ravenswood</t>
  </si>
  <si>
    <t>Ripley</t>
  </si>
  <si>
    <t>9/1/1977</t>
  </si>
  <si>
    <t>Bolivar</t>
  </si>
  <si>
    <t>JEFFERSON</t>
  </si>
  <si>
    <t>12/18/2009</t>
  </si>
  <si>
    <t>Charles Town</t>
  </si>
  <si>
    <t>12/4/1979</t>
  </si>
  <si>
    <t>Harpers Ferry</t>
  </si>
  <si>
    <t>Jefferson County*</t>
  </si>
  <si>
    <t>10/15/1980</t>
  </si>
  <si>
    <t>Ranson</t>
  </si>
  <si>
    <t>6/15/1979</t>
  </si>
  <si>
    <t>Shepherdstown</t>
  </si>
  <si>
    <t>3/18/1980</t>
  </si>
  <si>
    <t>Belle</t>
  </si>
  <si>
    <t>KANAWHA</t>
  </si>
  <si>
    <t>Cedar Grove</t>
  </si>
  <si>
    <t>Charleston</t>
  </si>
  <si>
    <t>6/15/1983</t>
  </si>
  <si>
    <t>Chesapeake</t>
  </si>
  <si>
    <t>Clendenin</t>
  </si>
  <si>
    <t>7/16/1984</t>
  </si>
  <si>
    <t>Dunbar</t>
  </si>
  <si>
    <t>East Bank</t>
  </si>
  <si>
    <t>Glasgow</t>
  </si>
  <si>
    <t>6/15/1982</t>
  </si>
  <si>
    <t>Handley</t>
  </si>
  <si>
    <t>7/5/1984</t>
  </si>
  <si>
    <t>Kanawha County*</t>
  </si>
  <si>
    <t>3/18/1985</t>
  </si>
  <si>
    <t>Marmet</t>
  </si>
  <si>
    <t>Nitro**</t>
  </si>
  <si>
    <t>Pratt</t>
  </si>
  <si>
    <t>5/1/1984</t>
  </si>
  <si>
    <t>N/A</t>
  </si>
  <si>
    <t>South Charleston</t>
  </si>
  <si>
    <t>St. Albans</t>
  </si>
  <si>
    <t>Jane Lew</t>
  </si>
  <si>
    <t>LEWIS</t>
  </si>
  <si>
    <t>Lewis County*</t>
  </si>
  <si>
    <t>Weston</t>
  </si>
  <si>
    <t>Hamlin</t>
  </si>
  <si>
    <t>LINCOLN</t>
  </si>
  <si>
    <t>9/4/1987</t>
  </si>
  <si>
    <t>Lincoln County*</t>
  </si>
  <si>
    <t>9/18/1987</t>
  </si>
  <si>
    <t>West Hamlin</t>
  </si>
  <si>
    <t>Chapmanville</t>
  </si>
  <si>
    <t>LOGAN</t>
  </si>
  <si>
    <t>8/27/1971</t>
  </si>
  <si>
    <t>Logan</t>
  </si>
  <si>
    <t>7/16/1971</t>
  </si>
  <si>
    <t>Logan County*</t>
  </si>
  <si>
    <t>4/7/1972</t>
  </si>
  <si>
    <t>Man</t>
  </si>
  <si>
    <t>9/10/1971</t>
  </si>
  <si>
    <t>Mitchell Heights</t>
  </si>
  <si>
    <t>8/13/1971</t>
  </si>
  <si>
    <t>West Logan</t>
  </si>
  <si>
    <t>6/2/1972</t>
  </si>
  <si>
    <t>Barrackville</t>
  </si>
  <si>
    <t>MARION</t>
  </si>
  <si>
    <t>Fairmont</t>
  </si>
  <si>
    <t>7/2/1987</t>
  </si>
  <si>
    <t>Fairview</t>
  </si>
  <si>
    <t>Farmington</t>
  </si>
  <si>
    <t>Grant</t>
  </si>
  <si>
    <t>Mannington</t>
  </si>
  <si>
    <t>11/19/1986</t>
  </si>
  <si>
    <t>Marion County*</t>
  </si>
  <si>
    <t>Monongah</t>
  </si>
  <si>
    <t>Pleasant Valley</t>
  </si>
  <si>
    <t>6/19/2012</t>
  </si>
  <si>
    <t>Rivesville</t>
  </si>
  <si>
    <t>Worthington</t>
  </si>
  <si>
    <t>Benwood</t>
  </si>
  <si>
    <t>MARSHALL</t>
  </si>
  <si>
    <t>5/1/1980</t>
  </si>
  <si>
    <t>Cameron</t>
  </si>
  <si>
    <t>9/25/2009</t>
  </si>
  <si>
    <t>Glen Dale</t>
  </si>
  <si>
    <t>6/28/1974</t>
  </si>
  <si>
    <t>Marshall County*</t>
  </si>
  <si>
    <t>12/20/1974</t>
  </si>
  <si>
    <t>Mcmechen</t>
  </si>
  <si>
    <t>Moundsville</t>
  </si>
  <si>
    <t>3/22/1974</t>
  </si>
  <si>
    <t>Wheeling**</t>
  </si>
  <si>
    <t>2/18/1981</t>
  </si>
  <si>
    <t>Hartford</t>
  </si>
  <si>
    <t>MASON</t>
  </si>
  <si>
    <t>Henderson</t>
  </si>
  <si>
    <t>5/15/1978</t>
  </si>
  <si>
    <t>Leon</t>
  </si>
  <si>
    <t>8/15/1978</t>
  </si>
  <si>
    <t>Mason</t>
  </si>
  <si>
    <t>Mason County*</t>
  </si>
  <si>
    <t>1/2/1980</t>
  </si>
  <si>
    <t>New Haven</t>
  </si>
  <si>
    <t>7/3/1978</t>
  </si>
  <si>
    <t>Point Pleasant</t>
  </si>
  <si>
    <t>Anawalt</t>
  </si>
  <si>
    <t>MCDOWELL</t>
  </si>
  <si>
    <t>2/1/1985</t>
  </si>
  <si>
    <t>Bradshaw</t>
  </si>
  <si>
    <t>9/18/1986</t>
  </si>
  <si>
    <t>Davy</t>
  </si>
  <si>
    <t>9/28/1984</t>
  </si>
  <si>
    <t>Gary</t>
  </si>
  <si>
    <t>Iaeger</t>
  </si>
  <si>
    <t>Keystone</t>
  </si>
  <si>
    <t>Kimball</t>
  </si>
  <si>
    <t>McDowell County*</t>
  </si>
  <si>
    <t>Northfork</t>
  </si>
  <si>
    <t>4/3/1985</t>
  </si>
  <si>
    <t>War</t>
  </si>
  <si>
    <t>Welch</t>
  </si>
  <si>
    <t>9/1/1983</t>
  </si>
  <si>
    <t>Bluefield</t>
  </si>
  <si>
    <t>MERCER</t>
  </si>
  <si>
    <t>3/2/2005</t>
  </si>
  <si>
    <t>Bramwell</t>
  </si>
  <si>
    <t>12/1/1983</t>
  </si>
  <si>
    <t>Mercer County*</t>
  </si>
  <si>
    <t>Oakvale</t>
  </si>
  <si>
    <t>Princeton</t>
  </si>
  <si>
    <t>2/1/1984</t>
  </si>
  <si>
    <t>Keyser</t>
  </si>
  <si>
    <t>MINERAL</t>
  </si>
  <si>
    <t>Mineral County*</t>
  </si>
  <si>
    <t>Piedmont</t>
  </si>
  <si>
    <t>Ridgeley</t>
  </si>
  <si>
    <t>Delbarton</t>
  </si>
  <si>
    <t>MINGO</t>
  </si>
  <si>
    <t>3/15/1977</t>
  </si>
  <si>
    <t>Gilbert</t>
  </si>
  <si>
    <t>5/2/1977</t>
  </si>
  <si>
    <t>Kermit</t>
  </si>
  <si>
    <t>3/1/1978</t>
  </si>
  <si>
    <t>Matewan</t>
  </si>
  <si>
    <t>2/3/1970</t>
  </si>
  <si>
    <t>Mingo County*</t>
  </si>
  <si>
    <t>12/2/1980</t>
  </si>
  <si>
    <t>Williamson</t>
  </si>
  <si>
    <t>1/16/1981</t>
  </si>
  <si>
    <t>Blacksville</t>
  </si>
  <si>
    <t>MONONGALIA</t>
  </si>
  <si>
    <t>1/20/2010</t>
  </si>
  <si>
    <t>Granville</t>
  </si>
  <si>
    <t>Monongalia County*</t>
  </si>
  <si>
    <t>Morgantown</t>
  </si>
  <si>
    <t>Star City</t>
  </si>
  <si>
    <t>Westover</t>
  </si>
  <si>
    <t>MONROE</t>
  </si>
  <si>
    <t>Monroe County*</t>
  </si>
  <si>
    <t>1/14/1983</t>
  </si>
  <si>
    <t>Peterstown</t>
  </si>
  <si>
    <t>Bath</t>
  </si>
  <si>
    <t>MORGAN</t>
  </si>
  <si>
    <t>Morgan County*</t>
  </si>
  <si>
    <t>Paw Paw</t>
  </si>
  <si>
    <t>11/2/1984</t>
  </si>
  <si>
    <t>Nicholas County*</t>
  </si>
  <si>
    <t>NICHOLAS</t>
  </si>
  <si>
    <t>11/6/1991</t>
  </si>
  <si>
    <t>Richwood</t>
  </si>
  <si>
    <t>Summersville</t>
  </si>
  <si>
    <t>Ohio County*</t>
  </si>
  <si>
    <t>OHIO</t>
  </si>
  <si>
    <t>4/4/1983</t>
  </si>
  <si>
    <t>Triadelphia</t>
  </si>
  <si>
    <t>1/18/1984</t>
  </si>
  <si>
    <t>Valley Grove</t>
  </si>
  <si>
    <t>West Liberty</t>
  </si>
  <si>
    <t>7/17/2006</t>
  </si>
  <si>
    <t>Franklin</t>
  </si>
  <si>
    <t>PENDLETON</t>
  </si>
  <si>
    <t>9/1/1987</t>
  </si>
  <si>
    <t>Pendleton County*</t>
  </si>
  <si>
    <t>Belmont</t>
  </si>
  <si>
    <t>PLEASANTS</t>
  </si>
  <si>
    <t>6/3/1991</t>
  </si>
  <si>
    <t>Pleasants County*</t>
  </si>
  <si>
    <t>St. Mary's</t>
  </si>
  <si>
    <t>Durbin</t>
  </si>
  <si>
    <t>POCAHONTAS</t>
  </si>
  <si>
    <t>Marlinton</t>
  </si>
  <si>
    <t>10/17/1989</t>
  </si>
  <si>
    <t>Pocahontas County*</t>
  </si>
  <si>
    <t>Albright</t>
  </si>
  <si>
    <t>PRESTON</t>
  </si>
  <si>
    <t>Bruceton Mills</t>
  </si>
  <si>
    <t>Kingwood</t>
  </si>
  <si>
    <t>6/5/2012</t>
  </si>
  <si>
    <t>Masontown</t>
  </si>
  <si>
    <t>Newburg</t>
  </si>
  <si>
    <t>Preston County*</t>
  </si>
  <si>
    <t>3/1/1987</t>
  </si>
  <si>
    <t>Reedsville</t>
  </si>
  <si>
    <t>Rowlesburg</t>
  </si>
  <si>
    <t>Terra Alta</t>
  </si>
  <si>
    <t>Bancroft</t>
  </si>
  <si>
    <t>PUTNAM</t>
  </si>
  <si>
    <t>12/18/1985</t>
  </si>
  <si>
    <t>Buffalo</t>
  </si>
  <si>
    <t>Eleanor</t>
  </si>
  <si>
    <t>2/6/1984</t>
  </si>
  <si>
    <t>Hurricane</t>
  </si>
  <si>
    <t>3/4/1986</t>
  </si>
  <si>
    <t>Poca</t>
  </si>
  <si>
    <t>3/29/1974</t>
  </si>
  <si>
    <t>Putnam County*</t>
  </si>
  <si>
    <t>6/18/1987</t>
  </si>
  <si>
    <t>Winfield</t>
  </si>
  <si>
    <t>Beckley</t>
  </si>
  <si>
    <t>RALEIGH</t>
  </si>
  <si>
    <t>11/1/1984</t>
  </si>
  <si>
    <t>Lester</t>
  </si>
  <si>
    <t>Mabscott</t>
  </si>
  <si>
    <t>3/4/1985</t>
  </si>
  <si>
    <t>Raleigh County*</t>
  </si>
  <si>
    <t>12/18/1984</t>
  </si>
  <si>
    <t>Rhodell</t>
  </si>
  <si>
    <t>Sophia</t>
  </si>
  <si>
    <t>Beverly</t>
  </si>
  <si>
    <t>RANDOLPH</t>
  </si>
  <si>
    <t>12/3/1991</t>
  </si>
  <si>
    <t>Elkins</t>
  </si>
  <si>
    <t>4/3/1987</t>
  </si>
  <si>
    <t>Harman</t>
  </si>
  <si>
    <t>Huttonsville</t>
  </si>
  <si>
    <t>Mill Creek</t>
  </si>
  <si>
    <t>Montrose</t>
  </si>
  <si>
    <t>Randolph County*</t>
  </si>
  <si>
    <t>Womelsdorf (Coalton)</t>
  </si>
  <si>
    <t>9/10/1984</t>
  </si>
  <si>
    <t>Auburn</t>
  </si>
  <si>
    <t>RITCHIE</t>
  </si>
  <si>
    <t>Cairo</t>
  </si>
  <si>
    <t>Ellenboro</t>
  </si>
  <si>
    <t>Harrisville</t>
  </si>
  <si>
    <t>2/7/2006</t>
  </si>
  <si>
    <t>Pennsboro</t>
  </si>
  <si>
    <t>9/16/1988</t>
  </si>
  <si>
    <t>Pullman</t>
  </si>
  <si>
    <t>Ritchie County*</t>
  </si>
  <si>
    <t>1/1/1991</t>
  </si>
  <si>
    <t>Reedy</t>
  </si>
  <si>
    <t>ROANE</t>
  </si>
  <si>
    <t>12/1/1978</t>
  </si>
  <si>
    <t>Roane County*</t>
  </si>
  <si>
    <t>Spencer</t>
  </si>
  <si>
    <t>1/3/1979</t>
  </si>
  <si>
    <t>Hinton</t>
  </si>
  <si>
    <t>SUMMERS</t>
  </si>
  <si>
    <t>Summers County*</t>
  </si>
  <si>
    <t>11/5/1980</t>
  </si>
  <si>
    <t>Flemington</t>
  </si>
  <si>
    <t>TAYLOR</t>
  </si>
  <si>
    <t>Grafton</t>
  </si>
  <si>
    <t>Taylor County*</t>
  </si>
  <si>
    <t>Davis</t>
  </si>
  <si>
    <t>TUCKER</t>
  </si>
  <si>
    <t>7/20/1984</t>
  </si>
  <si>
    <t>Hambleton</t>
  </si>
  <si>
    <t>Hendricks</t>
  </si>
  <si>
    <t>Parsons</t>
  </si>
  <si>
    <t>8/15/1979</t>
  </si>
  <si>
    <t>Thomas</t>
  </si>
  <si>
    <t>Tucker County*</t>
  </si>
  <si>
    <t>Friendly</t>
  </si>
  <si>
    <t>TYLER</t>
  </si>
  <si>
    <t>11/4/1988</t>
  </si>
  <si>
    <t>Middlebourne</t>
  </si>
  <si>
    <t>Paden City**</t>
  </si>
  <si>
    <t>3/16/1989</t>
  </si>
  <si>
    <t>Sistersville</t>
  </si>
  <si>
    <t>Tyler County*</t>
  </si>
  <si>
    <t>Buckhannon</t>
  </si>
  <si>
    <t>UPSHUR</t>
  </si>
  <si>
    <t>Upshur County*</t>
  </si>
  <si>
    <t>Ceredo</t>
  </si>
  <si>
    <t>WAYNE</t>
  </si>
  <si>
    <t>5/17/1989</t>
  </si>
  <si>
    <t>Fort Gay</t>
  </si>
  <si>
    <t>Kenova</t>
  </si>
  <si>
    <t>Wayne</t>
  </si>
  <si>
    <t>Wayne County*</t>
  </si>
  <si>
    <t>Addison</t>
  </si>
  <si>
    <t>WEBSTER</t>
  </si>
  <si>
    <t>2/16/1990</t>
  </si>
  <si>
    <t>Camden-On-Gauley</t>
  </si>
  <si>
    <t>Cowen</t>
  </si>
  <si>
    <t>Webster County*</t>
  </si>
  <si>
    <t>Hundred</t>
  </si>
  <si>
    <t>WETZEL</t>
  </si>
  <si>
    <t>New Martinsville</t>
  </si>
  <si>
    <t>9/2/1982</t>
  </si>
  <si>
    <t>Pine Grove</t>
  </si>
  <si>
    <t>Smithfield</t>
  </si>
  <si>
    <t>Wetzel County*</t>
  </si>
  <si>
    <t>Elizabeth</t>
  </si>
  <si>
    <t>WIRT</t>
  </si>
  <si>
    <t>1/17/1991</t>
  </si>
  <si>
    <t>Wirt County*</t>
  </si>
  <si>
    <t>Parkersburg</t>
  </si>
  <si>
    <t>WOOD</t>
  </si>
  <si>
    <t>Vienna</t>
  </si>
  <si>
    <t>Williamstown</t>
  </si>
  <si>
    <t>10/18/1983</t>
  </si>
  <si>
    <t>Wood County*</t>
  </si>
  <si>
    <t>Mullens</t>
  </si>
  <si>
    <t>WYOMING</t>
  </si>
  <si>
    <t>Oceana</t>
  </si>
  <si>
    <t>10/16/1979</t>
  </si>
  <si>
    <t>Pineville</t>
  </si>
  <si>
    <t>9/30/1983</t>
  </si>
  <si>
    <t>Wyoming County*</t>
  </si>
  <si>
    <t>3/15/1984</t>
  </si>
  <si>
    <t>SPLIT COMMUNITIES</t>
  </si>
  <si>
    <t>GREENBRIER &amp; MONROE</t>
  </si>
  <si>
    <t>4 &amp; 1</t>
  </si>
  <si>
    <t>CABELL &amp; WAYNE</t>
  </si>
  <si>
    <t>2 &amp; 2</t>
  </si>
  <si>
    <t>FAYETTE &amp; KANAWHA</t>
  </si>
  <si>
    <t>4 &amp; 3</t>
  </si>
  <si>
    <t>KANAWHA &amp; PUTNAM</t>
  </si>
  <si>
    <t>3 &amp; 3</t>
  </si>
  <si>
    <t>TYLER &amp; WETZEL</t>
  </si>
  <si>
    <t>5 &amp; 10</t>
  </si>
  <si>
    <t>BROOKE &amp; HANCOCK</t>
  </si>
  <si>
    <t>11 &amp; 11</t>
  </si>
  <si>
    <t>MARSHALL &amp; OHIO</t>
  </si>
  <si>
    <t>10 &amp; 10</t>
  </si>
  <si>
    <t>Total</t>
  </si>
  <si>
    <r>
      <rPr>
        <b/>
        <i/>
        <sz val="11"/>
        <color rgb="FF000000"/>
        <rFont val="Calibri"/>
        <family val="2"/>
      </rPr>
      <t>Post-FIRM Building:</t>
    </r>
    <r>
      <rPr>
        <i/>
        <sz val="11"/>
        <color rgb="FF000000"/>
        <rFont val="Calibri"/>
        <family val="2"/>
      </rPr>
      <t xml:space="preserve">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r>
  </si>
  <si>
    <r>
      <t xml:space="preserve">Pre-FIRM Building: </t>
    </r>
    <r>
      <rPr>
        <i/>
        <sz val="11"/>
        <color rgb="FF000000"/>
        <rFont val="Calibri"/>
        <family val="2"/>
      </rPr>
      <t>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r>
  </si>
  <si>
    <t>DEFINITIONS</t>
  </si>
  <si>
    <t>Logan County:   Chapmanville, Logan Incorporated, Logan County Unincorporated, Man, Mitchel Heights, West Logan</t>
  </si>
  <si>
    <t>Marshall County:  Marshall County Unincorporated, Glen Dale, Moundsville,</t>
  </si>
  <si>
    <t>Mingo County:  Matewan</t>
  </si>
  <si>
    <t>Table Note:  Red Highlighted Text:  10 Communities with Initial FIRM effective dates before December 31, 1974</t>
  </si>
  <si>
    <t>1 sq. mile</t>
  </si>
  <si>
    <t>Active Flood Study</t>
  </si>
  <si>
    <t>Wyoming County</t>
  </si>
  <si>
    <t>PINEVILLE, CITY OF</t>
  </si>
  <si>
    <t>OCEANA, TOWN OF</t>
  </si>
  <si>
    <t>MULLENS, CITY OF</t>
  </si>
  <si>
    <t>WYOMING COUNTY *</t>
  </si>
  <si>
    <t>Wood County</t>
  </si>
  <si>
    <t>WILLIAMSTOWN, CITY OF</t>
  </si>
  <si>
    <t>VIENNA, CITY OF</t>
  </si>
  <si>
    <t>PARKERSBURG, CITY OF</t>
  </si>
  <si>
    <t>WOOD COUNTY *</t>
  </si>
  <si>
    <t>Wirt County</t>
  </si>
  <si>
    <t>ELIZABETH, TOWN OF</t>
  </si>
  <si>
    <t>WIRT COUNTY*</t>
  </si>
  <si>
    <t>Wetzel County</t>
  </si>
  <si>
    <t>SMITHFIELD, TOWN OF</t>
  </si>
  <si>
    <t>PINE GROVE, TOWN OF</t>
  </si>
  <si>
    <t>PADEN CITY, CITY OF</t>
  </si>
  <si>
    <t>NEW MARTINSVILLE, CITY OF</t>
  </si>
  <si>
    <t>HUNDRED, TOWN OF</t>
  </si>
  <si>
    <t>WETZEL COUNTY *</t>
  </si>
  <si>
    <t>Webster County</t>
  </si>
  <si>
    <t>COWEN, TOWN OF</t>
  </si>
  <si>
    <t>2 sq. mile</t>
  </si>
  <si>
    <t>2016 Flood Study</t>
  </si>
  <si>
    <t>CAMDEN-ON-GAULEY, TOWN OF</t>
  </si>
  <si>
    <t>2016 Flood Study (P)</t>
  </si>
  <si>
    <t>WEBSTER COUNTY *</t>
  </si>
  <si>
    <t>Wayne County</t>
  </si>
  <si>
    <t>WAYNE, TOWN OF</t>
  </si>
  <si>
    <t>KENOVA, CITY OF</t>
  </si>
  <si>
    <t>HUNTINGTON, CITY OF</t>
  </si>
  <si>
    <t>FORT GAY, TOWN OF</t>
  </si>
  <si>
    <t>CEREDO, TOWN OF</t>
  </si>
  <si>
    <t>WAYNE COUNTY*</t>
  </si>
  <si>
    <t>Upshur County</t>
  </si>
  <si>
    <t>BUCKHANNON, CITY OF</t>
  </si>
  <si>
    <t>UPSHUR COUNTY*</t>
  </si>
  <si>
    <t>Tyler County</t>
  </si>
  <si>
    <t>SISTERSVILLE, CITY OF</t>
  </si>
  <si>
    <t>MIDDLEBOURNE, TOWN OF</t>
  </si>
  <si>
    <t>FRIENDLY, TOWN OF</t>
  </si>
  <si>
    <t>TYLER COUNTY *</t>
  </si>
  <si>
    <t>Tucker County</t>
  </si>
  <si>
    <t>THOMAS, CITY OF</t>
  </si>
  <si>
    <t>PARSONS, CITY OF</t>
  </si>
  <si>
    <t>HENDRICKS,TOWN OF</t>
  </si>
  <si>
    <t>HAMBLETON, TOWN OF</t>
  </si>
  <si>
    <t>DAVIS, TOWN OF</t>
  </si>
  <si>
    <t>TUCKER COUNTY*</t>
  </si>
  <si>
    <t>Taylor County</t>
  </si>
  <si>
    <t>GRAFTON, CITY OF</t>
  </si>
  <si>
    <t>FLEMINGTON, TOWN OF</t>
  </si>
  <si>
    <t>TAYLOR COUNTY*</t>
  </si>
  <si>
    <t>Summers County</t>
  </si>
  <si>
    <t>HINTON, CITY OF</t>
  </si>
  <si>
    <t>SUMMERS COUNTY *</t>
  </si>
  <si>
    <t>Roane County</t>
  </si>
  <si>
    <t>SPENCER, CITY OF</t>
  </si>
  <si>
    <t>REEDY, TOWN OF</t>
  </si>
  <si>
    <t>ROANE COUNTY *</t>
  </si>
  <si>
    <t>Ritchie County</t>
  </si>
  <si>
    <t>PULLMAN, TOWN OF</t>
  </si>
  <si>
    <t>PENNSBORO, CITY OF</t>
  </si>
  <si>
    <t>HARRISVILLE, TOWN OF</t>
  </si>
  <si>
    <t>ELLENBORO, TOWN OF</t>
  </si>
  <si>
    <t>CAIRO, TOWN OF</t>
  </si>
  <si>
    <t>AUBURN, TOWN OF</t>
  </si>
  <si>
    <t>RITCHIE COUNTY *</t>
  </si>
  <si>
    <t>Randolph County</t>
  </si>
  <si>
    <t>WOMELSDORF (COALTON), TOWN OF</t>
  </si>
  <si>
    <t>MONTROSE, TOWN OF</t>
  </si>
  <si>
    <t>MILL CREEK, TOWN OF</t>
  </si>
  <si>
    <t>HUTTONSVILLE, TOWN OF</t>
  </si>
  <si>
    <t>HARMAN, TOWN OF</t>
  </si>
  <si>
    <t>ELKINS, CITY OF</t>
  </si>
  <si>
    <t>BEVERLY, TOWN OF</t>
  </si>
  <si>
    <t>RANDOLPH COUNTY *</t>
  </si>
  <si>
    <t>Raleigh County</t>
  </si>
  <si>
    <t>SOPHIA, TOWN OF</t>
  </si>
  <si>
    <t xml:space="preserve">RHODELL, TOWN OF </t>
  </si>
  <si>
    <t>MABSCOTT, TOWN OF</t>
  </si>
  <si>
    <t>LESTER, TOWN OF</t>
  </si>
  <si>
    <t>BECKLEY, CITY OF</t>
  </si>
  <si>
    <t>Active Flood Study (P)</t>
  </si>
  <si>
    <t>RALEIGH COUNTY *</t>
  </si>
  <si>
    <t>Putnam County</t>
  </si>
  <si>
    <t>WINFIELD, TOWN OF</t>
  </si>
  <si>
    <t>POCA, TOWN OF</t>
  </si>
  <si>
    <t>NITRO, CITY OF</t>
  </si>
  <si>
    <t>HURRICANE, CITY OF</t>
  </si>
  <si>
    <t>ELEANOR, TOWN OF</t>
  </si>
  <si>
    <t>BUFFALO, TOWN OF</t>
  </si>
  <si>
    <t>BANCROFT, TOWN OF</t>
  </si>
  <si>
    <t>PUTNAM COUNTY*</t>
  </si>
  <si>
    <t>Preston County</t>
  </si>
  <si>
    <t>TUNNELTON, TOWN OF</t>
  </si>
  <si>
    <t>TERRA ALTA, TOWN OF</t>
  </si>
  <si>
    <t>ROWLESBURG, TOWN OF</t>
  </si>
  <si>
    <t>REEDSVILLE, TOWN OF</t>
  </si>
  <si>
    <t>NEWBURG,TOWN OF</t>
  </si>
  <si>
    <t>MASONTOWN, TOWN OF</t>
  </si>
  <si>
    <t>KINGWOOD, CITY OF</t>
  </si>
  <si>
    <t>BRUCETON MILLS, TOWN OF</t>
  </si>
  <si>
    <t>ALBRIGHT,TOWN OF</t>
  </si>
  <si>
    <t>PRESTON COUNTY*</t>
  </si>
  <si>
    <t>Pocahontas County</t>
  </si>
  <si>
    <t>MARLINTON, TOWN OF</t>
  </si>
  <si>
    <t>DURBIN, TOWN OF</t>
  </si>
  <si>
    <t>POCAHONTAS COUNTY *</t>
  </si>
  <si>
    <t>Pleasants County</t>
  </si>
  <si>
    <t>ST. MARY'S, CITY OF</t>
  </si>
  <si>
    <t>BELMONT, CITY OF</t>
  </si>
  <si>
    <t>PLEASANTS COUNTY *</t>
  </si>
  <si>
    <t>Pendleton County</t>
  </si>
  <si>
    <t>FRANKLIN, TOWN OF</t>
  </si>
  <si>
    <t>PENDLETON COUNTY*</t>
  </si>
  <si>
    <t>Ohio County</t>
  </si>
  <si>
    <t>WHEELING, CITY OF</t>
  </si>
  <si>
    <t>WEST LIBERTY, TOWN OF</t>
  </si>
  <si>
    <t>VALLEY GROVE, TOWN OF</t>
  </si>
  <si>
    <t>TRIADELPHIA, TOWN OF</t>
  </si>
  <si>
    <t xml:space="preserve">CLEARVIEW, VILLAGE OF </t>
  </si>
  <si>
    <t>BETHLEHEM, VILLAGE OF</t>
  </si>
  <si>
    <t>OHIO COUNTY *</t>
  </si>
  <si>
    <t>Nicholas County</t>
  </si>
  <si>
    <t>SUMMERSVILLE, CITY OF</t>
  </si>
  <si>
    <t>RICHWOOD, CITY OF</t>
  </si>
  <si>
    <t>NICHOLAS COUNTY*</t>
  </si>
  <si>
    <t>Morgan County</t>
  </si>
  <si>
    <t>PAW PAW, TOWN OF</t>
  </si>
  <si>
    <t>BATH, TOWN OF (Berkeley Springs)</t>
  </si>
  <si>
    <t>MORGAN COUNTY*</t>
  </si>
  <si>
    <t>Monroe County</t>
  </si>
  <si>
    <t>UNION, TOWN OF</t>
  </si>
  <si>
    <t>PETERSTOWN, TOWN OF</t>
  </si>
  <si>
    <t>ALDERSON, TOWN OF (SPLIT)</t>
  </si>
  <si>
    <t>MONROE COUNTY *</t>
  </si>
  <si>
    <t>Monongalia County</t>
  </si>
  <si>
    <t>WESTOVER, CITY OF</t>
  </si>
  <si>
    <t>STAR CITY, TOWN OF</t>
  </si>
  <si>
    <t>MORGANTOWN, CITY OF</t>
  </si>
  <si>
    <t>GRANVILLE, TOWN OF</t>
  </si>
  <si>
    <t>BLACKSVILLE, CITY OF</t>
  </si>
  <si>
    <t>MONONGALIA COUNTY *</t>
  </si>
  <si>
    <t>Mingo County</t>
  </si>
  <si>
    <t>WILLIAMSON, CITY OF</t>
  </si>
  <si>
    <t>540138B</t>
  </si>
  <si>
    <t>MATEWAN, TOWN OF</t>
  </si>
  <si>
    <t>545538B</t>
  </si>
  <si>
    <t>KERMIT, TOWN OF</t>
  </si>
  <si>
    <t>540136B</t>
  </si>
  <si>
    <t>GILBERT, TOWN OF</t>
  </si>
  <si>
    <t>DELBARTON, TOWN OF</t>
  </si>
  <si>
    <t>MINGO COUNTY *</t>
  </si>
  <si>
    <t>Mineral County</t>
  </si>
  <si>
    <t>RIDGELEY, TOWN OF</t>
  </si>
  <si>
    <t>PIEDMONT, CITY OF</t>
  </si>
  <si>
    <t>KEYSER, CITY OF</t>
  </si>
  <si>
    <t>MINERAL COUNTY *</t>
  </si>
  <si>
    <t>Mercer County</t>
  </si>
  <si>
    <t>PRINCETON, CITY OF</t>
  </si>
  <si>
    <t>OAKVALE, TOWN OF</t>
  </si>
  <si>
    <t>ActiveFlood Study</t>
  </si>
  <si>
    <t>MATOAKA, TOWN OF (Dissolved)</t>
  </si>
  <si>
    <t>BRAMWELL, TOWN OF</t>
  </si>
  <si>
    <t>BLUEFIELD, CITY OF</t>
  </si>
  <si>
    <t>ATHENS, TOWN OF</t>
  </si>
  <si>
    <t>MERCER COUNTY*</t>
  </si>
  <si>
    <t>McDowell County</t>
  </si>
  <si>
    <t>WELCH, CITY OF</t>
  </si>
  <si>
    <t>WAR, TOWN OF</t>
  </si>
  <si>
    <t>NORTHFORK, TOWN OF</t>
  </si>
  <si>
    <t>KIMBALL, TOWN OF</t>
  </si>
  <si>
    <t>KEYSTONE, TOWN OF</t>
  </si>
  <si>
    <t>IAEGER, TOWN OF</t>
  </si>
  <si>
    <t>GARY, CITY OF</t>
  </si>
  <si>
    <t>DAVY, TOWN OF</t>
  </si>
  <si>
    <t>BRADSHAW, TOWN OF</t>
  </si>
  <si>
    <t>ANAWALT, TOWN OF</t>
  </si>
  <si>
    <t>MCDOWELL COUNTY *</t>
  </si>
  <si>
    <t>Mason County</t>
  </si>
  <si>
    <t>POINT PLEASANT, CITY OF</t>
  </si>
  <si>
    <t>NEW HAVEN, TOWN OF</t>
  </si>
  <si>
    <t>MASON, TOWN OF</t>
  </si>
  <si>
    <t>LEON, TOWN OF</t>
  </si>
  <si>
    <t>HENDERSON, TOWN OF</t>
  </si>
  <si>
    <t>HARTFORD, TOWN OF</t>
  </si>
  <si>
    <t>MASON COUNTY *</t>
  </si>
  <si>
    <t>Marshall County</t>
  </si>
  <si>
    <t>MOUNDSVILLE, CITY OF</t>
  </si>
  <si>
    <t>MCMECHEN, TOWN OF</t>
  </si>
  <si>
    <t>GLEN DALE, CITY OF</t>
  </si>
  <si>
    <t>CAMERON, CITY OF</t>
  </si>
  <si>
    <t>BENWOOD, CITY OF</t>
  </si>
  <si>
    <t>MARSHALL COUNTY *</t>
  </si>
  <si>
    <t>Marion County</t>
  </si>
  <si>
    <t>WORTHINGTON, TOWN OF</t>
  </si>
  <si>
    <t>RIVESVILLE, TOWN OF</t>
  </si>
  <si>
    <t>PLEASANT VALLEY, CITY OF</t>
  </si>
  <si>
    <t>MONONGAH, TOWN OF</t>
  </si>
  <si>
    <t>MANNINGTON, CITY OF</t>
  </si>
  <si>
    <t>GRANT,  TOWN OF</t>
  </si>
  <si>
    <t>FARMINGTON, TOWN OF</t>
  </si>
  <si>
    <t>FAIRVIEW, TOWN OF</t>
  </si>
  <si>
    <t>FAIRMONT,CITY OF</t>
  </si>
  <si>
    <t>540099B</t>
  </si>
  <si>
    <t>BARRACKVILLE, TOWN OF</t>
  </si>
  <si>
    <t>MARION COUNTY*</t>
  </si>
  <si>
    <t>Logan County</t>
  </si>
  <si>
    <t>WEST LOGAN, TOWN OF</t>
  </si>
  <si>
    <t>MITCHELL HEIGHTS, TOWN OF</t>
  </si>
  <si>
    <t>MAN, TOWN OF</t>
  </si>
  <si>
    <t>LOGAN, CITY OF</t>
  </si>
  <si>
    <t>CHAPMANVILLE, TOWN OF</t>
  </si>
  <si>
    <t>LOGAN COUNTY *</t>
  </si>
  <si>
    <t>Lincoln County</t>
  </si>
  <si>
    <t>WEST HAMLIN, TOWN OF</t>
  </si>
  <si>
    <t>HAMLIN, TOWN OF</t>
  </si>
  <si>
    <t>LINCOLN COUNTY*</t>
  </si>
  <si>
    <t>Lewis County</t>
  </si>
  <si>
    <t>WESTON, CITY OF</t>
  </si>
  <si>
    <t>JANE LEW, TOWN OF</t>
  </si>
  <si>
    <t>LEWIS COUNTY*</t>
  </si>
  <si>
    <t>Kanawha County</t>
  </si>
  <si>
    <t>ST. ALBANS, CITY OF</t>
  </si>
  <si>
    <t>SOUTH CHARLESTON, CITY OF</t>
  </si>
  <si>
    <t>PRATT, TOWN OF</t>
  </si>
  <si>
    <t>MONTGOMERY, CITY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</si>
  <si>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</si>
  <si>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</si>
  <si>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</si>
  <si>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</si>
  <si>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</si>
  <si>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</si>
  <si>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</si>
  <si>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</si>
  <si>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</si>
  <si>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</si>
  <si>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</si>
  <si>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Jefferson County</t>
  </si>
  <si>
    <t>SHEPHERDSTOWN, TOWN OF</t>
  </si>
  <si>
    <t>RANSON, CITY OF</t>
  </si>
  <si>
    <t>HARPERS FERRY, TOWN OF</t>
  </si>
  <si>
    <t>CHARLES TOWN, CITY OF</t>
  </si>
  <si>
    <t>BOLIVAR, TOWN OF</t>
  </si>
  <si>
    <t>JEFFERSON COUNTY *</t>
  </si>
  <si>
    <t>Jackson County</t>
  </si>
  <si>
    <t>RIPLEY, CITY OF</t>
  </si>
  <si>
    <t>RAVENSWOOD, CITY OF</t>
  </si>
  <si>
    <t>JACKSON COUNTY *</t>
  </si>
  <si>
    <t>Harrison County</t>
  </si>
  <si>
    <t>WEST MILFORD, TOWN OF</t>
  </si>
  <si>
    <t>STONEWOOD, CITY OF</t>
  </si>
  <si>
    <t>SHINNSTON, CITY OF</t>
  </si>
  <si>
    <t>SALEM, CITY OF</t>
  </si>
  <si>
    <t>NUTTER FORT, TOWN OF</t>
  </si>
  <si>
    <t>LUMBERPORT, TOWN OF</t>
  </si>
  <si>
    <t>LOST CREEK, TOWN OF</t>
  </si>
  <si>
    <t>CLARKSBURG, CITY OF</t>
  </si>
  <si>
    <t>BRIDGEPORT, CITY OF</t>
  </si>
  <si>
    <t>ANMOORE, TOWN OF</t>
  </si>
  <si>
    <t>HARRISON COUNTY*</t>
  </si>
  <si>
    <t>Hardy County</t>
  </si>
  <si>
    <t>WARDENSVILLE, TOWN OF</t>
  </si>
  <si>
    <t>MOOREFIELD, TOWN OF</t>
  </si>
  <si>
    <t>HARDY COUNTY *</t>
  </si>
  <si>
    <t>Hancock County</t>
  </si>
  <si>
    <t>NEW CUMBERLAND, CITY OF</t>
  </si>
  <si>
    <t>CHESTER, CITY OF</t>
  </si>
  <si>
    <t>HANCOCK COUNTY *</t>
  </si>
  <si>
    <t>Hampshire County</t>
  </si>
  <si>
    <t>ROMNEY, TOWN OF</t>
  </si>
  <si>
    <t>CAPON BRIDGE TOWN</t>
  </si>
  <si>
    <t>HAMPSHIRE COUNTY*</t>
  </si>
  <si>
    <t>Greenbrier County</t>
  </si>
  <si>
    <t>WHITE SULPHUR SPRINGS, CITY OF</t>
  </si>
  <si>
    <t>RUPERT, TOWN OF</t>
  </si>
  <si>
    <t>RONCEVERTE, CITY OF</t>
  </si>
  <si>
    <t>RAINELLE, TOWN OF</t>
  </si>
  <si>
    <t>QUINWOOD, TOWN OF</t>
  </si>
  <si>
    <t>LEWISBURG, CITY OF</t>
  </si>
  <si>
    <t>FALLING SPRINGS CORPORATION, CITY OF (Renick)</t>
  </si>
  <si>
    <t>GREENBRIER COUNTY*</t>
  </si>
  <si>
    <t>Grant County</t>
  </si>
  <si>
    <t>PETERSBURG, CITYOF</t>
  </si>
  <si>
    <t>BAYARD, TOWN OF</t>
  </si>
  <si>
    <t>540240B</t>
  </si>
  <si>
    <t>GRANT COUNTY*</t>
  </si>
  <si>
    <t>Gilmer County</t>
  </si>
  <si>
    <t>SAND FORK, TOWN OF (Layopolis)</t>
  </si>
  <si>
    <t>GLENVILLE, CITY OF</t>
  </si>
  <si>
    <t>GILMER COUNTY *</t>
  </si>
  <si>
    <t>Fayette County</t>
  </si>
  <si>
    <t>SMITHERS, TOWN OF (SPLIT)</t>
  </si>
  <si>
    <t>PAX, TOWN OF</t>
  </si>
  <si>
    <t>OAK HILL, CITY OF</t>
  </si>
  <si>
    <t>MOUNT HOPE, CITY OF</t>
  </si>
  <si>
    <t>MONTGOMERY, CITY OF (SPLIT)</t>
  </si>
  <si>
    <t>MEADOW BRIDGE, TOWN OF</t>
  </si>
  <si>
    <t>GAULEY BRIDGE, TOWN OF</t>
  </si>
  <si>
    <t>FAYETTEVILLE, TOWN OF</t>
  </si>
  <si>
    <t>ANSTED, TOWN OF</t>
  </si>
  <si>
    <t>FAYETTE COUNTY*</t>
  </si>
  <si>
    <t>Doddridge County</t>
  </si>
  <si>
    <t>WEST UNION, TOWN OF</t>
  </si>
  <si>
    <t>DODDRIDGE COUNTY *</t>
  </si>
  <si>
    <t xml:space="preserve">Clay County </t>
  </si>
  <si>
    <t>CLAY, TOWN OF</t>
  </si>
  <si>
    <t>CLAY COUNTY *</t>
  </si>
  <si>
    <t>Calhoun County</t>
  </si>
  <si>
    <t>GRANTSVILLE, TOWN OF</t>
  </si>
  <si>
    <t>CALHOUN COUNTY *</t>
  </si>
  <si>
    <t>Cabell County</t>
  </si>
  <si>
    <t>MILTON, CITY OF</t>
  </si>
  <si>
    <t>BARBOURSVILLE, VILLAGE OF</t>
  </si>
  <si>
    <t>CABELL COUNTY*</t>
  </si>
  <si>
    <t>Brooke County</t>
  </si>
  <si>
    <t>WELLSBURG, CITY OF</t>
  </si>
  <si>
    <t>WEIRTON, CITY OF</t>
  </si>
  <si>
    <t>FOLLANSBEE, CITY OF</t>
  </si>
  <si>
    <t>BETHANY, TOWN OF</t>
  </si>
  <si>
    <t>BEECH BOTTOM, VILLAGE OF</t>
  </si>
  <si>
    <t>BROOKE COUNTY *</t>
  </si>
  <si>
    <t>Braxton County</t>
  </si>
  <si>
    <t>SUTTON, TOWN OF</t>
  </si>
  <si>
    <t>GASSAWAY, TOWN OF</t>
  </si>
  <si>
    <t>FLATWOODS, TOWN OF</t>
  </si>
  <si>
    <t>BURNSVILLE, TOWN OF</t>
  </si>
  <si>
    <t>BRAXTON COUNTY *</t>
  </si>
  <si>
    <t>Boone County</t>
  </si>
  <si>
    <t>WHITESVILLE, TOWN OF</t>
  </si>
  <si>
    <t>SYLVESTER, TOWN OF</t>
  </si>
  <si>
    <t>MADISON, TOWN OF</t>
  </si>
  <si>
    <t>DANVILLE, TOWN OF</t>
  </si>
  <si>
    <t>BOONE COUNTY *</t>
  </si>
  <si>
    <t>Berkeley County</t>
  </si>
  <si>
    <t>MARTINSBURG, CITY OF</t>
  </si>
  <si>
    <t>BERKELEY COUNTY *</t>
  </si>
  <si>
    <t>Barbour County</t>
  </si>
  <si>
    <t>PHILIPPI, CITY OF</t>
  </si>
  <si>
    <t>JUNIOR, TOWN OF</t>
  </si>
  <si>
    <t>BELINGTON, TOWN OF</t>
  </si>
  <si>
    <t>BARBOUR COUNTY*</t>
  </si>
  <si>
    <t>Drainage Area Resolution</t>
  </si>
  <si>
    <t xml:space="preserve">Flood Studies </t>
  </si>
  <si>
    <t>Freeboard (ft.)</t>
  </si>
  <si>
    <t>Reg-Emer Date</t>
  </si>
  <si>
    <t>Curr Eff Map Date</t>
  </si>
  <si>
    <t>Init FIRM Identified</t>
  </si>
  <si>
    <t>Init FHBM Identified</t>
  </si>
  <si>
    <t>PDC</t>
  </si>
  <si>
    <t>P = Partial</t>
  </si>
  <si>
    <t>PRE-FIRM / POST-FIRM DIVIDING LINE</t>
  </si>
  <si>
    <t>Community Status Book Report (Fall 2019)</t>
  </si>
  <si>
    <t>Post-FIRM Initial Effective Date, Freeboard, Active/Planned Flood Studies</t>
  </si>
  <si>
    <t>Pineville, City Of</t>
  </si>
  <si>
    <t>Oceana, Town Of</t>
  </si>
  <si>
    <t>Mullens, City Of</t>
  </si>
  <si>
    <t>Wyoming County *</t>
  </si>
  <si>
    <t>Williamstown, City Of</t>
  </si>
  <si>
    <t>Vienna, City Of</t>
  </si>
  <si>
    <t>Parkersburg, City Of</t>
  </si>
  <si>
    <t>Wood County *</t>
  </si>
  <si>
    <t>Elizabeth, Town Of</t>
  </si>
  <si>
    <t>Paden City, City Of</t>
  </si>
  <si>
    <t>Smithfield, Town Of</t>
  </si>
  <si>
    <t>Pine Grove, Town Of</t>
  </si>
  <si>
    <t>New Martinsville, City Of</t>
  </si>
  <si>
    <t>Hundred, Town Of</t>
  </si>
  <si>
    <t>Wetzel County *</t>
  </si>
  <si>
    <t>Cowen, Town Of</t>
  </si>
  <si>
    <t>Camden-On-Gauley, Town Of</t>
  </si>
  <si>
    <t>Webster County *</t>
  </si>
  <si>
    <t>Huntington, City Of</t>
  </si>
  <si>
    <t>Wayne, Town Of</t>
  </si>
  <si>
    <t>Kenova, City Of</t>
  </si>
  <si>
    <t>Fort Gay, Town Of</t>
  </si>
  <si>
    <t>Ceredo, Town Of</t>
  </si>
  <si>
    <t>Buckhannon, City Of</t>
  </si>
  <si>
    <t>Sistersville, City Of</t>
  </si>
  <si>
    <t>Middlebourne, Town Of</t>
  </si>
  <si>
    <t>Friendly, Town Of</t>
  </si>
  <si>
    <t>Tyler County *</t>
  </si>
  <si>
    <t>Thomas, City Of</t>
  </si>
  <si>
    <t>Parsons, City Of</t>
  </si>
  <si>
    <t>Hendricks,Town Of</t>
  </si>
  <si>
    <t>Hambleton, Town Of</t>
  </si>
  <si>
    <t>Davis, Town Of</t>
  </si>
  <si>
    <t>Grafton, City Of</t>
  </si>
  <si>
    <t>Flemington, Town Of</t>
  </si>
  <si>
    <t>Hinton, City Of</t>
  </si>
  <si>
    <t>Summers County *</t>
  </si>
  <si>
    <t>Spencer, City Of</t>
  </si>
  <si>
    <t>Reedy, Town Of</t>
  </si>
  <si>
    <t>Roane County *</t>
  </si>
  <si>
    <t>Pullman, Town Of</t>
  </si>
  <si>
    <t>Pennsboro, City Of</t>
  </si>
  <si>
    <t>Harrisville, Town Of</t>
  </si>
  <si>
    <t>Ellenboro, Town Of</t>
  </si>
  <si>
    <t>Cairo, Town Of</t>
  </si>
  <si>
    <t>Auburn, Town Of</t>
  </si>
  <si>
    <t>Ritchie County *</t>
  </si>
  <si>
    <t>Womelsdorf (Coalton), Town Of</t>
  </si>
  <si>
    <t>Montrose, Town Of</t>
  </si>
  <si>
    <t>Mill Creek, Town Of</t>
  </si>
  <si>
    <t>Huttonsville, Town Of</t>
  </si>
  <si>
    <t>Harman, Town Of</t>
  </si>
  <si>
    <t>Elkins, City Of</t>
  </si>
  <si>
    <t>Beverly, Town Of</t>
  </si>
  <si>
    <t>Randolph County *</t>
  </si>
  <si>
    <t>Sophia, Town Of</t>
  </si>
  <si>
    <t>Rhodell, Town Of</t>
  </si>
  <si>
    <t>RHODELL, TOWN OF</t>
  </si>
  <si>
    <t>Mabscott, Town Of</t>
  </si>
  <si>
    <t>Lester, Town Of</t>
  </si>
  <si>
    <t>Beckley, City Of</t>
  </si>
  <si>
    <t>Raleigh County *</t>
  </si>
  <si>
    <t>Nitro, City Of</t>
  </si>
  <si>
    <t>Winfield, Town Of</t>
  </si>
  <si>
    <t>Poca, Town Of</t>
  </si>
  <si>
    <t>Hurricane, City Of</t>
  </si>
  <si>
    <t>Eleanor, Town Of</t>
  </si>
  <si>
    <t>Buffalo, Town Of</t>
  </si>
  <si>
    <t>Bancroft, Town Of</t>
  </si>
  <si>
    <t>Tunnelton, Town Of</t>
  </si>
  <si>
    <t>Terra Alta, Town Of</t>
  </si>
  <si>
    <t>Rowlesburg, Town Of</t>
  </si>
  <si>
    <t>Reedsville, Town Of</t>
  </si>
  <si>
    <t>Newburg,Town Of</t>
  </si>
  <si>
    <t>Masontown, Town Of</t>
  </si>
  <si>
    <t>Kingwood, City Of</t>
  </si>
  <si>
    <t>Bruceton Mills, Town Of</t>
  </si>
  <si>
    <t>Albright,Town Of</t>
  </si>
  <si>
    <t>Marlinton, Town Of</t>
  </si>
  <si>
    <t>Durbin, Town Of</t>
  </si>
  <si>
    <t>Pocahontas County *</t>
  </si>
  <si>
    <t>St. Mary'S, City Of</t>
  </si>
  <si>
    <t>Belmont, City Of</t>
  </si>
  <si>
    <t>Pleasants County *</t>
  </si>
  <si>
    <t>Franklin, Town Of</t>
  </si>
  <si>
    <t>Wheeling, City Of</t>
  </si>
  <si>
    <t>West Liberty, Town Of</t>
  </si>
  <si>
    <t>Valley Grove, Town Of</t>
  </si>
  <si>
    <t>Triadelphia, Town Of</t>
  </si>
  <si>
    <t xml:space="preserve">Clearview, Village Of </t>
  </si>
  <si>
    <t>Bethlehem, Village Of</t>
  </si>
  <si>
    <t>Ohio County *</t>
  </si>
  <si>
    <t>Summersville, City Of</t>
  </si>
  <si>
    <t>Richwood, City Of</t>
  </si>
  <si>
    <t>Paw Paw, Town Of</t>
  </si>
  <si>
    <t>Bath, Town Of (Berkeley Springs)</t>
  </si>
  <si>
    <t>Alderson, Town Of</t>
  </si>
  <si>
    <t>ALDERSON, TOWN OF</t>
  </si>
  <si>
    <t>Union, Town Of</t>
  </si>
  <si>
    <t>Peterstown, Town Of</t>
  </si>
  <si>
    <t>Monroe County *</t>
  </si>
  <si>
    <t>Westover, City Of</t>
  </si>
  <si>
    <t>Star City, Town Of</t>
  </si>
  <si>
    <t>Morgantown, City Of</t>
  </si>
  <si>
    <t>Granville, Town Of</t>
  </si>
  <si>
    <t>Blacksville, City Of</t>
  </si>
  <si>
    <t>Monongalia County *</t>
  </si>
  <si>
    <t>Williamson, City Of</t>
  </si>
  <si>
    <t>Matewan, Town Of</t>
  </si>
  <si>
    <t>Kermit, Town Of</t>
  </si>
  <si>
    <t>Gilbert, Town Of</t>
  </si>
  <si>
    <t>Delbarton, Town Of</t>
  </si>
  <si>
    <t>Mingo County *</t>
  </si>
  <si>
    <t>Ridgeley, Town Of</t>
  </si>
  <si>
    <t>Piedmont, City Of</t>
  </si>
  <si>
    <t>Keyser, City Of</t>
  </si>
  <si>
    <t>Mineral County *</t>
  </si>
  <si>
    <t>Princeton, City Of</t>
  </si>
  <si>
    <t>Oakvale, Town Of</t>
  </si>
  <si>
    <t>Matoaka, Town Of</t>
  </si>
  <si>
    <t>MATOAKA, TOWN OF</t>
  </si>
  <si>
    <t>Bramwell, Town Of</t>
  </si>
  <si>
    <t>Bluefield, City Of</t>
  </si>
  <si>
    <t>Athens, Town of</t>
  </si>
  <si>
    <t>Welch, City Of</t>
  </si>
  <si>
    <t>War, Town Of</t>
  </si>
  <si>
    <t>Northfork, Town Of</t>
  </si>
  <si>
    <t>Kimball, Town Of</t>
  </si>
  <si>
    <t>Keystone, Town Of</t>
  </si>
  <si>
    <t>Iaeger, Town Of</t>
  </si>
  <si>
    <t>Gary, City Of</t>
  </si>
  <si>
    <t>Davy, Town Of</t>
  </si>
  <si>
    <t>Bradshaw, Town Of</t>
  </si>
  <si>
    <t>Anawalt, Town Of</t>
  </si>
  <si>
    <t>Mcdowell County *</t>
  </si>
  <si>
    <t>Point Pleasant, City Of</t>
  </si>
  <si>
    <t>New Haven, Town Of</t>
  </si>
  <si>
    <t>Mason, Town Of</t>
  </si>
  <si>
    <t>Leon, Town Of</t>
  </si>
  <si>
    <t>Henderson, Town Of</t>
  </si>
  <si>
    <t>Hartford, Town Of</t>
  </si>
  <si>
    <t>Mason County *</t>
  </si>
  <si>
    <t>Moundsville, City Of</t>
  </si>
  <si>
    <t>Mcmechen, Town Of</t>
  </si>
  <si>
    <t>Glen Dale, City Of</t>
  </si>
  <si>
    <t>Cameron, City Of</t>
  </si>
  <si>
    <t>Benwood, City Of</t>
  </si>
  <si>
    <t>Marshall County *</t>
  </si>
  <si>
    <t>Worthington, Town Of</t>
  </si>
  <si>
    <t>Rivesville, Town Of</t>
  </si>
  <si>
    <t>Pleasant Valley, City Of</t>
  </si>
  <si>
    <t>Monongah, Town Of</t>
  </si>
  <si>
    <t>Mannington, City Of</t>
  </si>
  <si>
    <t>Grant,  Town Of</t>
  </si>
  <si>
    <t>Farmington, Town Of</t>
  </si>
  <si>
    <t>Fairview, Town Of</t>
  </si>
  <si>
    <t>Fairmont,City Of</t>
  </si>
  <si>
    <t>Barrackville, Town Of</t>
  </si>
  <si>
    <t>West Logan, Town Of</t>
  </si>
  <si>
    <t>Mitchell Heights, Town Of</t>
  </si>
  <si>
    <t>Man, Town Of</t>
  </si>
  <si>
    <t>Logan, City Of</t>
  </si>
  <si>
    <t>Chapmanville, Town Of</t>
  </si>
  <si>
    <t>Logan County *</t>
  </si>
  <si>
    <t>West Hamlin, Town Of</t>
  </si>
  <si>
    <t>Hamlin, Town Of</t>
  </si>
  <si>
    <t>Weston, City Of</t>
  </si>
  <si>
    <t>Jane Lew, Town Of</t>
  </si>
  <si>
    <t>Montgomery, City Of</t>
  </si>
  <si>
    <t>St. Albans, City Of</t>
  </si>
  <si>
    <t>South Charleston, City Of</t>
  </si>
  <si>
    <t>Pratt, Town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</si>
  <si>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</si>
  <si>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</si>
  <si>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</si>
  <si>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</si>
  <si>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</si>
  <si>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</si>
  <si>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</si>
  <si>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</si>
  <si>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</si>
  <si>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</si>
  <si>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</si>
  <si>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Shepherdstown, Town Of</t>
  </si>
  <si>
    <t>Ranson, City Of</t>
  </si>
  <si>
    <t>Harpers Ferry, Town Of</t>
  </si>
  <si>
    <t>Charles Town, City Of</t>
  </si>
  <si>
    <t>Bolivar, Town Of</t>
  </si>
  <si>
    <t>Jefferson County *</t>
  </si>
  <si>
    <t>Ripley, City Of</t>
  </si>
  <si>
    <t>Ravenswood, City Of</t>
  </si>
  <si>
    <t>Jackson County *</t>
  </si>
  <si>
    <t>West Milford, Town Of</t>
  </si>
  <si>
    <t>Stonewood, City Of</t>
  </si>
  <si>
    <t>Shinnston, City Of</t>
  </si>
  <si>
    <t>Salem, City Of</t>
  </si>
  <si>
    <t>Nutter Fort, Town Of</t>
  </si>
  <si>
    <t>Lumberport, Town Of</t>
  </si>
  <si>
    <t>Lost Creek, Town Of</t>
  </si>
  <si>
    <t>Clarksburg, City Of</t>
  </si>
  <si>
    <t>Bridgeport, City Of</t>
  </si>
  <si>
    <t>Anmoore, Town Of</t>
  </si>
  <si>
    <t>Wardensville, Town Of</t>
  </si>
  <si>
    <t>Moorefield, Town Of</t>
  </si>
  <si>
    <t>Hardy County *</t>
  </si>
  <si>
    <t>New Cumberland, City Of</t>
  </si>
  <si>
    <t>Chester, City Of</t>
  </si>
  <si>
    <t>Hancock County *</t>
  </si>
  <si>
    <t>Romney, Town Of</t>
  </si>
  <si>
    <t>Capon Bridge Town</t>
  </si>
  <si>
    <t>White Sulphur Springs, City Of</t>
  </si>
  <si>
    <t>Rupert, Town Of</t>
  </si>
  <si>
    <t>Ronceverte, City Of</t>
  </si>
  <si>
    <t>Rainelle, Town Of</t>
  </si>
  <si>
    <t>Quinwood, Town Of</t>
  </si>
  <si>
    <t>Lewisburg, City Of</t>
  </si>
  <si>
    <t>Falling Springs Corporation, City Of (Renick)</t>
  </si>
  <si>
    <t>Petersburg, Cityof</t>
  </si>
  <si>
    <t>Bayard, Town Of</t>
  </si>
  <si>
    <t>Sand Fork, Town Of (Layopolis)</t>
  </si>
  <si>
    <t>Glenville, City Of</t>
  </si>
  <si>
    <t>Gilmer County *</t>
  </si>
  <si>
    <t>Smithers, Town Of</t>
  </si>
  <si>
    <t>SMITHERS, TOWN OF</t>
  </si>
  <si>
    <t>Pax, Town Of</t>
  </si>
  <si>
    <t>Oak Hill, City Of</t>
  </si>
  <si>
    <t>Mount Hope, City Of</t>
  </si>
  <si>
    <t>Meadow Bridge, Town Of</t>
  </si>
  <si>
    <t>Gauley Bridge, Town Of</t>
  </si>
  <si>
    <t>Fayetteville, Town Of</t>
  </si>
  <si>
    <t>Ansted, Town Of</t>
  </si>
  <si>
    <t>West Union, Town Of</t>
  </si>
  <si>
    <t>Doddridge County *</t>
  </si>
  <si>
    <t>Clay, Town Of</t>
  </si>
  <si>
    <t>Clay County *</t>
  </si>
  <si>
    <t>Grantsville, Town Of</t>
  </si>
  <si>
    <t>Calhoun County *</t>
  </si>
  <si>
    <t>Milton, City Of</t>
  </si>
  <si>
    <t>Barboursville, Village Of</t>
  </si>
  <si>
    <t>Weirton, City Of</t>
  </si>
  <si>
    <t>Wellsburg, City Of</t>
  </si>
  <si>
    <t>Follansbee, City Of</t>
  </si>
  <si>
    <t>Bethany, Town Of</t>
  </si>
  <si>
    <t>Beech Bottom, Village Of</t>
  </si>
  <si>
    <t>Brooke County *</t>
  </si>
  <si>
    <t>Sutton, Town Of</t>
  </si>
  <si>
    <t>Gassaway, Town Of</t>
  </si>
  <si>
    <t>Flatwoods, Town Of</t>
  </si>
  <si>
    <t>Burnsville, Town Of</t>
  </si>
  <si>
    <t>Braxton County *</t>
  </si>
  <si>
    <t>Whitesville, Town Of</t>
  </si>
  <si>
    <t>Sylvester, Town Of</t>
  </si>
  <si>
    <t>Madison, Town Of</t>
  </si>
  <si>
    <t>Danville, Town Of</t>
  </si>
  <si>
    <t>Boone County *</t>
  </si>
  <si>
    <t>Martinsburg, City Of</t>
  </si>
  <si>
    <t>Berkeley County *</t>
  </si>
  <si>
    <t>Philippi, City Of</t>
  </si>
  <si>
    <t>Junior, Town Of</t>
  </si>
  <si>
    <t>Belington, Town Of</t>
  </si>
  <si>
    <t>PRE-FIRM / POST-FIRM DIVIDING LINE DATE</t>
  </si>
  <si>
    <t>Unincorporated / Incorporated</t>
  </si>
  <si>
    <t xml:space="preserve">Median Dollar Damage - Hazus 1% floodplain U.S. dollar damage loss estimate </t>
  </si>
  <si>
    <t xml:space="preserve">Average Dollar Damage - Hazus 1% floodplain U.S. dollar damage loss estimate </t>
  </si>
  <si>
    <t>Median Percent Damage - Hazus 1% floodplain damage loss percentage estimate</t>
  </si>
  <si>
    <t>Average Percent Damage - Hazus 1% floodplain damage loss percentage estimate</t>
  </si>
  <si>
    <t>Median Building Value - Single Family Home (RES 1 Hazus Specific Occupancy Code) for structures in 1% floodplain.</t>
  </si>
  <si>
    <t>Average Building Value - Single Family Home (RES 1 Hazus Specific Occupancy Code) for structures in 1% floodplain.</t>
  </si>
  <si>
    <t xml:space="preserve">Median Building Value for structures in the high-risk (effective and advisory) 1% floodplain. </t>
  </si>
  <si>
    <t xml:space="preserve">Average Building Value for structures in the high-risk (effective and advisory) 1% floodplain. </t>
  </si>
  <si>
    <t xml:space="preserve">Mean Building Year for structures in the high-risk (effective and advisory) 1% floodplain.  Minus buildings with modified FIRM status codes (Post-FIRM = 9999; Pre-FIRM = 1111; Post-FIRM regulated to Pre-FIRM = 3333).  </t>
  </si>
  <si>
    <t xml:space="preserve">Average Building Year for structures in the high-risk (effective and advisory) 1%-annual-chance (100-yr) floodplain.  Minus buildings with modified FIRM status codes (Post-FIRM = 9999; Pre-FIRM = 1111; Post-FIRM regulated to Pre-FIRM = 3333).  </t>
  </si>
  <si>
    <t>DESCRIPTION</t>
  </si>
  <si>
    <t>BUILDING YEAR / VALUE / DAMAGE STATISTICS</t>
  </si>
  <si>
    <t>A Post-FIRM or Unknown Building Year minus-rated structure (Water Depth in Structure) &gt;=  2 feet</t>
  </si>
  <si>
    <t xml:space="preserve">A minus rated structure (Water Depth in Structure) &gt;=  2 feet </t>
  </si>
  <si>
    <t>BldgDmgPct &gt;= 50% (substantial damage) OR BldgLossUSD (Building $ Damage Value)) &gt; $10,000.  A Hazus flood risk assessment using FEMA's Flood Risk Assessment Structure Tool for a 1%-annual-chance flood is the data source of the estimated building damage percent and dollar loss value.</t>
  </si>
  <si>
    <t>MINUS RATED and FIRM STATUS</t>
  </si>
  <si>
    <t>% of Unknown Tax Exempt (Property Class X or Other Non-Residential) buildings</t>
  </si>
  <si>
    <t>% of Unknown manufactured (Mobile) homes. Special buildings</t>
  </si>
  <si>
    <t>% of Unknown buildings where building year and FIRM status could not be determined.</t>
  </si>
  <si>
    <t>% of Post-FIRM buildings</t>
  </si>
  <si>
    <t>% of Post-FIRM Regulated to Pre-FIRM</t>
  </si>
  <si>
    <t>% of Pre-FIRM buildings</t>
  </si>
  <si>
    <t>Total buildings in the High-Risk Effective and Advisory floodplains</t>
  </si>
  <si>
    <t>Total Building County (Effective &amp; Advisory)</t>
  </si>
  <si>
    <t>Number of Unknown buildings where building year and FIRM status could not be determined.</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</si>
  <si>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</si>
  <si>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</si>
  <si>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</si>
  <si>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 xml:space="preserve">Effective date of the initial Flood Insurance Rate Map, or the year the community started participating in the National Flood Insurance Program (NFIP). </t>
  </si>
  <si>
    <t>FIRM STATUS</t>
  </si>
  <si>
    <t xml:space="preserve">WV Planning and Development Council (PDC) Regions.  There are 11 regions in the State. </t>
  </si>
  <si>
    <t>County, Unincorporated Area, Incorporated Area (municipality/corporation), Split Community across county boundary</t>
  </si>
  <si>
    <t>County.  55 counties in the State.</t>
  </si>
  <si>
    <t>Community Name.  286 WV Communities.  268 NFIP communities (213 incorporated areas, 55 unincorporated areas).  8 NFIP split communities across county boundary.  18 "No SFHA" communities.  Total 294 statistical geographies.</t>
  </si>
  <si>
    <t>FEMA community Identifier</t>
  </si>
  <si>
    <t>COMMUNITY IDENTIFICATION</t>
  </si>
  <si>
    <t>MARSHALL COUNTY &amp; OHIO COUNTY</t>
  </si>
  <si>
    <t>BROOKE COUNTY &amp; HANCOCK COUNTY</t>
  </si>
  <si>
    <t>3 &amp; 4</t>
  </si>
  <si>
    <t>KANAWHA COUNTY &amp; FAYETTE COUNTY</t>
  </si>
  <si>
    <t>5 &amp; 5</t>
  </si>
  <si>
    <t>WETZEL COUNTY &amp; TYLER COUNTY</t>
  </si>
  <si>
    <t>KANAWHA COUNTY &amp; PUTNAM COUNTY</t>
  </si>
  <si>
    <t>CABELL COUNTY &amp; WAYNE COUNTY</t>
  </si>
  <si>
    <t>GREENBRIER COUNTY &amp; MONROE COUNTY</t>
  </si>
  <si>
    <t>Regions</t>
  </si>
  <si>
    <t>Counties</t>
  </si>
  <si>
    <t>City</t>
  </si>
  <si>
    <t>All the new watershed-based mapping activities will study any unmapped areas that drain more than 1 square mile, which is a change from the current 2 square mile watershed drainage threshold.  This will result in newly mapped A Zones in the SFHA for certain communities (e.g. McDowell, Wyoming).</t>
  </si>
  <si>
    <t>Total Communities (Active and Planned Studies - 33%)</t>
  </si>
  <si>
    <t>total planned studies</t>
  </si>
  <si>
    <r>
      <t>Planned Flood Study (</t>
    </r>
    <r>
      <rPr>
        <b/>
        <sz val="11"/>
        <color theme="1"/>
        <rFont val="Calibri"/>
        <family val="2"/>
        <scheme val="minor"/>
      </rPr>
      <t>P</t>
    </r>
    <r>
      <rPr>
        <sz val="11"/>
        <color theme="1"/>
        <rFont val="Calibri"/>
        <family val="2"/>
        <scheme val="minor"/>
      </rPr>
      <t>artial community coverage)</t>
    </r>
  </si>
  <si>
    <t>Planned Flood Study</t>
  </si>
  <si>
    <t>total active studies</t>
  </si>
  <si>
    <r>
      <t>2016 Flood Study (</t>
    </r>
    <r>
      <rPr>
        <b/>
        <sz val="11"/>
        <color theme="1"/>
        <rFont val="Calibri"/>
        <family val="2"/>
        <scheme val="minor"/>
      </rPr>
      <t>P</t>
    </r>
    <r>
      <rPr>
        <sz val="11"/>
        <color theme="1"/>
        <rFont val="Calibri"/>
        <family val="2"/>
        <scheme val="minor"/>
      </rPr>
      <t>artial community coverage)</t>
    </r>
  </si>
  <si>
    <t>Countwide Flood Study</t>
  </si>
  <si>
    <t>Flood Study Status</t>
  </si>
  <si>
    <t>#</t>
  </si>
  <si>
    <t>Flood Study Status (table needs updated)</t>
  </si>
  <si>
    <t>State Statistics</t>
  </si>
  <si>
    <t>Page 3.25</t>
  </si>
  <si>
    <t>Source Publication: Multi-hazard Loss Estimation Methodology: Flood Model HAZUS-MH MR3 Technical</t>
  </si>
  <si>
    <t>https://www.hsdl.org/?abstract&amp;did=480580</t>
  </si>
  <si>
    <t>https://www.hsdl.org/?view&amp;did=480580</t>
  </si>
  <si>
    <t>Hazus Foundation Types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</si>
</sst>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K"/>
    <numFmt numFmtId="165" formatCode="yyyy\-mm\-dd;@"/>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9"/>
      <color rgb="FFFF0000"/>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b/>
      <sz val="10"/>
      <color theme="3" tint="-0.249977111117893"/>
      <name val="Calibri"/>
      <family val="2"/>
      <scheme val="minor"/>
    </font>
    <font>
      <sz val="10"/>
      <color theme="3" tint="-0.249977111117893"/>
      <name val="Calibri"/>
      <family val="2"/>
      <scheme val="minor"/>
    </font>
    <font>
      <sz val="11"/>
      <color theme="1"/>
      <name val="Calibri"/>
      <family val="2"/>
    </font>
    <font>
      <i/>
      <sz val="11"/>
      <color rgb="FF000000"/>
      <name val="Calibri"/>
      <family val="2"/>
    </font>
    <font>
      <b/>
      <i/>
      <sz val="11"/>
      <color rgb="FF000000"/>
      <name val="Calibri"/>
      <family val="2"/>
    </font>
    <font>
      <u/>
      <sz val="11"/>
      <color rgb="FF000000"/>
      <name val="Calibri"/>
      <family val="2"/>
    </font>
    <font>
      <sz val="11"/>
      <color rgb="FFFF0000"/>
      <name val="Calibri"/>
      <family val="2"/>
    </font>
    <font>
      <b/>
      <sz val="11"/>
      <color rgb="FF000000"/>
      <name val="Calibri"/>
      <family val="2"/>
    </font>
    <font>
      <sz val="11"/>
      <color rgb="FFEA04DA"/>
      <name val="Calibri"/>
      <family val="2"/>
    </font>
    <font>
      <b/>
      <sz val="11"/>
      <color rgb="FFFF0000"/>
      <name val="Calibri"/>
      <family val="2"/>
    </font>
    <font>
      <b/>
      <sz val="9"/>
      <name val="Arial"/>
      <family val="2"/>
    </font>
    <font>
      <b/>
      <sz val="10"/>
      <name val="Calibri"/>
      <family val="2"/>
      <scheme val="minor"/>
    </font>
    <font>
      <i/>
      <sz val="11"/>
      <color theme="1"/>
      <name val="Calibri"/>
      <family val="2"/>
      <scheme val="minor"/>
    </font>
    <font>
      <u/>
      <sz val="11"/>
      <color theme="10"/>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FFFF99"/>
        <bgColor indexed="64"/>
      </patternFill>
    </fill>
    <fill>
      <patternFill patternType="solid">
        <fgColor rgb="FFFFF2CC"/>
        <bgColor rgb="FF000000"/>
      </patternFill>
    </fill>
    <fill>
      <patternFill patternType="solid">
        <fgColor rgb="FFFFE699"/>
        <bgColor rgb="FF000000"/>
      </patternFill>
    </fill>
    <fill>
      <patternFill patternType="solid">
        <fgColor rgb="FFFFFF00"/>
        <bgColor rgb="FF000000"/>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00"/>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3" fillId="0" borderId="0" applyNumberFormat="0" applyFill="0" applyBorder="0" applyAlignment="0" applyProtection="0"/>
  </cellStyleXfs>
  <cellXfs count="185">
    <xf numFmtId="0" fontId="0" fillId="0" borderId="0" xfId="0"/>
    <xf numFmtId="0" fontId="3" fillId="0" borderId="0" xfId="0" applyFont="1" applyAlignment="1">
      <alignment horizontal="left"/>
    </xf>
    <xf numFmtId="0" fontId="0" fillId="0" borderId="0" xfId="0" applyAlignment="1">
      <alignment horizontal="center"/>
    </xf>
    <xf numFmtId="9" fontId="0" fillId="0" borderId="0" xfId="1" applyFont="1" applyAlignment="1">
      <alignment horizontal="center"/>
    </xf>
    <xf numFmtId="0" fontId="4" fillId="0" borderId="0" xfId="0" applyFont="1" applyAlignment="1">
      <alignment horizontal="center"/>
    </xf>
    <xf numFmtId="164" fontId="4" fillId="0" borderId="0" xfId="0" applyNumberFormat="1" applyFont="1" applyAlignment="1">
      <alignment horizontal="center"/>
    </xf>
    <xf numFmtId="164" fontId="4" fillId="2" borderId="0" xfId="0" applyNumberFormat="1" applyFont="1" applyFill="1" applyAlignment="1">
      <alignment horizontal="center"/>
    </xf>
    <xf numFmtId="9" fontId="0" fillId="3" borderId="0" xfId="1" applyFont="1" applyFill="1" applyAlignment="1">
      <alignment horizontal="center"/>
    </xf>
    <xf numFmtId="164" fontId="0" fillId="0" borderId="0" xfId="0" applyNumberFormat="1" applyAlignment="1">
      <alignment horizontal="center"/>
    </xf>
    <xf numFmtId="14" fontId="4" fillId="0" borderId="0" xfId="0" applyNumberFormat="1" applyFont="1" applyAlignment="1">
      <alignment horizontal="left"/>
    </xf>
    <xf numFmtId="0" fontId="4" fillId="2"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9" fontId="4" fillId="4" borderId="2" xfId="1" applyFont="1" applyFill="1" applyBorder="1" applyAlignment="1">
      <alignment horizontal="center" vertical="center" wrapText="1"/>
    </xf>
    <xf numFmtId="9" fontId="5" fillId="3" borderId="1" xfId="1" applyFont="1" applyFill="1" applyBorder="1" applyAlignment="1">
      <alignment horizontal="center" vertical="center" wrapText="1"/>
    </xf>
    <xf numFmtId="9" fontId="4" fillId="4" borderId="3" xfId="1" applyFont="1" applyFill="1" applyBorder="1" applyAlignment="1">
      <alignment horizontal="center" vertical="center" wrapText="1"/>
    </xf>
    <xf numFmtId="9" fontId="4" fillId="4"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9" fontId="4" fillId="6" borderId="1" xfId="1" applyFont="1" applyFill="1" applyBorder="1" applyAlignment="1">
      <alignment horizontal="center" vertical="center" wrapText="1"/>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7" fillId="0" borderId="4" xfId="0" applyFont="1" applyBorder="1"/>
    <xf numFmtId="0" fontId="7" fillId="0" borderId="4" xfId="0" applyFont="1" applyBorder="1" applyAlignment="1">
      <alignment horizontal="center"/>
    </xf>
    <xf numFmtId="9" fontId="7" fillId="0" borderId="4" xfId="1" applyFont="1" applyBorder="1" applyAlignment="1">
      <alignment horizontal="center"/>
    </xf>
    <xf numFmtId="164" fontId="7" fillId="0" borderId="4" xfId="0" applyNumberFormat="1" applyFont="1" applyBorder="1" applyAlignment="1">
      <alignment horizontal="center"/>
    </xf>
    <xf numFmtId="0" fontId="4" fillId="0" borderId="4" xfId="0" applyFont="1" applyBorder="1" applyAlignment="1">
      <alignment horizontal="center"/>
    </xf>
    <xf numFmtId="0" fontId="7" fillId="2" borderId="4" xfId="0" applyFont="1" applyFill="1" applyBorder="1"/>
    <xf numFmtId="0" fontId="7" fillId="2" borderId="4" xfId="0" applyFont="1" applyFill="1" applyBorder="1" applyAlignment="1">
      <alignment horizontal="center"/>
    </xf>
    <xf numFmtId="9" fontId="7" fillId="2" borderId="4" xfId="1" applyFont="1" applyFill="1" applyBorder="1" applyAlignment="1">
      <alignment horizontal="center"/>
    </xf>
    <xf numFmtId="164" fontId="7" fillId="2" borderId="4" xfId="0" applyNumberFormat="1" applyFont="1" applyFill="1" applyBorder="1" applyAlignment="1">
      <alignment horizontal="center"/>
    </xf>
    <xf numFmtId="0" fontId="4" fillId="2" borderId="4" xfId="0" applyFont="1" applyFill="1" applyBorder="1" applyAlignment="1">
      <alignment horizontal="center"/>
    </xf>
    <xf numFmtId="9" fontId="7" fillId="0" borderId="4" xfId="1" applyFont="1" applyFill="1" applyBorder="1" applyAlignment="1">
      <alignment horizontal="center"/>
    </xf>
    <xf numFmtId="0" fontId="7" fillId="0" borderId="0" xfId="0" applyFont="1"/>
    <xf numFmtId="0" fontId="7" fillId="0" borderId="0" xfId="0" applyFont="1" applyAlignment="1">
      <alignment horizontal="center"/>
    </xf>
    <xf numFmtId="9" fontId="7" fillId="0" borderId="0" xfId="1" applyFont="1" applyAlignment="1">
      <alignment horizontal="center"/>
    </xf>
    <xf numFmtId="164" fontId="7" fillId="0" borderId="0" xfId="0" applyNumberFormat="1" applyFont="1" applyAlignment="1">
      <alignment horizontal="center"/>
    </xf>
    <xf numFmtId="0" fontId="7" fillId="8" borderId="4" xfId="0" applyFont="1" applyFill="1" applyBorder="1" applyAlignment="1">
      <alignment horizontal="center"/>
    </xf>
    <xf numFmtId="0" fontId="12" fillId="0" borderId="0" xfId="0" applyFont="1" applyAlignment="1">
      <alignment horizontal="center"/>
    </xf>
    <xf numFmtId="0" fontId="12" fillId="0" borderId="0" xfId="0" applyFont="1"/>
    <xf numFmtId="0" fontId="12" fillId="0" borderId="0" xfId="0" applyFont="1" applyAlignment="1">
      <alignment horizontal="center" vertical="center"/>
    </xf>
    <xf numFmtId="0" fontId="12" fillId="0" borderId="0" xfId="0" applyFont="1" applyAlignment="1">
      <alignment horizontal="left"/>
    </xf>
    <xf numFmtId="165" fontId="12" fillId="0" borderId="0" xfId="0" applyNumberFormat="1" applyFont="1" applyAlignment="1">
      <alignment horizontal="left"/>
    </xf>
    <xf numFmtId="0" fontId="15" fillId="0" borderId="0" xfId="0" applyFont="1"/>
    <xf numFmtId="0" fontId="15" fillId="0" borderId="0" xfId="0" applyFont="1" applyAlignment="1">
      <alignment horizontal="left"/>
    </xf>
    <xf numFmtId="165" fontId="16" fillId="0" borderId="0" xfId="0" applyNumberFormat="1" applyFont="1" applyAlignment="1">
      <alignment horizontal="left"/>
    </xf>
    <xf numFmtId="0" fontId="16" fillId="0" borderId="0" xfId="0" applyFont="1" applyAlignment="1">
      <alignment horizontal="left"/>
    </xf>
    <xf numFmtId="0" fontId="16" fillId="0" borderId="0" xfId="0" applyFont="1" applyAlignment="1">
      <alignment horizontal="center"/>
    </xf>
    <xf numFmtId="0" fontId="16" fillId="0" borderId="0" xfId="0" applyFont="1"/>
    <xf numFmtId="0" fontId="16" fillId="0" borderId="0" xfId="0" applyFont="1" applyAlignment="1">
      <alignment vertical="center"/>
    </xf>
    <xf numFmtId="0" fontId="12" fillId="0" borderId="4" xfId="0" applyFont="1" applyBorder="1" applyAlignment="1">
      <alignment horizontal="center"/>
    </xf>
    <xf numFmtId="0" fontId="12" fillId="0" borderId="4" xfId="0" applyFont="1" applyBorder="1"/>
    <xf numFmtId="0" fontId="12" fillId="0" borderId="4" xfId="0" applyFont="1" applyBorder="1" applyAlignment="1">
      <alignment horizontal="center" vertical="center"/>
    </xf>
    <xf numFmtId="0" fontId="12" fillId="0" borderId="4" xfId="0" applyFont="1" applyBorder="1" applyAlignment="1">
      <alignment horizontal="left"/>
    </xf>
    <xf numFmtId="165" fontId="12" fillId="0" borderId="4" xfId="0" applyNumberFormat="1" applyFont="1" applyBorder="1" applyAlignment="1">
      <alignment horizontal="left"/>
    </xf>
    <xf numFmtId="14" fontId="12" fillId="0" borderId="4" xfId="0" applyNumberFormat="1" applyFont="1" applyBorder="1" applyAlignment="1">
      <alignment horizontal="left"/>
    </xf>
    <xf numFmtId="0" fontId="17" fillId="9" borderId="4" xfId="0" applyFont="1" applyFill="1" applyBorder="1" applyAlignment="1">
      <alignment horizontal="center"/>
    </xf>
    <xf numFmtId="0" fontId="17" fillId="9" borderId="4" xfId="0" applyFont="1" applyFill="1" applyBorder="1"/>
    <xf numFmtId="0" fontId="17" fillId="9" borderId="4" xfId="0" applyFont="1" applyFill="1" applyBorder="1" applyAlignment="1">
      <alignment horizontal="center" vertical="center"/>
    </xf>
    <xf numFmtId="0" fontId="17" fillId="9" borderId="4" xfId="0" applyFont="1" applyFill="1" applyBorder="1" applyAlignment="1">
      <alignment horizontal="left"/>
    </xf>
    <xf numFmtId="165" fontId="17" fillId="9" borderId="4" xfId="0" applyNumberFormat="1" applyFont="1" applyFill="1" applyBorder="1" applyAlignment="1">
      <alignment horizontal="left"/>
    </xf>
    <xf numFmtId="14" fontId="17" fillId="9" borderId="4" xfId="0" applyNumberFormat="1" applyFont="1" applyFill="1" applyBorder="1" applyAlignment="1">
      <alignment horizontal="left"/>
    </xf>
    <xf numFmtId="0" fontId="18" fillId="0" borderId="4" xfId="0" applyFont="1" applyBorder="1" applyAlignment="1">
      <alignment horizontal="center"/>
    </xf>
    <xf numFmtId="0" fontId="18" fillId="0" borderId="4" xfId="0" applyFont="1" applyBorder="1"/>
    <xf numFmtId="0" fontId="18" fillId="0" borderId="4" xfId="0" applyFont="1" applyBorder="1" applyAlignment="1">
      <alignment horizontal="center" vertical="center"/>
    </xf>
    <xf numFmtId="0" fontId="18" fillId="0" borderId="4" xfId="0" applyFont="1" applyBorder="1" applyAlignment="1">
      <alignment horizontal="left"/>
    </xf>
    <xf numFmtId="165" fontId="18" fillId="0" borderId="4" xfId="0" applyNumberFormat="1" applyFont="1" applyBorder="1" applyAlignment="1">
      <alignment horizontal="left"/>
    </xf>
    <xf numFmtId="165" fontId="16" fillId="0" borderId="4" xfId="0" applyNumberFormat="1" applyFont="1" applyBorder="1" applyAlignment="1">
      <alignment horizontal="left"/>
    </xf>
    <xf numFmtId="14" fontId="18" fillId="0" borderId="4" xfId="0" applyNumberFormat="1" applyFont="1" applyBorder="1" applyAlignment="1">
      <alignment horizontal="left"/>
    </xf>
    <xf numFmtId="165" fontId="19" fillId="9" borderId="4" xfId="0" applyNumberFormat="1" applyFont="1" applyFill="1" applyBorder="1" applyAlignment="1">
      <alignment horizontal="left"/>
    </xf>
    <xf numFmtId="0" fontId="20" fillId="9" borderId="4" xfId="0" applyFont="1" applyFill="1" applyBorder="1" applyAlignment="1">
      <alignment horizontal="center"/>
    </xf>
    <xf numFmtId="0" fontId="17" fillId="10" borderId="4" xfId="0" applyFont="1" applyFill="1" applyBorder="1" applyAlignment="1">
      <alignment horizontal="center" wrapText="1"/>
    </xf>
    <xf numFmtId="165" fontId="17" fillId="10" borderId="4" xfId="0" applyNumberFormat="1" applyFont="1" applyFill="1" applyBorder="1" applyAlignment="1">
      <alignment horizontal="center" wrapText="1"/>
    </xf>
    <xf numFmtId="0" fontId="19" fillId="11" borderId="4" xfId="0" applyFont="1" applyFill="1" applyBorder="1" applyAlignment="1">
      <alignment horizontal="center" wrapText="1"/>
    </xf>
    <xf numFmtId="0" fontId="12" fillId="0" borderId="0" xfId="0" applyFont="1" applyAlignment="1">
      <alignment vertical="top"/>
    </xf>
    <xf numFmtId="165" fontId="12" fillId="0" borderId="4" xfId="0" applyNumberFormat="1" applyFont="1" applyBorder="1" applyAlignment="1">
      <alignment horizontal="center"/>
    </xf>
    <xf numFmtId="165" fontId="17" fillId="9" borderId="4" xfId="0" applyNumberFormat="1" applyFont="1" applyFill="1" applyBorder="1" applyAlignment="1">
      <alignment horizontal="center"/>
    </xf>
    <xf numFmtId="165" fontId="16" fillId="0" borderId="4" xfId="0" applyNumberFormat="1" applyFont="1" applyBorder="1" applyAlignment="1">
      <alignment horizontal="center"/>
    </xf>
    <xf numFmtId="0" fontId="16" fillId="0" borderId="4" xfId="0" applyFont="1" applyBorder="1" applyAlignment="1">
      <alignment horizontal="center"/>
    </xf>
    <xf numFmtId="0" fontId="16" fillId="0" borderId="4" xfId="0" applyFont="1" applyBorder="1"/>
    <xf numFmtId="0" fontId="20" fillId="9" borderId="0" xfId="0" applyFont="1" applyFill="1" applyAlignment="1">
      <alignment horizontal="center"/>
    </xf>
    <xf numFmtId="0" fontId="0" fillId="0" borderId="0" xfId="0" applyAlignment="1">
      <alignment wrapText="1"/>
    </xf>
    <xf numFmtId="164" fontId="4" fillId="6" borderId="4" xfId="0" applyNumberFormat="1" applyFont="1" applyFill="1" applyBorder="1" applyAlignment="1">
      <alignment horizontal="left" wrapText="1"/>
    </xf>
    <xf numFmtId="9" fontId="4" fillId="6" borderId="4" xfId="1" applyFont="1" applyFill="1" applyBorder="1" applyAlignment="1">
      <alignment horizontal="left" wrapText="1"/>
    </xf>
    <xf numFmtId="0" fontId="4" fillId="6" borderId="4" xfId="0" applyFont="1" applyFill="1" applyBorder="1" applyAlignment="1">
      <alignment wrapText="1"/>
    </xf>
    <xf numFmtId="0" fontId="4" fillId="6" borderId="4" xfId="0" applyFont="1" applyFill="1" applyBorder="1" applyAlignment="1">
      <alignment horizontal="left" wrapText="1"/>
    </xf>
    <xf numFmtId="0" fontId="9" fillId="6" borderId="4" xfId="0" applyFont="1" applyFill="1" applyBorder="1" applyAlignment="1">
      <alignment horizontal="center" vertical="top" wrapText="1"/>
    </xf>
    <xf numFmtId="0" fontId="9" fillId="6" borderId="4" xfId="0" applyFont="1" applyFill="1" applyBorder="1" applyAlignment="1">
      <alignment horizontal="left" wrapText="1"/>
    </xf>
    <xf numFmtId="0" fontId="4" fillId="0" borderId="0" xfId="0" applyFont="1" applyAlignment="1">
      <alignment wrapText="1"/>
    </xf>
    <xf numFmtId="0" fontId="4" fillId="0" borderId="5" xfId="0" applyFont="1" applyBorder="1" applyAlignment="1">
      <alignment horizontal="left" wrapText="1"/>
    </xf>
    <xf numFmtId="0" fontId="4" fillId="5" borderId="4" xfId="0" applyFont="1" applyFill="1" applyBorder="1" applyAlignment="1">
      <alignment wrapText="1"/>
    </xf>
    <xf numFmtId="0" fontId="4" fillId="5" borderId="4" xfId="0" applyFont="1" applyFill="1" applyBorder="1" applyAlignment="1">
      <alignment horizontal="left" wrapText="1"/>
    </xf>
    <xf numFmtId="0" fontId="8" fillId="5" borderId="4" xfId="0" applyFont="1" applyFill="1" applyBorder="1" applyAlignment="1">
      <alignment horizontal="center" vertical="top" wrapText="1"/>
    </xf>
    <xf numFmtId="0" fontId="8" fillId="5" borderId="4" xfId="0" applyFont="1" applyFill="1" applyBorder="1" applyAlignment="1">
      <alignment horizontal="left" vertical="top" wrapText="1"/>
    </xf>
    <xf numFmtId="0" fontId="4" fillId="0" borderId="4" xfId="0" applyFont="1" applyBorder="1" applyAlignment="1">
      <alignment horizontal="left" wrapText="1"/>
    </xf>
    <xf numFmtId="0" fontId="4" fillId="4" borderId="4" xfId="0" applyFont="1" applyFill="1" applyBorder="1" applyAlignment="1">
      <alignment wrapText="1"/>
    </xf>
    <xf numFmtId="9" fontId="4" fillId="4" borderId="6" xfId="1" applyFont="1" applyFill="1" applyBorder="1" applyAlignment="1">
      <alignment horizontal="left" wrapText="1"/>
    </xf>
    <xf numFmtId="9" fontId="4" fillId="4" borderId="7" xfId="1" applyFont="1" applyFill="1" applyBorder="1" applyAlignment="1">
      <alignment horizontal="left" wrapText="1"/>
    </xf>
    <xf numFmtId="0" fontId="5" fillId="4" borderId="6" xfId="0" applyFont="1" applyFill="1" applyBorder="1" applyAlignment="1">
      <alignment horizontal="left" wrapText="1"/>
    </xf>
    <xf numFmtId="0" fontId="4" fillId="4" borderId="6" xfId="0" applyFont="1" applyFill="1" applyBorder="1" applyAlignment="1">
      <alignment horizontal="left" wrapText="1"/>
    </xf>
    <xf numFmtId="0" fontId="4" fillId="4" borderId="7" xfId="0" applyFont="1" applyFill="1" applyBorder="1" applyAlignment="1">
      <alignment horizontal="left" wrapText="1"/>
    </xf>
    <xf numFmtId="0" fontId="5" fillId="4" borderId="6"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4" xfId="0" applyFont="1" applyFill="1" applyBorder="1" applyAlignment="1">
      <alignment horizontal="left" wrapText="1"/>
    </xf>
    <xf numFmtId="0" fontId="8" fillId="4" borderId="4" xfId="0" applyFont="1" applyFill="1" applyBorder="1" applyAlignment="1">
      <alignment horizontal="center" vertical="top" wrapText="1"/>
    </xf>
    <xf numFmtId="0" fontId="8" fillId="4" borderId="4" xfId="0" applyFont="1" applyFill="1" applyBorder="1" applyAlignment="1">
      <alignment horizontal="left" vertical="top" wrapText="1"/>
    </xf>
    <xf numFmtId="0" fontId="4" fillId="2" borderId="4" xfId="0" applyFont="1" applyFill="1" applyBorder="1" applyAlignment="1">
      <alignment horizontal="left" wrapText="1"/>
    </xf>
    <xf numFmtId="0" fontId="7" fillId="12" borderId="4" xfId="0" applyFont="1" applyFill="1" applyBorder="1" applyAlignment="1">
      <alignment vertical="top" wrapText="1"/>
    </xf>
    <xf numFmtId="0" fontId="21" fillId="12" borderId="4" xfId="0" applyFont="1" applyFill="1" applyBorder="1" applyAlignment="1">
      <alignment horizontal="left" vertical="top" wrapText="1"/>
    </xf>
    <xf numFmtId="0" fontId="8" fillId="12" borderId="4" xfId="0" applyFont="1" applyFill="1" applyBorder="1" applyAlignment="1">
      <alignment horizontal="center" vertical="top" wrapText="1"/>
    </xf>
    <xf numFmtId="0" fontId="8" fillId="12" borderId="4" xfId="0" applyFont="1" applyFill="1" applyBorder="1" applyAlignment="1">
      <alignment horizontal="left" vertical="top" wrapText="1"/>
    </xf>
    <xf numFmtId="0" fontId="4" fillId="0" borderId="0" xfId="0" applyFont="1"/>
    <xf numFmtId="0" fontId="0" fillId="0" borderId="8" xfId="0" applyBorder="1" applyAlignment="1">
      <alignment horizontal="center"/>
    </xf>
    <xf numFmtId="0" fontId="0" fillId="0" borderId="9" xfId="0" applyBorder="1"/>
    <xf numFmtId="0" fontId="0" fillId="0" borderId="10" xfId="0" applyBorder="1" applyAlignment="1">
      <alignment horizontal="center"/>
    </xf>
    <xf numFmtId="0" fontId="0" fillId="0" borderId="11" xfId="0" applyBorder="1" applyAlignment="1">
      <alignment horizontal="center"/>
    </xf>
    <xf numFmtId="0" fontId="0" fillId="0" borderId="4" xfId="0" applyBorder="1"/>
    <xf numFmtId="0" fontId="0" fillId="0" borderId="12" xfId="0" applyBorder="1" applyAlignment="1">
      <alignment horizontal="center"/>
    </xf>
    <xf numFmtId="0" fontId="0" fillId="13" borderId="11" xfId="0" applyFill="1" applyBorder="1" applyAlignment="1">
      <alignment horizontal="center"/>
    </xf>
    <xf numFmtId="0" fontId="0" fillId="13" borderId="4" xfId="0" applyFill="1" applyBorder="1"/>
    <xf numFmtId="0" fontId="0" fillId="13" borderId="12" xfId="0" applyFill="1" applyBorder="1" applyAlignment="1">
      <alignment horizontal="center"/>
    </xf>
    <xf numFmtId="0" fontId="0" fillId="13" borderId="13" xfId="0" applyFill="1" applyBorder="1" applyAlignment="1">
      <alignment horizontal="center"/>
    </xf>
    <xf numFmtId="0" fontId="0" fillId="13" borderId="14" xfId="0" applyFill="1" applyBorder="1"/>
    <xf numFmtId="0" fontId="0" fillId="13" borderId="15" xfId="0" applyFill="1" applyBorder="1" applyAlignment="1">
      <alignment horizontal="center"/>
    </xf>
    <xf numFmtId="0" fontId="0" fillId="14" borderId="16" xfId="0" applyFill="1" applyBorder="1" applyAlignment="1">
      <alignment horizontal="center"/>
    </xf>
    <xf numFmtId="0" fontId="0" fillId="14" borderId="17" xfId="0" applyFill="1" applyBorder="1" applyAlignment="1">
      <alignment horizontal="center"/>
    </xf>
    <xf numFmtId="0" fontId="0" fillId="14" borderId="18" xfId="0" applyFill="1" applyBorder="1" applyAlignment="1">
      <alignment horizontal="center"/>
    </xf>
    <xf numFmtId="0" fontId="0" fillId="0" borderId="0" xfId="0" applyAlignment="1">
      <alignment vertical="center"/>
    </xf>
    <xf numFmtId="0" fontId="3" fillId="0" borderId="4" xfId="0" applyFont="1" applyBorder="1" applyAlignment="1">
      <alignment horizontal="center"/>
    </xf>
    <xf numFmtId="0" fontId="0" fillId="0" borderId="4" xfId="0" applyBorder="1" applyAlignment="1">
      <alignment horizontal="center"/>
    </xf>
    <xf numFmtId="0" fontId="22" fillId="0" borderId="4" xfId="0" applyFont="1" applyBorder="1"/>
    <xf numFmtId="0" fontId="3" fillId="15" borderId="4" xfId="0" applyFont="1" applyFill="1" applyBorder="1" applyAlignment="1">
      <alignment horizontal="center" wrapText="1"/>
    </xf>
    <xf numFmtId="0" fontId="2" fillId="0" borderId="0" xfId="0" applyFont="1"/>
    <xf numFmtId="9" fontId="9" fillId="16" borderId="4" xfId="1" applyFont="1" applyFill="1" applyBorder="1" applyAlignment="1">
      <alignment horizontal="center"/>
    </xf>
    <xf numFmtId="0" fontId="9" fillId="16" borderId="4" xfId="0" applyFont="1" applyFill="1" applyBorder="1" applyAlignment="1">
      <alignment horizontal="center"/>
    </xf>
    <xf numFmtId="0" fontId="9" fillId="16" borderId="4" xfId="0" applyFont="1" applyFill="1" applyBorder="1" applyAlignment="1">
      <alignment horizontal="left"/>
    </xf>
    <xf numFmtId="0" fontId="9" fillId="16" borderId="4" xfId="0" applyFont="1" applyFill="1" applyBorder="1"/>
    <xf numFmtId="9" fontId="4" fillId="0" borderId="4" xfId="1" applyFont="1" applyBorder="1" applyAlignment="1">
      <alignment horizontal="center"/>
    </xf>
    <xf numFmtId="0" fontId="4" fillId="0" borderId="4" xfId="0" applyFont="1" applyBorder="1" applyAlignment="1">
      <alignment horizontal="left"/>
    </xf>
    <xf numFmtId="0" fontId="4" fillId="0" borderId="4" xfId="0" applyFont="1" applyBorder="1"/>
    <xf numFmtId="9" fontId="4" fillId="2" borderId="4" xfId="1" applyFont="1" applyFill="1" applyBorder="1" applyAlignment="1">
      <alignment horizontal="center"/>
    </xf>
    <xf numFmtId="0" fontId="4" fillId="2" borderId="4" xfId="0" applyFont="1" applyFill="1" applyBorder="1" applyAlignment="1">
      <alignment horizontal="left"/>
    </xf>
    <xf numFmtId="0" fontId="4" fillId="2" borderId="4" xfId="0" applyFont="1" applyFill="1" applyBorder="1"/>
    <xf numFmtId="9" fontId="6" fillId="7" borderId="4" xfId="1"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6" xfId="0" applyFont="1" applyFill="1" applyBorder="1" applyAlignment="1">
      <alignment horizontal="center" vertical="center" wrapText="1"/>
    </xf>
    <xf numFmtId="164" fontId="6" fillId="7" borderId="4" xfId="0" applyNumberFormat="1" applyFont="1" applyFill="1" applyBorder="1" applyAlignment="1">
      <alignment horizontal="center"/>
    </xf>
    <xf numFmtId="0" fontId="6" fillId="7" borderId="4" xfId="0" applyFont="1" applyFill="1" applyBorder="1" applyAlignment="1">
      <alignment horizontal="center"/>
    </xf>
    <xf numFmtId="0" fontId="6" fillId="7" borderId="4" xfId="0" applyFont="1" applyFill="1" applyBorder="1" applyAlignment="1">
      <alignment horizontal="left"/>
    </xf>
    <xf numFmtId="0" fontId="6" fillId="7" borderId="4" xfId="0" applyFont="1" applyFill="1" applyBorder="1"/>
    <xf numFmtId="164" fontId="9" fillId="16" borderId="4" xfId="0" applyNumberFormat="1" applyFont="1" applyFill="1" applyBorder="1" applyAlignment="1">
      <alignment horizontal="center"/>
    </xf>
    <xf numFmtId="164" fontId="4" fillId="0" borderId="4" xfId="0" applyNumberFormat="1" applyFont="1" applyBorder="1" applyAlignment="1">
      <alignment horizontal="center"/>
    </xf>
    <xf numFmtId="164" fontId="4" fillId="2" borderId="4" xfId="0" applyNumberFormat="1" applyFont="1" applyFill="1" applyBorder="1" applyAlignment="1">
      <alignment horizontal="center"/>
    </xf>
    <xf numFmtId="164" fontId="6" fillId="7" borderId="4" xfId="0" applyNumberFormat="1" applyFont="1" applyFill="1" applyBorder="1" applyAlignment="1">
      <alignment horizontal="center" vertical="center" wrapText="1"/>
    </xf>
    <xf numFmtId="0" fontId="6" fillId="7" borderId="4" xfId="0" applyFont="1" applyFill="1" applyBorder="1" applyAlignment="1">
      <alignment horizontal="left" vertical="center" wrapText="1"/>
    </xf>
    <xf numFmtId="0" fontId="23" fillId="0" borderId="0" xfId="2" applyAlignment="1">
      <alignment vertical="center"/>
    </xf>
    <xf numFmtId="0" fontId="8" fillId="14" borderId="4" xfId="0" applyFont="1" applyFill="1" applyBorder="1"/>
    <xf numFmtId="0" fontId="8" fillId="14" borderId="4" xfId="0" applyFont="1" applyFill="1" applyBorder="1" applyAlignment="1">
      <alignment horizontal="center"/>
    </xf>
    <xf numFmtId="9" fontId="8" fillId="14" borderId="4" xfId="1" applyFont="1" applyFill="1" applyBorder="1" applyAlignment="1">
      <alignment horizontal="center"/>
    </xf>
    <xf numFmtId="164" fontId="8" fillId="14" borderId="4" xfId="0" applyNumberFormat="1" applyFont="1" applyFill="1" applyBorder="1" applyAlignment="1">
      <alignment horizontal="center"/>
    </xf>
    <xf numFmtId="0" fontId="9" fillId="14" borderId="4" xfId="0" applyFont="1" applyFill="1" applyBorder="1" applyAlignment="1">
      <alignment horizontal="center"/>
    </xf>
    <xf numFmtId="0" fontId="4" fillId="3" borderId="4" xfId="0" applyFont="1" applyFill="1" applyBorder="1" applyAlignment="1">
      <alignment horizontal="center"/>
    </xf>
    <xf numFmtId="0" fontId="7" fillId="3" borderId="4" xfId="0" applyFont="1" applyFill="1" applyBorder="1" applyAlignment="1">
      <alignment horizontal="center"/>
    </xf>
    <xf numFmtId="164" fontId="7" fillId="3" borderId="4" xfId="0" applyNumberFormat="1" applyFont="1" applyFill="1" applyBorder="1" applyAlignment="1">
      <alignment horizontal="center"/>
    </xf>
    <xf numFmtId="9" fontId="7" fillId="3" borderId="4" xfId="1" applyFont="1" applyFill="1" applyBorder="1" applyAlignment="1">
      <alignment horizontal="center"/>
    </xf>
    <xf numFmtId="0" fontId="7" fillId="3" borderId="4" xfId="0" applyFont="1" applyFill="1" applyBorder="1"/>
    <xf numFmtId="9" fontId="10" fillId="17" borderId="0" xfId="1" applyFont="1" applyFill="1" applyAlignment="1">
      <alignment horizontal="center"/>
    </xf>
    <xf numFmtId="9" fontId="10" fillId="17" borderId="4" xfId="1" applyFont="1" applyFill="1" applyBorder="1" applyAlignment="1">
      <alignment horizontal="center"/>
    </xf>
    <xf numFmtId="9" fontId="11" fillId="17" borderId="4" xfId="1" applyFont="1" applyFill="1" applyBorder="1" applyAlignment="1">
      <alignment horizontal="center"/>
    </xf>
    <xf numFmtId="164" fontId="4" fillId="14" borderId="0" xfId="0" applyNumberFormat="1" applyFont="1" applyFill="1" applyAlignment="1">
      <alignment horizontal="center"/>
    </xf>
    <xf numFmtId="9" fontId="4" fillId="3" borderId="0" xfId="1" applyFont="1" applyFill="1" applyAlignment="1">
      <alignment horizontal="left"/>
    </xf>
    <xf numFmtId="0" fontId="14" fillId="0" borderId="0" xfId="0" applyFont="1" applyAlignment="1">
      <alignment horizontal="left" vertical="top" wrapText="1"/>
    </xf>
    <xf numFmtId="0" fontId="13" fillId="0" borderId="0" xfId="0" applyFont="1" applyAlignment="1">
      <alignment horizontal="left" vertical="top" wrapText="1"/>
    </xf>
    <xf numFmtId="0" fontId="8" fillId="0" borderId="4" xfId="0" applyFont="1" applyBorder="1"/>
    <xf numFmtId="0" fontId="8" fillId="0" borderId="4" xfId="0" applyFont="1" applyBorder="1" applyAlignment="1">
      <alignment horizontal="center"/>
    </xf>
    <xf numFmtId="9" fontId="8" fillId="0" borderId="4" xfId="1" applyFont="1" applyFill="1" applyBorder="1" applyAlignment="1">
      <alignment horizontal="center"/>
    </xf>
    <xf numFmtId="0" fontId="3" fillId="0" borderId="0" xfId="0" applyFont="1"/>
    <xf numFmtId="164" fontId="8" fillId="0" borderId="4" xfId="0" applyNumberFormat="1" applyFont="1" applyBorder="1" applyAlignment="1">
      <alignment horizontal="center"/>
    </xf>
    <xf numFmtId="0" fontId="9" fillId="0" borderId="4" xfId="0" applyFont="1" applyBorder="1" applyAlignment="1">
      <alignment horizontal="center"/>
    </xf>
    <xf numFmtId="0" fontId="8" fillId="18" borderId="4" xfId="0" applyFont="1" applyFill="1" applyBorder="1" applyAlignment="1">
      <alignment horizontal="center"/>
    </xf>
    <xf numFmtId="9" fontId="8" fillId="18" borderId="4" xfId="1"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298</xdr:row>
      <xdr:rowOff>142875</xdr:rowOff>
    </xdr:from>
    <xdr:ext cx="9432759" cy="5921532"/>
    <xdr:pic>
      <xdr:nvPicPr>
        <xdr:cNvPr id="2" name="Picture 1">
          <a:extLst>
            <a:ext uri="{FF2B5EF4-FFF2-40B4-BE49-F238E27FC236}">
              <a16:creationId xmlns:a16="http://schemas.microsoft.com/office/drawing/2014/main" id="{ED3A033B-5FCB-401A-9F26-455A424B6171}"/>
            </a:ext>
          </a:extLst>
        </xdr:cNvPr>
        <xdr:cNvPicPr>
          <a:picLocks noChangeAspect="1"/>
        </xdr:cNvPicPr>
      </xdr:nvPicPr>
      <xdr:blipFill>
        <a:blip xmlns:r="http://schemas.openxmlformats.org/officeDocument/2006/relationships" r:embed="rId1"/>
        <a:stretch>
          <a:fillRect/>
        </a:stretch>
      </xdr:blipFill>
      <xdr:spPr>
        <a:xfrm>
          <a:off x="0" y="56911875"/>
          <a:ext cx="9432759" cy="592153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19</xdr:row>
      <xdr:rowOff>0</xdr:rowOff>
    </xdr:from>
    <xdr:ext cx="9704762" cy="7552381"/>
    <xdr:pic>
      <xdr:nvPicPr>
        <xdr:cNvPr id="2" name="Picture 1">
          <a:extLst>
            <a:ext uri="{FF2B5EF4-FFF2-40B4-BE49-F238E27FC236}">
              <a16:creationId xmlns:a16="http://schemas.microsoft.com/office/drawing/2014/main" id="{6D9BC104-A365-4E24-99B8-014586FB7F77}"/>
            </a:ext>
          </a:extLst>
        </xdr:cNvPr>
        <xdr:cNvPicPr>
          <a:picLocks noChangeAspect="1"/>
        </xdr:cNvPicPr>
      </xdr:nvPicPr>
      <xdr:blipFill>
        <a:blip xmlns:r="http://schemas.openxmlformats.org/officeDocument/2006/relationships" r:embed="rId1"/>
        <a:stretch>
          <a:fillRect/>
        </a:stretch>
      </xdr:blipFill>
      <xdr:spPr>
        <a:xfrm>
          <a:off x="0" y="3619500"/>
          <a:ext cx="9704762" cy="755238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6609524" cy="4895238"/>
    <xdr:pic>
      <xdr:nvPicPr>
        <xdr:cNvPr id="2" name="Picture 1">
          <a:extLst>
            <a:ext uri="{FF2B5EF4-FFF2-40B4-BE49-F238E27FC236}">
              <a16:creationId xmlns:a16="http://schemas.microsoft.com/office/drawing/2014/main" id="{59B303E6-9467-4DD8-8508-AE3ADF92BE99}"/>
            </a:ext>
          </a:extLst>
        </xdr:cNvPr>
        <xdr:cNvPicPr>
          <a:picLocks noChangeAspect="1"/>
        </xdr:cNvPicPr>
      </xdr:nvPicPr>
      <xdr:blipFill>
        <a:blip xmlns:r="http://schemas.openxmlformats.org/officeDocument/2006/relationships" r:embed="rId1"/>
        <a:stretch>
          <a:fillRect/>
        </a:stretch>
      </xdr:blipFill>
      <xdr:spPr>
        <a:xfrm>
          <a:off x="0" y="1333500"/>
          <a:ext cx="6609524" cy="489523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donalds\Desktop\2021-RiskMAP\Tables\Reference\CL-FRA_Bldg_FIRM-Status_Freeboard_FloodStudies_2021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M_Status_Freeboard"/>
      <sheetName val="Flood Study Status"/>
      <sheetName val="Hazus Bldg. Year Built"/>
      <sheetName val="SPLIT COMMUNITIES"/>
      <sheetName val="Pre-FIRM &amp; Post-FIRM Div. Date"/>
    </sheetNames>
    <sheetDataSet>
      <sheetData sheetId="0">
        <row r="4">
          <cell r="K4"/>
        </row>
        <row r="5">
          <cell r="K5"/>
        </row>
        <row r="6">
          <cell r="K6"/>
        </row>
        <row r="7">
          <cell r="K7"/>
        </row>
        <row r="8">
          <cell r="K8" t="str">
            <v>Planned Flood Study</v>
          </cell>
        </row>
        <row r="9">
          <cell r="K9" t="str">
            <v>Planned Flood Study</v>
          </cell>
        </row>
        <row r="10">
          <cell r="K10"/>
        </row>
        <row r="11">
          <cell r="K11"/>
        </row>
        <row r="12">
          <cell r="K12"/>
        </row>
        <row r="13">
          <cell r="K13"/>
        </row>
        <row r="14">
          <cell r="K14"/>
        </row>
        <row r="15">
          <cell r="K15"/>
        </row>
        <row r="16">
          <cell r="K16"/>
        </row>
        <row r="17">
          <cell r="K17"/>
        </row>
        <row r="18">
          <cell r="K18"/>
        </row>
        <row r="19">
          <cell r="K19"/>
        </row>
        <row r="20">
          <cell r="K20"/>
        </row>
        <row r="21">
          <cell r="K21"/>
        </row>
        <row r="22">
          <cell r="K22"/>
        </row>
        <row r="23">
          <cell r="K23"/>
        </row>
        <row r="24">
          <cell r="K24"/>
        </row>
        <row r="25">
          <cell r="K25"/>
        </row>
        <row r="26">
          <cell r="K26" t="str">
            <v>Planned Flood Study</v>
          </cell>
        </row>
        <row r="27">
          <cell r="K27" t="str">
            <v>Planned Flood Study</v>
          </cell>
        </row>
        <row r="28">
          <cell r="K28" t="str">
            <v>Planned Flood Study</v>
          </cell>
        </row>
        <row r="29">
          <cell r="K29"/>
        </row>
        <row r="30">
          <cell r="K30"/>
        </row>
        <row r="31">
          <cell r="K31"/>
        </row>
        <row r="32">
          <cell r="K32"/>
        </row>
        <row r="33">
          <cell r="K33"/>
        </row>
        <row r="34">
          <cell r="K34"/>
        </row>
        <row r="35">
          <cell r="K35"/>
        </row>
        <row r="36">
          <cell r="K36"/>
        </row>
        <row r="37">
          <cell r="K37"/>
        </row>
        <row r="38">
          <cell r="K38"/>
        </row>
        <row r="39">
          <cell r="K39"/>
        </row>
        <row r="40">
          <cell r="K40"/>
        </row>
        <row r="41">
          <cell r="K41"/>
        </row>
        <row r="42">
          <cell r="K42"/>
        </row>
        <row r="43">
          <cell r="K43"/>
        </row>
        <row r="44">
          <cell r="K44"/>
        </row>
        <row r="45">
          <cell r="K45"/>
        </row>
        <row r="46">
          <cell r="K46"/>
        </row>
        <row r="47">
          <cell r="K47"/>
        </row>
        <row r="48">
          <cell r="K48"/>
        </row>
        <row r="49">
          <cell r="K49"/>
        </row>
        <row r="50">
          <cell r="K50"/>
        </row>
        <row r="51">
          <cell r="K51" t="str">
            <v>Countywide Flood Study</v>
          </cell>
        </row>
        <row r="52">
          <cell r="K52" t="str">
            <v>Countywide Flood Study (S)</v>
          </cell>
        </row>
        <row r="53">
          <cell r="K53" t="str">
            <v>Countywide Flood Study</v>
          </cell>
        </row>
        <row r="54">
          <cell r="K54" t="str">
            <v>Countywide Flood Study</v>
          </cell>
        </row>
        <row r="55">
          <cell r="K55" t="str">
            <v>Countywide Flood Study</v>
          </cell>
        </row>
        <row r="56">
          <cell r="K56" t="str">
            <v>Countywide Flood Study</v>
          </cell>
        </row>
        <row r="57">
          <cell r="K57" t="str">
            <v>Countywide Flood Study</v>
          </cell>
        </row>
        <row r="58">
          <cell r="K58" t="str">
            <v>Countywide Flood Study</v>
          </cell>
        </row>
        <row r="59">
          <cell r="K59" t="str">
            <v>Countywide Flood Study</v>
          </cell>
        </row>
        <row r="60">
          <cell r="K60" t="str">
            <v>Planned Flood Study</v>
          </cell>
        </row>
        <row r="61">
          <cell r="K61" t="str">
            <v>Planned Flood Study</v>
          </cell>
        </row>
        <row r="62">
          <cell r="K62" t="str">
            <v>Planned Flood Study</v>
          </cell>
        </row>
        <row r="63">
          <cell r="K63"/>
        </row>
        <row r="64">
          <cell r="K64"/>
        </row>
        <row r="65">
          <cell r="K65"/>
        </row>
        <row r="66">
          <cell r="K66" t="str">
            <v>Countywide Flood Study</v>
          </cell>
        </row>
        <row r="67">
          <cell r="K67" t="str">
            <v>Countywide Flood Study</v>
          </cell>
        </row>
        <row r="68">
          <cell r="K68" t="str">
            <v>Countywide Flood Study</v>
          </cell>
        </row>
        <row r="69">
          <cell r="K69"/>
        </row>
        <row r="70">
          <cell r="K70"/>
        </row>
        <row r="71">
          <cell r="K71"/>
        </row>
        <row r="72">
          <cell r="K72"/>
        </row>
        <row r="73">
          <cell r="K73"/>
        </row>
        <row r="74">
          <cell r="K74"/>
        </row>
        <row r="75">
          <cell r="K75"/>
        </row>
        <row r="76">
          <cell r="K76"/>
        </row>
        <row r="77">
          <cell r="K77"/>
        </row>
        <row r="78">
          <cell r="K78"/>
        </row>
        <row r="79">
          <cell r="K79"/>
        </row>
        <row r="80">
          <cell r="K80"/>
        </row>
        <row r="81">
          <cell r="K81"/>
        </row>
        <row r="82">
          <cell r="K82"/>
        </row>
        <row r="83">
          <cell r="K83" t="str">
            <v>Planned Flood Study</v>
          </cell>
        </row>
        <row r="84">
          <cell r="K84" t="str">
            <v>Planned Flood Study</v>
          </cell>
        </row>
        <row r="85">
          <cell r="K85" t="str">
            <v>Planned Flood Study</v>
          </cell>
        </row>
        <row r="86">
          <cell r="K86" t="str">
            <v>Planned Flood Study</v>
          </cell>
        </row>
        <row r="87">
          <cell r="K87" t="str">
            <v>Planned Flood Study</v>
          </cell>
        </row>
        <row r="88">
          <cell r="K88" t="str">
            <v>Planned Flood Study</v>
          </cell>
        </row>
        <row r="89">
          <cell r="K89" t="str">
            <v>2016 Flood Study (P)</v>
          </cell>
        </row>
        <row r="90">
          <cell r="K90"/>
        </row>
        <row r="91">
          <cell r="K91"/>
        </row>
        <row r="92">
          <cell r="K92"/>
        </row>
        <row r="93">
          <cell r="K93"/>
        </row>
        <row r="94">
          <cell r="K94" t="str">
            <v>2016 Flood Study</v>
          </cell>
        </row>
        <row r="95">
          <cell r="K95"/>
        </row>
        <row r="96">
          <cell r="K96"/>
        </row>
        <row r="97">
          <cell r="K97"/>
        </row>
        <row r="98">
          <cell r="K98"/>
        </row>
        <row r="99">
          <cell r="K99"/>
        </row>
        <row r="100">
          <cell r="K100"/>
        </row>
        <row r="101">
          <cell r="K101"/>
        </row>
        <row r="102">
          <cell r="K102"/>
        </row>
        <row r="103">
          <cell r="K103"/>
        </row>
        <row r="104">
          <cell r="K104"/>
        </row>
        <row r="105">
          <cell r="K105"/>
        </row>
        <row r="106">
          <cell r="K106"/>
        </row>
        <row r="107">
          <cell r="K107" t="str">
            <v>Planned Flood Study (P)</v>
          </cell>
        </row>
        <row r="108">
          <cell r="K108" t="str">
            <v>Planned Flood Study</v>
          </cell>
        </row>
        <row r="109">
          <cell r="K109" t="str">
            <v>Planned Flood Study</v>
          </cell>
        </row>
        <row r="110">
          <cell r="K110" t="str">
            <v>Planned Flood Study (P)</v>
          </cell>
        </row>
        <row r="111">
          <cell r="K111" t="str">
            <v>Planned Flood Study</v>
          </cell>
        </row>
        <row r="112">
          <cell r="K112" t="str">
            <v>Planned Flood Study</v>
          </cell>
        </row>
        <row r="113">
          <cell r="K113" t="str">
            <v>Planned Flood Study</v>
          </cell>
        </row>
        <row r="114">
          <cell r="K114" t="str">
            <v>Planned Flood Study</v>
          </cell>
        </row>
        <row r="115">
          <cell r="K115" t="str">
            <v>Planned Flood Study</v>
          </cell>
        </row>
        <row r="116">
          <cell r="K116"/>
        </row>
        <row r="117">
          <cell r="K117"/>
        </row>
        <row r="118">
          <cell r="K118"/>
        </row>
        <row r="119">
          <cell r="K119"/>
        </row>
        <row r="120">
          <cell r="K120"/>
        </row>
        <row r="121">
          <cell r="K121"/>
        </row>
        <row r="122">
          <cell r="K122"/>
        </row>
        <row r="123">
          <cell r="K123"/>
        </row>
        <row r="124">
          <cell r="K124"/>
        </row>
        <row r="125">
          <cell r="K125"/>
        </row>
        <row r="126">
          <cell r="K126"/>
        </row>
        <row r="127">
          <cell r="K127"/>
        </row>
        <row r="128">
          <cell r="K128"/>
        </row>
        <row r="129">
          <cell r="K129"/>
        </row>
        <row r="130">
          <cell r="K130"/>
        </row>
        <row r="131">
          <cell r="K131"/>
        </row>
        <row r="132">
          <cell r="K132"/>
        </row>
        <row r="133">
          <cell r="K133" t="str">
            <v>Planned Flood Study (P)</v>
          </cell>
        </row>
        <row r="134">
          <cell r="K134"/>
        </row>
        <row r="135">
          <cell r="K135" t="str">
            <v>Planned Flood Study (P)</v>
          </cell>
        </row>
        <row r="136">
          <cell r="K136"/>
        </row>
        <row r="137">
          <cell r="K137"/>
        </row>
        <row r="138">
          <cell r="K138"/>
        </row>
        <row r="139">
          <cell r="K139" t="str">
            <v>Planned Flood Study (P)</v>
          </cell>
        </row>
        <row r="140">
          <cell r="K140" t="str">
            <v>Planned Flood Study</v>
          </cell>
        </row>
        <row r="141">
          <cell r="K141" t="str">
            <v>Planned Flood Study</v>
          </cell>
        </row>
        <row r="142">
          <cell r="K142" t="str">
            <v>Planned Flood Study</v>
          </cell>
        </row>
        <row r="143">
          <cell r="K143" t="str">
            <v>Planned Flood Study</v>
          </cell>
        </row>
        <row r="144">
          <cell r="K144" t="str">
            <v>Planned Flood Study</v>
          </cell>
        </row>
        <row r="145">
          <cell r="K145" t="str">
            <v>Planned Flood Study</v>
          </cell>
        </row>
        <row r="146">
          <cell r="K146" t="str">
            <v>Planned Flood Study</v>
          </cell>
        </row>
        <row r="147">
          <cell r="K147" t="str">
            <v>Planned Flood Study</v>
          </cell>
        </row>
        <row r="148">
          <cell r="K148" t="str">
            <v>Planned Flood Study</v>
          </cell>
        </row>
        <row r="149">
          <cell r="K149" t="str">
            <v>Planned Flood Study</v>
          </cell>
        </row>
        <row r="150">
          <cell r="K150" t="str">
            <v>Planned Flood Study</v>
          </cell>
        </row>
        <row r="151">
          <cell r="K151" t="str">
            <v>Planned Flood Study</v>
          </cell>
        </row>
        <row r="152">
          <cell r="K152" t="str">
            <v>Planned Flood Study</v>
          </cell>
        </row>
        <row r="153">
          <cell r="K153" t="str">
            <v>Planned Flood Study</v>
          </cell>
        </row>
        <row r="154">
          <cell r="K154" t="str">
            <v>Planned Flood Study</v>
          </cell>
        </row>
        <row r="155">
          <cell r="K155" t="str">
            <v>Planned Flood Study</v>
          </cell>
        </row>
        <row r="156">
          <cell r="K156" t="str">
            <v>Planned Flood Study</v>
          </cell>
        </row>
        <row r="157">
          <cell r="K157" t="str">
            <v>Planned Flood Study</v>
          </cell>
        </row>
        <row r="158">
          <cell r="K158"/>
        </row>
        <row r="159">
          <cell r="K159"/>
        </row>
        <row r="160">
          <cell r="K160"/>
        </row>
        <row r="161">
          <cell r="K161"/>
        </row>
        <row r="162">
          <cell r="K162" t="str">
            <v>Planned Flood Study</v>
          </cell>
        </row>
        <row r="163">
          <cell r="K163" t="str">
            <v>Planned Flood Study</v>
          </cell>
        </row>
        <row r="164">
          <cell r="K164" t="str">
            <v>Planned Flood Study</v>
          </cell>
        </row>
        <row r="165">
          <cell r="K165" t="str">
            <v>Planned Flood Study</v>
          </cell>
        </row>
        <row r="166">
          <cell r="K166" t="str">
            <v>Planned Flood Study</v>
          </cell>
        </row>
        <row r="167">
          <cell r="K167" t="str">
            <v>Planned Flood Study</v>
          </cell>
        </row>
        <row r="168">
          <cell r="K168"/>
        </row>
        <row r="169">
          <cell r="K169"/>
        </row>
        <row r="170">
          <cell r="K170"/>
        </row>
        <row r="171">
          <cell r="K171"/>
        </row>
        <row r="172">
          <cell r="K172"/>
        </row>
        <row r="173">
          <cell r="K173"/>
        </row>
        <row r="174">
          <cell r="K174" t="str">
            <v>Countywide Flood Study</v>
          </cell>
        </row>
        <row r="175">
          <cell r="K175" t="str">
            <v>Countywide Flood Study</v>
          </cell>
        </row>
        <row r="176">
          <cell r="K176" t="str">
            <v>Countywide Flood Study</v>
          </cell>
        </row>
        <row r="177">
          <cell r="K177" t="str">
            <v>Countywide Flood Study</v>
          </cell>
        </row>
        <row r="178">
          <cell r="K178" t="str">
            <v>Planned Flood Study</v>
          </cell>
        </row>
        <row r="179">
          <cell r="K179" t="str">
            <v>Planned Flood Study</v>
          </cell>
        </row>
        <row r="180">
          <cell r="K180" t="str">
            <v>Planned Flood Study</v>
          </cell>
        </row>
        <row r="181">
          <cell r="K181" t="str">
            <v>2016 Flood Study (P)</v>
          </cell>
        </row>
        <row r="182">
          <cell r="K182" t="str">
            <v>2016 Flood Study</v>
          </cell>
        </row>
        <row r="183">
          <cell r="K183"/>
        </row>
        <row r="184">
          <cell r="K184"/>
        </row>
        <row r="185">
          <cell r="K185"/>
        </row>
        <row r="186">
          <cell r="K186"/>
        </row>
        <row r="187">
          <cell r="K187"/>
        </row>
        <row r="188">
          <cell r="K188"/>
        </row>
        <row r="189">
          <cell r="K189"/>
        </row>
        <row r="190">
          <cell r="K190"/>
        </row>
        <row r="191">
          <cell r="K191" t="str">
            <v>Countywide Flood Study</v>
          </cell>
        </row>
        <row r="192">
          <cell r="K192" t="str">
            <v>Countywide Flood Study</v>
          </cell>
        </row>
        <row r="193">
          <cell r="K193"/>
        </row>
        <row r="194">
          <cell r="K194"/>
        </row>
        <row r="195">
          <cell r="K195"/>
        </row>
        <row r="196">
          <cell r="K196" t="str">
            <v>Planned Flood Study</v>
          </cell>
        </row>
        <row r="197">
          <cell r="K197" t="str">
            <v>Planned Flood Study</v>
          </cell>
        </row>
        <row r="198">
          <cell r="K198" t="str">
            <v>Planned Flood Study</v>
          </cell>
        </row>
        <row r="199">
          <cell r="K199"/>
        </row>
        <row r="200">
          <cell r="K200"/>
        </row>
        <row r="201">
          <cell r="K201"/>
        </row>
        <row r="202">
          <cell r="K202"/>
        </row>
        <row r="203">
          <cell r="K203"/>
        </row>
        <row r="204">
          <cell r="K204"/>
        </row>
        <row r="205">
          <cell r="K205"/>
        </row>
        <row r="206">
          <cell r="K206"/>
        </row>
        <row r="207">
          <cell r="K207"/>
        </row>
        <row r="208">
          <cell r="K208"/>
        </row>
        <row r="209">
          <cell r="K209"/>
        </row>
        <row r="210">
          <cell r="K210"/>
        </row>
        <row r="211">
          <cell r="K211"/>
        </row>
        <row r="212">
          <cell r="K212"/>
        </row>
        <row r="213">
          <cell r="K213"/>
        </row>
        <row r="214">
          <cell r="K214"/>
        </row>
        <row r="215">
          <cell r="K215"/>
        </row>
        <row r="216">
          <cell r="K216"/>
        </row>
        <row r="217">
          <cell r="K217" t="str">
            <v>Planned Flood Study (P)</v>
          </cell>
        </row>
        <row r="218">
          <cell r="K218"/>
        </row>
        <row r="219">
          <cell r="K219"/>
        </row>
        <row r="220">
          <cell r="K220"/>
        </row>
        <row r="221">
          <cell r="K221" t="str">
            <v>Planned Flood Study</v>
          </cell>
        </row>
        <row r="222">
          <cell r="K222"/>
        </row>
        <row r="223">
          <cell r="K223"/>
        </row>
        <row r="224">
          <cell r="K224"/>
        </row>
        <row r="225">
          <cell r="K225"/>
        </row>
        <row r="226">
          <cell r="K226"/>
        </row>
        <row r="227">
          <cell r="K227"/>
        </row>
        <row r="228">
          <cell r="K228"/>
        </row>
        <row r="229">
          <cell r="K229"/>
        </row>
        <row r="230">
          <cell r="K230"/>
        </row>
        <row r="231">
          <cell r="K231"/>
        </row>
        <row r="232">
          <cell r="K232"/>
        </row>
        <row r="233">
          <cell r="K233"/>
        </row>
        <row r="234">
          <cell r="K234"/>
        </row>
        <row r="235">
          <cell r="K235"/>
        </row>
        <row r="236">
          <cell r="K236"/>
        </row>
        <row r="237">
          <cell r="K237"/>
        </row>
        <row r="238">
          <cell r="K238"/>
        </row>
        <row r="239">
          <cell r="K239"/>
        </row>
        <row r="240">
          <cell r="K240"/>
        </row>
        <row r="241">
          <cell r="K241" t="str">
            <v>Countywide Flood Study</v>
          </cell>
        </row>
        <row r="242">
          <cell r="K242" t="str">
            <v>Countywide Flood Study</v>
          </cell>
        </row>
        <row r="243">
          <cell r="K243"/>
        </row>
        <row r="244">
          <cell r="K244"/>
        </row>
        <row r="245">
          <cell r="K245"/>
        </row>
        <row r="246">
          <cell r="K246"/>
        </row>
        <row r="247">
          <cell r="K247"/>
        </row>
        <row r="248">
          <cell r="K248"/>
        </row>
        <row r="249">
          <cell r="K249"/>
        </row>
        <row r="250">
          <cell r="K250"/>
        </row>
        <row r="251">
          <cell r="K251"/>
        </row>
        <row r="252">
          <cell r="K252"/>
        </row>
        <row r="253">
          <cell r="K253"/>
        </row>
        <row r="254">
          <cell r="K254"/>
        </row>
        <row r="255">
          <cell r="K255"/>
        </row>
        <row r="256">
          <cell r="K256"/>
        </row>
        <row r="257">
          <cell r="K257"/>
        </row>
        <row r="258">
          <cell r="K258" t="str">
            <v>Planned Flood Study</v>
          </cell>
        </row>
        <row r="259">
          <cell r="K259" t="str">
            <v>Planned Flood Study</v>
          </cell>
        </row>
        <row r="260">
          <cell r="K260" t="str">
            <v>Planned Flood Study</v>
          </cell>
        </row>
        <row r="261">
          <cell r="K261" t="str">
            <v>Planned Flood Study</v>
          </cell>
        </row>
        <row r="262">
          <cell r="K262" t="str">
            <v>Planned Flood Study</v>
          </cell>
        </row>
        <row r="263">
          <cell r="K263" t="str">
            <v>Planned Flood Study</v>
          </cell>
        </row>
        <row r="264">
          <cell r="K264" t="str">
            <v>2016 Flood Study (P)</v>
          </cell>
        </row>
        <row r="265">
          <cell r="K265" t="str">
            <v>2016 Flood Study</v>
          </cell>
        </row>
        <row r="266">
          <cell r="K266"/>
        </row>
        <row r="267">
          <cell r="K267"/>
        </row>
        <row r="268">
          <cell r="K268"/>
        </row>
        <row r="269">
          <cell r="K269"/>
        </row>
        <row r="270">
          <cell r="K270"/>
        </row>
        <row r="271">
          <cell r="K271"/>
        </row>
        <row r="272">
          <cell r="K272"/>
        </row>
        <row r="273">
          <cell r="K273"/>
        </row>
        <row r="274">
          <cell r="K274"/>
        </row>
        <row r="275">
          <cell r="K275"/>
        </row>
        <row r="276">
          <cell r="K276"/>
        </row>
        <row r="277">
          <cell r="K277"/>
        </row>
        <row r="278">
          <cell r="K278"/>
        </row>
        <row r="279">
          <cell r="K279" t="str">
            <v>Planned Flood Study</v>
          </cell>
        </row>
        <row r="280">
          <cell r="K280" t="str">
            <v>Planned Flood Study</v>
          </cell>
        </row>
        <row r="281">
          <cell r="K281" t="str">
            <v>Planned Flood Study</v>
          </cell>
        </row>
        <row r="282">
          <cell r="K282" t="str">
            <v>Planned Flood Study</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hsdl.org/?abstract&amp;did=480580" TargetMode="External"/><Relationship Id="rId1" Type="http://schemas.openxmlformats.org/officeDocument/2006/relationships/hyperlink" Target="https://www.hsdl.org/?view&amp;did=480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O349"/>
  <sheetViews>
    <sheetView tabSelected="1" workbookViewId="0">
      <selection activeCell="N338" sqref="N338"/>
    </sheetView>
  </sheetViews>
  <sheetFormatPr defaultRowHeight="15" x14ac:dyDescent="0.25"/>
  <cols>
    <col min="1" max="1" width="9.140625" style="36"/>
    <col min="2" max="2" width="13.7109375" style="36" customWidth="1"/>
    <col min="3" max="4" width="9.140625" style="36"/>
    <col min="5" max="11" width="9.140625" style="37"/>
    <col min="12" max="17" width="9.140625" style="38"/>
    <col min="19" max="21" width="9.140625" style="37"/>
    <col min="23" max="24" width="9.140625" style="37"/>
    <col min="25" max="28" width="9.140625" style="39"/>
    <col min="29" max="30" width="9.140625" style="38"/>
    <col min="31" max="32" width="9.140625" style="39"/>
    <col min="34" max="41" width="9.140625" style="36"/>
  </cols>
  <sheetData>
    <row r="1" spans="1:41" x14ac:dyDescent="0.25">
      <c r="A1" s="1" t="s">
        <v>0</v>
      </c>
      <c r="B1"/>
      <c r="C1"/>
      <c r="D1"/>
      <c r="E1" s="2"/>
      <c r="F1" s="2"/>
      <c r="G1" s="2"/>
      <c r="H1" s="2"/>
      <c r="I1" s="2"/>
      <c r="J1" s="2"/>
      <c r="K1" s="2"/>
      <c r="L1" s="3"/>
      <c r="M1" s="3"/>
      <c r="N1" s="3"/>
      <c r="O1" s="3"/>
      <c r="P1" s="3"/>
      <c r="Q1" s="3"/>
      <c r="S1" s="2"/>
      <c r="T1" s="2"/>
      <c r="U1" s="2"/>
      <c r="W1" s="4" t="s">
        <v>1</v>
      </c>
      <c r="X1" s="4"/>
      <c r="Y1" s="5"/>
      <c r="Z1" s="173" t="s">
        <v>2</v>
      </c>
      <c r="AA1" s="6" t="s">
        <v>3</v>
      </c>
      <c r="AB1" s="5" t="s">
        <v>4</v>
      </c>
      <c r="AC1" s="174" t="s">
        <v>5</v>
      </c>
      <c r="AD1" s="7"/>
      <c r="AE1" s="8"/>
      <c r="AF1" s="8"/>
      <c r="AH1"/>
      <c r="AI1"/>
      <c r="AJ1"/>
      <c r="AK1"/>
      <c r="AL1"/>
      <c r="AM1"/>
      <c r="AN1"/>
      <c r="AO1"/>
    </row>
    <row r="2" spans="1:41" x14ac:dyDescent="0.25">
      <c r="A2" s="9">
        <v>44609</v>
      </c>
      <c r="B2"/>
      <c r="C2"/>
      <c r="D2"/>
      <c r="E2" s="2"/>
      <c r="F2" s="2"/>
      <c r="G2" s="2"/>
      <c r="H2" s="2"/>
      <c r="I2" s="2"/>
      <c r="J2" s="2"/>
      <c r="K2" s="2"/>
      <c r="L2" s="3"/>
      <c r="M2" s="3"/>
      <c r="N2" s="3"/>
      <c r="O2" s="3"/>
      <c r="P2" s="3"/>
      <c r="Q2" s="3"/>
      <c r="S2" s="2"/>
      <c r="T2" s="2"/>
      <c r="U2" s="2"/>
      <c r="W2" s="2"/>
      <c r="X2" s="2"/>
      <c r="Y2" s="8"/>
      <c r="Z2" s="8"/>
      <c r="AA2" s="8"/>
      <c r="AB2" s="8"/>
      <c r="AC2" s="3"/>
      <c r="AD2" s="3"/>
      <c r="AE2" s="8"/>
      <c r="AF2" s="8"/>
      <c r="AH2"/>
      <c r="AI2"/>
      <c r="AJ2"/>
      <c r="AK2"/>
      <c r="AL2"/>
      <c r="AM2"/>
      <c r="AN2"/>
      <c r="AO2"/>
    </row>
    <row r="3" spans="1:41" x14ac:dyDescent="0.25">
      <c r="A3" s="9"/>
      <c r="B3"/>
      <c r="C3"/>
      <c r="D3"/>
      <c r="E3" s="2"/>
      <c r="F3" s="2"/>
      <c r="G3" s="2"/>
      <c r="H3" s="2"/>
      <c r="I3" s="2"/>
      <c r="J3" s="2"/>
      <c r="K3" s="2"/>
      <c r="L3" s="3"/>
      <c r="M3" s="3"/>
      <c r="N3" s="3"/>
      <c r="O3" s="3"/>
      <c r="P3" s="3"/>
      <c r="Q3" s="3"/>
      <c r="S3" s="2"/>
      <c r="T3" s="2"/>
      <c r="U3" s="2"/>
      <c r="W3" s="2"/>
      <c r="X3" s="2"/>
      <c r="Y3" s="8"/>
      <c r="Z3" s="8"/>
      <c r="AA3" s="8"/>
      <c r="AB3" s="8"/>
      <c r="AC3" s="3"/>
      <c r="AD3" s="3"/>
      <c r="AE3" s="8"/>
      <c r="AF3" s="8"/>
      <c r="AH3"/>
      <c r="AI3"/>
      <c r="AJ3"/>
      <c r="AK3"/>
      <c r="AL3"/>
      <c r="AM3"/>
      <c r="AN3"/>
      <c r="AO3"/>
    </row>
    <row r="4" spans="1:41" x14ac:dyDescent="0.25">
      <c r="A4" s="2"/>
      <c r="B4"/>
      <c r="C4"/>
      <c r="D4"/>
      <c r="E4" s="2"/>
      <c r="F4" s="2"/>
      <c r="G4" s="2"/>
      <c r="H4" s="2"/>
      <c r="I4" s="2"/>
      <c r="J4" s="2"/>
      <c r="K4" s="2"/>
      <c r="L4" s="3"/>
      <c r="M4" s="3"/>
      <c r="N4" s="3" t="s">
        <v>6</v>
      </c>
      <c r="O4" s="3"/>
      <c r="P4" s="3"/>
      <c r="Q4" s="3"/>
      <c r="S4" s="2" t="s">
        <v>6</v>
      </c>
      <c r="T4" s="2" t="s">
        <v>6</v>
      </c>
      <c r="U4" s="2"/>
      <c r="W4" s="2"/>
      <c r="X4" s="2" t="s">
        <v>6</v>
      </c>
      <c r="Y4" s="8"/>
      <c r="Z4" s="8" t="s">
        <v>6</v>
      </c>
      <c r="AA4" s="8"/>
      <c r="AB4" s="8" t="s">
        <v>6</v>
      </c>
      <c r="AC4" s="3"/>
      <c r="AD4" s="3" t="s">
        <v>6</v>
      </c>
      <c r="AE4" s="8"/>
      <c r="AF4" s="8" t="s">
        <v>6</v>
      </c>
      <c r="AH4" s="2"/>
      <c r="AI4" s="2"/>
      <c r="AJ4" s="2"/>
      <c r="AK4" s="2"/>
      <c r="AL4" s="2"/>
      <c r="AM4" s="2"/>
      <c r="AN4" s="2"/>
      <c r="AO4" s="2"/>
    </row>
    <row r="5" spans="1:41" ht="108" x14ac:dyDescent="0.25">
      <c r="A5" s="10" t="s">
        <v>7</v>
      </c>
      <c r="B5" s="10" t="s">
        <v>8</v>
      </c>
      <c r="C5" s="10" t="s">
        <v>2</v>
      </c>
      <c r="D5" s="10" t="s">
        <v>9</v>
      </c>
      <c r="E5" s="10" t="s">
        <v>10</v>
      </c>
      <c r="F5" s="10" t="s">
        <v>11</v>
      </c>
      <c r="G5" s="11" t="s">
        <v>12</v>
      </c>
      <c r="H5" s="12" t="s">
        <v>13</v>
      </c>
      <c r="I5" s="13" t="s">
        <v>14</v>
      </c>
      <c r="J5" s="14" t="s">
        <v>15</v>
      </c>
      <c r="K5" s="14" t="s">
        <v>16</v>
      </c>
      <c r="L5" s="15" t="s">
        <v>17</v>
      </c>
      <c r="M5" s="16" t="s">
        <v>18</v>
      </c>
      <c r="N5" s="17" t="s">
        <v>19</v>
      </c>
      <c r="O5" s="18" t="s">
        <v>20</v>
      </c>
      <c r="P5" s="18" t="s">
        <v>21</v>
      </c>
      <c r="Q5" s="18" t="s">
        <v>22</v>
      </c>
      <c r="S5" s="19" t="s">
        <v>23</v>
      </c>
      <c r="T5" s="19" t="s">
        <v>24</v>
      </c>
      <c r="U5" s="19" t="s">
        <v>25</v>
      </c>
      <c r="W5" s="20" t="s">
        <v>26</v>
      </c>
      <c r="X5" s="20" t="s">
        <v>27</v>
      </c>
      <c r="Y5" s="21" t="s">
        <v>28</v>
      </c>
      <c r="Z5" s="21" t="s">
        <v>29</v>
      </c>
      <c r="AA5" s="21" t="s">
        <v>30</v>
      </c>
      <c r="AB5" s="21" t="s">
        <v>31</v>
      </c>
      <c r="AC5" s="22" t="s">
        <v>32</v>
      </c>
      <c r="AD5" s="22" t="s">
        <v>33</v>
      </c>
      <c r="AE5" s="21" t="s">
        <v>34</v>
      </c>
      <c r="AF5" s="21" t="s">
        <v>35</v>
      </c>
      <c r="AH5" s="23" t="s">
        <v>36</v>
      </c>
      <c r="AI5" s="23" t="s">
        <v>37</v>
      </c>
      <c r="AJ5" s="23" t="s">
        <v>38</v>
      </c>
      <c r="AK5" s="24" t="s">
        <v>39</v>
      </c>
      <c r="AL5" s="23" t="s">
        <v>40</v>
      </c>
      <c r="AM5" s="23" t="s">
        <v>41</v>
      </c>
      <c r="AN5" s="23" t="s">
        <v>42</v>
      </c>
      <c r="AO5" s="23" t="s">
        <v>43</v>
      </c>
    </row>
    <row r="6" spans="1:41" x14ac:dyDescent="0.25">
      <c r="A6" s="26" t="s">
        <v>7</v>
      </c>
      <c r="B6" s="25" t="s">
        <v>8</v>
      </c>
      <c r="C6" s="25" t="s">
        <v>2</v>
      </c>
      <c r="D6" s="25" t="s">
        <v>9</v>
      </c>
      <c r="E6" s="26" t="s">
        <v>10</v>
      </c>
      <c r="F6" s="26" t="s">
        <v>11</v>
      </c>
      <c r="G6" s="26" t="s">
        <v>12</v>
      </c>
      <c r="H6" s="26" t="s">
        <v>44</v>
      </c>
      <c r="I6" s="26" t="s">
        <v>14</v>
      </c>
      <c r="J6" s="26" t="s">
        <v>45</v>
      </c>
      <c r="K6" s="26" t="s">
        <v>46</v>
      </c>
      <c r="L6" s="27" t="s">
        <v>17</v>
      </c>
      <c r="M6" s="27" t="s">
        <v>47</v>
      </c>
      <c r="N6" s="27" t="s">
        <v>19</v>
      </c>
      <c r="O6" s="27" t="s">
        <v>20</v>
      </c>
      <c r="P6" s="27" t="s">
        <v>21</v>
      </c>
      <c r="Q6" s="27" t="s">
        <v>22</v>
      </c>
      <c r="S6" s="26" t="s">
        <v>48</v>
      </c>
      <c r="T6" s="26" t="s">
        <v>24</v>
      </c>
      <c r="U6" s="26" t="s">
        <v>25</v>
      </c>
      <c r="W6" s="26" t="s">
        <v>26</v>
      </c>
      <c r="X6" s="26" t="s">
        <v>27</v>
      </c>
      <c r="Y6" s="28" t="s">
        <v>28</v>
      </c>
      <c r="Z6" s="28" t="s">
        <v>29</v>
      </c>
      <c r="AA6" s="28" t="s">
        <v>30</v>
      </c>
      <c r="AB6" s="28" t="s">
        <v>31</v>
      </c>
      <c r="AC6" s="27" t="s">
        <v>32</v>
      </c>
      <c r="AD6" s="27" t="s">
        <v>33</v>
      </c>
      <c r="AE6" s="28" t="s">
        <v>34</v>
      </c>
      <c r="AF6" s="28" t="s">
        <v>35</v>
      </c>
      <c r="AH6" s="29" t="s">
        <v>36</v>
      </c>
      <c r="AI6" s="29" t="s">
        <v>37</v>
      </c>
      <c r="AJ6" s="29" t="s">
        <v>38</v>
      </c>
      <c r="AK6" s="29" t="s">
        <v>49</v>
      </c>
      <c r="AL6" s="29" t="s">
        <v>40</v>
      </c>
      <c r="AM6" s="29" t="s">
        <v>41</v>
      </c>
      <c r="AN6" s="29" t="s">
        <v>42</v>
      </c>
      <c r="AO6" s="29" t="s">
        <v>43</v>
      </c>
    </row>
    <row r="7" spans="1:41" hidden="1" x14ac:dyDescent="0.25">
      <c r="A7" s="30">
        <v>540001</v>
      </c>
      <c r="B7" s="30" t="s">
        <v>50</v>
      </c>
      <c r="C7" s="30" t="s">
        <v>51</v>
      </c>
      <c r="D7" s="30" t="s">
        <v>52</v>
      </c>
      <c r="E7" s="31">
        <v>7</v>
      </c>
      <c r="F7" s="31" t="s">
        <v>53</v>
      </c>
      <c r="G7" s="31">
        <v>259</v>
      </c>
      <c r="H7" s="31">
        <v>20</v>
      </c>
      <c r="I7" s="31">
        <v>82</v>
      </c>
      <c r="J7" s="31">
        <v>42</v>
      </c>
      <c r="K7" s="31">
        <v>403</v>
      </c>
      <c r="L7" s="32">
        <v>0.64300000000000002</v>
      </c>
      <c r="M7" s="32">
        <v>0.05</v>
      </c>
      <c r="N7" s="32">
        <v>0.20300000000000001</v>
      </c>
      <c r="O7" s="32">
        <v>0.104</v>
      </c>
      <c r="P7" s="32">
        <v>0.04</v>
      </c>
      <c r="Q7" s="32">
        <v>1.4999999999999999E-2</v>
      </c>
      <c r="S7" s="31">
        <v>124</v>
      </c>
      <c r="T7" s="31">
        <v>27</v>
      </c>
      <c r="U7" s="31">
        <v>22</v>
      </c>
      <c r="W7" s="31">
        <v>1963.1</v>
      </c>
      <c r="X7" s="31">
        <v>1968.5</v>
      </c>
      <c r="Y7" s="33">
        <v>49083.1</v>
      </c>
      <c r="Z7" s="33">
        <v>35600</v>
      </c>
      <c r="AA7" s="33">
        <v>47311.199999999997</v>
      </c>
      <c r="AB7" s="33">
        <v>34500</v>
      </c>
      <c r="AC7" s="32">
        <v>0.41099999999999998</v>
      </c>
      <c r="AD7" s="32">
        <v>0.41699999999999998</v>
      </c>
      <c r="AE7" s="33">
        <v>15583.3</v>
      </c>
      <c r="AF7" s="33">
        <v>11177.7</v>
      </c>
      <c r="AH7" s="34">
        <f t="shared" ref="AH7:AH70" si="0">IF($D7 = "SPLIT", "",COUNTIFS($D$7:$D$347,$D7,N$7:N$347,"&gt;"&amp;N7)+1)</f>
        <v>40</v>
      </c>
      <c r="AI7" s="34">
        <f t="shared" ref="AI7:AJ70" si="1">IF($D7 = "SPLIT", "",COUNTIFS($D$7:$D$347,$D7,S$7:S$347,"&gt;"&amp;S7)+1)</f>
        <v>28</v>
      </c>
      <c r="AJ7" s="34">
        <f t="shared" si="1"/>
        <v>27</v>
      </c>
      <c r="AK7" s="34">
        <f t="shared" ref="AK7:AK70" si="2">IF($D7 = "SPLIT", "",COUNTIFS($D$7:$D$347,$D7,X$7:X$347,"&lt;"&amp;X7)+1)</f>
        <v>18</v>
      </c>
      <c r="AL7" s="34">
        <f t="shared" ref="AL7:AL70" si="3">IF($D7 = "SPLIT", "",COUNTIFS($D$7:$D$347,$D7,Z$7:Z$347,"&gt;"&amp;Z7)+1)</f>
        <v>29</v>
      </c>
      <c r="AM7" s="34">
        <f t="shared" ref="AM7:AM70" si="4">IF($D7 = "SPLIT", "",COUNTIFS($D$7:$D$347,$D7,AB$7:AB$347,"&gt;"&amp;AB7)+1)</f>
        <v>28</v>
      </c>
      <c r="AN7" s="34">
        <f t="shared" ref="AN7:AN70" si="5">IF($D7 = "SPLIT", "",COUNTIFS($D$7:$D$347,$D7,AD$7:AD$347,"&gt;"&amp;AD7)+1)</f>
        <v>4</v>
      </c>
      <c r="AO7" s="34">
        <f t="shared" ref="AO7:AO70" si="6">IF($D7 = "SPLIT", "",COUNTIFS($D$7:$D$347,$D7,AF$7:AF$347,"&gt;"&amp;AF7)+1)</f>
        <v>9</v>
      </c>
    </row>
    <row r="8" spans="1:41" hidden="1" x14ac:dyDescent="0.25">
      <c r="A8" s="25">
        <v>540002</v>
      </c>
      <c r="B8" s="25" t="s">
        <v>54</v>
      </c>
      <c r="C8" s="25" t="s">
        <v>51</v>
      </c>
      <c r="D8" s="25" t="s">
        <v>55</v>
      </c>
      <c r="E8" s="26">
        <v>7</v>
      </c>
      <c r="F8" s="26" t="s">
        <v>56</v>
      </c>
      <c r="G8" s="26">
        <v>64</v>
      </c>
      <c r="H8" s="26">
        <v>0</v>
      </c>
      <c r="I8" s="26">
        <v>34</v>
      </c>
      <c r="J8" s="26">
        <v>4</v>
      </c>
      <c r="K8" s="26">
        <v>102</v>
      </c>
      <c r="L8" s="35">
        <v>0.627</v>
      </c>
      <c r="M8" s="35">
        <v>0</v>
      </c>
      <c r="N8" s="35">
        <v>0.33300000000000002</v>
      </c>
      <c r="O8" s="35">
        <v>3.9E-2</v>
      </c>
      <c r="P8" s="35">
        <v>0</v>
      </c>
      <c r="Q8" s="35">
        <v>0</v>
      </c>
      <c r="S8" s="26">
        <v>0</v>
      </c>
      <c r="T8" s="26">
        <v>0</v>
      </c>
      <c r="U8" s="26">
        <v>0</v>
      </c>
      <c r="W8" s="26">
        <v>1961.5</v>
      </c>
      <c r="X8" s="26">
        <v>1967</v>
      </c>
      <c r="Y8" s="28">
        <v>85974.6</v>
      </c>
      <c r="Z8" s="28">
        <v>52450</v>
      </c>
      <c r="AA8" s="28">
        <v>48934.6</v>
      </c>
      <c r="AB8" s="28">
        <v>44700</v>
      </c>
      <c r="AC8" s="35">
        <v>8.0000000000000002E-3</v>
      </c>
      <c r="AD8" s="35">
        <v>0.01</v>
      </c>
      <c r="AE8" s="28">
        <v>635</v>
      </c>
      <c r="AF8" s="28">
        <v>738</v>
      </c>
      <c r="AH8" s="29">
        <f>IF($D8 = "SPLIT", "",COUNTIFS($D$7:$D$347,$D8,N$7:N$347,"&gt;"&amp;N8)+1)</f>
        <v>31</v>
      </c>
      <c r="AI8" s="29">
        <f>IF($D8 = "SPLIT", "",COUNTIFS($D$7:$D$347,$D8,S$7:S$347,"&gt;"&amp;S8)+1)</f>
        <v>177</v>
      </c>
      <c r="AJ8" s="29">
        <f>IF($D8 = "SPLIT", "",COUNTIFS($D$7:$D$347,$D8,T$7:T$347,"&gt;"&amp;T8)+1)</f>
        <v>113</v>
      </c>
      <c r="AK8" s="29">
        <f>IF($D8 = "SPLIT", "",COUNTIFS($D$7:$D$347,$D8,X$7:X$347,"&lt;"&amp;X8)+1)</f>
        <v>157</v>
      </c>
      <c r="AL8" s="29">
        <f>IF($D8 = "SPLIT", "",COUNTIFS($D$7:$D$347,$D8,Z$7:Z$347,"&gt;"&amp;Z8)+1)</f>
        <v>67</v>
      </c>
      <c r="AM8" s="29">
        <f>IF($D8 = "SPLIT", "",COUNTIFS($D$7:$D$347,$D8,AB$7:AB$347,"&gt;"&amp;AB8)+1)</f>
        <v>78</v>
      </c>
      <c r="AN8" s="29">
        <f>IF($D8 = "SPLIT", "",COUNTIFS($D$7:$D$347,$D8,AD$7:AD$347,"&gt;"&amp;AD8)+1)</f>
        <v>196</v>
      </c>
      <c r="AO8" s="29">
        <f>IF($D8 = "SPLIT", "",COUNTIFS($D$7:$D$347,$D8,AF$7:AF$347,"&gt;"&amp;AF8)+1)</f>
        <v>191</v>
      </c>
    </row>
    <row r="9" spans="1:41" hidden="1" x14ac:dyDescent="0.25">
      <c r="A9" s="25">
        <v>540003</v>
      </c>
      <c r="B9" s="25" t="s">
        <v>57</v>
      </c>
      <c r="C9" s="25" t="s">
        <v>51</v>
      </c>
      <c r="D9" s="25" t="s">
        <v>55</v>
      </c>
      <c r="E9" s="26">
        <v>7</v>
      </c>
      <c r="F9" s="26" t="s">
        <v>58</v>
      </c>
      <c r="G9" s="26">
        <v>14</v>
      </c>
      <c r="H9" s="26">
        <v>2</v>
      </c>
      <c r="I9" s="26">
        <v>2</v>
      </c>
      <c r="J9" s="26">
        <v>0</v>
      </c>
      <c r="K9" s="26">
        <v>18</v>
      </c>
      <c r="L9" s="35">
        <v>0.77800000000000002</v>
      </c>
      <c r="M9" s="35">
        <v>0.111</v>
      </c>
      <c r="N9" s="35">
        <v>0.111</v>
      </c>
      <c r="O9" s="35">
        <v>0</v>
      </c>
      <c r="P9" s="35">
        <v>0</v>
      </c>
      <c r="Q9" s="35">
        <v>0</v>
      </c>
      <c r="S9" s="26">
        <v>4</v>
      </c>
      <c r="T9" s="26">
        <v>0</v>
      </c>
      <c r="U9" s="26">
        <v>0</v>
      </c>
      <c r="W9" s="26">
        <v>1948.9</v>
      </c>
      <c r="X9" s="26">
        <v>1930</v>
      </c>
      <c r="Y9" s="28">
        <v>59623.9</v>
      </c>
      <c r="Z9" s="28">
        <v>24850</v>
      </c>
      <c r="AA9" s="28">
        <v>26007.599999999999</v>
      </c>
      <c r="AB9" s="28">
        <v>24000</v>
      </c>
      <c r="AC9" s="35">
        <v>0.30499999999999999</v>
      </c>
      <c r="AD9" s="35">
        <v>0.222</v>
      </c>
      <c r="AE9" s="28">
        <v>5484.4</v>
      </c>
      <c r="AF9" s="28">
        <v>3434.3</v>
      </c>
      <c r="AH9" s="29">
        <f>IF($D9 = "SPLIT", "",COUNTIFS($D$7:$D$347,$D9,N$7:N$347,"&gt;"&amp;N9)+1)</f>
        <v>117</v>
      </c>
      <c r="AI9" s="29">
        <f>IF($D9 = "SPLIT", "",COUNTIFS($D$7:$D$347,$D9,S$7:S$347,"&gt;"&amp;S9)+1)</f>
        <v>119</v>
      </c>
      <c r="AJ9" s="29">
        <f>IF($D9 = "SPLIT", "",COUNTIFS($D$7:$D$347,$D9,T$7:T$347,"&gt;"&amp;T9)+1)</f>
        <v>113</v>
      </c>
      <c r="AK9" s="29">
        <f>IF($D9 = "SPLIT", "",COUNTIFS($D$7:$D$347,$D9,X$7:X$347,"&lt;"&amp;X9)+1)</f>
        <v>48</v>
      </c>
      <c r="AL9" s="29">
        <f>IF($D9 = "SPLIT", "",COUNTIFS($D$7:$D$347,$D9,Z$7:Z$347,"&gt;"&amp;Z9)+1)</f>
        <v>173</v>
      </c>
      <c r="AM9" s="29">
        <f>IF($D9 = "SPLIT", "",COUNTIFS($D$7:$D$347,$D9,AB$7:AB$347,"&gt;"&amp;AB9)+1)</f>
        <v>171</v>
      </c>
      <c r="AN9" s="29">
        <f>IF($D9 = "SPLIT", "",COUNTIFS($D$7:$D$347,$D9,AD$7:AD$347,"&gt;"&amp;AD9)+1)</f>
        <v>40</v>
      </c>
      <c r="AO9" s="29">
        <f>IF($D9 = "SPLIT", "",COUNTIFS($D$7:$D$347,$D9,AF$7:AF$347,"&gt;"&amp;AF9)+1)</f>
        <v>130</v>
      </c>
    </row>
    <row r="10" spans="1:41" hidden="1" x14ac:dyDescent="0.25">
      <c r="A10" s="25">
        <v>540004</v>
      </c>
      <c r="B10" s="25" t="s">
        <v>59</v>
      </c>
      <c r="C10" s="25" t="s">
        <v>51</v>
      </c>
      <c r="D10" s="25" t="s">
        <v>55</v>
      </c>
      <c r="E10" s="26">
        <v>7</v>
      </c>
      <c r="F10" s="26" t="s">
        <v>60</v>
      </c>
      <c r="G10" s="26">
        <v>272</v>
      </c>
      <c r="H10" s="26">
        <v>4</v>
      </c>
      <c r="I10" s="26">
        <v>30</v>
      </c>
      <c r="J10" s="26">
        <v>5</v>
      </c>
      <c r="K10" s="26">
        <v>311</v>
      </c>
      <c r="L10" s="35">
        <v>0.875</v>
      </c>
      <c r="M10" s="35">
        <v>1.2999999999999999E-2</v>
      </c>
      <c r="N10" s="35">
        <v>9.6000000000000002E-2</v>
      </c>
      <c r="O10" s="35">
        <v>1.6E-2</v>
      </c>
      <c r="P10" s="35">
        <v>6.0000000000000001E-3</v>
      </c>
      <c r="Q10" s="35">
        <v>3.0000000000000001E-3</v>
      </c>
      <c r="S10" s="26">
        <v>58</v>
      </c>
      <c r="T10" s="26">
        <v>6</v>
      </c>
      <c r="U10" s="26">
        <v>3</v>
      </c>
      <c r="W10" s="26">
        <v>1943.4</v>
      </c>
      <c r="X10" s="26">
        <v>1941</v>
      </c>
      <c r="Y10" s="28">
        <v>105074.3</v>
      </c>
      <c r="Z10" s="28">
        <v>51300</v>
      </c>
      <c r="AA10" s="28">
        <v>60930.3</v>
      </c>
      <c r="AB10" s="28">
        <v>46650</v>
      </c>
      <c r="AC10" s="35">
        <v>0.13</v>
      </c>
      <c r="AD10" s="35">
        <v>0.109</v>
      </c>
      <c r="AE10" s="28">
        <v>11407.6</v>
      </c>
      <c r="AF10" s="28">
        <v>5359.3</v>
      </c>
      <c r="AH10" s="29">
        <f>IF($D10 = "SPLIT", "",COUNTIFS($D$7:$D$347,$D10,N$7:N$347,"&gt;"&amp;N10)+1)</f>
        <v>135</v>
      </c>
      <c r="AI10" s="29">
        <f>IF($D10 = "SPLIT", "",COUNTIFS($D$7:$D$347,$D10,S$7:S$347,"&gt;"&amp;S10)+1)</f>
        <v>27</v>
      </c>
      <c r="AJ10" s="29">
        <f>IF($D10 = "SPLIT", "",COUNTIFS($D$7:$D$347,$D10,T$7:T$347,"&gt;"&amp;T10)+1)</f>
        <v>30</v>
      </c>
      <c r="AK10" s="29">
        <f>IF($D10 = "SPLIT", "",COUNTIFS($D$7:$D$347,$D10,X$7:X$347,"&lt;"&amp;X10)+1)</f>
        <v>90</v>
      </c>
      <c r="AL10" s="29">
        <f>IF($D10 = "SPLIT", "",COUNTIFS($D$7:$D$347,$D10,Z$7:Z$347,"&gt;"&amp;Z10)+1)</f>
        <v>73</v>
      </c>
      <c r="AM10" s="29">
        <f>IF($D10 = "SPLIT", "",COUNTIFS($D$7:$D$347,$D10,AB$7:AB$347,"&gt;"&amp;AB10)+1)</f>
        <v>72</v>
      </c>
      <c r="AN10" s="29">
        <f>IF($D10 = "SPLIT", "",COUNTIFS($D$7:$D$347,$D10,AD$7:AD$347,"&gt;"&amp;AD10)+1)</f>
        <v>111</v>
      </c>
      <c r="AO10" s="29">
        <f>IF($D10 = "SPLIT", "",COUNTIFS($D$7:$D$347,$D10,AF$7:AF$347,"&gt;"&amp;AF10)+1)</f>
        <v>85</v>
      </c>
    </row>
    <row r="11" spans="1:41" hidden="1" x14ac:dyDescent="0.25">
      <c r="A11" s="160"/>
      <c r="B11" s="160"/>
      <c r="C11" s="160" t="s">
        <v>51</v>
      </c>
      <c r="D11" s="160" t="s">
        <v>2</v>
      </c>
      <c r="E11" s="161">
        <v>7</v>
      </c>
      <c r="F11" s="161"/>
      <c r="G11" s="161">
        <v>609</v>
      </c>
      <c r="H11" s="161">
        <v>26</v>
      </c>
      <c r="I11" s="161">
        <v>148</v>
      </c>
      <c r="J11" s="161">
        <v>51</v>
      </c>
      <c r="K11" s="161">
        <v>834</v>
      </c>
      <c r="L11" s="162">
        <v>0.73</v>
      </c>
      <c r="M11" s="162">
        <v>3.1E-2</v>
      </c>
      <c r="N11" s="162">
        <v>0.17699999999999999</v>
      </c>
      <c r="O11" s="162">
        <v>6.0999999999999999E-2</v>
      </c>
      <c r="P11" s="162">
        <v>2.1999999999999999E-2</v>
      </c>
      <c r="Q11" s="162">
        <v>8.0000000000000002E-3</v>
      </c>
      <c r="S11" s="161">
        <v>186</v>
      </c>
      <c r="T11" s="161">
        <v>33</v>
      </c>
      <c r="U11" s="161">
        <v>25</v>
      </c>
      <c r="W11" s="161">
        <v>1954.7</v>
      </c>
      <c r="X11" s="161">
        <v>1954</v>
      </c>
      <c r="Y11" s="163">
        <v>74701.7</v>
      </c>
      <c r="Z11" s="163">
        <v>44150</v>
      </c>
      <c r="AA11" s="163">
        <v>53749.5</v>
      </c>
      <c r="AB11" s="163">
        <v>46650</v>
      </c>
      <c r="AC11" s="162">
        <v>0.26900000000000002</v>
      </c>
      <c r="AD11" s="162">
        <v>0.152</v>
      </c>
      <c r="AE11" s="163">
        <v>13166.1</v>
      </c>
      <c r="AF11" s="163">
        <v>7746.6</v>
      </c>
      <c r="AH11" s="164">
        <f>IF($D11 = "SPLIT", "",COUNTIFS($D$7:$D$347,$D11,N$7:N$347,"&gt;"&amp;N11)+1)</f>
        <v>37</v>
      </c>
      <c r="AI11" s="164">
        <f>IF($D11 = "SPLIT", "",COUNTIFS($D$7:$D$347,$D11,S$7:S$347,"&gt;"&amp;S11)+1)</f>
        <v>29</v>
      </c>
      <c r="AJ11" s="164">
        <f>IF($D11 = "SPLIT", "",COUNTIFS($D$7:$D$347,$D11,T$7:T$347,"&gt;"&amp;T11)+1)</f>
        <v>28</v>
      </c>
      <c r="AK11" s="164">
        <f>IF($D11 = "SPLIT", "",COUNTIFS($D$7:$D$347,$D11,X$7:X$347,"&lt;"&amp;X11)+1)</f>
        <v>9</v>
      </c>
      <c r="AL11" s="164">
        <f>IF($D11 = "SPLIT", "",COUNTIFS($D$7:$D$347,$D11,Z$7:Z$347,"&gt;"&amp;Z11)+1)</f>
        <v>23</v>
      </c>
      <c r="AM11" s="164">
        <f>IF($D11 = "SPLIT", "",COUNTIFS($D$7:$D$347,$D11,AB$7:AB$347,"&gt;"&amp;AB11)+1)</f>
        <v>28</v>
      </c>
      <c r="AN11" s="164">
        <f>IF($D11 = "SPLIT", "",COUNTIFS($D$7:$D$347,$D11,AD$7:AD$347,"&gt;"&amp;AD11)+1)</f>
        <v>31</v>
      </c>
      <c r="AO11" s="164">
        <f>IF($D11 = "SPLIT", "",COUNTIFS($D$7:$D$347,$D11,AF$7:AF$347,"&gt;"&amp;AF11)+1)</f>
        <v>16</v>
      </c>
    </row>
    <row r="12" spans="1:41" hidden="1" x14ac:dyDescent="0.25">
      <c r="A12" s="30">
        <v>540282</v>
      </c>
      <c r="B12" s="30" t="s">
        <v>61</v>
      </c>
      <c r="C12" s="30" t="s">
        <v>62</v>
      </c>
      <c r="D12" s="30" t="s">
        <v>52</v>
      </c>
      <c r="E12" s="31">
        <v>9</v>
      </c>
      <c r="F12" s="31" t="s">
        <v>63</v>
      </c>
      <c r="G12" s="31">
        <v>367</v>
      </c>
      <c r="H12" s="31">
        <v>33</v>
      </c>
      <c r="I12" s="31">
        <v>174</v>
      </c>
      <c r="J12" s="31">
        <v>56</v>
      </c>
      <c r="K12" s="31">
        <v>630</v>
      </c>
      <c r="L12" s="32">
        <v>0.58299999999999996</v>
      </c>
      <c r="M12" s="32">
        <v>5.1999999999999998E-2</v>
      </c>
      <c r="N12" s="32">
        <v>0.27600000000000002</v>
      </c>
      <c r="O12" s="32">
        <v>8.8999999999999996E-2</v>
      </c>
      <c r="P12" s="32">
        <v>8.6999999999999994E-2</v>
      </c>
      <c r="Q12" s="32">
        <v>0</v>
      </c>
      <c r="S12" s="31">
        <v>184</v>
      </c>
      <c r="T12" s="31">
        <v>27</v>
      </c>
      <c r="U12" s="31">
        <v>7</v>
      </c>
      <c r="W12" s="31">
        <v>1969.7</v>
      </c>
      <c r="X12" s="31">
        <v>1978</v>
      </c>
      <c r="Y12" s="33">
        <v>92363.5</v>
      </c>
      <c r="Z12" s="33">
        <v>58250</v>
      </c>
      <c r="AA12" s="33">
        <v>82954.600000000006</v>
      </c>
      <c r="AB12" s="33">
        <v>56900</v>
      </c>
      <c r="AC12" s="32">
        <v>0.495</v>
      </c>
      <c r="AD12" s="32">
        <v>0.6</v>
      </c>
      <c r="AE12" s="33">
        <v>22897.200000000001</v>
      </c>
      <c r="AF12" s="33">
        <v>14877.2</v>
      </c>
      <c r="AH12" s="34">
        <f>IF($D12 = "SPLIT", "",COUNTIFS($D$7:$D$347,$D12,N$7:N$347,"&gt;"&amp;N12)+1)</f>
        <v>19</v>
      </c>
      <c r="AI12" s="34">
        <f>IF($D12 = "SPLIT", "",COUNTIFS($D$7:$D$347,$D12,S$7:S$347,"&gt;"&amp;S12)+1)</f>
        <v>21</v>
      </c>
      <c r="AJ12" s="34">
        <f>IF($D12 = "SPLIT", "",COUNTIFS($D$7:$D$347,$D12,T$7:T$347,"&gt;"&amp;T12)+1)</f>
        <v>27</v>
      </c>
      <c r="AK12" s="34">
        <f>IF($D12 = "SPLIT", "",COUNTIFS($D$7:$D$347,$D12,X$7:X$347,"&lt;"&amp;X12)+1)</f>
        <v>46</v>
      </c>
      <c r="AL12" s="34">
        <f>IF($D12 = "SPLIT", "",COUNTIFS($D$7:$D$347,$D12,Z$7:Z$347,"&gt;"&amp;Z12)+1)</f>
        <v>6</v>
      </c>
      <c r="AM12" s="34">
        <f>IF($D12 = "SPLIT", "",COUNTIFS($D$7:$D$347,$D12,AB$7:AB$347,"&gt;"&amp;AB12)+1)</f>
        <v>5</v>
      </c>
      <c r="AN12" s="34">
        <f>IF($D12 = "SPLIT", "",COUNTIFS($D$7:$D$347,$D12,AD$7:AD$347,"&gt;"&amp;AD12)+1)</f>
        <v>1</v>
      </c>
      <c r="AO12" s="34">
        <f>IF($D12 = "SPLIT", "",COUNTIFS($D$7:$D$347,$D12,AF$7:AF$347,"&gt;"&amp;AF12)+1)</f>
        <v>4</v>
      </c>
    </row>
    <row r="13" spans="1:41" hidden="1" x14ac:dyDescent="0.25">
      <c r="A13" s="25">
        <v>540006</v>
      </c>
      <c r="B13" s="25" t="s">
        <v>64</v>
      </c>
      <c r="C13" s="25" t="s">
        <v>62</v>
      </c>
      <c r="D13" s="25" t="s">
        <v>55</v>
      </c>
      <c r="E13" s="26">
        <v>9</v>
      </c>
      <c r="F13" s="26" t="s">
        <v>65</v>
      </c>
      <c r="G13" s="26">
        <v>59</v>
      </c>
      <c r="H13" s="26">
        <v>1</v>
      </c>
      <c r="I13" s="26">
        <v>15</v>
      </c>
      <c r="J13" s="26">
        <v>0</v>
      </c>
      <c r="K13" s="26">
        <v>75</v>
      </c>
      <c r="L13" s="35">
        <v>0.78700000000000003</v>
      </c>
      <c r="M13" s="35">
        <v>1.2999999999999999E-2</v>
      </c>
      <c r="N13" s="35">
        <v>0.2</v>
      </c>
      <c r="O13" s="35">
        <v>0</v>
      </c>
      <c r="P13" s="35">
        <v>0</v>
      </c>
      <c r="Q13" s="35">
        <v>0</v>
      </c>
      <c r="S13" s="26">
        <v>8</v>
      </c>
      <c r="T13" s="26">
        <v>0</v>
      </c>
      <c r="U13" s="26">
        <v>0</v>
      </c>
      <c r="W13" s="26">
        <v>1961.9</v>
      </c>
      <c r="X13" s="26">
        <v>1970</v>
      </c>
      <c r="Y13" s="28">
        <v>830991.4</v>
      </c>
      <c r="Z13" s="28">
        <v>103200</v>
      </c>
      <c r="AA13" s="28">
        <v>120079.5</v>
      </c>
      <c r="AB13" s="28">
        <v>103200</v>
      </c>
      <c r="AC13" s="35">
        <v>9.7000000000000003E-2</v>
      </c>
      <c r="AD13" s="35">
        <v>9.1999999999999998E-2</v>
      </c>
      <c r="AE13" s="28">
        <v>486373.4</v>
      </c>
      <c r="AF13" s="28">
        <v>3955.9</v>
      </c>
      <c r="AH13" s="29">
        <f>IF($D13 = "SPLIT", "",COUNTIFS($D$7:$D$347,$D13,N$7:N$347,"&gt;"&amp;N13)+1)</f>
        <v>66</v>
      </c>
      <c r="AI13" s="29">
        <f>IF($D13 = "SPLIT", "",COUNTIFS($D$7:$D$347,$D13,S$7:S$347,"&gt;"&amp;S13)+1)</f>
        <v>102</v>
      </c>
      <c r="AJ13" s="29">
        <f>IF($D13 = "SPLIT", "",COUNTIFS($D$7:$D$347,$D13,T$7:T$347,"&gt;"&amp;T13)+1)</f>
        <v>113</v>
      </c>
      <c r="AK13" s="29">
        <f>IF($D13 = "SPLIT", "",COUNTIFS($D$7:$D$347,$D13,X$7:X$347,"&lt;"&amp;X13)+1)</f>
        <v>163</v>
      </c>
      <c r="AL13" s="29">
        <f>IF($D13 = "SPLIT", "",COUNTIFS($D$7:$D$347,$D13,Z$7:Z$347,"&gt;"&amp;Z13)+1)</f>
        <v>13</v>
      </c>
      <c r="AM13" s="29">
        <f>IF($D13 = "SPLIT", "",COUNTIFS($D$7:$D$347,$D13,AB$7:AB$347,"&gt;"&amp;AB13)+1)</f>
        <v>8</v>
      </c>
      <c r="AN13" s="29">
        <f>IF($D13 = "SPLIT", "",COUNTIFS($D$7:$D$347,$D13,AD$7:AD$347,"&gt;"&amp;AD13)+1)</f>
        <v>127</v>
      </c>
      <c r="AO13" s="29">
        <f>IF($D13 = "SPLIT", "",COUNTIFS($D$7:$D$347,$D13,AF$7:AF$347,"&gt;"&amp;AF13)+1)</f>
        <v>117</v>
      </c>
    </row>
    <row r="14" spans="1:41" hidden="1" x14ac:dyDescent="0.25">
      <c r="A14" s="160"/>
      <c r="B14" s="160"/>
      <c r="C14" s="160" t="s">
        <v>62</v>
      </c>
      <c r="D14" s="160" t="s">
        <v>2</v>
      </c>
      <c r="E14" s="161">
        <v>9</v>
      </c>
      <c r="F14" s="161"/>
      <c r="G14" s="161">
        <v>426</v>
      </c>
      <c r="H14" s="161">
        <v>34</v>
      </c>
      <c r="I14" s="161">
        <v>189</v>
      </c>
      <c r="J14" s="161">
        <v>56</v>
      </c>
      <c r="K14" s="161">
        <v>705</v>
      </c>
      <c r="L14" s="162">
        <v>0.60399999999999998</v>
      </c>
      <c r="M14" s="162">
        <v>4.8000000000000001E-2</v>
      </c>
      <c r="N14" s="162">
        <v>0.26800000000000002</v>
      </c>
      <c r="O14" s="162">
        <v>7.9000000000000001E-2</v>
      </c>
      <c r="P14" s="162">
        <v>7.8E-2</v>
      </c>
      <c r="Q14" s="162">
        <v>0</v>
      </c>
      <c r="S14" s="161">
        <v>192</v>
      </c>
      <c r="T14" s="161">
        <v>27</v>
      </c>
      <c r="U14" s="161">
        <v>7</v>
      </c>
      <c r="W14" s="161">
        <v>1968.8</v>
      </c>
      <c r="X14" s="161">
        <v>1977</v>
      </c>
      <c r="Y14" s="163">
        <v>170940.9</v>
      </c>
      <c r="Z14" s="163">
        <v>62700</v>
      </c>
      <c r="AA14" s="163">
        <v>112896.8</v>
      </c>
      <c r="AB14" s="163">
        <v>95850</v>
      </c>
      <c r="AC14" s="162">
        <v>0.45300000000000001</v>
      </c>
      <c r="AD14" s="162">
        <v>0.48099999999999998</v>
      </c>
      <c r="AE14" s="163">
        <v>71772.800000000003</v>
      </c>
      <c r="AF14" s="163">
        <v>13560</v>
      </c>
      <c r="AH14" s="164">
        <f>IF($D14 = "SPLIT", "",COUNTIFS($D$7:$D$347,$D14,N$7:N$347,"&gt;"&amp;N14)+1)</f>
        <v>15</v>
      </c>
      <c r="AI14" s="164">
        <f>IF($D14 = "SPLIT", "",COUNTIFS($D$7:$D$347,$D14,S$7:S$347,"&gt;"&amp;S14)+1)</f>
        <v>28</v>
      </c>
      <c r="AJ14" s="164">
        <f>IF($D14 = "SPLIT", "",COUNTIFS($D$7:$D$347,$D14,T$7:T$347,"&gt;"&amp;T14)+1)</f>
        <v>33</v>
      </c>
      <c r="AK14" s="164">
        <f>IF($D14 = "SPLIT", "",COUNTIFS($D$7:$D$347,$D14,X$7:X$347,"&lt;"&amp;X14)+1)</f>
        <v>47</v>
      </c>
      <c r="AL14" s="164">
        <f>IF($D14 = "SPLIT", "",COUNTIFS($D$7:$D$347,$D14,Z$7:Z$347,"&gt;"&amp;Z14)+1)</f>
        <v>6</v>
      </c>
      <c r="AM14" s="164">
        <f>IF($D14 = "SPLIT", "",COUNTIFS($D$7:$D$347,$D14,AB$7:AB$347,"&gt;"&amp;AB14)+1)</f>
        <v>2</v>
      </c>
      <c r="AN14" s="164">
        <f>IF($D14 = "SPLIT", "",COUNTIFS($D$7:$D$347,$D14,AD$7:AD$347,"&gt;"&amp;AD14)+1)</f>
        <v>1</v>
      </c>
      <c r="AO14" s="164">
        <f>IF($D14 = "SPLIT", "",COUNTIFS($D$7:$D$347,$D14,AF$7:AF$347,"&gt;"&amp;AF14)+1)</f>
        <v>5</v>
      </c>
    </row>
    <row r="15" spans="1:41" hidden="1" x14ac:dyDescent="0.25">
      <c r="A15" s="30">
        <v>540007</v>
      </c>
      <c r="B15" s="30" t="s">
        <v>66</v>
      </c>
      <c r="C15" s="30" t="s">
        <v>67</v>
      </c>
      <c r="D15" s="30" t="s">
        <v>52</v>
      </c>
      <c r="E15" s="31">
        <v>3</v>
      </c>
      <c r="F15" s="31" t="s">
        <v>68</v>
      </c>
      <c r="G15" s="31">
        <v>2194</v>
      </c>
      <c r="H15" s="31">
        <v>147</v>
      </c>
      <c r="I15" s="31">
        <v>611</v>
      </c>
      <c r="J15" s="31">
        <v>352</v>
      </c>
      <c r="K15" s="31">
        <v>3304</v>
      </c>
      <c r="L15" s="32">
        <v>0.66400000000000003</v>
      </c>
      <c r="M15" s="32">
        <v>4.3999999999999997E-2</v>
      </c>
      <c r="N15" s="32">
        <v>0.185</v>
      </c>
      <c r="O15" s="32">
        <v>0.107</v>
      </c>
      <c r="P15" s="32">
        <v>9.0999999999999998E-2</v>
      </c>
      <c r="Q15" s="32">
        <v>6.0000000000000001E-3</v>
      </c>
      <c r="S15" s="31">
        <v>667</v>
      </c>
      <c r="T15" s="31">
        <v>112</v>
      </c>
      <c r="U15" s="31">
        <v>66</v>
      </c>
      <c r="W15" s="31">
        <v>1967.2</v>
      </c>
      <c r="X15" s="31">
        <v>1973</v>
      </c>
      <c r="Y15" s="33">
        <v>54481.1</v>
      </c>
      <c r="Z15" s="33">
        <v>29750</v>
      </c>
      <c r="AA15" s="33">
        <v>39928.1</v>
      </c>
      <c r="AB15" s="33">
        <v>28800</v>
      </c>
      <c r="AC15" s="32">
        <v>0.29299999999999998</v>
      </c>
      <c r="AD15" s="32">
        <v>0.20399999999999999</v>
      </c>
      <c r="AE15" s="33">
        <v>11249.7</v>
      </c>
      <c r="AF15" s="33">
        <v>6731.4</v>
      </c>
      <c r="AH15" s="34">
        <f>IF($D15 = "SPLIT", "",COUNTIFS($D$7:$D$347,$D15,N$7:N$347,"&gt;"&amp;N15)+1)</f>
        <v>42</v>
      </c>
      <c r="AI15" s="34">
        <f>IF($D15 = "SPLIT", "",COUNTIFS($D$7:$D$347,$D15,S$7:S$347,"&gt;"&amp;S15)+1)</f>
        <v>3</v>
      </c>
      <c r="AJ15" s="34">
        <f>IF($D15 = "SPLIT", "",COUNTIFS($D$7:$D$347,$D15,T$7:T$347,"&gt;"&amp;T15)+1)</f>
        <v>6</v>
      </c>
      <c r="AK15" s="34">
        <f>IF($D15 = "SPLIT", "",COUNTIFS($D$7:$D$347,$D15,X$7:X$347,"&lt;"&amp;X15)+1)</f>
        <v>30</v>
      </c>
      <c r="AL15" s="34">
        <f>IF($D15 = "SPLIT", "",COUNTIFS($D$7:$D$347,$D15,Z$7:Z$347,"&gt;"&amp;Z15)+1)</f>
        <v>40</v>
      </c>
      <c r="AM15" s="34">
        <f>IF($D15 = "SPLIT", "",COUNTIFS($D$7:$D$347,$D15,AB$7:AB$347,"&gt;"&amp;AB15)+1)</f>
        <v>38</v>
      </c>
      <c r="AN15" s="34">
        <f>IF($D15 = "SPLIT", "",COUNTIFS($D$7:$D$347,$D15,AD$7:AD$347,"&gt;"&amp;AD15)+1)</f>
        <v>21</v>
      </c>
      <c r="AO15" s="34">
        <f>IF($D15 = "SPLIT", "",COUNTIFS($D$7:$D$347,$D15,AF$7:AF$347,"&gt;"&amp;AF15)+1)</f>
        <v>25</v>
      </c>
    </row>
    <row r="16" spans="1:41" hidden="1" x14ac:dyDescent="0.25">
      <c r="A16" s="25">
        <v>540230</v>
      </c>
      <c r="B16" s="25" t="s">
        <v>69</v>
      </c>
      <c r="C16" s="25" t="s">
        <v>67</v>
      </c>
      <c r="D16" s="25" t="s">
        <v>55</v>
      </c>
      <c r="E16" s="26">
        <v>3</v>
      </c>
      <c r="F16" s="26" t="s">
        <v>68</v>
      </c>
      <c r="G16" s="26">
        <v>105</v>
      </c>
      <c r="H16" s="26">
        <v>0</v>
      </c>
      <c r="I16" s="26">
        <v>22</v>
      </c>
      <c r="J16" s="26">
        <v>7</v>
      </c>
      <c r="K16" s="26">
        <v>134</v>
      </c>
      <c r="L16" s="35">
        <v>0.78400000000000003</v>
      </c>
      <c r="M16" s="35">
        <v>0</v>
      </c>
      <c r="N16" s="35">
        <v>0.16400000000000001</v>
      </c>
      <c r="O16" s="35">
        <v>5.1999999999999998E-2</v>
      </c>
      <c r="P16" s="35">
        <v>3.6999999999999998E-2</v>
      </c>
      <c r="Q16" s="35">
        <v>7.0000000000000001E-3</v>
      </c>
      <c r="S16" s="26">
        <v>66</v>
      </c>
      <c r="T16" s="26">
        <v>7</v>
      </c>
      <c r="U16" s="26">
        <v>2</v>
      </c>
      <c r="W16" s="26">
        <v>1963</v>
      </c>
      <c r="X16" s="26">
        <v>1973</v>
      </c>
      <c r="Y16" s="28">
        <v>101894.3</v>
      </c>
      <c r="Z16" s="28">
        <v>55700</v>
      </c>
      <c r="AA16" s="28">
        <v>69834.600000000006</v>
      </c>
      <c r="AB16" s="28">
        <v>41250</v>
      </c>
      <c r="AC16" s="35">
        <v>0.29599999999999999</v>
      </c>
      <c r="AD16" s="35">
        <v>0.19700000000000001</v>
      </c>
      <c r="AE16" s="28">
        <v>14644.9</v>
      </c>
      <c r="AF16" s="28">
        <v>11777.4</v>
      </c>
      <c r="AH16" s="29">
        <f>IF($D16 = "SPLIT", "",COUNTIFS($D$7:$D$347,$D16,N$7:N$347,"&gt;"&amp;N16)+1)</f>
        <v>83</v>
      </c>
      <c r="AI16" s="29">
        <f>IF($D16 = "SPLIT", "",COUNTIFS($D$7:$D$347,$D16,S$7:S$347,"&gt;"&amp;S16)+1)</f>
        <v>26</v>
      </c>
      <c r="AJ16" s="29">
        <f>IF($D16 = "SPLIT", "",COUNTIFS($D$7:$D$347,$D16,T$7:T$347,"&gt;"&amp;T16)+1)</f>
        <v>27</v>
      </c>
      <c r="AK16" s="29">
        <f>IF($D16 = "SPLIT", "",COUNTIFS($D$7:$D$347,$D16,X$7:X$347,"&lt;"&amp;X16)+1)</f>
        <v>171</v>
      </c>
      <c r="AL16" s="29">
        <f>IF($D16 = "SPLIT", "",COUNTIFS($D$7:$D$347,$D16,Z$7:Z$347,"&gt;"&amp;Z16)+1)</f>
        <v>57</v>
      </c>
      <c r="AM16" s="29">
        <f>IF($D16 = "SPLIT", "",COUNTIFS($D$7:$D$347,$D16,AB$7:AB$347,"&gt;"&amp;AB16)+1)</f>
        <v>94</v>
      </c>
      <c r="AN16" s="29">
        <f>IF($D16 = "SPLIT", "",COUNTIFS($D$7:$D$347,$D16,AD$7:AD$347,"&gt;"&amp;AD16)+1)</f>
        <v>51</v>
      </c>
      <c r="AO16" s="29">
        <f>IF($D16 = "SPLIT", "",COUNTIFS($D$7:$D$347,$D16,AF$7:AF$347,"&gt;"&amp;AF16)+1)</f>
        <v>27</v>
      </c>
    </row>
    <row r="17" spans="1:41" hidden="1" x14ac:dyDescent="0.25">
      <c r="A17" s="25">
        <v>540008</v>
      </c>
      <c r="B17" s="25" t="s">
        <v>70</v>
      </c>
      <c r="C17" s="25" t="s">
        <v>67</v>
      </c>
      <c r="D17" s="25" t="s">
        <v>55</v>
      </c>
      <c r="E17" s="26">
        <v>3</v>
      </c>
      <c r="F17" s="26" t="s">
        <v>68</v>
      </c>
      <c r="G17" s="26">
        <v>214</v>
      </c>
      <c r="H17" s="26">
        <v>2</v>
      </c>
      <c r="I17" s="26">
        <v>40</v>
      </c>
      <c r="J17" s="26">
        <v>42</v>
      </c>
      <c r="K17" s="26">
        <v>298</v>
      </c>
      <c r="L17" s="35">
        <v>0.71799999999999997</v>
      </c>
      <c r="M17" s="35">
        <v>7.0000000000000001E-3</v>
      </c>
      <c r="N17" s="35">
        <v>0.13400000000000001</v>
      </c>
      <c r="O17" s="35">
        <v>0.14099999999999999</v>
      </c>
      <c r="P17" s="35">
        <v>0.128</v>
      </c>
      <c r="Q17" s="35">
        <v>0.01</v>
      </c>
      <c r="S17" s="26">
        <v>144</v>
      </c>
      <c r="T17" s="26">
        <v>11</v>
      </c>
      <c r="U17" s="26">
        <v>20</v>
      </c>
      <c r="W17" s="26">
        <v>1964.7</v>
      </c>
      <c r="X17" s="26">
        <v>1963</v>
      </c>
      <c r="Y17" s="28">
        <v>172917.5</v>
      </c>
      <c r="Z17" s="28">
        <v>48400</v>
      </c>
      <c r="AA17" s="28">
        <v>54294.1</v>
      </c>
      <c r="AB17" s="28">
        <v>43300</v>
      </c>
      <c r="AC17" s="35">
        <v>0.34799999999999998</v>
      </c>
      <c r="AD17" s="35">
        <v>0.28899999999999998</v>
      </c>
      <c r="AE17" s="28">
        <v>17501.2</v>
      </c>
      <c r="AF17" s="28">
        <v>12829.5</v>
      </c>
      <c r="AH17" s="29">
        <f>IF($D17 = "SPLIT", "",COUNTIFS($D$7:$D$347,$D17,N$7:N$347,"&gt;"&amp;N17)+1)</f>
        <v>103</v>
      </c>
      <c r="AI17" s="29">
        <f>IF($D17 = "SPLIT", "",COUNTIFS($D$7:$D$347,$D17,S$7:S$347,"&gt;"&amp;S17)+1)</f>
        <v>7</v>
      </c>
      <c r="AJ17" s="29">
        <f>IF($D17 = "SPLIT", "",COUNTIFS($D$7:$D$347,$D17,T$7:T$347,"&gt;"&amp;T17)+1)</f>
        <v>20</v>
      </c>
      <c r="AK17" s="29">
        <f>IF($D17 = "SPLIT", "",COUNTIFS($D$7:$D$347,$D17,X$7:X$347,"&lt;"&amp;X17)+1)</f>
        <v>152</v>
      </c>
      <c r="AL17" s="29">
        <f>IF($D17 = "SPLIT", "",COUNTIFS($D$7:$D$347,$D17,Z$7:Z$347,"&gt;"&amp;Z17)+1)</f>
        <v>80</v>
      </c>
      <c r="AM17" s="29">
        <f>IF($D17 = "SPLIT", "",COUNTIFS($D$7:$D$347,$D17,AB$7:AB$347,"&gt;"&amp;AB17)+1)</f>
        <v>89</v>
      </c>
      <c r="AN17" s="29">
        <f>IF($D17 = "SPLIT", "",COUNTIFS($D$7:$D$347,$D17,AD$7:AD$347,"&gt;"&amp;AD17)+1)</f>
        <v>20</v>
      </c>
      <c r="AO17" s="29">
        <f>IF($D17 = "SPLIT", "",COUNTIFS($D$7:$D$347,$D17,AF$7:AF$347,"&gt;"&amp;AF17)+1)</f>
        <v>21</v>
      </c>
    </row>
    <row r="18" spans="1:41" hidden="1" x14ac:dyDescent="0.25">
      <c r="A18" s="25">
        <v>540238</v>
      </c>
      <c r="B18" s="25" t="s">
        <v>71</v>
      </c>
      <c r="C18" s="25" t="s">
        <v>67</v>
      </c>
      <c r="D18" s="25" t="s">
        <v>55</v>
      </c>
      <c r="E18" s="26">
        <v>3</v>
      </c>
      <c r="F18" s="26" t="s">
        <v>68</v>
      </c>
      <c r="G18" s="26">
        <v>79</v>
      </c>
      <c r="H18" s="26">
        <v>0</v>
      </c>
      <c r="I18" s="26">
        <v>1</v>
      </c>
      <c r="J18" s="26">
        <v>0</v>
      </c>
      <c r="K18" s="26">
        <v>80</v>
      </c>
      <c r="L18" s="35">
        <v>0.98799999999999999</v>
      </c>
      <c r="M18" s="35">
        <v>0</v>
      </c>
      <c r="N18" s="35">
        <v>1.2999999999999999E-2</v>
      </c>
      <c r="O18" s="35">
        <v>0</v>
      </c>
      <c r="P18" s="35">
        <v>0</v>
      </c>
      <c r="Q18" s="35">
        <v>0</v>
      </c>
      <c r="S18" s="26">
        <v>5</v>
      </c>
      <c r="T18" s="26">
        <v>0</v>
      </c>
      <c r="U18" s="26">
        <v>0</v>
      </c>
      <c r="W18" s="26">
        <v>1953.1</v>
      </c>
      <c r="X18" s="26">
        <v>1950</v>
      </c>
      <c r="Y18" s="28">
        <v>56661.5</v>
      </c>
      <c r="Z18" s="28">
        <v>46650</v>
      </c>
      <c r="AA18" s="28">
        <v>54343.1</v>
      </c>
      <c r="AB18" s="28">
        <v>46000</v>
      </c>
      <c r="AC18" s="35">
        <v>0.187</v>
      </c>
      <c r="AD18" s="35">
        <v>0.184</v>
      </c>
      <c r="AE18" s="28">
        <v>7750.4</v>
      </c>
      <c r="AF18" s="28">
        <v>8387.6</v>
      </c>
      <c r="AH18" s="29">
        <f>IF($D18 = "SPLIT", "",COUNTIFS($D$7:$D$347,$D18,N$7:N$347,"&gt;"&amp;N18)+1)</f>
        <v>190</v>
      </c>
      <c r="AI18" s="29">
        <f>IF($D18 = "SPLIT", "",COUNTIFS($D$7:$D$347,$D18,S$7:S$347,"&gt;"&amp;S18)+1)</f>
        <v>110</v>
      </c>
      <c r="AJ18" s="29">
        <f>IF($D18 = "SPLIT", "",COUNTIFS($D$7:$D$347,$D18,T$7:T$347,"&gt;"&amp;T18)+1)</f>
        <v>113</v>
      </c>
      <c r="AK18" s="29">
        <f>IF($D18 = "SPLIT", "",COUNTIFS($D$7:$D$347,$D18,X$7:X$347,"&lt;"&amp;X18)+1)</f>
        <v>120</v>
      </c>
      <c r="AL18" s="29">
        <f>IF($D18 = "SPLIT", "",COUNTIFS($D$7:$D$347,$D18,Z$7:Z$347,"&gt;"&amp;Z18)+1)</f>
        <v>87</v>
      </c>
      <c r="AM18" s="29">
        <f>IF($D18 = "SPLIT", "",COUNTIFS($D$7:$D$347,$D18,AB$7:AB$347,"&gt;"&amp;AB18)+1)</f>
        <v>74</v>
      </c>
      <c r="AN18" s="29">
        <f>IF($D18 = "SPLIT", "",COUNTIFS($D$7:$D$347,$D18,AD$7:AD$347,"&gt;"&amp;AD18)+1)</f>
        <v>57</v>
      </c>
      <c r="AO18" s="29">
        <f>IF($D18 = "SPLIT", "",COUNTIFS($D$7:$D$347,$D18,AF$7:AF$347,"&gt;"&amp;AF18)+1)</f>
        <v>48</v>
      </c>
    </row>
    <row r="19" spans="1:41" hidden="1" x14ac:dyDescent="0.25">
      <c r="A19" s="25">
        <v>540229</v>
      </c>
      <c r="B19" s="25" t="s">
        <v>72</v>
      </c>
      <c r="C19" s="25" t="s">
        <v>67</v>
      </c>
      <c r="D19" s="25" t="s">
        <v>55</v>
      </c>
      <c r="E19" s="26">
        <v>3</v>
      </c>
      <c r="F19" s="26" t="s">
        <v>68</v>
      </c>
      <c r="G19" s="26">
        <v>97</v>
      </c>
      <c r="H19" s="26">
        <v>1</v>
      </c>
      <c r="I19" s="26">
        <v>17</v>
      </c>
      <c r="J19" s="26">
        <v>7</v>
      </c>
      <c r="K19" s="26">
        <v>122</v>
      </c>
      <c r="L19" s="35">
        <v>0.79500000000000004</v>
      </c>
      <c r="M19" s="35">
        <v>8.0000000000000002E-3</v>
      </c>
      <c r="N19" s="35">
        <v>0.13900000000000001</v>
      </c>
      <c r="O19" s="35">
        <v>5.7000000000000002E-2</v>
      </c>
      <c r="P19" s="35">
        <v>2.5000000000000001E-2</v>
      </c>
      <c r="Q19" s="35">
        <v>2.5000000000000001E-2</v>
      </c>
      <c r="S19" s="26">
        <v>4</v>
      </c>
      <c r="T19" s="26">
        <v>0</v>
      </c>
      <c r="U19" s="26">
        <v>0</v>
      </c>
      <c r="W19" s="26">
        <v>1947.1</v>
      </c>
      <c r="X19" s="26">
        <v>1941</v>
      </c>
      <c r="Y19" s="28">
        <v>79223</v>
      </c>
      <c r="Z19" s="28">
        <v>35300</v>
      </c>
      <c r="AA19" s="28">
        <v>40463.300000000003</v>
      </c>
      <c r="AB19" s="28">
        <v>31400</v>
      </c>
      <c r="AC19" s="35">
        <v>0.109</v>
      </c>
      <c r="AD19" s="35">
        <v>0.108</v>
      </c>
      <c r="AE19" s="28">
        <v>6925.6</v>
      </c>
      <c r="AF19" s="28">
        <v>4137.3</v>
      </c>
      <c r="AH19" s="29">
        <f>IF($D19 = "SPLIT", "",COUNTIFS($D$7:$D$347,$D19,N$7:N$347,"&gt;"&amp;N19)+1)</f>
        <v>100</v>
      </c>
      <c r="AI19" s="29">
        <f>IF($D19 = "SPLIT", "",COUNTIFS($D$7:$D$347,$D19,S$7:S$347,"&gt;"&amp;S19)+1)</f>
        <v>119</v>
      </c>
      <c r="AJ19" s="29">
        <f>IF($D19 = "SPLIT", "",COUNTIFS($D$7:$D$347,$D19,T$7:T$347,"&gt;"&amp;T19)+1)</f>
        <v>113</v>
      </c>
      <c r="AK19" s="29">
        <f>IF($D19 = "SPLIT", "",COUNTIFS($D$7:$D$347,$D19,X$7:X$347,"&lt;"&amp;X19)+1)</f>
        <v>90</v>
      </c>
      <c r="AL19" s="29">
        <f>IF($D19 = "SPLIT", "",COUNTIFS($D$7:$D$347,$D19,Z$7:Z$347,"&gt;"&amp;Z19)+1)</f>
        <v>136</v>
      </c>
      <c r="AM19" s="29">
        <f>IF($D19 = "SPLIT", "",COUNTIFS($D$7:$D$347,$D19,AB$7:AB$347,"&gt;"&amp;AB19)+1)</f>
        <v>132</v>
      </c>
      <c r="AN19" s="29">
        <f>IF($D19 = "SPLIT", "",COUNTIFS($D$7:$D$347,$D19,AD$7:AD$347,"&gt;"&amp;AD19)+1)</f>
        <v>113</v>
      </c>
      <c r="AO19" s="29">
        <f>IF($D19 = "SPLIT", "",COUNTIFS($D$7:$D$347,$D19,AF$7:AF$347,"&gt;"&amp;AF19)+1)</f>
        <v>114</v>
      </c>
    </row>
    <row r="20" spans="1:41" hidden="1" x14ac:dyDescent="0.25">
      <c r="A20" s="160"/>
      <c r="B20" s="160"/>
      <c r="C20" s="160" t="s">
        <v>67</v>
      </c>
      <c r="D20" s="160" t="s">
        <v>2</v>
      </c>
      <c r="E20" s="161">
        <v>3</v>
      </c>
      <c r="F20" s="161"/>
      <c r="G20" s="161">
        <v>2689</v>
      </c>
      <c r="H20" s="161">
        <v>150</v>
      </c>
      <c r="I20" s="161">
        <v>691</v>
      </c>
      <c r="J20" s="161">
        <v>408</v>
      </c>
      <c r="K20" s="161">
        <v>3938</v>
      </c>
      <c r="L20" s="162">
        <v>0.68300000000000005</v>
      </c>
      <c r="M20" s="162">
        <v>3.7999999999999999E-2</v>
      </c>
      <c r="N20" s="162">
        <v>0.17499999999999999</v>
      </c>
      <c r="O20" s="162">
        <v>0.104</v>
      </c>
      <c r="P20" s="162">
        <v>8.7999999999999995E-2</v>
      </c>
      <c r="Q20" s="162">
        <v>7.0000000000000001E-3</v>
      </c>
      <c r="S20" s="161">
        <v>886</v>
      </c>
      <c r="T20" s="161">
        <v>130</v>
      </c>
      <c r="U20" s="161">
        <v>88</v>
      </c>
      <c r="W20" s="161">
        <v>1966</v>
      </c>
      <c r="X20" s="161">
        <v>1971</v>
      </c>
      <c r="Y20" s="163">
        <v>65867.600000000006</v>
      </c>
      <c r="Z20" s="163">
        <v>31800</v>
      </c>
      <c r="AA20" s="163">
        <v>46740.800000000003</v>
      </c>
      <c r="AB20" s="163">
        <v>36350</v>
      </c>
      <c r="AC20" s="162">
        <v>0.29599999999999999</v>
      </c>
      <c r="AD20" s="162">
        <v>0.20699999999999999</v>
      </c>
      <c r="AE20" s="163">
        <v>12039.6</v>
      </c>
      <c r="AF20" s="163">
        <v>7590.9</v>
      </c>
      <c r="AH20" s="164">
        <f>IF($D20 = "SPLIT", "",COUNTIFS($D$7:$D$347,$D20,N$7:N$347,"&gt;"&amp;N20)+1)</f>
        <v>41</v>
      </c>
      <c r="AI20" s="164">
        <f>IF($D20 = "SPLIT", "",COUNTIFS($D$7:$D$347,$D20,S$7:S$347,"&gt;"&amp;S20)+1)</f>
        <v>3</v>
      </c>
      <c r="AJ20" s="164">
        <f>IF($D20 = "SPLIT", "",COUNTIFS($D$7:$D$347,$D20,T$7:T$347,"&gt;"&amp;T20)+1)</f>
        <v>6</v>
      </c>
      <c r="AK20" s="164">
        <f>IF($D20 = "SPLIT", "",COUNTIFS($D$7:$D$347,$D20,X$7:X$347,"&lt;"&amp;X20)+1)</f>
        <v>37</v>
      </c>
      <c r="AL20" s="164">
        <f>IF($D20 = "SPLIT", "",COUNTIFS($D$7:$D$347,$D20,Z$7:Z$347,"&gt;"&amp;Z20)+1)</f>
        <v>39</v>
      </c>
      <c r="AM20" s="164">
        <f>IF($D20 = "SPLIT", "",COUNTIFS($D$7:$D$347,$D20,AB$7:AB$347,"&gt;"&amp;AB20)+1)</f>
        <v>40</v>
      </c>
      <c r="AN20" s="164">
        <f>IF($D20 = "SPLIT", "",COUNTIFS($D$7:$D$347,$D20,AD$7:AD$347,"&gt;"&amp;AD20)+1)</f>
        <v>15</v>
      </c>
      <c r="AO20" s="164">
        <f>IF($D20 = "SPLIT", "",COUNTIFS($D$7:$D$347,$D20,AF$7:AF$347,"&gt;"&amp;AF20)+1)</f>
        <v>18</v>
      </c>
    </row>
    <row r="21" spans="1:41" hidden="1" x14ac:dyDescent="0.25">
      <c r="A21" s="30">
        <v>540009</v>
      </c>
      <c r="B21" s="30" t="s">
        <v>73</v>
      </c>
      <c r="C21" s="30" t="s">
        <v>74</v>
      </c>
      <c r="D21" s="30" t="s">
        <v>52</v>
      </c>
      <c r="E21" s="31">
        <v>7</v>
      </c>
      <c r="F21" s="31" t="s">
        <v>75</v>
      </c>
      <c r="G21" s="31">
        <v>656</v>
      </c>
      <c r="H21" s="31">
        <v>3</v>
      </c>
      <c r="I21" s="31">
        <v>58</v>
      </c>
      <c r="J21" s="31">
        <v>16</v>
      </c>
      <c r="K21" s="31">
        <v>733</v>
      </c>
      <c r="L21" s="32">
        <v>0.89500000000000002</v>
      </c>
      <c r="M21" s="32">
        <v>4.0000000000000001E-3</v>
      </c>
      <c r="N21" s="32">
        <v>7.9000000000000001E-2</v>
      </c>
      <c r="O21" s="32">
        <v>2.1999999999999999E-2</v>
      </c>
      <c r="P21" s="32">
        <v>1.2E-2</v>
      </c>
      <c r="Q21" s="32">
        <v>4.0000000000000001E-3</v>
      </c>
      <c r="S21" s="31">
        <v>101</v>
      </c>
      <c r="T21" s="31">
        <v>4</v>
      </c>
      <c r="U21" s="31">
        <v>15</v>
      </c>
      <c r="W21" s="31">
        <v>1969.2</v>
      </c>
      <c r="X21" s="31">
        <v>1978</v>
      </c>
      <c r="Y21" s="33">
        <v>49468</v>
      </c>
      <c r="Z21" s="33">
        <v>35500</v>
      </c>
      <c r="AA21" s="33">
        <v>43154.8</v>
      </c>
      <c r="AB21" s="33">
        <v>33000</v>
      </c>
      <c r="AC21" s="32">
        <v>0.34599999999999997</v>
      </c>
      <c r="AD21" s="32">
        <v>0.308</v>
      </c>
      <c r="AE21" s="33">
        <v>14906</v>
      </c>
      <c r="AF21" s="33">
        <v>12579</v>
      </c>
      <c r="AH21" s="34">
        <f>IF($D21 = "SPLIT", "",COUNTIFS($D$7:$D$347,$D21,N$7:N$347,"&gt;"&amp;N21)+1)</f>
        <v>53</v>
      </c>
      <c r="AI21" s="34">
        <f>IF($D21 = "SPLIT", "",COUNTIFS($D$7:$D$347,$D21,S$7:S$347,"&gt;"&amp;S21)+1)</f>
        <v>34</v>
      </c>
      <c r="AJ21" s="34">
        <f>IF($D21 = "SPLIT", "",COUNTIFS($D$7:$D$347,$D21,T$7:T$347,"&gt;"&amp;T21)+1)</f>
        <v>50</v>
      </c>
      <c r="AK21" s="34">
        <f>IF($D21 = "SPLIT", "",COUNTIFS($D$7:$D$347,$D21,X$7:X$347,"&lt;"&amp;X21)+1)</f>
        <v>46</v>
      </c>
      <c r="AL21" s="34">
        <f>IF($D21 = "SPLIT", "",COUNTIFS($D$7:$D$347,$D21,Z$7:Z$347,"&gt;"&amp;Z21)+1)</f>
        <v>30</v>
      </c>
      <c r="AM21" s="34">
        <f>IF($D21 = "SPLIT", "",COUNTIFS($D$7:$D$347,$D21,AB$7:AB$347,"&gt;"&amp;AB21)+1)</f>
        <v>33</v>
      </c>
      <c r="AN21" s="34">
        <f>IF($D21 = "SPLIT", "",COUNTIFS($D$7:$D$347,$D21,AD$7:AD$347,"&gt;"&amp;AD21)+1)</f>
        <v>10</v>
      </c>
      <c r="AO21" s="34">
        <f>IF($D21 = "SPLIT", "",COUNTIFS($D$7:$D$347,$D21,AF$7:AF$347,"&gt;"&amp;AF21)+1)</f>
        <v>7</v>
      </c>
    </row>
    <row r="22" spans="1:41" hidden="1" x14ac:dyDescent="0.25">
      <c r="A22" s="25">
        <v>540010</v>
      </c>
      <c r="B22" s="25" t="s">
        <v>76</v>
      </c>
      <c r="C22" s="25" t="s">
        <v>74</v>
      </c>
      <c r="D22" s="25" t="s">
        <v>55</v>
      </c>
      <c r="E22" s="26">
        <v>7</v>
      </c>
      <c r="F22" s="26" t="s">
        <v>75</v>
      </c>
      <c r="G22" s="26">
        <v>20</v>
      </c>
      <c r="H22" s="26">
        <v>0</v>
      </c>
      <c r="I22" s="26">
        <v>2</v>
      </c>
      <c r="J22" s="26">
        <v>0</v>
      </c>
      <c r="K22" s="26">
        <v>22</v>
      </c>
      <c r="L22" s="35">
        <v>0.90900000000000003</v>
      </c>
      <c r="M22" s="35">
        <v>0</v>
      </c>
      <c r="N22" s="35">
        <v>9.0999999999999998E-2</v>
      </c>
      <c r="O22" s="35">
        <v>0</v>
      </c>
      <c r="P22" s="35">
        <v>0</v>
      </c>
      <c r="Q22" s="35">
        <v>0</v>
      </c>
      <c r="S22" s="26">
        <v>1</v>
      </c>
      <c r="T22" s="26">
        <v>0</v>
      </c>
      <c r="U22" s="26">
        <v>0</v>
      </c>
      <c r="W22" s="26">
        <v>1950.7</v>
      </c>
      <c r="X22" s="26">
        <v>1956</v>
      </c>
      <c r="Y22" s="28">
        <v>75735</v>
      </c>
      <c r="Z22" s="28">
        <v>43800</v>
      </c>
      <c r="AA22" s="28">
        <v>41964.3</v>
      </c>
      <c r="AB22" s="28">
        <v>32550</v>
      </c>
      <c r="AC22" s="35">
        <v>0.28199999999999997</v>
      </c>
      <c r="AD22" s="35">
        <v>0.27500000000000002</v>
      </c>
      <c r="AE22" s="28">
        <v>17709.5</v>
      </c>
      <c r="AF22" s="28">
        <v>6838.9</v>
      </c>
      <c r="AH22" s="29">
        <f>IF($D22 = "SPLIT", "",COUNTIFS($D$7:$D$347,$D22,N$7:N$347,"&gt;"&amp;N22)+1)</f>
        <v>138</v>
      </c>
      <c r="AI22" s="29">
        <f>IF($D22 = "SPLIT", "",COUNTIFS($D$7:$D$347,$D22,S$7:S$347,"&gt;"&amp;S22)+1)</f>
        <v>153</v>
      </c>
      <c r="AJ22" s="29">
        <f>IF($D22 = "SPLIT", "",COUNTIFS($D$7:$D$347,$D22,T$7:T$347,"&gt;"&amp;T22)+1)</f>
        <v>113</v>
      </c>
      <c r="AK22" s="29">
        <f>IF($D22 = "SPLIT", "",COUNTIFS($D$7:$D$347,$D22,X$7:X$347,"&lt;"&amp;X22)+1)</f>
        <v>138</v>
      </c>
      <c r="AL22" s="29">
        <f>IF($D22 = "SPLIT", "",COUNTIFS($D$7:$D$347,$D22,Z$7:Z$347,"&gt;"&amp;Z22)+1)</f>
        <v>98</v>
      </c>
      <c r="AM22" s="29">
        <f>IF($D22 = "SPLIT", "",COUNTIFS($D$7:$D$347,$D22,AB$7:AB$347,"&gt;"&amp;AB22)+1)</f>
        <v>127</v>
      </c>
      <c r="AN22" s="29">
        <f>IF($D22 = "SPLIT", "",COUNTIFS($D$7:$D$347,$D22,AD$7:AD$347,"&gt;"&amp;AD22)+1)</f>
        <v>25</v>
      </c>
      <c r="AO22" s="29">
        <f>IF($D22 = "SPLIT", "",COUNTIFS($D$7:$D$347,$D22,AF$7:AF$347,"&gt;"&amp;AF22)+1)</f>
        <v>65</v>
      </c>
    </row>
    <row r="23" spans="1:41" hidden="1" x14ac:dyDescent="0.25">
      <c r="A23" s="25">
        <v>540237</v>
      </c>
      <c r="B23" s="25" t="s">
        <v>77</v>
      </c>
      <c r="C23" s="25" t="s">
        <v>74</v>
      </c>
      <c r="D23" s="25" t="s">
        <v>55</v>
      </c>
      <c r="E23" s="26">
        <v>7</v>
      </c>
      <c r="F23" s="26" t="s">
        <v>75</v>
      </c>
      <c r="G23" s="26">
        <v>42</v>
      </c>
      <c r="H23" s="26">
        <v>0</v>
      </c>
      <c r="I23" s="26">
        <v>0</v>
      </c>
      <c r="J23" s="26">
        <v>0</v>
      </c>
      <c r="K23" s="26">
        <v>42</v>
      </c>
      <c r="L23" s="35">
        <v>1</v>
      </c>
      <c r="M23" s="35">
        <v>0</v>
      </c>
      <c r="N23" s="35">
        <v>0</v>
      </c>
      <c r="O23" s="35">
        <v>0</v>
      </c>
      <c r="P23" s="35">
        <v>0</v>
      </c>
      <c r="Q23" s="35">
        <v>0</v>
      </c>
      <c r="S23" s="26">
        <v>1</v>
      </c>
      <c r="T23" s="26">
        <v>0</v>
      </c>
      <c r="U23" s="26">
        <v>0</v>
      </c>
      <c r="W23" s="26">
        <v>1959.6</v>
      </c>
      <c r="X23" s="26">
        <v>1960</v>
      </c>
      <c r="Y23" s="28">
        <v>53055</v>
      </c>
      <c r="Z23" s="28">
        <v>40950</v>
      </c>
      <c r="AA23" s="28">
        <v>47060.3</v>
      </c>
      <c r="AB23" s="28">
        <v>41900</v>
      </c>
      <c r="AC23" s="35">
        <v>0.64200000000000002</v>
      </c>
      <c r="AD23" s="35">
        <v>0.64200000000000002</v>
      </c>
      <c r="AE23" s="28">
        <v>10456.700000000001</v>
      </c>
      <c r="AF23" s="28">
        <v>10456.700000000001</v>
      </c>
      <c r="AH23" s="29">
        <f>IF($D23 = "SPLIT", "",COUNTIFS($D$7:$D$347,$D23,N$7:N$347,"&gt;"&amp;N23)+1)</f>
        <v>195</v>
      </c>
      <c r="AI23" s="29">
        <f>IF($D23 = "SPLIT", "",COUNTIFS($D$7:$D$347,$D23,S$7:S$347,"&gt;"&amp;S23)+1)</f>
        <v>153</v>
      </c>
      <c r="AJ23" s="29">
        <f>IF($D23 = "SPLIT", "",COUNTIFS($D$7:$D$347,$D23,T$7:T$347,"&gt;"&amp;T23)+1)</f>
        <v>113</v>
      </c>
      <c r="AK23" s="29">
        <f>IF($D23 = "SPLIT", "",COUNTIFS($D$7:$D$347,$D23,X$7:X$347,"&lt;"&amp;X23)+1)</f>
        <v>146</v>
      </c>
      <c r="AL23" s="29">
        <f>IF($D23 = "SPLIT", "",COUNTIFS($D$7:$D$347,$D23,Z$7:Z$347,"&gt;"&amp;Z23)+1)</f>
        <v>112</v>
      </c>
      <c r="AM23" s="29">
        <f>IF($D23 = "SPLIT", "",COUNTIFS($D$7:$D$347,$D23,AB$7:AB$347,"&gt;"&amp;AB23)+1)</f>
        <v>90</v>
      </c>
      <c r="AN23" s="29">
        <f>IF($D23 = "SPLIT", "",COUNTIFS($D$7:$D$347,$D23,AD$7:AD$347,"&gt;"&amp;AD23)+1)</f>
        <v>2</v>
      </c>
      <c r="AO23" s="29">
        <f>IF($D23 = "SPLIT", "",COUNTIFS($D$7:$D$347,$D23,AF$7:AF$347,"&gt;"&amp;AF23)+1)</f>
        <v>32</v>
      </c>
    </row>
    <row r="24" spans="1:41" hidden="1" x14ac:dyDescent="0.25">
      <c r="A24" s="25">
        <v>540236</v>
      </c>
      <c r="B24" s="25" t="s">
        <v>78</v>
      </c>
      <c r="C24" s="25" t="s">
        <v>74</v>
      </c>
      <c r="D24" s="25" t="s">
        <v>55</v>
      </c>
      <c r="E24" s="26">
        <v>7</v>
      </c>
      <c r="F24" s="26" t="s">
        <v>75</v>
      </c>
      <c r="G24" s="26">
        <v>30</v>
      </c>
      <c r="H24" s="26">
        <v>0</v>
      </c>
      <c r="I24" s="26">
        <v>1</v>
      </c>
      <c r="J24" s="26">
        <v>0</v>
      </c>
      <c r="K24" s="26">
        <v>31</v>
      </c>
      <c r="L24" s="35">
        <v>0.96799999999999997</v>
      </c>
      <c r="M24" s="35">
        <v>0</v>
      </c>
      <c r="N24" s="35">
        <v>3.2000000000000001E-2</v>
      </c>
      <c r="O24" s="35">
        <v>0</v>
      </c>
      <c r="P24" s="35">
        <v>0</v>
      </c>
      <c r="Q24" s="35">
        <v>0</v>
      </c>
      <c r="S24" s="26">
        <v>0</v>
      </c>
      <c r="T24" s="26">
        <v>0</v>
      </c>
      <c r="U24" s="26">
        <v>0</v>
      </c>
      <c r="W24" s="26">
        <v>1966.8</v>
      </c>
      <c r="X24" s="26">
        <v>1970.5</v>
      </c>
      <c r="Y24" s="28">
        <v>87616.8</v>
      </c>
      <c r="Z24" s="28">
        <v>54600</v>
      </c>
      <c r="AA24" s="28">
        <v>91818</v>
      </c>
      <c r="AB24" s="28">
        <v>68550</v>
      </c>
      <c r="AC24" s="35">
        <v>0.113</v>
      </c>
      <c r="AD24" s="35">
        <v>0.13600000000000001</v>
      </c>
      <c r="AE24" s="28">
        <v>3174.4</v>
      </c>
      <c r="AF24" s="28">
        <v>3189.6</v>
      </c>
      <c r="AH24" s="29">
        <f>IF($D24 = "SPLIT", "",COUNTIFS($D$7:$D$347,$D24,N$7:N$347,"&gt;"&amp;N24)+1)</f>
        <v>177</v>
      </c>
      <c r="AI24" s="29">
        <f>IF($D24 = "SPLIT", "",COUNTIFS($D$7:$D$347,$D24,S$7:S$347,"&gt;"&amp;S24)+1)</f>
        <v>177</v>
      </c>
      <c r="AJ24" s="29">
        <f>IF($D24 = "SPLIT", "",COUNTIFS($D$7:$D$347,$D24,T$7:T$347,"&gt;"&amp;T24)+1)</f>
        <v>113</v>
      </c>
      <c r="AK24" s="29">
        <f>IF($D24 = "SPLIT", "",COUNTIFS($D$7:$D$347,$D24,X$7:X$347,"&lt;"&amp;X24)+1)</f>
        <v>167</v>
      </c>
      <c r="AL24" s="29">
        <f>IF($D24 = "SPLIT", "",COUNTIFS($D$7:$D$347,$D24,Z$7:Z$347,"&gt;"&amp;Z24)+1)</f>
        <v>60</v>
      </c>
      <c r="AM24" s="29">
        <f>IF($D24 = "SPLIT", "",COUNTIFS($D$7:$D$347,$D24,AB$7:AB$347,"&gt;"&amp;AB24)+1)</f>
        <v>21</v>
      </c>
      <c r="AN24" s="29">
        <f>IF($D24 = "SPLIT", "",COUNTIFS($D$7:$D$347,$D24,AD$7:AD$347,"&gt;"&amp;AD24)+1)</f>
        <v>81</v>
      </c>
      <c r="AO24" s="29">
        <f>IF($D24 = "SPLIT", "",COUNTIFS($D$7:$D$347,$D24,AF$7:AF$347,"&gt;"&amp;AF24)+1)</f>
        <v>135</v>
      </c>
    </row>
    <row r="25" spans="1:41" hidden="1" x14ac:dyDescent="0.25">
      <c r="A25" s="160"/>
      <c r="B25" s="160"/>
      <c r="C25" s="160" t="s">
        <v>74</v>
      </c>
      <c r="D25" s="160" t="s">
        <v>2</v>
      </c>
      <c r="E25" s="161">
        <v>7</v>
      </c>
      <c r="F25" s="161"/>
      <c r="G25" s="161">
        <v>748</v>
      </c>
      <c r="H25" s="161">
        <v>3</v>
      </c>
      <c r="I25" s="161">
        <v>61</v>
      </c>
      <c r="J25" s="161">
        <v>16</v>
      </c>
      <c r="K25" s="161">
        <v>828</v>
      </c>
      <c r="L25" s="162">
        <v>0.90300000000000002</v>
      </c>
      <c r="M25" s="162">
        <v>4.0000000000000001E-3</v>
      </c>
      <c r="N25" s="162">
        <v>7.3999999999999996E-2</v>
      </c>
      <c r="O25" s="162">
        <v>1.9E-2</v>
      </c>
      <c r="P25" s="162">
        <v>1.0999999999999999E-2</v>
      </c>
      <c r="Q25" s="162">
        <v>4.0000000000000001E-3</v>
      </c>
      <c r="S25" s="161">
        <v>103</v>
      </c>
      <c r="T25" s="161">
        <v>4</v>
      </c>
      <c r="U25" s="161">
        <v>15</v>
      </c>
      <c r="W25" s="161">
        <v>1968.2</v>
      </c>
      <c r="X25" s="161">
        <v>1977</v>
      </c>
      <c r="Y25" s="163">
        <v>51776.1</v>
      </c>
      <c r="Z25" s="163">
        <v>36720</v>
      </c>
      <c r="AA25" s="163">
        <v>53883.6</v>
      </c>
      <c r="AB25" s="163">
        <v>46150</v>
      </c>
      <c r="AC25" s="162">
        <v>0.34300000000000003</v>
      </c>
      <c r="AD25" s="162">
        <v>0.27500000000000002</v>
      </c>
      <c r="AE25" s="163">
        <v>14723.3</v>
      </c>
      <c r="AF25" s="163">
        <v>12168</v>
      </c>
      <c r="AH25" s="164">
        <f>IF($D25 = "SPLIT", "",COUNTIFS($D$7:$D$347,$D25,N$7:N$347,"&gt;"&amp;N25)+1)</f>
        <v>53</v>
      </c>
      <c r="AI25" s="164">
        <f>IF($D25 = "SPLIT", "",COUNTIFS($D$7:$D$347,$D25,S$7:S$347,"&gt;"&amp;S25)+1)</f>
        <v>43</v>
      </c>
      <c r="AJ25" s="164">
        <f>IF($D25 = "SPLIT", "",COUNTIFS($D$7:$D$347,$D25,T$7:T$347,"&gt;"&amp;T25)+1)</f>
        <v>52</v>
      </c>
      <c r="AK25" s="164">
        <f>IF($D25 = "SPLIT", "",COUNTIFS($D$7:$D$347,$D25,X$7:X$347,"&lt;"&amp;X25)+1)</f>
        <v>47</v>
      </c>
      <c r="AL25" s="164">
        <f>IF($D25 = "SPLIT", "",COUNTIFS($D$7:$D$347,$D25,Z$7:Z$347,"&gt;"&amp;Z25)+1)</f>
        <v>33</v>
      </c>
      <c r="AM25" s="164">
        <f>IF($D25 = "SPLIT", "",COUNTIFS($D$7:$D$347,$D25,AB$7:AB$347,"&gt;"&amp;AB25)+1)</f>
        <v>29</v>
      </c>
      <c r="AN25" s="164">
        <f>IF($D25 = "SPLIT", "",COUNTIFS($D$7:$D$347,$D25,AD$7:AD$347,"&gt;"&amp;AD25)+1)</f>
        <v>8</v>
      </c>
      <c r="AO25" s="164">
        <f>IF($D25 = "SPLIT", "",COUNTIFS($D$7:$D$347,$D25,AF$7:AF$347,"&gt;"&amp;AF25)+1)</f>
        <v>7</v>
      </c>
    </row>
    <row r="26" spans="1:41" hidden="1" x14ac:dyDescent="0.25">
      <c r="A26" s="25">
        <v>540093</v>
      </c>
      <c r="B26" s="25" t="s">
        <v>79</v>
      </c>
      <c r="C26" s="25" t="s">
        <v>80</v>
      </c>
      <c r="D26" s="25" t="s">
        <v>55</v>
      </c>
      <c r="E26" s="26">
        <v>11</v>
      </c>
      <c r="F26" s="26" t="s">
        <v>75</v>
      </c>
      <c r="G26" s="26">
        <v>7</v>
      </c>
      <c r="H26" s="26">
        <v>0</v>
      </c>
      <c r="I26" s="26">
        <v>0</v>
      </c>
      <c r="J26" s="26">
        <v>0</v>
      </c>
      <c r="K26" s="26">
        <v>7</v>
      </c>
      <c r="L26" s="35">
        <v>1</v>
      </c>
      <c r="M26" s="35">
        <v>0</v>
      </c>
      <c r="N26" s="35">
        <v>0</v>
      </c>
      <c r="O26" s="35">
        <v>0</v>
      </c>
      <c r="P26" s="35">
        <v>0</v>
      </c>
      <c r="Q26" s="35">
        <v>0</v>
      </c>
      <c r="S26" s="26">
        <v>1</v>
      </c>
      <c r="T26" s="26">
        <v>0</v>
      </c>
      <c r="U26" s="26">
        <v>0</v>
      </c>
      <c r="W26" s="26">
        <v>1985.3</v>
      </c>
      <c r="X26" s="26">
        <v>1996</v>
      </c>
      <c r="Y26" s="28">
        <v>968314.3</v>
      </c>
      <c r="Z26" s="28">
        <v>307500</v>
      </c>
      <c r="AA26" s="28">
        <v>0</v>
      </c>
      <c r="AB26" s="28">
        <v>0</v>
      </c>
      <c r="AC26" s="35">
        <v>9.9000000000000005E-2</v>
      </c>
      <c r="AD26" s="35">
        <v>9.9000000000000005E-2</v>
      </c>
      <c r="AE26" s="28">
        <v>19832.3</v>
      </c>
      <c r="AF26" s="28">
        <v>19832.3</v>
      </c>
      <c r="AH26" s="29">
        <f>IF($D26 = "SPLIT", "",COUNTIFS($D$7:$D$347,$D26,N$7:N$347,"&gt;"&amp;N26)+1)</f>
        <v>195</v>
      </c>
      <c r="AI26" s="29">
        <f>IF($D26 = "SPLIT", "",COUNTIFS($D$7:$D$347,$D26,S$7:S$347,"&gt;"&amp;S26)+1)</f>
        <v>153</v>
      </c>
      <c r="AJ26" s="29">
        <f>IF($D26 = "SPLIT", "",COUNTIFS($D$7:$D$347,$D26,T$7:T$347,"&gt;"&amp;T26)+1)</f>
        <v>113</v>
      </c>
      <c r="AK26" s="29">
        <f>IF($D26 = "SPLIT", "",COUNTIFS($D$7:$D$347,$D26,X$7:X$347,"&lt;"&amp;X26)+1)</f>
        <v>211</v>
      </c>
      <c r="AL26" s="29">
        <f>IF($D26 = "SPLIT", "",COUNTIFS($D$7:$D$347,$D26,Z$7:Z$347,"&gt;"&amp;Z26)+1)</f>
        <v>1</v>
      </c>
      <c r="AM26" s="29">
        <f>IF($D26 = "SPLIT", "",COUNTIFS($D$7:$D$347,$D26,AB$7:AB$347,"&gt;"&amp;AB26)+1)</f>
        <v>208</v>
      </c>
      <c r="AN26" s="29">
        <f>IF($D26 = "SPLIT", "",COUNTIFS($D$7:$D$347,$D26,AD$7:AD$347,"&gt;"&amp;AD26)+1)</f>
        <v>124</v>
      </c>
      <c r="AO26" s="29">
        <f>IF($D26 = "SPLIT", "",COUNTIFS($D$7:$D$347,$D26,AF$7:AF$347,"&gt;"&amp;AF26)+1)</f>
        <v>9</v>
      </c>
    </row>
    <row r="27" spans="1:41" hidden="1" x14ac:dyDescent="0.25">
      <c r="A27" s="25">
        <v>540012</v>
      </c>
      <c r="B27" s="25" t="s">
        <v>81</v>
      </c>
      <c r="C27" s="25" t="s">
        <v>80</v>
      </c>
      <c r="D27" s="25" t="s">
        <v>55</v>
      </c>
      <c r="E27" s="26">
        <v>11</v>
      </c>
      <c r="F27" s="26" t="s">
        <v>82</v>
      </c>
      <c r="G27" s="26">
        <v>3</v>
      </c>
      <c r="H27" s="26">
        <v>0</v>
      </c>
      <c r="I27" s="26">
        <v>1</v>
      </c>
      <c r="J27" s="26">
        <v>1</v>
      </c>
      <c r="K27" s="26">
        <v>5</v>
      </c>
      <c r="L27" s="35">
        <v>0.6</v>
      </c>
      <c r="M27" s="35">
        <v>0</v>
      </c>
      <c r="N27" s="35">
        <v>0.2</v>
      </c>
      <c r="O27" s="35">
        <v>0.2</v>
      </c>
      <c r="P27" s="35">
        <v>0.2</v>
      </c>
      <c r="Q27" s="35">
        <v>0</v>
      </c>
      <c r="S27" s="26">
        <v>1</v>
      </c>
      <c r="T27" s="26">
        <v>1</v>
      </c>
      <c r="U27" s="26">
        <v>1</v>
      </c>
      <c r="W27" s="26">
        <v>1943.3</v>
      </c>
      <c r="X27" s="26">
        <v>1935</v>
      </c>
      <c r="Y27" s="28">
        <v>107185.60000000001</v>
      </c>
      <c r="Z27" s="28">
        <v>82700</v>
      </c>
      <c r="AA27" s="28">
        <v>74875</v>
      </c>
      <c r="AB27" s="28">
        <v>75500</v>
      </c>
      <c r="AC27" s="35">
        <v>0.13</v>
      </c>
      <c r="AD27" s="35">
        <v>0.13</v>
      </c>
      <c r="AE27" s="28">
        <v>30750.3</v>
      </c>
      <c r="AF27" s="28">
        <v>30750.3</v>
      </c>
      <c r="AH27" s="29">
        <f>IF($D27 = "SPLIT", "",COUNTIFS($D$7:$D$347,$D27,N$7:N$347,"&gt;"&amp;N27)+1)</f>
        <v>66</v>
      </c>
      <c r="AI27" s="29">
        <f>IF($D27 = "SPLIT", "",COUNTIFS($D$7:$D$347,$D27,S$7:S$347,"&gt;"&amp;S27)+1)</f>
        <v>153</v>
      </c>
      <c r="AJ27" s="29">
        <f>IF($D27 = "SPLIT", "",COUNTIFS($D$7:$D$347,$D27,T$7:T$347,"&gt;"&amp;T27)+1)</f>
        <v>84</v>
      </c>
      <c r="AK27" s="29">
        <f>IF($D27 = "SPLIT", "",COUNTIFS($D$7:$D$347,$D27,X$7:X$347,"&lt;"&amp;X27)+1)</f>
        <v>61</v>
      </c>
      <c r="AL27" s="29">
        <f>IF($D27 = "SPLIT", "",COUNTIFS($D$7:$D$347,$D27,Z$7:Z$347,"&gt;"&amp;Z27)+1)</f>
        <v>23</v>
      </c>
      <c r="AM27" s="29">
        <f>IF($D27 = "SPLIT", "",COUNTIFS($D$7:$D$347,$D27,AB$7:AB$347,"&gt;"&amp;AB27)+1)</f>
        <v>15</v>
      </c>
      <c r="AN27" s="29">
        <f>IF($D27 = "SPLIT", "",COUNTIFS($D$7:$D$347,$D27,AD$7:AD$347,"&gt;"&amp;AD27)+1)</f>
        <v>90</v>
      </c>
      <c r="AO27" s="29">
        <f>IF($D27 = "SPLIT", "",COUNTIFS($D$7:$D$347,$D27,AF$7:AF$347,"&gt;"&amp;AF27)+1)</f>
        <v>4</v>
      </c>
    </row>
    <row r="28" spans="1:41" hidden="1" x14ac:dyDescent="0.25">
      <c r="A28" s="30">
        <v>540011</v>
      </c>
      <c r="B28" s="30" t="s">
        <v>83</v>
      </c>
      <c r="C28" s="30" t="s">
        <v>80</v>
      </c>
      <c r="D28" s="30" t="s">
        <v>52</v>
      </c>
      <c r="E28" s="31">
        <v>11</v>
      </c>
      <c r="F28" s="31" t="s">
        <v>84</v>
      </c>
      <c r="G28" s="31">
        <v>118</v>
      </c>
      <c r="H28" s="31">
        <v>7</v>
      </c>
      <c r="I28" s="31">
        <v>26</v>
      </c>
      <c r="J28" s="31">
        <v>3</v>
      </c>
      <c r="K28" s="31">
        <v>154</v>
      </c>
      <c r="L28" s="32">
        <v>0.76600000000000001</v>
      </c>
      <c r="M28" s="32">
        <v>4.4999999999999998E-2</v>
      </c>
      <c r="N28" s="32">
        <v>0.16900000000000001</v>
      </c>
      <c r="O28" s="32">
        <v>1.9E-2</v>
      </c>
      <c r="P28" s="32">
        <v>1.2999999999999999E-2</v>
      </c>
      <c r="Q28" s="32">
        <v>0</v>
      </c>
      <c r="S28" s="31">
        <v>17</v>
      </c>
      <c r="T28" s="31">
        <v>6</v>
      </c>
      <c r="U28" s="31">
        <v>2</v>
      </c>
      <c r="W28" s="31">
        <v>1950.3</v>
      </c>
      <c r="X28" s="31">
        <v>1949</v>
      </c>
      <c r="Y28" s="33">
        <v>54312.9</v>
      </c>
      <c r="Z28" s="33">
        <v>34300</v>
      </c>
      <c r="AA28" s="33">
        <v>38780.6</v>
      </c>
      <c r="AB28" s="33">
        <v>33100</v>
      </c>
      <c r="AC28" s="32">
        <v>0.19900000000000001</v>
      </c>
      <c r="AD28" s="32">
        <v>0.161</v>
      </c>
      <c r="AE28" s="33">
        <v>10098.4</v>
      </c>
      <c r="AF28" s="33">
        <v>5761.2</v>
      </c>
      <c r="AH28" s="34">
        <f>IF($D28 = "SPLIT", "",COUNTIFS($D$7:$D$347,$D28,N$7:N$347,"&gt;"&amp;N28)+1)</f>
        <v>45</v>
      </c>
      <c r="AI28" s="34">
        <f>IF($D28 = "SPLIT", "",COUNTIFS($D$7:$D$347,$D28,S$7:S$347,"&gt;"&amp;S28)+1)</f>
        <v>54</v>
      </c>
      <c r="AJ28" s="34">
        <f>IF($D28 = "SPLIT", "",COUNTIFS($D$7:$D$347,$D28,T$7:T$347,"&gt;"&amp;T28)+1)</f>
        <v>45</v>
      </c>
      <c r="AK28" s="34">
        <f>IF($D28 = "SPLIT", "",COUNTIFS($D$7:$D$347,$D28,X$7:X$347,"&lt;"&amp;X28)+1)</f>
        <v>3</v>
      </c>
      <c r="AL28" s="34">
        <f>IF($D28 = "SPLIT", "",COUNTIFS($D$7:$D$347,$D28,Z$7:Z$347,"&gt;"&amp;Z28)+1)</f>
        <v>33</v>
      </c>
      <c r="AM28" s="34">
        <f>IF($D28 = "SPLIT", "",COUNTIFS($D$7:$D$347,$D28,AB$7:AB$347,"&gt;"&amp;AB28)+1)</f>
        <v>32</v>
      </c>
      <c r="AN28" s="34">
        <f>IF($D28 = "SPLIT", "",COUNTIFS($D$7:$D$347,$D28,AD$7:AD$347,"&gt;"&amp;AD28)+1)</f>
        <v>34</v>
      </c>
      <c r="AO28" s="34">
        <f>IF($D28 = "SPLIT", "",COUNTIFS($D$7:$D$347,$D28,AF$7:AF$347,"&gt;"&amp;AF28)+1)</f>
        <v>31</v>
      </c>
    </row>
    <row r="29" spans="1:41" hidden="1" x14ac:dyDescent="0.25">
      <c r="A29" s="25">
        <v>540013</v>
      </c>
      <c r="B29" s="25" t="s">
        <v>85</v>
      </c>
      <c r="C29" s="25" t="s">
        <v>80</v>
      </c>
      <c r="D29" s="25" t="s">
        <v>55</v>
      </c>
      <c r="E29" s="26">
        <v>11</v>
      </c>
      <c r="F29" s="26" t="s">
        <v>86</v>
      </c>
      <c r="G29" s="26">
        <v>63</v>
      </c>
      <c r="H29" s="26">
        <v>0</v>
      </c>
      <c r="I29" s="26">
        <v>12</v>
      </c>
      <c r="J29" s="26">
        <v>0</v>
      </c>
      <c r="K29" s="26">
        <v>75</v>
      </c>
      <c r="L29" s="35">
        <v>0.84</v>
      </c>
      <c r="M29" s="35">
        <v>0</v>
      </c>
      <c r="N29" s="35">
        <v>0.16</v>
      </c>
      <c r="O29" s="35">
        <v>0</v>
      </c>
      <c r="P29" s="35">
        <v>0</v>
      </c>
      <c r="Q29" s="35">
        <v>0</v>
      </c>
      <c r="S29" s="26">
        <v>10</v>
      </c>
      <c r="T29" s="26">
        <v>2</v>
      </c>
      <c r="U29" s="26">
        <v>0</v>
      </c>
      <c r="W29" s="26">
        <v>1940.3</v>
      </c>
      <c r="X29" s="26">
        <v>1930</v>
      </c>
      <c r="Y29" s="28">
        <v>99325.9</v>
      </c>
      <c r="Z29" s="28">
        <v>58800</v>
      </c>
      <c r="AA29" s="28">
        <v>69808.899999999994</v>
      </c>
      <c r="AB29" s="28">
        <v>53550</v>
      </c>
      <c r="AC29" s="35">
        <v>8.5000000000000006E-2</v>
      </c>
      <c r="AD29" s="35">
        <v>6.6000000000000003E-2</v>
      </c>
      <c r="AE29" s="28">
        <v>13790.7</v>
      </c>
      <c r="AF29" s="28">
        <v>3989.6</v>
      </c>
      <c r="AH29" s="29">
        <f>IF($D29 = "SPLIT", "",COUNTIFS($D$7:$D$347,$D29,N$7:N$347,"&gt;"&amp;N29)+1)</f>
        <v>85</v>
      </c>
      <c r="AI29" s="29">
        <f>IF($D29 = "SPLIT", "",COUNTIFS($D$7:$D$347,$D29,S$7:S$347,"&gt;"&amp;S29)+1)</f>
        <v>95</v>
      </c>
      <c r="AJ29" s="29">
        <f>IF($D29 = "SPLIT", "",COUNTIFS($D$7:$D$347,$D29,T$7:T$347,"&gt;"&amp;T29)+1)</f>
        <v>59</v>
      </c>
      <c r="AK29" s="29">
        <f>IF($D29 = "SPLIT", "",COUNTIFS($D$7:$D$347,$D29,X$7:X$347,"&lt;"&amp;X29)+1)</f>
        <v>48</v>
      </c>
      <c r="AL29" s="29">
        <f>IF($D29 = "SPLIT", "",COUNTIFS($D$7:$D$347,$D29,Z$7:Z$347,"&gt;"&amp;Z29)+1)</f>
        <v>49</v>
      </c>
      <c r="AM29" s="29">
        <f>IF($D29 = "SPLIT", "",COUNTIFS($D$7:$D$347,$D29,AB$7:AB$347,"&gt;"&amp;AB29)+1)</f>
        <v>52</v>
      </c>
      <c r="AN29" s="29">
        <f>IF($D29 = "SPLIT", "",COUNTIFS($D$7:$D$347,$D29,AD$7:AD$347,"&gt;"&amp;AD29)+1)</f>
        <v>148</v>
      </c>
      <c r="AO29" s="29">
        <f>IF($D29 = "SPLIT", "",COUNTIFS($D$7:$D$347,$D29,AF$7:AF$347,"&gt;"&amp;AF29)+1)</f>
        <v>116</v>
      </c>
    </row>
    <row r="30" spans="1:41" hidden="1" x14ac:dyDescent="0.25">
      <c r="A30" s="25">
        <v>540014</v>
      </c>
      <c r="B30" s="25" t="s">
        <v>87</v>
      </c>
      <c r="C30" s="25" t="s">
        <v>80</v>
      </c>
      <c r="D30" s="25" t="s">
        <v>88</v>
      </c>
      <c r="E30" s="26">
        <v>11</v>
      </c>
      <c r="F30" s="26" t="s">
        <v>82</v>
      </c>
      <c r="G30" s="26">
        <v>27</v>
      </c>
      <c r="H30" s="26">
        <v>7</v>
      </c>
      <c r="I30" s="26">
        <v>13</v>
      </c>
      <c r="J30" s="26">
        <v>0</v>
      </c>
      <c r="K30" s="26">
        <v>47</v>
      </c>
      <c r="L30" s="35">
        <v>0.57399999999999995</v>
      </c>
      <c r="M30" s="35">
        <v>0.14899999999999999</v>
      </c>
      <c r="N30" s="35">
        <v>0.27700000000000002</v>
      </c>
      <c r="O30" s="35">
        <v>0</v>
      </c>
      <c r="P30" s="35">
        <v>0</v>
      </c>
      <c r="Q30" s="35">
        <v>0</v>
      </c>
      <c r="S30" s="26">
        <v>6</v>
      </c>
      <c r="T30" s="26">
        <v>1</v>
      </c>
      <c r="U30" s="26">
        <v>0</v>
      </c>
      <c r="W30" s="26">
        <v>1969.5</v>
      </c>
      <c r="X30" s="26">
        <v>1967</v>
      </c>
      <c r="Y30" s="28">
        <v>465709.1</v>
      </c>
      <c r="Z30" s="28">
        <v>69500</v>
      </c>
      <c r="AA30" s="28">
        <v>420066.4</v>
      </c>
      <c r="AB30" s="28">
        <v>30365</v>
      </c>
      <c r="AC30" s="35">
        <v>6.8000000000000005E-2</v>
      </c>
      <c r="AD30" s="35">
        <v>4.2000000000000003E-2</v>
      </c>
      <c r="AE30" s="28">
        <v>21103.599999999999</v>
      </c>
      <c r="AF30" s="28">
        <v>3107</v>
      </c>
      <c r="AH30" s="29" t="str">
        <f>IF($D30 = "SPLIT", "",COUNTIFS($D$7:$D$347,$D30,N$7:N$347,"&gt;"&amp;N30)+1)</f>
        <v/>
      </c>
      <c r="AI30" s="29" t="str">
        <f>IF($D30 = "SPLIT", "",COUNTIFS($D$7:$D$347,$D30,S$7:S$347,"&gt;"&amp;S30)+1)</f>
        <v/>
      </c>
      <c r="AJ30" s="29" t="str">
        <f>IF($D30 = "SPLIT", "",COUNTIFS($D$7:$D$347,$D30,T$7:T$347,"&gt;"&amp;T30)+1)</f>
        <v/>
      </c>
      <c r="AK30" s="29" t="str">
        <f>IF($D30 = "SPLIT", "",COUNTIFS($D$7:$D$347,$D30,X$7:X$347,"&lt;"&amp;X30)+1)</f>
        <v/>
      </c>
      <c r="AL30" s="29" t="str">
        <f>IF($D30 = "SPLIT", "",COUNTIFS($D$7:$D$347,$D30,Z$7:Z$347,"&gt;"&amp;Z30)+1)</f>
        <v/>
      </c>
      <c r="AM30" s="29" t="str">
        <f>IF($D30 = "SPLIT", "",COUNTIFS($D$7:$D$347,$D30,AB$7:AB$347,"&gt;"&amp;AB30)+1)</f>
        <v/>
      </c>
      <c r="AN30" s="29" t="str">
        <f>IF($D30 = "SPLIT", "",COUNTIFS($D$7:$D$347,$D30,AD$7:AD$347,"&gt;"&amp;AD30)+1)</f>
        <v/>
      </c>
      <c r="AO30" s="29" t="str">
        <f>IF($D30 = "SPLIT", "",COUNTIFS($D$7:$D$347,$D30,AF$7:AF$347,"&gt;"&amp;AF30)+1)</f>
        <v/>
      </c>
    </row>
    <row r="31" spans="1:41" hidden="1" x14ac:dyDescent="0.25">
      <c r="A31" s="25">
        <v>540015</v>
      </c>
      <c r="B31" s="25" t="s">
        <v>89</v>
      </c>
      <c r="C31" s="25" t="s">
        <v>80</v>
      </c>
      <c r="D31" s="25" t="s">
        <v>55</v>
      </c>
      <c r="E31" s="26">
        <v>11</v>
      </c>
      <c r="F31" s="26" t="s">
        <v>90</v>
      </c>
      <c r="G31" s="26">
        <v>743</v>
      </c>
      <c r="H31" s="26">
        <v>0</v>
      </c>
      <c r="I31" s="26">
        <v>46</v>
      </c>
      <c r="J31" s="26">
        <v>2</v>
      </c>
      <c r="K31" s="26">
        <v>791</v>
      </c>
      <c r="L31" s="35">
        <v>0.93899999999999995</v>
      </c>
      <c r="M31" s="35">
        <v>0</v>
      </c>
      <c r="N31" s="35">
        <v>5.8000000000000003E-2</v>
      </c>
      <c r="O31" s="35">
        <v>3.0000000000000001E-3</v>
      </c>
      <c r="P31" s="35">
        <v>0</v>
      </c>
      <c r="Q31" s="35">
        <v>0</v>
      </c>
      <c r="S31" s="26">
        <v>131</v>
      </c>
      <c r="T31" s="26">
        <v>9</v>
      </c>
      <c r="U31" s="26">
        <v>2</v>
      </c>
      <c r="W31" s="26">
        <v>1926.2</v>
      </c>
      <c r="X31" s="26">
        <v>1920</v>
      </c>
      <c r="Y31" s="28">
        <v>84562.5</v>
      </c>
      <c r="Z31" s="28">
        <v>51600</v>
      </c>
      <c r="AA31" s="28">
        <v>53782.8</v>
      </c>
      <c r="AB31" s="28">
        <v>49250</v>
      </c>
      <c r="AC31" s="35">
        <v>0.13300000000000001</v>
      </c>
      <c r="AD31" s="35">
        <v>0.108</v>
      </c>
      <c r="AE31" s="28">
        <v>9628.5</v>
      </c>
      <c r="AF31" s="28">
        <v>4244</v>
      </c>
      <c r="AH31" s="29">
        <f>IF($D31 = "SPLIT", "",COUNTIFS($D$7:$D$347,$D31,N$7:N$347,"&gt;"&amp;N31)+1)</f>
        <v>163</v>
      </c>
      <c r="AI31" s="29">
        <f>IF($D31 = "SPLIT", "",COUNTIFS($D$7:$D$347,$D31,S$7:S$347,"&gt;"&amp;S31)+1)</f>
        <v>9</v>
      </c>
      <c r="AJ31" s="29">
        <f>IF($D31 = "SPLIT", "",COUNTIFS($D$7:$D$347,$D31,T$7:T$347,"&gt;"&amp;T31)+1)</f>
        <v>23</v>
      </c>
      <c r="AK31" s="29">
        <f>IF($D31 = "SPLIT", "",COUNTIFS($D$7:$D$347,$D31,X$7:X$347,"&lt;"&amp;X31)+1)</f>
        <v>21</v>
      </c>
      <c r="AL31" s="29">
        <f>IF($D31 = "SPLIT", "",COUNTIFS($D$7:$D$347,$D31,Z$7:Z$347,"&gt;"&amp;Z31)+1)</f>
        <v>72</v>
      </c>
      <c r="AM31" s="29">
        <f>IF($D31 = "SPLIT", "",COUNTIFS($D$7:$D$347,$D31,AB$7:AB$347,"&gt;"&amp;AB31)+1)</f>
        <v>63</v>
      </c>
      <c r="AN31" s="29">
        <f>IF($D31 = "SPLIT", "",COUNTIFS($D$7:$D$347,$D31,AD$7:AD$347,"&gt;"&amp;AD31)+1)</f>
        <v>113</v>
      </c>
      <c r="AO31" s="29">
        <f>IF($D31 = "SPLIT", "",COUNTIFS($D$7:$D$347,$D31,AF$7:AF$347,"&gt;"&amp;AF31)+1)</f>
        <v>111</v>
      </c>
    </row>
    <row r="32" spans="1:41" hidden="1" x14ac:dyDescent="0.25">
      <c r="A32" s="160"/>
      <c r="B32" s="160"/>
      <c r="C32" s="160" t="s">
        <v>80</v>
      </c>
      <c r="D32" s="160" t="s">
        <v>2</v>
      </c>
      <c r="E32" s="161">
        <v>11</v>
      </c>
      <c r="F32" s="161"/>
      <c r="G32" s="161">
        <v>961</v>
      </c>
      <c r="H32" s="161">
        <v>14</v>
      </c>
      <c r="I32" s="161">
        <v>98</v>
      </c>
      <c r="J32" s="161">
        <v>6</v>
      </c>
      <c r="K32" s="161">
        <v>1079</v>
      </c>
      <c r="L32" s="162">
        <v>0.89100000000000001</v>
      </c>
      <c r="M32" s="162">
        <v>1.2999999999999999E-2</v>
      </c>
      <c r="N32" s="162">
        <v>9.0999999999999998E-2</v>
      </c>
      <c r="O32" s="162">
        <v>6.0000000000000001E-3</v>
      </c>
      <c r="P32" s="162">
        <v>3.0000000000000001E-3</v>
      </c>
      <c r="Q32" s="162">
        <v>0</v>
      </c>
      <c r="S32" s="161">
        <v>166</v>
      </c>
      <c r="T32" s="161">
        <v>19</v>
      </c>
      <c r="U32" s="161">
        <v>5</v>
      </c>
      <c r="W32" s="161">
        <v>1932.7</v>
      </c>
      <c r="X32" s="161">
        <v>1924</v>
      </c>
      <c r="Y32" s="163">
        <v>103711.8</v>
      </c>
      <c r="Z32" s="163">
        <v>50900</v>
      </c>
      <c r="AA32" s="163">
        <v>50961.1</v>
      </c>
      <c r="AB32" s="163">
        <v>47600</v>
      </c>
      <c r="AC32" s="162">
        <v>0.13200000000000001</v>
      </c>
      <c r="AD32" s="162">
        <v>0.107</v>
      </c>
      <c r="AE32" s="163">
        <v>10295.1</v>
      </c>
      <c r="AF32" s="163">
        <v>4281.1000000000004</v>
      </c>
      <c r="AH32" s="164">
        <f>IF($D32 = "SPLIT", "",COUNTIFS($D$7:$D$347,$D32,N$7:N$347,"&gt;"&amp;N32)+1)</f>
        <v>51</v>
      </c>
      <c r="AI32" s="164">
        <f>IF($D32 = "SPLIT", "",COUNTIFS($D$7:$D$347,$D32,S$7:S$347,"&gt;"&amp;S32)+1)</f>
        <v>33</v>
      </c>
      <c r="AJ32" s="164">
        <f>IF($D32 = "SPLIT", "",COUNTIFS($D$7:$D$347,$D32,T$7:T$347,"&gt;"&amp;T32)+1)</f>
        <v>39</v>
      </c>
      <c r="AK32" s="164">
        <f>IF($D32 = "SPLIT", "",COUNTIFS($D$7:$D$347,$D32,X$7:X$347,"&lt;"&amp;X32)+1)</f>
        <v>2</v>
      </c>
      <c r="AL32" s="164">
        <f>IF($D32 = "SPLIT", "",COUNTIFS($D$7:$D$347,$D32,Z$7:Z$347,"&gt;"&amp;Z32)+1)</f>
        <v>13</v>
      </c>
      <c r="AM32" s="164">
        <f>IF($D32 = "SPLIT", "",COUNTIFS($D$7:$D$347,$D32,AB$7:AB$347,"&gt;"&amp;AB32)+1)</f>
        <v>27</v>
      </c>
      <c r="AN32" s="164">
        <f>IF($D32 = "SPLIT", "",COUNTIFS($D$7:$D$347,$D32,AD$7:AD$347,"&gt;"&amp;AD32)+1)</f>
        <v>52</v>
      </c>
      <c r="AO32" s="164">
        <f>IF($D32 = "SPLIT", "",COUNTIFS($D$7:$D$347,$D32,AF$7:AF$347,"&gt;"&amp;AF32)+1)</f>
        <v>41</v>
      </c>
    </row>
    <row r="33" spans="1:41" hidden="1" x14ac:dyDescent="0.25">
      <c r="A33" s="25">
        <v>540017</v>
      </c>
      <c r="B33" s="25" t="s">
        <v>91</v>
      </c>
      <c r="C33" s="25" t="s">
        <v>92</v>
      </c>
      <c r="D33" s="25" t="s">
        <v>55</v>
      </c>
      <c r="E33" s="26">
        <v>2</v>
      </c>
      <c r="F33" s="26" t="s">
        <v>93</v>
      </c>
      <c r="G33" s="26">
        <v>30</v>
      </c>
      <c r="H33" s="26">
        <v>1</v>
      </c>
      <c r="I33" s="26">
        <v>12</v>
      </c>
      <c r="J33" s="26">
        <v>0</v>
      </c>
      <c r="K33" s="26">
        <v>43</v>
      </c>
      <c r="L33" s="35">
        <v>0.69799999999999995</v>
      </c>
      <c r="M33" s="35">
        <v>2.3E-2</v>
      </c>
      <c r="N33" s="35">
        <v>0.27900000000000003</v>
      </c>
      <c r="O33" s="35">
        <v>0</v>
      </c>
      <c r="P33" s="35">
        <v>0</v>
      </c>
      <c r="Q33" s="35">
        <v>0</v>
      </c>
      <c r="S33" s="26">
        <v>5</v>
      </c>
      <c r="T33" s="26">
        <v>0</v>
      </c>
      <c r="U33" s="26">
        <v>0</v>
      </c>
      <c r="W33" s="26">
        <v>1978</v>
      </c>
      <c r="X33" s="26">
        <v>1977</v>
      </c>
      <c r="Y33" s="28">
        <v>188210.5</v>
      </c>
      <c r="Z33" s="28">
        <v>80200</v>
      </c>
      <c r="AA33" s="28">
        <v>69455</v>
      </c>
      <c r="AB33" s="28">
        <v>67800</v>
      </c>
      <c r="AC33" s="35">
        <v>0.126</v>
      </c>
      <c r="AD33" s="35">
        <v>0.13600000000000001</v>
      </c>
      <c r="AE33" s="28">
        <v>17157.2</v>
      </c>
      <c r="AF33" s="28">
        <v>8109.4</v>
      </c>
      <c r="AH33" s="29">
        <f>IF($D33 = "SPLIT", "",COUNTIFS($D$7:$D$347,$D33,N$7:N$347,"&gt;"&amp;N33)+1)</f>
        <v>44</v>
      </c>
      <c r="AI33" s="29">
        <f>IF($D33 = "SPLIT", "",COUNTIFS($D$7:$D$347,$D33,S$7:S$347,"&gt;"&amp;S33)+1)</f>
        <v>110</v>
      </c>
      <c r="AJ33" s="29">
        <f>IF($D33 = "SPLIT", "",COUNTIFS($D$7:$D$347,$D33,T$7:T$347,"&gt;"&amp;T33)+1)</f>
        <v>113</v>
      </c>
      <c r="AK33" s="29">
        <f>IF($D33 = "SPLIT", "",COUNTIFS($D$7:$D$347,$D33,X$7:X$347,"&lt;"&amp;X33)+1)</f>
        <v>183</v>
      </c>
      <c r="AL33" s="29">
        <f>IF($D33 = "SPLIT", "",COUNTIFS($D$7:$D$347,$D33,Z$7:Z$347,"&gt;"&amp;Z33)+1)</f>
        <v>25</v>
      </c>
      <c r="AM33" s="29">
        <f>IF($D33 = "SPLIT", "",COUNTIFS($D$7:$D$347,$D33,AB$7:AB$347,"&gt;"&amp;AB33)+1)</f>
        <v>23</v>
      </c>
      <c r="AN33" s="29">
        <f>IF($D33 = "SPLIT", "",COUNTIFS($D$7:$D$347,$D33,AD$7:AD$347,"&gt;"&amp;AD33)+1)</f>
        <v>81</v>
      </c>
      <c r="AO33" s="29">
        <f>IF($D33 = "SPLIT", "",COUNTIFS($D$7:$D$347,$D33,AF$7:AF$347,"&gt;"&amp;AF33)+1)</f>
        <v>51</v>
      </c>
    </row>
    <row r="34" spans="1:41" hidden="1" x14ac:dyDescent="0.25">
      <c r="A34" s="30">
        <v>540016</v>
      </c>
      <c r="B34" s="30" t="s">
        <v>94</v>
      </c>
      <c r="C34" s="30" t="s">
        <v>92</v>
      </c>
      <c r="D34" s="30" t="s">
        <v>52</v>
      </c>
      <c r="E34" s="31">
        <v>2</v>
      </c>
      <c r="F34" s="31" t="s">
        <v>95</v>
      </c>
      <c r="G34" s="31">
        <v>1180</v>
      </c>
      <c r="H34" s="31">
        <v>53</v>
      </c>
      <c r="I34" s="31">
        <v>660</v>
      </c>
      <c r="J34" s="31">
        <v>10</v>
      </c>
      <c r="K34" s="31">
        <v>1903</v>
      </c>
      <c r="L34" s="32">
        <v>0.62</v>
      </c>
      <c r="M34" s="32">
        <v>2.8000000000000001E-2</v>
      </c>
      <c r="N34" s="32">
        <v>0.34699999999999998</v>
      </c>
      <c r="O34" s="32">
        <v>5.0000000000000001E-3</v>
      </c>
      <c r="P34" s="32">
        <v>5.0000000000000001E-3</v>
      </c>
      <c r="Q34" s="32">
        <v>0</v>
      </c>
      <c r="S34" s="31">
        <v>191</v>
      </c>
      <c r="T34" s="31">
        <v>44</v>
      </c>
      <c r="U34" s="31">
        <v>3</v>
      </c>
      <c r="W34" s="31">
        <v>1971.8</v>
      </c>
      <c r="X34" s="31">
        <v>1977</v>
      </c>
      <c r="Y34" s="33">
        <v>110112.4</v>
      </c>
      <c r="Z34" s="33">
        <v>45900</v>
      </c>
      <c r="AA34" s="33">
        <v>57848.800000000003</v>
      </c>
      <c r="AB34" s="33">
        <v>43600</v>
      </c>
      <c r="AC34" s="32">
        <v>0.17599999999999999</v>
      </c>
      <c r="AD34" s="32">
        <v>0.11700000000000001</v>
      </c>
      <c r="AE34" s="33">
        <v>11307.2</v>
      </c>
      <c r="AF34" s="33">
        <v>4752.2</v>
      </c>
      <c r="AH34" s="34">
        <f>IF($D34 = "SPLIT", "",COUNTIFS($D$7:$D$347,$D34,N$7:N$347,"&gt;"&amp;N34)+1)</f>
        <v>8</v>
      </c>
      <c r="AI34" s="34">
        <f>IF($D34 = "SPLIT", "",COUNTIFS($D$7:$D$347,$D34,S$7:S$347,"&gt;"&amp;S34)+1)</f>
        <v>20</v>
      </c>
      <c r="AJ34" s="34">
        <f>IF($D34 = "SPLIT", "",COUNTIFS($D$7:$D$347,$D34,T$7:T$347,"&gt;"&amp;T34)+1)</f>
        <v>14</v>
      </c>
      <c r="AK34" s="34">
        <f>IF($D34 = "SPLIT", "",COUNTIFS($D$7:$D$347,$D34,X$7:X$347,"&lt;"&amp;X34)+1)</f>
        <v>42</v>
      </c>
      <c r="AL34" s="34">
        <f>IF($D34 = "SPLIT", "",COUNTIFS($D$7:$D$347,$D34,Z$7:Z$347,"&gt;"&amp;Z34)+1)</f>
        <v>17</v>
      </c>
      <c r="AM34" s="34">
        <f>IF($D34 = "SPLIT", "",COUNTIFS($D$7:$D$347,$D34,AB$7:AB$347,"&gt;"&amp;AB34)+1)</f>
        <v>17</v>
      </c>
      <c r="AN34" s="34">
        <f>IF($D34 = "SPLIT", "",COUNTIFS($D$7:$D$347,$D34,AD$7:AD$347,"&gt;"&amp;AD34)+1)</f>
        <v>47</v>
      </c>
      <c r="AO34" s="34">
        <f>IF($D34 = "SPLIT", "",COUNTIFS($D$7:$D$347,$D34,AF$7:AF$347,"&gt;"&amp;AF34)+1)</f>
        <v>39</v>
      </c>
    </row>
    <row r="35" spans="1:41" hidden="1" x14ac:dyDescent="0.25">
      <c r="A35" s="25">
        <v>540018</v>
      </c>
      <c r="B35" s="25" t="s">
        <v>96</v>
      </c>
      <c r="C35" s="25" t="s">
        <v>92</v>
      </c>
      <c r="D35" s="25" t="s">
        <v>88</v>
      </c>
      <c r="E35" s="26">
        <v>2</v>
      </c>
      <c r="F35" s="26" t="s">
        <v>97</v>
      </c>
      <c r="G35" s="26">
        <v>893</v>
      </c>
      <c r="H35" s="26">
        <v>5</v>
      </c>
      <c r="I35" s="26">
        <v>18</v>
      </c>
      <c r="J35" s="26">
        <v>0</v>
      </c>
      <c r="K35" s="26">
        <v>916</v>
      </c>
      <c r="L35" s="35">
        <v>0.97499999999999998</v>
      </c>
      <c r="M35" s="35">
        <v>5.0000000000000001E-3</v>
      </c>
      <c r="N35" s="35">
        <v>0.02</v>
      </c>
      <c r="O35" s="35">
        <v>0</v>
      </c>
      <c r="P35" s="35">
        <v>0</v>
      </c>
      <c r="Q35" s="35">
        <v>0</v>
      </c>
      <c r="S35" s="26">
        <v>95</v>
      </c>
      <c r="T35" s="26">
        <v>0</v>
      </c>
      <c r="U35" s="26">
        <v>1</v>
      </c>
      <c r="W35" s="26">
        <v>1937.2</v>
      </c>
      <c r="X35" s="26">
        <v>1937</v>
      </c>
      <c r="Y35" s="28">
        <v>137558</v>
      </c>
      <c r="Z35" s="28">
        <v>84500</v>
      </c>
      <c r="AA35" s="28">
        <v>97569.5</v>
      </c>
      <c r="AB35" s="28">
        <v>83400</v>
      </c>
      <c r="AC35" s="35">
        <v>8.2000000000000003E-2</v>
      </c>
      <c r="AD35" s="35">
        <v>4.2999999999999997E-2</v>
      </c>
      <c r="AE35" s="28">
        <v>17918.599999999999</v>
      </c>
      <c r="AF35" s="28">
        <v>4464.8</v>
      </c>
      <c r="AH35" s="29" t="str">
        <f>IF($D35 = "SPLIT", "",COUNTIFS($D$7:$D$347,$D35,N$7:N$347,"&gt;"&amp;N35)+1)</f>
        <v/>
      </c>
      <c r="AI35" s="29" t="str">
        <f>IF($D35 = "SPLIT", "",COUNTIFS($D$7:$D$347,$D35,S$7:S$347,"&gt;"&amp;S35)+1)</f>
        <v/>
      </c>
      <c r="AJ35" s="29" t="str">
        <f>IF($D35 = "SPLIT", "",COUNTIFS($D$7:$D$347,$D35,T$7:T$347,"&gt;"&amp;T35)+1)</f>
        <v/>
      </c>
      <c r="AK35" s="29" t="str">
        <f>IF($D35 = "SPLIT", "",COUNTIFS($D$7:$D$347,$D35,X$7:X$347,"&lt;"&amp;X35)+1)</f>
        <v/>
      </c>
      <c r="AL35" s="29" t="str">
        <f>IF($D35 = "SPLIT", "",COUNTIFS($D$7:$D$347,$D35,Z$7:Z$347,"&gt;"&amp;Z35)+1)</f>
        <v/>
      </c>
      <c r="AM35" s="29" t="str">
        <f>IF($D35 = "SPLIT", "",COUNTIFS($D$7:$D$347,$D35,AB$7:AB$347,"&gt;"&amp;AB35)+1)</f>
        <v/>
      </c>
      <c r="AN35" s="29" t="str">
        <f>IF($D35 = "SPLIT", "",COUNTIFS($D$7:$D$347,$D35,AD$7:AD$347,"&gt;"&amp;AD35)+1)</f>
        <v/>
      </c>
      <c r="AO35" s="29" t="str">
        <f>IF($D35 = "SPLIT", "",COUNTIFS($D$7:$D$347,$D35,AF$7:AF$347,"&gt;"&amp;AF35)+1)</f>
        <v/>
      </c>
    </row>
    <row r="36" spans="1:41" hidden="1" x14ac:dyDescent="0.25">
      <c r="A36" s="25">
        <v>540019</v>
      </c>
      <c r="B36" s="25" t="s">
        <v>98</v>
      </c>
      <c r="C36" s="25" t="s">
        <v>92</v>
      </c>
      <c r="D36" s="25" t="s">
        <v>55</v>
      </c>
      <c r="E36" s="26">
        <v>2</v>
      </c>
      <c r="F36" s="26" t="s">
        <v>95</v>
      </c>
      <c r="G36" s="26">
        <v>341</v>
      </c>
      <c r="H36" s="26">
        <v>0</v>
      </c>
      <c r="I36" s="26">
        <v>77</v>
      </c>
      <c r="J36" s="26">
        <v>0</v>
      </c>
      <c r="K36" s="26">
        <v>418</v>
      </c>
      <c r="L36" s="35">
        <v>0.81599999999999995</v>
      </c>
      <c r="M36" s="35">
        <v>0</v>
      </c>
      <c r="N36" s="35">
        <v>0.184</v>
      </c>
      <c r="O36" s="35">
        <v>0</v>
      </c>
      <c r="P36" s="35">
        <v>0</v>
      </c>
      <c r="Q36" s="35">
        <v>0</v>
      </c>
      <c r="S36" s="26">
        <v>95</v>
      </c>
      <c r="T36" s="26">
        <v>5</v>
      </c>
      <c r="U36" s="26">
        <v>1</v>
      </c>
      <c r="W36" s="26">
        <v>1955</v>
      </c>
      <c r="X36" s="26">
        <v>1950</v>
      </c>
      <c r="Y36" s="28">
        <v>135156.6</v>
      </c>
      <c r="Z36" s="28">
        <v>52450</v>
      </c>
      <c r="AA36" s="28">
        <v>61198.5</v>
      </c>
      <c r="AB36" s="28">
        <v>48300</v>
      </c>
      <c r="AC36" s="35">
        <v>0.17499999999999999</v>
      </c>
      <c r="AD36" s="35">
        <v>0.14000000000000001</v>
      </c>
      <c r="AE36" s="28">
        <v>18369.5</v>
      </c>
      <c r="AF36" s="28">
        <v>6448.8</v>
      </c>
      <c r="AH36" s="29">
        <f>IF($D36 = "SPLIT", "",COUNTIFS($D$7:$D$347,$D36,N$7:N$347,"&gt;"&amp;N36)+1)</f>
        <v>74</v>
      </c>
      <c r="AI36" s="29">
        <f>IF($D36 = "SPLIT", "",COUNTIFS($D$7:$D$347,$D36,S$7:S$347,"&gt;"&amp;S36)+1)</f>
        <v>15</v>
      </c>
      <c r="AJ36" s="29">
        <f>IF($D36 = "SPLIT", "",COUNTIFS($D$7:$D$347,$D36,T$7:T$347,"&gt;"&amp;T36)+1)</f>
        <v>33</v>
      </c>
      <c r="AK36" s="29">
        <f>IF($D36 = "SPLIT", "",COUNTIFS($D$7:$D$347,$D36,X$7:X$347,"&lt;"&amp;X36)+1)</f>
        <v>120</v>
      </c>
      <c r="AL36" s="29">
        <f>IF($D36 = "SPLIT", "",COUNTIFS($D$7:$D$347,$D36,Z$7:Z$347,"&gt;"&amp;Z36)+1)</f>
        <v>67</v>
      </c>
      <c r="AM36" s="29">
        <f>IF($D36 = "SPLIT", "",COUNTIFS($D$7:$D$347,$D36,AB$7:AB$347,"&gt;"&amp;AB36)+1)</f>
        <v>65</v>
      </c>
      <c r="AN36" s="29">
        <f>IF($D36 = "SPLIT", "",COUNTIFS($D$7:$D$347,$D36,AD$7:AD$347,"&gt;"&amp;AD36)+1)</f>
        <v>78</v>
      </c>
      <c r="AO36" s="29">
        <f>IF($D36 = "SPLIT", "",COUNTIFS($D$7:$D$347,$D36,AF$7:AF$347,"&gt;"&amp;AF36)+1)</f>
        <v>76</v>
      </c>
    </row>
    <row r="37" spans="1:41" hidden="1" x14ac:dyDescent="0.25">
      <c r="A37" s="160"/>
      <c r="B37" s="160"/>
      <c r="C37" s="160" t="s">
        <v>92</v>
      </c>
      <c r="D37" s="160" t="s">
        <v>2</v>
      </c>
      <c r="E37" s="161">
        <v>2</v>
      </c>
      <c r="F37" s="161"/>
      <c r="G37" s="161">
        <v>2444</v>
      </c>
      <c r="H37" s="161">
        <v>59</v>
      </c>
      <c r="I37" s="161">
        <v>767</v>
      </c>
      <c r="J37" s="161">
        <v>10</v>
      </c>
      <c r="K37" s="161">
        <v>3280</v>
      </c>
      <c r="L37" s="162">
        <v>0.745</v>
      </c>
      <c r="M37" s="162">
        <v>1.7999999999999999E-2</v>
      </c>
      <c r="N37" s="162">
        <v>0.23400000000000001</v>
      </c>
      <c r="O37" s="162">
        <v>3.0000000000000001E-3</v>
      </c>
      <c r="P37" s="162">
        <v>3.0000000000000001E-3</v>
      </c>
      <c r="Q37" s="162">
        <v>0</v>
      </c>
      <c r="S37" s="161">
        <v>386</v>
      </c>
      <c r="T37" s="161">
        <v>49</v>
      </c>
      <c r="U37" s="161">
        <v>5</v>
      </c>
      <c r="W37" s="161">
        <v>1959.7</v>
      </c>
      <c r="X37" s="161">
        <v>1961</v>
      </c>
      <c r="Y37" s="163">
        <v>121992.5</v>
      </c>
      <c r="Z37" s="163">
        <v>55550</v>
      </c>
      <c r="AA37" s="163">
        <v>76513.399999999994</v>
      </c>
      <c r="AB37" s="163">
        <v>63900</v>
      </c>
      <c r="AC37" s="162">
        <v>0.14199999999999999</v>
      </c>
      <c r="AD37" s="162">
        <v>8.7999999999999995E-2</v>
      </c>
      <c r="AE37" s="163">
        <v>15114.3</v>
      </c>
      <c r="AF37" s="163">
        <v>4885.6000000000004</v>
      </c>
      <c r="AH37" s="164">
        <f>IF($D37 = "SPLIT", "",COUNTIFS($D$7:$D$347,$D37,N$7:N$347,"&gt;"&amp;N37)+1)</f>
        <v>24</v>
      </c>
      <c r="AI37" s="164">
        <f>IF($D37 = "SPLIT", "",COUNTIFS($D$7:$D$347,$D37,S$7:S$347,"&gt;"&amp;S37)+1)</f>
        <v>12</v>
      </c>
      <c r="AJ37" s="164">
        <f>IF($D37 = "SPLIT", "",COUNTIFS($D$7:$D$347,$D37,T$7:T$347,"&gt;"&amp;T37)+1)</f>
        <v>20</v>
      </c>
      <c r="AK37" s="164">
        <f>IF($D37 = "SPLIT", "",COUNTIFS($D$7:$D$347,$D37,X$7:X$347,"&lt;"&amp;X37)+1)</f>
        <v>21</v>
      </c>
      <c r="AL37" s="164">
        <f>IF($D37 = "SPLIT", "",COUNTIFS($D$7:$D$347,$D37,Z$7:Z$347,"&gt;"&amp;Z37)+1)</f>
        <v>8</v>
      </c>
      <c r="AM37" s="164">
        <f>IF($D37 = "SPLIT", "",COUNTIFS($D$7:$D$347,$D37,AB$7:AB$347,"&gt;"&amp;AB37)+1)</f>
        <v>8</v>
      </c>
      <c r="AN37" s="164">
        <f>IF($D37 = "SPLIT", "",COUNTIFS($D$7:$D$347,$D37,AD$7:AD$347,"&gt;"&amp;AD37)+1)</f>
        <v>54</v>
      </c>
      <c r="AO37" s="164">
        <f>IF($D37 = "SPLIT", "",COUNTIFS($D$7:$D$347,$D37,AF$7:AF$347,"&gt;"&amp;AF37)+1)</f>
        <v>37</v>
      </c>
    </row>
    <row r="38" spans="1:41" hidden="1" x14ac:dyDescent="0.25">
      <c r="A38" s="30">
        <v>540020</v>
      </c>
      <c r="B38" s="30" t="s">
        <v>99</v>
      </c>
      <c r="C38" s="30" t="s">
        <v>100</v>
      </c>
      <c r="D38" s="30" t="s">
        <v>52</v>
      </c>
      <c r="E38" s="31">
        <v>5</v>
      </c>
      <c r="F38" s="31" t="s">
        <v>101</v>
      </c>
      <c r="G38" s="31">
        <v>341</v>
      </c>
      <c r="H38" s="31">
        <v>0</v>
      </c>
      <c r="I38" s="31">
        <v>58</v>
      </c>
      <c r="J38" s="31">
        <v>82</v>
      </c>
      <c r="K38" s="31">
        <v>481</v>
      </c>
      <c r="L38" s="32">
        <v>0.70899999999999996</v>
      </c>
      <c r="M38" s="32">
        <v>0</v>
      </c>
      <c r="N38" s="32">
        <v>0.121</v>
      </c>
      <c r="O38" s="32">
        <v>0.17</v>
      </c>
      <c r="P38" s="32">
        <v>0.121</v>
      </c>
      <c r="Q38" s="32">
        <v>1.7000000000000001E-2</v>
      </c>
      <c r="S38" s="31">
        <v>64</v>
      </c>
      <c r="T38" s="31">
        <v>4</v>
      </c>
      <c r="U38" s="31">
        <v>9</v>
      </c>
      <c r="W38" s="31">
        <v>1956.2</v>
      </c>
      <c r="X38" s="31">
        <v>1958</v>
      </c>
      <c r="Y38" s="33">
        <v>47283.5</v>
      </c>
      <c r="Z38" s="33">
        <v>26500</v>
      </c>
      <c r="AA38" s="33">
        <v>31719.1</v>
      </c>
      <c r="AB38" s="33">
        <v>25100</v>
      </c>
      <c r="AC38" s="32">
        <v>0.28899999999999998</v>
      </c>
      <c r="AD38" s="32">
        <v>0.2</v>
      </c>
      <c r="AE38" s="33">
        <v>8859</v>
      </c>
      <c r="AF38" s="33">
        <v>5387.3</v>
      </c>
      <c r="AH38" s="34">
        <f>IF($D38 = "SPLIT", "",COUNTIFS($D$7:$D$347,$D38,N$7:N$347,"&gt;"&amp;N38)+1)</f>
        <v>52</v>
      </c>
      <c r="AI38" s="34">
        <f>IF($D38 = "SPLIT", "",COUNTIFS($D$7:$D$347,$D38,S$7:S$347,"&gt;"&amp;S38)+1)</f>
        <v>44</v>
      </c>
      <c r="AJ38" s="34">
        <f>IF($D38 = "SPLIT", "",COUNTIFS($D$7:$D$347,$D38,T$7:T$347,"&gt;"&amp;T38)+1)</f>
        <v>50</v>
      </c>
      <c r="AK38" s="34">
        <f>IF($D38 = "SPLIT", "",COUNTIFS($D$7:$D$347,$D38,X$7:X$347,"&lt;"&amp;X38)+1)</f>
        <v>5</v>
      </c>
      <c r="AL38" s="34">
        <f>IF($D38 = "SPLIT", "",COUNTIFS($D$7:$D$347,$D38,Z$7:Z$347,"&gt;"&amp;Z38)+1)</f>
        <v>47</v>
      </c>
      <c r="AM38" s="34">
        <f>IF($D38 = "SPLIT", "",COUNTIFS($D$7:$D$347,$D38,AB$7:AB$347,"&gt;"&amp;AB38)+1)</f>
        <v>48</v>
      </c>
      <c r="AN38" s="34">
        <f>IF($D38 = "SPLIT", "",COUNTIFS($D$7:$D$347,$D38,AD$7:AD$347,"&gt;"&amp;AD38)+1)</f>
        <v>23</v>
      </c>
      <c r="AO38" s="34">
        <f>IF($D38 = "SPLIT", "",COUNTIFS($D$7:$D$347,$D38,AF$7:AF$347,"&gt;"&amp;AF38)+1)</f>
        <v>36</v>
      </c>
    </row>
    <row r="39" spans="1:41" hidden="1" x14ac:dyDescent="0.25">
      <c r="A39" s="25">
        <v>540021</v>
      </c>
      <c r="B39" s="25" t="s">
        <v>102</v>
      </c>
      <c r="C39" s="25" t="s">
        <v>100</v>
      </c>
      <c r="D39" s="25" t="s">
        <v>55</v>
      </c>
      <c r="E39" s="26">
        <v>5</v>
      </c>
      <c r="F39" s="26" t="s">
        <v>101</v>
      </c>
      <c r="G39" s="26">
        <v>110</v>
      </c>
      <c r="H39" s="26">
        <v>0</v>
      </c>
      <c r="I39" s="26">
        <v>2</v>
      </c>
      <c r="J39" s="26">
        <v>19</v>
      </c>
      <c r="K39" s="26">
        <v>131</v>
      </c>
      <c r="L39" s="35">
        <v>0.84</v>
      </c>
      <c r="M39" s="35">
        <v>0</v>
      </c>
      <c r="N39" s="35">
        <v>1.4999999999999999E-2</v>
      </c>
      <c r="O39" s="35">
        <v>0.14499999999999999</v>
      </c>
      <c r="P39" s="35">
        <v>6.9000000000000006E-2</v>
      </c>
      <c r="Q39" s="35">
        <v>3.7999999999999999E-2</v>
      </c>
      <c r="S39" s="26">
        <v>3</v>
      </c>
      <c r="T39" s="26">
        <v>0</v>
      </c>
      <c r="U39" s="26">
        <v>0</v>
      </c>
      <c r="W39" s="26">
        <v>1950</v>
      </c>
      <c r="X39" s="26">
        <v>1949.5</v>
      </c>
      <c r="Y39" s="28">
        <v>49251.7</v>
      </c>
      <c r="Z39" s="28">
        <v>27600</v>
      </c>
      <c r="AA39" s="28">
        <v>28888.6</v>
      </c>
      <c r="AB39" s="28">
        <v>26400</v>
      </c>
      <c r="AC39" s="35">
        <v>0.112</v>
      </c>
      <c r="AD39" s="35">
        <v>9.0999999999999998E-2</v>
      </c>
      <c r="AE39" s="28">
        <v>4644.7</v>
      </c>
      <c r="AF39" s="28">
        <v>1445.4</v>
      </c>
      <c r="AH39" s="29">
        <f>IF($D39 = "SPLIT", "",COUNTIFS($D$7:$D$347,$D39,N$7:N$347,"&gt;"&amp;N39)+1)</f>
        <v>189</v>
      </c>
      <c r="AI39" s="29">
        <f>IF($D39 = "SPLIT", "",COUNTIFS($D$7:$D$347,$D39,S$7:S$347,"&gt;"&amp;S39)+1)</f>
        <v>130</v>
      </c>
      <c r="AJ39" s="29">
        <f>IF($D39 = "SPLIT", "",COUNTIFS($D$7:$D$347,$D39,T$7:T$347,"&gt;"&amp;T39)+1)</f>
        <v>113</v>
      </c>
      <c r="AK39" s="29">
        <f>IF($D39 = "SPLIT", "",COUNTIFS($D$7:$D$347,$D39,X$7:X$347,"&lt;"&amp;X39)+1)</f>
        <v>119</v>
      </c>
      <c r="AL39" s="29">
        <f>IF($D39 = "SPLIT", "",COUNTIFS($D$7:$D$347,$D39,Z$7:Z$347,"&gt;"&amp;Z39)+1)</f>
        <v>165</v>
      </c>
      <c r="AM39" s="29">
        <f>IF($D39 = "SPLIT", "",COUNTIFS($D$7:$D$347,$D39,AB$7:AB$347,"&gt;"&amp;AB39)+1)</f>
        <v>158</v>
      </c>
      <c r="AN39" s="29">
        <f>IF($D39 = "SPLIT", "",COUNTIFS($D$7:$D$347,$D39,AD$7:AD$347,"&gt;"&amp;AD39)+1)</f>
        <v>130</v>
      </c>
      <c r="AO39" s="29">
        <f>IF($D39 = "SPLIT", "",COUNTIFS($D$7:$D$347,$D39,AF$7:AF$347,"&gt;"&amp;AF39)+1)</f>
        <v>181</v>
      </c>
    </row>
    <row r="40" spans="1:41" hidden="1" x14ac:dyDescent="0.25">
      <c r="A40" s="160"/>
      <c r="B40" s="160"/>
      <c r="C40" s="160" t="s">
        <v>100</v>
      </c>
      <c r="D40" s="160" t="s">
        <v>2</v>
      </c>
      <c r="E40" s="161">
        <v>5</v>
      </c>
      <c r="F40" s="161"/>
      <c r="G40" s="161">
        <v>451</v>
      </c>
      <c r="H40" s="161">
        <v>0</v>
      </c>
      <c r="I40" s="161">
        <v>60</v>
      </c>
      <c r="J40" s="161">
        <v>101</v>
      </c>
      <c r="K40" s="161">
        <v>612</v>
      </c>
      <c r="L40" s="162">
        <v>0.73699999999999999</v>
      </c>
      <c r="M40" s="162">
        <v>0</v>
      </c>
      <c r="N40" s="162">
        <v>9.8000000000000004E-2</v>
      </c>
      <c r="O40" s="162">
        <v>0.16500000000000001</v>
      </c>
      <c r="P40" s="162">
        <v>0.109</v>
      </c>
      <c r="Q40" s="162">
        <v>2.1000000000000001E-2</v>
      </c>
      <c r="S40" s="161">
        <v>67</v>
      </c>
      <c r="T40" s="161">
        <v>4</v>
      </c>
      <c r="U40" s="161">
        <v>9</v>
      </c>
      <c r="W40" s="161">
        <v>1954.8</v>
      </c>
      <c r="X40" s="161">
        <v>1955</v>
      </c>
      <c r="Y40" s="163">
        <v>47704.800000000003</v>
      </c>
      <c r="Z40" s="163">
        <v>27050</v>
      </c>
      <c r="AA40" s="163">
        <v>35625.699999999997</v>
      </c>
      <c r="AB40" s="163">
        <v>29700</v>
      </c>
      <c r="AC40" s="162">
        <v>0.253</v>
      </c>
      <c r="AD40" s="162">
        <v>0.17599999999999999</v>
      </c>
      <c r="AE40" s="163">
        <v>8020.1</v>
      </c>
      <c r="AF40" s="163">
        <v>4685.7</v>
      </c>
      <c r="AH40" s="164">
        <f>IF($D40 = "SPLIT", "",COUNTIFS($D$7:$D$347,$D40,N$7:N$347,"&gt;"&amp;N40)+1)</f>
        <v>49</v>
      </c>
      <c r="AI40" s="164">
        <f>IF($D40 = "SPLIT", "",COUNTIFS($D$7:$D$347,$D40,S$7:S$347,"&gt;"&amp;S40)+1)</f>
        <v>50</v>
      </c>
      <c r="AJ40" s="164">
        <f>IF($D40 = "SPLIT", "",COUNTIFS($D$7:$D$347,$D40,T$7:T$347,"&gt;"&amp;T40)+1)</f>
        <v>52</v>
      </c>
      <c r="AK40" s="164">
        <f>IF($D40 = "SPLIT", "",COUNTIFS($D$7:$D$347,$D40,X$7:X$347,"&lt;"&amp;X40)+1)</f>
        <v>11</v>
      </c>
      <c r="AL40" s="164">
        <f>IF($D40 = "SPLIT", "",COUNTIFS($D$7:$D$347,$D40,Z$7:Z$347,"&gt;"&amp;Z40)+1)</f>
        <v>46</v>
      </c>
      <c r="AM40" s="164">
        <f>IF($D40 = "SPLIT", "",COUNTIFS($D$7:$D$347,$D40,AB$7:AB$347,"&gt;"&amp;AB40)+1)</f>
        <v>50</v>
      </c>
      <c r="AN40" s="164">
        <f>IF($D40 = "SPLIT", "",COUNTIFS($D$7:$D$347,$D40,AD$7:AD$347,"&gt;"&amp;AD40)+1)</f>
        <v>21</v>
      </c>
      <c r="AO40" s="164">
        <f>IF($D40 = "SPLIT", "",COUNTIFS($D$7:$D$347,$D40,AF$7:AF$347,"&gt;"&amp;AF40)+1)</f>
        <v>38</v>
      </c>
    </row>
    <row r="41" spans="1:41" hidden="1" x14ac:dyDescent="0.25">
      <c r="A41" s="25">
        <v>540023</v>
      </c>
      <c r="B41" s="25" t="s">
        <v>103</v>
      </c>
      <c r="C41" s="25" t="s">
        <v>104</v>
      </c>
      <c r="D41" s="25" t="s">
        <v>55</v>
      </c>
      <c r="E41" s="26">
        <v>3</v>
      </c>
      <c r="F41" s="26" t="s">
        <v>101</v>
      </c>
      <c r="G41" s="26">
        <v>39</v>
      </c>
      <c r="H41" s="26">
        <v>0</v>
      </c>
      <c r="I41" s="26">
        <v>12</v>
      </c>
      <c r="J41" s="26">
        <v>5</v>
      </c>
      <c r="K41" s="26">
        <v>56</v>
      </c>
      <c r="L41" s="35">
        <v>0.69599999999999995</v>
      </c>
      <c r="M41" s="35">
        <v>0</v>
      </c>
      <c r="N41" s="35">
        <v>0.214</v>
      </c>
      <c r="O41" s="35">
        <v>8.8999999999999996E-2</v>
      </c>
      <c r="P41" s="35">
        <v>8.8999999999999996E-2</v>
      </c>
      <c r="Q41" s="35">
        <v>0</v>
      </c>
      <c r="S41" s="26">
        <v>1</v>
      </c>
      <c r="T41" s="26">
        <v>1</v>
      </c>
      <c r="U41" s="26">
        <v>0</v>
      </c>
      <c r="W41" s="26">
        <v>1968.2</v>
      </c>
      <c r="X41" s="26">
        <v>1976</v>
      </c>
      <c r="Y41" s="28">
        <v>417717.4</v>
      </c>
      <c r="Z41" s="28">
        <v>36400</v>
      </c>
      <c r="AA41" s="28">
        <v>29987.5</v>
      </c>
      <c r="AB41" s="28">
        <v>26300</v>
      </c>
      <c r="AC41" s="35">
        <v>7.3999999999999996E-2</v>
      </c>
      <c r="AD41" s="35">
        <v>5.7000000000000002E-2</v>
      </c>
      <c r="AE41" s="28">
        <v>8756.7999999999993</v>
      </c>
      <c r="AF41" s="28">
        <v>1728</v>
      </c>
      <c r="AH41" s="29">
        <f>IF($D41 = "SPLIT", "",COUNTIFS($D$7:$D$347,$D41,N$7:N$347,"&gt;"&amp;N41)+1)</f>
        <v>64</v>
      </c>
      <c r="AI41" s="29">
        <f>IF($D41 = "SPLIT", "",COUNTIFS($D$7:$D$347,$D41,S$7:S$347,"&gt;"&amp;S41)+1)</f>
        <v>153</v>
      </c>
      <c r="AJ41" s="29">
        <f>IF($D41 = "SPLIT", "",COUNTIFS($D$7:$D$347,$D41,T$7:T$347,"&gt;"&amp;T41)+1)</f>
        <v>84</v>
      </c>
      <c r="AK41" s="29">
        <f>IF($D41 = "SPLIT", "",COUNTIFS($D$7:$D$347,$D41,X$7:X$347,"&lt;"&amp;X41)+1)</f>
        <v>181</v>
      </c>
      <c r="AL41" s="29">
        <f>IF($D41 = "SPLIT", "",COUNTIFS($D$7:$D$347,$D41,Z$7:Z$347,"&gt;"&amp;Z41)+1)</f>
        <v>127</v>
      </c>
      <c r="AM41" s="29">
        <f>IF($D41 = "SPLIT", "",COUNTIFS($D$7:$D$347,$D41,AB$7:AB$347,"&gt;"&amp;AB41)+1)</f>
        <v>159</v>
      </c>
      <c r="AN41" s="29">
        <f>IF($D41 = "SPLIT", "",COUNTIFS($D$7:$D$347,$D41,AD$7:AD$347,"&gt;"&amp;AD41)+1)</f>
        <v>158</v>
      </c>
      <c r="AO41" s="29">
        <f>IF($D41 = "SPLIT", "",COUNTIFS($D$7:$D$347,$D41,AF$7:AF$347,"&gt;"&amp;AF41)+1)</f>
        <v>174</v>
      </c>
    </row>
    <row r="42" spans="1:41" hidden="1" x14ac:dyDescent="0.25">
      <c r="A42" s="30">
        <v>540022</v>
      </c>
      <c r="B42" s="30" t="s">
        <v>105</v>
      </c>
      <c r="C42" s="30" t="s">
        <v>104</v>
      </c>
      <c r="D42" s="30" t="s">
        <v>52</v>
      </c>
      <c r="E42" s="31">
        <v>3</v>
      </c>
      <c r="F42" s="31" t="s">
        <v>101</v>
      </c>
      <c r="G42" s="31">
        <v>521</v>
      </c>
      <c r="H42" s="31">
        <v>13</v>
      </c>
      <c r="I42" s="31">
        <v>291</v>
      </c>
      <c r="J42" s="31">
        <v>150</v>
      </c>
      <c r="K42" s="31">
        <v>975</v>
      </c>
      <c r="L42" s="32">
        <v>0.53400000000000003</v>
      </c>
      <c r="M42" s="32">
        <v>1.2999999999999999E-2</v>
      </c>
      <c r="N42" s="32">
        <v>0.29799999999999999</v>
      </c>
      <c r="O42" s="32">
        <v>0.154</v>
      </c>
      <c r="P42" s="32">
        <v>0.11</v>
      </c>
      <c r="Q42" s="32">
        <v>5.0000000000000001E-3</v>
      </c>
      <c r="S42" s="31">
        <v>118</v>
      </c>
      <c r="T42" s="31">
        <v>29</v>
      </c>
      <c r="U42" s="31">
        <v>23</v>
      </c>
      <c r="W42" s="31">
        <v>1973.2</v>
      </c>
      <c r="X42" s="31">
        <v>1977</v>
      </c>
      <c r="Y42" s="33">
        <v>31100</v>
      </c>
      <c r="Z42" s="33">
        <v>20000</v>
      </c>
      <c r="AA42" s="33">
        <v>27490.9</v>
      </c>
      <c r="AB42" s="33">
        <v>19320</v>
      </c>
      <c r="AC42" s="32">
        <v>0.30099999999999999</v>
      </c>
      <c r="AD42" s="32">
        <v>0.253</v>
      </c>
      <c r="AE42" s="33">
        <v>8788.2000000000007</v>
      </c>
      <c r="AF42" s="33">
        <v>5845.8</v>
      </c>
      <c r="AH42" s="34">
        <f>IF($D42 = "SPLIT", "",COUNTIFS($D$7:$D$347,$D42,N$7:N$347,"&gt;"&amp;N42)+1)</f>
        <v>14</v>
      </c>
      <c r="AI42" s="34">
        <f>IF($D42 = "SPLIT", "",COUNTIFS($D$7:$D$347,$D42,S$7:S$347,"&gt;"&amp;S42)+1)</f>
        <v>31</v>
      </c>
      <c r="AJ42" s="34">
        <f>IF($D42 = "SPLIT", "",COUNTIFS($D$7:$D$347,$D42,T$7:T$347,"&gt;"&amp;T42)+1)</f>
        <v>23</v>
      </c>
      <c r="AK42" s="34">
        <f>IF($D42 = "SPLIT", "",COUNTIFS($D$7:$D$347,$D42,X$7:X$347,"&lt;"&amp;X42)+1)</f>
        <v>42</v>
      </c>
      <c r="AL42" s="34">
        <f>IF($D42 = "SPLIT", "",COUNTIFS($D$7:$D$347,$D42,Z$7:Z$347,"&gt;"&amp;Z42)+1)</f>
        <v>54</v>
      </c>
      <c r="AM42" s="34">
        <f>IF($D42 = "SPLIT", "",COUNTIFS($D$7:$D$347,$D42,AB$7:AB$347,"&gt;"&amp;AB42)+1)</f>
        <v>54</v>
      </c>
      <c r="AN42" s="34">
        <f>IF($D42 = "SPLIT", "",COUNTIFS($D$7:$D$347,$D42,AD$7:AD$347,"&gt;"&amp;AD42)+1)</f>
        <v>15</v>
      </c>
      <c r="AO42" s="34">
        <f>IF($D42 = "SPLIT", "",COUNTIFS($D$7:$D$347,$D42,AF$7:AF$347,"&gt;"&amp;AF42)+1)</f>
        <v>30</v>
      </c>
    </row>
    <row r="43" spans="1:41" hidden="1" x14ac:dyDescent="0.25">
      <c r="A43" s="160"/>
      <c r="B43" s="160"/>
      <c r="C43" s="160" t="s">
        <v>104</v>
      </c>
      <c r="D43" s="160" t="s">
        <v>2</v>
      </c>
      <c r="E43" s="161">
        <v>3</v>
      </c>
      <c r="F43" s="161"/>
      <c r="G43" s="161">
        <v>560</v>
      </c>
      <c r="H43" s="161">
        <v>13</v>
      </c>
      <c r="I43" s="161">
        <v>303</v>
      </c>
      <c r="J43" s="161">
        <v>155</v>
      </c>
      <c r="K43" s="161">
        <v>1031</v>
      </c>
      <c r="L43" s="162">
        <v>0.54300000000000004</v>
      </c>
      <c r="M43" s="162">
        <v>1.2999999999999999E-2</v>
      </c>
      <c r="N43" s="162">
        <v>0.29399999999999998</v>
      </c>
      <c r="O43" s="162">
        <v>0.15</v>
      </c>
      <c r="P43" s="162">
        <v>0.109</v>
      </c>
      <c r="Q43" s="162">
        <v>5.0000000000000001E-3</v>
      </c>
      <c r="S43" s="161">
        <v>119</v>
      </c>
      <c r="T43" s="161">
        <v>30</v>
      </c>
      <c r="U43" s="161">
        <v>23</v>
      </c>
      <c r="W43" s="161">
        <v>1972.9</v>
      </c>
      <c r="X43" s="161">
        <v>1977</v>
      </c>
      <c r="Y43" s="163">
        <v>52099.6</v>
      </c>
      <c r="Z43" s="163">
        <v>20400</v>
      </c>
      <c r="AA43" s="163">
        <v>35156.1</v>
      </c>
      <c r="AB43" s="163">
        <v>27800</v>
      </c>
      <c r="AC43" s="162">
        <v>0.29799999999999999</v>
      </c>
      <c r="AD43" s="162">
        <v>0.249</v>
      </c>
      <c r="AE43" s="163">
        <v>8787.7999999999993</v>
      </c>
      <c r="AF43" s="163">
        <v>5826.3</v>
      </c>
      <c r="AH43" s="164">
        <f>IF($D43 = "SPLIT", "",COUNTIFS($D$7:$D$347,$D43,N$7:N$347,"&gt;"&amp;N43)+1)</f>
        <v>11</v>
      </c>
      <c r="AI43" s="164">
        <f>IF($D43 = "SPLIT", "",COUNTIFS($D$7:$D$347,$D43,S$7:S$347,"&gt;"&amp;S43)+1)</f>
        <v>40</v>
      </c>
      <c r="AJ43" s="164">
        <f>IF($D43 = "SPLIT", "",COUNTIFS($D$7:$D$347,$D43,T$7:T$347,"&gt;"&amp;T43)+1)</f>
        <v>32</v>
      </c>
      <c r="AK43" s="164">
        <f>IF($D43 = "SPLIT", "",COUNTIFS($D$7:$D$347,$D43,X$7:X$347,"&lt;"&amp;X43)+1)</f>
        <v>47</v>
      </c>
      <c r="AL43" s="164">
        <f>IF($D43 = "SPLIT", "",COUNTIFS($D$7:$D$347,$D43,Z$7:Z$347,"&gt;"&amp;Z43)+1)</f>
        <v>54</v>
      </c>
      <c r="AM43" s="164">
        <f>IF($D43 = "SPLIT", "",COUNTIFS($D$7:$D$347,$D43,AB$7:AB$347,"&gt;"&amp;AB43)+1)</f>
        <v>52</v>
      </c>
      <c r="AN43" s="164">
        <f>IF($D43 = "SPLIT", "",COUNTIFS($D$7:$D$347,$D43,AD$7:AD$347,"&gt;"&amp;AD43)+1)</f>
        <v>10</v>
      </c>
      <c r="AO43" s="164">
        <f>IF($D43 = "SPLIT", "",COUNTIFS($D$7:$D$347,$D43,AF$7:AF$347,"&gt;"&amp;AF43)+1)</f>
        <v>30</v>
      </c>
    </row>
    <row r="44" spans="1:41" hidden="1" x14ac:dyDescent="0.25">
      <c r="A44" s="30">
        <v>540024</v>
      </c>
      <c r="B44" s="30" t="s">
        <v>106</v>
      </c>
      <c r="C44" s="30" t="s">
        <v>107</v>
      </c>
      <c r="D44" s="30" t="s">
        <v>52</v>
      </c>
      <c r="E44" s="31">
        <v>6</v>
      </c>
      <c r="F44" s="31" t="s">
        <v>101</v>
      </c>
      <c r="G44" s="31">
        <v>523</v>
      </c>
      <c r="H44" s="31">
        <v>12</v>
      </c>
      <c r="I44" s="31">
        <v>140</v>
      </c>
      <c r="J44" s="31">
        <v>83</v>
      </c>
      <c r="K44" s="31">
        <v>758</v>
      </c>
      <c r="L44" s="32">
        <v>0.69</v>
      </c>
      <c r="M44" s="32">
        <v>1.6E-2</v>
      </c>
      <c r="N44" s="32">
        <v>0.185</v>
      </c>
      <c r="O44" s="32">
        <v>0.109</v>
      </c>
      <c r="P44" s="32">
        <v>8.3000000000000004E-2</v>
      </c>
      <c r="Q44" s="32">
        <v>3.0000000000000001E-3</v>
      </c>
      <c r="S44" s="31">
        <v>43</v>
      </c>
      <c r="T44" s="31">
        <v>5</v>
      </c>
      <c r="U44" s="31">
        <v>6</v>
      </c>
      <c r="W44" s="31">
        <v>1956.9</v>
      </c>
      <c r="X44" s="31">
        <v>1970</v>
      </c>
      <c r="Y44" s="33">
        <v>46973.1</v>
      </c>
      <c r="Z44" s="33">
        <v>29950</v>
      </c>
      <c r="AA44" s="33">
        <v>40486.400000000001</v>
      </c>
      <c r="AB44" s="33">
        <v>27850</v>
      </c>
      <c r="AC44" s="32">
        <v>0.16700000000000001</v>
      </c>
      <c r="AD44" s="32">
        <v>0.113</v>
      </c>
      <c r="AE44" s="33">
        <v>6366.3</v>
      </c>
      <c r="AF44" s="33">
        <v>3049.2</v>
      </c>
      <c r="AH44" s="34">
        <f>IF($D44 = "SPLIT", "",COUNTIFS($D$7:$D$347,$D44,N$7:N$347,"&gt;"&amp;N44)+1)</f>
        <v>42</v>
      </c>
      <c r="AI44" s="34">
        <f>IF($D44 = "SPLIT", "",COUNTIFS($D$7:$D$347,$D44,S$7:S$347,"&gt;"&amp;S44)+1)</f>
        <v>49</v>
      </c>
      <c r="AJ44" s="34">
        <f>IF($D44 = "SPLIT", "",COUNTIFS($D$7:$D$347,$D44,T$7:T$347,"&gt;"&amp;T44)+1)</f>
        <v>48</v>
      </c>
      <c r="AK44" s="34">
        <f>IF($D44 = "SPLIT", "",COUNTIFS($D$7:$D$347,$D44,X$7:X$347,"&lt;"&amp;X44)+1)</f>
        <v>21</v>
      </c>
      <c r="AL44" s="34">
        <f>IF($D44 = "SPLIT", "",COUNTIFS($D$7:$D$347,$D44,Z$7:Z$347,"&gt;"&amp;Z44)+1)</f>
        <v>38</v>
      </c>
      <c r="AM44" s="34">
        <f>IF($D44 = "SPLIT", "",COUNTIFS($D$7:$D$347,$D44,AB$7:AB$347,"&gt;"&amp;AB44)+1)</f>
        <v>40</v>
      </c>
      <c r="AN44" s="34">
        <f>IF($D44 = "SPLIT", "",COUNTIFS($D$7:$D$347,$D44,AD$7:AD$347,"&gt;"&amp;AD44)+1)</f>
        <v>51</v>
      </c>
      <c r="AO44" s="34">
        <f>IF($D44 = "SPLIT", "",COUNTIFS($D$7:$D$347,$D44,AF$7:AF$347,"&gt;"&amp;AF44)+1)</f>
        <v>52</v>
      </c>
    </row>
    <row r="45" spans="1:41" hidden="1" x14ac:dyDescent="0.25">
      <c r="A45" s="25">
        <v>540025</v>
      </c>
      <c r="B45" s="25" t="s">
        <v>108</v>
      </c>
      <c r="C45" s="25" t="s">
        <v>107</v>
      </c>
      <c r="D45" s="25" t="s">
        <v>55</v>
      </c>
      <c r="E45" s="26">
        <v>6</v>
      </c>
      <c r="F45" s="26" t="s">
        <v>101</v>
      </c>
      <c r="G45" s="26">
        <v>23</v>
      </c>
      <c r="H45" s="26">
        <v>3</v>
      </c>
      <c r="I45" s="26">
        <v>2</v>
      </c>
      <c r="J45" s="26">
        <v>0</v>
      </c>
      <c r="K45" s="26">
        <v>28</v>
      </c>
      <c r="L45" s="35">
        <v>0.82099999999999995</v>
      </c>
      <c r="M45" s="35">
        <v>0.107</v>
      </c>
      <c r="N45" s="35">
        <v>7.0999999999999994E-2</v>
      </c>
      <c r="O45" s="35">
        <v>0</v>
      </c>
      <c r="P45" s="35">
        <v>0</v>
      </c>
      <c r="Q45" s="35">
        <v>0</v>
      </c>
      <c r="S45" s="26">
        <v>2</v>
      </c>
      <c r="T45" s="26">
        <v>0</v>
      </c>
      <c r="U45" s="26">
        <v>0</v>
      </c>
      <c r="W45" s="26">
        <v>1951.8</v>
      </c>
      <c r="X45" s="26">
        <v>1950</v>
      </c>
      <c r="Y45" s="28">
        <v>88810.7</v>
      </c>
      <c r="Z45" s="28">
        <v>35900</v>
      </c>
      <c r="AA45" s="28">
        <v>39204.199999999997</v>
      </c>
      <c r="AB45" s="28">
        <v>34600</v>
      </c>
      <c r="AC45" s="35">
        <v>0.14799999999999999</v>
      </c>
      <c r="AD45" s="35">
        <v>7.8E-2</v>
      </c>
      <c r="AE45" s="28">
        <v>5801.8</v>
      </c>
      <c r="AF45" s="28">
        <v>3272.8</v>
      </c>
      <c r="AH45" s="29">
        <f>IF($D45 = "SPLIT", "",COUNTIFS($D$7:$D$347,$D45,N$7:N$347,"&gt;"&amp;N45)+1)</f>
        <v>154</v>
      </c>
      <c r="AI45" s="29">
        <f>IF($D45 = "SPLIT", "",COUNTIFS($D$7:$D$347,$D45,S$7:S$347,"&gt;"&amp;S45)+1)</f>
        <v>141</v>
      </c>
      <c r="AJ45" s="29">
        <f>IF($D45 = "SPLIT", "",COUNTIFS($D$7:$D$347,$D45,T$7:T$347,"&gt;"&amp;T45)+1)</f>
        <v>113</v>
      </c>
      <c r="AK45" s="29">
        <f>IF($D45 = "SPLIT", "",COUNTIFS($D$7:$D$347,$D45,X$7:X$347,"&lt;"&amp;X45)+1)</f>
        <v>120</v>
      </c>
      <c r="AL45" s="29">
        <f>IF($D45 = "SPLIT", "",COUNTIFS($D$7:$D$347,$D45,Z$7:Z$347,"&gt;"&amp;Z45)+1)</f>
        <v>131</v>
      </c>
      <c r="AM45" s="29">
        <f>IF($D45 = "SPLIT", "",COUNTIFS($D$7:$D$347,$D45,AB$7:AB$347,"&gt;"&amp;AB45)+1)</f>
        <v>115</v>
      </c>
      <c r="AN45" s="29">
        <f>IF($D45 = "SPLIT", "",COUNTIFS($D$7:$D$347,$D45,AD$7:AD$347,"&gt;"&amp;AD45)+1)</f>
        <v>140</v>
      </c>
      <c r="AO45" s="29">
        <f>IF($D45 = "SPLIT", "",COUNTIFS($D$7:$D$347,$D45,AF$7:AF$347,"&gt;"&amp;AF45)+1)</f>
        <v>132</v>
      </c>
    </row>
    <row r="46" spans="1:41" hidden="1" x14ac:dyDescent="0.25">
      <c r="A46" s="160"/>
      <c r="B46" s="160"/>
      <c r="C46" s="160" t="s">
        <v>107</v>
      </c>
      <c r="D46" s="160" t="s">
        <v>2</v>
      </c>
      <c r="E46" s="161">
        <v>6</v>
      </c>
      <c r="F46" s="161"/>
      <c r="G46" s="161">
        <v>546</v>
      </c>
      <c r="H46" s="161">
        <v>15</v>
      </c>
      <c r="I46" s="161">
        <v>142</v>
      </c>
      <c r="J46" s="161">
        <v>83</v>
      </c>
      <c r="K46" s="161">
        <v>786</v>
      </c>
      <c r="L46" s="162">
        <v>0.69499999999999995</v>
      </c>
      <c r="M46" s="162">
        <v>1.9E-2</v>
      </c>
      <c r="N46" s="162">
        <v>0.18099999999999999</v>
      </c>
      <c r="O46" s="162">
        <v>0.106</v>
      </c>
      <c r="P46" s="162">
        <v>0.08</v>
      </c>
      <c r="Q46" s="162">
        <v>3.0000000000000001E-3</v>
      </c>
      <c r="S46" s="161">
        <v>45</v>
      </c>
      <c r="T46" s="161">
        <v>5</v>
      </c>
      <c r="U46" s="161">
        <v>6</v>
      </c>
      <c r="W46" s="161">
        <v>1956.6</v>
      </c>
      <c r="X46" s="161">
        <v>1970</v>
      </c>
      <c r="Y46" s="163">
        <v>48463.5</v>
      </c>
      <c r="Z46" s="163">
        <v>31200</v>
      </c>
      <c r="AA46" s="163">
        <v>50243.6</v>
      </c>
      <c r="AB46" s="163">
        <v>43000</v>
      </c>
      <c r="AC46" s="162">
        <v>0.16600000000000001</v>
      </c>
      <c r="AD46" s="162">
        <v>0.112</v>
      </c>
      <c r="AE46" s="163">
        <v>6330.1</v>
      </c>
      <c r="AF46" s="163">
        <v>3049.2</v>
      </c>
      <c r="AH46" s="164">
        <f>IF($D46 = "SPLIT", "",COUNTIFS($D$7:$D$347,$D46,N$7:N$347,"&gt;"&amp;N46)+1)</f>
        <v>36</v>
      </c>
      <c r="AI46" s="164">
        <f>IF($D46 = "SPLIT", "",COUNTIFS($D$7:$D$347,$D46,S$7:S$347,"&gt;"&amp;S46)+1)</f>
        <v>53</v>
      </c>
      <c r="AJ46" s="164">
        <f>IF($D46 = "SPLIT", "",COUNTIFS($D$7:$D$347,$D46,T$7:T$347,"&gt;"&amp;T46)+1)</f>
        <v>51</v>
      </c>
      <c r="AK46" s="164">
        <f>IF($D46 = "SPLIT", "",COUNTIFS($D$7:$D$347,$D46,X$7:X$347,"&lt;"&amp;X46)+1)</f>
        <v>32</v>
      </c>
      <c r="AL46" s="164">
        <f>IF($D46 = "SPLIT", "",COUNTIFS($D$7:$D$347,$D46,Z$7:Z$347,"&gt;"&amp;Z46)+1)</f>
        <v>41</v>
      </c>
      <c r="AM46" s="164">
        <f>IF($D46 = "SPLIT", "",COUNTIFS($D$7:$D$347,$D46,AB$7:AB$347,"&gt;"&amp;AB46)+1)</f>
        <v>32</v>
      </c>
      <c r="AN46" s="164">
        <f>IF($D46 = "SPLIT", "",COUNTIFS($D$7:$D$347,$D46,AD$7:AD$347,"&gt;"&amp;AD46)+1)</f>
        <v>50</v>
      </c>
      <c r="AO46" s="164">
        <f>IF($D46 = "SPLIT", "",COUNTIFS($D$7:$D$347,$D46,AF$7:AF$347,"&gt;"&amp;AF46)+1)</f>
        <v>52</v>
      </c>
    </row>
    <row r="47" spans="1:41" hidden="1" x14ac:dyDescent="0.25">
      <c r="A47" s="25">
        <v>540027</v>
      </c>
      <c r="B47" s="25" t="s">
        <v>109</v>
      </c>
      <c r="C47" s="25" t="s">
        <v>110</v>
      </c>
      <c r="D47" s="25" t="s">
        <v>55</v>
      </c>
      <c r="E47" s="26">
        <v>4</v>
      </c>
      <c r="F47" s="26" t="s">
        <v>111</v>
      </c>
      <c r="G47" s="26">
        <v>1</v>
      </c>
      <c r="H47" s="26">
        <v>0</v>
      </c>
      <c r="I47" s="26">
        <v>0</v>
      </c>
      <c r="J47" s="26">
        <v>0</v>
      </c>
      <c r="K47" s="26">
        <v>1</v>
      </c>
      <c r="L47" s="35">
        <v>1</v>
      </c>
      <c r="M47" s="35">
        <v>0</v>
      </c>
      <c r="N47" s="35">
        <v>0</v>
      </c>
      <c r="O47" s="35">
        <v>0</v>
      </c>
      <c r="P47" s="35">
        <v>0</v>
      </c>
      <c r="Q47" s="35">
        <v>0</v>
      </c>
      <c r="S47" s="26">
        <v>0</v>
      </c>
      <c r="T47" s="26">
        <v>0</v>
      </c>
      <c r="U47" s="26">
        <v>0</v>
      </c>
      <c r="W47" s="26">
        <v>1946</v>
      </c>
      <c r="X47" s="26">
        <v>1946</v>
      </c>
      <c r="Y47" s="28">
        <v>65700</v>
      </c>
      <c r="Z47" s="28">
        <v>65700</v>
      </c>
      <c r="AA47" s="28">
        <v>65700</v>
      </c>
      <c r="AB47" s="28">
        <v>65700</v>
      </c>
      <c r="AC47" s="35">
        <v>0</v>
      </c>
      <c r="AD47" s="35">
        <v>0</v>
      </c>
      <c r="AE47" s="28">
        <v>0</v>
      </c>
      <c r="AF47" s="28">
        <v>0</v>
      </c>
      <c r="AH47" s="29">
        <f>IF($D47 = "SPLIT", "",COUNTIFS($D$7:$D$347,$D47,N$7:N$347,"&gt;"&amp;N47)+1)</f>
        <v>195</v>
      </c>
      <c r="AI47" s="29">
        <f>IF($D47 = "SPLIT", "",COUNTIFS($D$7:$D$347,$D47,S$7:S$347,"&gt;"&amp;S47)+1)</f>
        <v>177</v>
      </c>
      <c r="AJ47" s="29">
        <f>IF($D47 = "SPLIT", "",COUNTIFS($D$7:$D$347,$D47,T$7:T$347,"&gt;"&amp;T47)+1)</f>
        <v>113</v>
      </c>
      <c r="AK47" s="29">
        <f>IF($D47 = "SPLIT", "",COUNTIFS($D$7:$D$347,$D47,X$7:X$347,"&lt;"&amp;X47)+1)</f>
        <v>101</v>
      </c>
      <c r="AL47" s="29">
        <f>IF($D47 = "SPLIT", "",COUNTIFS($D$7:$D$347,$D47,Z$7:Z$347,"&gt;"&amp;Z47)+1)</f>
        <v>42</v>
      </c>
      <c r="AM47" s="29">
        <f>IF($D47 = "SPLIT", "",COUNTIFS($D$7:$D$347,$D47,AB$7:AB$347,"&gt;"&amp;AB47)+1)</f>
        <v>28</v>
      </c>
      <c r="AN47" s="29">
        <f>IF($D47 = "SPLIT", "",COUNTIFS($D$7:$D$347,$D47,AD$7:AD$347,"&gt;"&amp;AD47)+1)</f>
        <v>198</v>
      </c>
      <c r="AO47" s="29">
        <f>IF($D47 = "SPLIT", "",COUNTIFS($D$7:$D$347,$D47,AF$7:AF$347,"&gt;"&amp;AF47)+1)</f>
        <v>198</v>
      </c>
    </row>
    <row r="48" spans="1:41" hidden="1" x14ac:dyDescent="0.25">
      <c r="A48" s="30">
        <v>540026</v>
      </c>
      <c r="B48" s="30" t="s">
        <v>112</v>
      </c>
      <c r="C48" s="30" t="s">
        <v>110</v>
      </c>
      <c r="D48" s="30" t="s">
        <v>52</v>
      </c>
      <c r="E48" s="31">
        <v>4</v>
      </c>
      <c r="F48" s="31" t="s">
        <v>113</v>
      </c>
      <c r="G48" s="31">
        <v>1129</v>
      </c>
      <c r="H48" s="31">
        <v>106</v>
      </c>
      <c r="I48" s="31">
        <v>192</v>
      </c>
      <c r="J48" s="31">
        <v>101</v>
      </c>
      <c r="K48" s="31">
        <v>1528</v>
      </c>
      <c r="L48" s="32">
        <v>0.73899999999999999</v>
      </c>
      <c r="M48" s="32">
        <v>6.9000000000000006E-2</v>
      </c>
      <c r="N48" s="32">
        <v>0.126</v>
      </c>
      <c r="O48" s="32">
        <v>6.6000000000000003E-2</v>
      </c>
      <c r="P48" s="32">
        <v>4.3999999999999997E-2</v>
      </c>
      <c r="Q48" s="32">
        <v>6.0000000000000001E-3</v>
      </c>
      <c r="S48" s="31">
        <v>159</v>
      </c>
      <c r="T48" s="31">
        <v>16</v>
      </c>
      <c r="U48" s="31">
        <v>28</v>
      </c>
      <c r="W48" s="31">
        <v>1949.1</v>
      </c>
      <c r="X48" s="31">
        <v>1945</v>
      </c>
      <c r="Y48" s="33">
        <v>49318.5</v>
      </c>
      <c r="Z48" s="33">
        <v>28600</v>
      </c>
      <c r="AA48" s="33">
        <v>35419.5</v>
      </c>
      <c r="AB48" s="33">
        <v>28100</v>
      </c>
      <c r="AC48" s="32">
        <v>0.19800000000000001</v>
      </c>
      <c r="AD48" s="32">
        <v>0.11700000000000001</v>
      </c>
      <c r="AE48" s="33">
        <v>6776.5</v>
      </c>
      <c r="AF48" s="33">
        <v>3383.8</v>
      </c>
      <c r="AH48" s="34">
        <f>IF($D48 = "SPLIT", "",COUNTIFS($D$7:$D$347,$D48,N$7:N$347,"&gt;"&amp;N48)+1)</f>
        <v>51</v>
      </c>
      <c r="AI48" s="34">
        <f>IF($D48 = "SPLIT", "",COUNTIFS($D$7:$D$347,$D48,S$7:S$347,"&gt;"&amp;S48)+1)</f>
        <v>24</v>
      </c>
      <c r="AJ48" s="34">
        <f>IF($D48 = "SPLIT", "",COUNTIFS($D$7:$D$347,$D48,T$7:T$347,"&gt;"&amp;T48)+1)</f>
        <v>34</v>
      </c>
      <c r="AK48" s="34">
        <f>IF($D48 = "SPLIT", "",COUNTIFS($D$7:$D$347,$D48,X$7:X$347,"&lt;"&amp;X48)+1)</f>
        <v>2</v>
      </c>
      <c r="AL48" s="34">
        <f>IF($D48 = "SPLIT", "",COUNTIFS($D$7:$D$347,$D48,Z$7:Z$347,"&gt;"&amp;Z48)+1)</f>
        <v>42</v>
      </c>
      <c r="AM48" s="34">
        <f>IF($D48 = "SPLIT", "",COUNTIFS($D$7:$D$347,$D48,AB$7:AB$347,"&gt;"&amp;AB48)+1)</f>
        <v>39</v>
      </c>
      <c r="AN48" s="34">
        <f>IF($D48 = "SPLIT", "",COUNTIFS($D$7:$D$347,$D48,AD$7:AD$347,"&gt;"&amp;AD48)+1)</f>
        <v>47</v>
      </c>
      <c r="AO48" s="34">
        <f>IF($D48 = "SPLIT", "",COUNTIFS($D$7:$D$347,$D48,AF$7:AF$347,"&gt;"&amp;AF48)+1)</f>
        <v>48</v>
      </c>
    </row>
    <row r="49" spans="1:41" hidden="1" x14ac:dyDescent="0.25">
      <c r="A49" s="25">
        <v>540294</v>
      </c>
      <c r="B49" s="25" t="s">
        <v>114</v>
      </c>
      <c r="C49" s="25" t="s">
        <v>110</v>
      </c>
      <c r="D49" s="25" t="s">
        <v>55</v>
      </c>
      <c r="E49" s="26">
        <v>4</v>
      </c>
      <c r="F49" s="26" t="s">
        <v>115</v>
      </c>
      <c r="G49" s="26">
        <v>42</v>
      </c>
      <c r="H49" s="26">
        <v>1</v>
      </c>
      <c r="I49" s="26">
        <v>2</v>
      </c>
      <c r="J49" s="26">
        <v>0</v>
      </c>
      <c r="K49" s="26">
        <v>45</v>
      </c>
      <c r="L49" s="35">
        <v>0.93300000000000005</v>
      </c>
      <c r="M49" s="35">
        <v>2.1999999999999999E-2</v>
      </c>
      <c r="N49" s="35">
        <v>4.3999999999999997E-2</v>
      </c>
      <c r="O49" s="35">
        <v>0</v>
      </c>
      <c r="P49" s="35">
        <v>0</v>
      </c>
      <c r="Q49" s="35">
        <v>0</v>
      </c>
      <c r="S49" s="26">
        <v>5</v>
      </c>
      <c r="T49" s="26">
        <v>0</v>
      </c>
      <c r="U49" s="26">
        <v>0</v>
      </c>
      <c r="W49" s="26">
        <v>1953.2</v>
      </c>
      <c r="X49" s="26">
        <v>1947.5</v>
      </c>
      <c r="Y49" s="28">
        <v>70468.399999999994</v>
      </c>
      <c r="Z49" s="28">
        <v>35600</v>
      </c>
      <c r="AA49" s="28">
        <v>41389.5</v>
      </c>
      <c r="AB49" s="28">
        <v>28000</v>
      </c>
      <c r="AC49" s="35">
        <v>0.104</v>
      </c>
      <c r="AD49" s="35">
        <v>8.4000000000000005E-2</v>
      </c>
      <c r="AE49" s="28">
        <v>5684.7</v>
      </c>
      <c r="AF49" s="28">
        <v>3367.1</v>
      </c>
      <c r="AH49" s="29">
        <f>IF($D49 = "SPLIT", "",COUNTIFS($D$7:$D$347,$D49,N$7:N$347,"&gt;"&amp;N49)+1)</f>
        <v>170</v>
      </c>
      <c r="AI49" s="29">
        <f>IF($D49 = "SPLIT", "",COUNTIFS($D$7:$D$347,$D49,S$7:S$347,"&gt;"&amp;S49)+1)</f>
        <v>110</v>
      </c>
      <c r="AJ49" s="29">
        <f>IF($D49 = "SPLIT", "",COUNTIFS($D$7:$D$347,$D49,T$7:T$347,"&gt;"&amp;T49)+1)</f>
        <v>113</v>
      </c>
      <c r="AK49" s="29">
        <f>IF($D49 = "SPLIT", "",COUNTIFS($D$7:$D$347,$D49,X$7:X$347,"&lt;"&amp;X49)+1)</f>
        <v>110</v>
      </c>
      <c r="AL49" s="29">
        <f>IF($D49 = "SPLIT", "",COUNTIFS($D$7:$D$347,$D49,Z$7:Z$347,"&gt;"&amp;Z49)+1)</f>
        <v>134</v>
      </c>
      <c r="AM49" s="29">
        <f>IF($D49 = "SPLIT", "",COUNTIFS($D$7:$D$347,$D49,AB$7:AB$347,"&gt;"&amp;AB49)+1)</f>
        <v>152</v>
      </c>
      <c r="AN49" s="29">
        <f>IF($D49 = "SPLIT", "",COUNTIFS($D$7:$D$347,$D49,AD$7:AD$347,"&gt;"&amp;AD49)+1)</f>
        <v>135</v>
      </c>
      <c r="AO49" s="29">
        <f>IF($D49 = "SPLIT", "",COUNTIFS($D$7:$D$347,$D49,AF$7:AF$347,"&gt;"&amp;AF49)+1)</f>
        <v>131</v>
      </c>
    </row>
    <row r="50" spans="1:41" hidden="1" x14ac:dyDescent="0.25">
      <c r="A50" s="25">
        <v>540028</v>
      </c>
      <c r="B50" s="25" t="s">
        <v>116</v>
      </c>
      <c r="C50" s="25" t="s">
        <v>110</v>
      </c>
      <c r="D50" s="25" t="s">
        <v>55</v>
      </c>
      <c r="E50" s="26">
        <v>4</v>
      </c>
      <c r="F50" s="26" t="s">
        <v>117</v>
      </c>
      <c r="G50" s="26">
        <v>15</v>
      </c>
      <c r="H50" s="26">
        <v>0</v>
      </c>
      <c r="I50" s="26">
        <v>4</v>
      </c>
      <c r="J50" s="26">
        <v>4</v>
      </c>
      <c r="K50" s="26">
        <v>23</v>
      </c>
      <c r="L50" s="35">
        <v>0.65200000000000002</v>
      </c>
      <c r="M50" s="35">
        <v>0</v>
      </c>
      <c r="N50" s="35">
        <v>0.17399999999999999</v>
      </c>
      <c r="O50" s="35">
        <v>0.17399999999999999</v>
      </c>
      <c r="P50" s="35">
        <v>0.17399999999999999</v>
      </c>
      <c r="Q50" s="35">
        <v>0</v>
      </c>
      <c r="S50" s="26">
        <v>0</v>
      </c>
      <c r="T50" s="26">
        <v>0</v>
      </c>
      <c r="U50" s="26">
        <v>0</v>
      </c>
      <c r="W50" s="26">
        <v>1944.6</v>
      </c>
      <c r="X50" s="26">
        <v>1936</v>
      </c>
      <c r="Y50" s="28">
        <v>31201.7</v>
      </c>
      <c r="Z50" s="28">
        <v>24510</v>
      </c>
      <c r="AA50" s="28">
        <v>33092.400000000001</v>
      </c>
      <c r="AB50" s="28">
        <v>28500</v>
      </c>
      <c r="AC50" s="35">
        <v>0.11600000000000001</v>
      </c>
      <c r="AD50" s="35">
        <v>8.1000000000000003E-2</v>
      </c>
      <c r="AE50" s="28">
        <v>2954.7</v>
      </c>
      <c r="AF50" s="28">
        <v>2276</v>
      </c>
      <c r="AH50" s="29">
        <f>IF($D50 = "SPLIT", "",COUNTIFS($D$7:$D$347,$D50,N$7:N$347,"&gt;"&amp;N50)+1)</f>
        <v>77</v>
      </c>
      <c r="AI50" s="29">
        <f>IF($D50 = "SPLIT", "",COUNTIFS($D$7:$D$347,$D50,S$7:S$347,"&gt;"&amp;S50)+1)</f>
        <v>177</v>
      </c>
      <c r="AJ50" s="29">
        <f>IF($D50 = "SPLIT", "",COUNTIFS($D$7:$D$347,$D50,T$7:T$347,"&gt;"&amp;T50)+1)</f>
        <v>113</v>
      </c>
      <c r="AK50" s="29">
        <f>IF($D50 = "SPLIT", "",COUNTIFS($D$7:$D$347,$D50,X$7:X$347,"&lt;"&amp;X50)+1)</f>
        <v>63</v>
      </c>
      <c r="AL50" s="29">
        <f>IF($D50 = "SPLIT", "",COUNTIFS($D$7:$D$347,$D50,Z$7:Z$347,"&gt;"&amp;Z50)+1)</f>
        <v>176</v>
      </c>
      <c r="AM50" s="29">
        <f>IF($D50 = "SPLIT", "",COUNTIFS($D$7:$D$347,$D50,AB$7:AB$347,"&gt;"&amp;AB50)+1)</f>
        <v>146</v>
      </c>
      <c r="AN50" s="29">
        <f>IF($D50 = "SPLIT", "",COUNTIFS($D$7:$D$347,$D50,AD$7:AD$347,"&gt;"&amp;AD50)+1)</f>
        <v>138</v>
      </c>
      <c r="AO50" s="29">
        <f>IF($D50 = "SPLIT", "",COUNTIFS($D$7:$D$347,$D50,AF$7:AF$347,"&gt;"&amp;AF50)+1)</f>
        <v>153</v>
      </c>
    </row>
    <row r="51" spans="1:41" hidden="1" x14ac:dyDescent="0.25">
      <c r="A51" s="25">
        <v>540029</v>
      </c>
      <c r="B51" s="25" t="s">
        <v>118</v>
      </c>
      <c r="C51" s="25" t="s">
        <v>110</v>
      </c>
      <c r="D51" s="25" t="s">
        <v>88</v>
      </c>
      <c r="E51" s="26">
        <v>4</v>
      </c>
      <c r="F51" s="26" t="s">
        <v>119</v>
      </c>
      <c r="G51" s="26">
        <v>7</v>
      </c>
      <c r="H51" s="26">
        <v>0</v>
      </c>
      <c r="I51" s="26">
        <v>4</v>
      </c>
      <c r="J51" s="26">
        <v>4</v>
      </c>
      <c r="K51" s="26">
        <v>15</v>
      </c>
      <c r="L51" s="35">
        <v>0.46700000000000003</v>
      </c>
      <c r="M51" s="35">
        <v>0</v>
      </c>
      <c r="N51" s="35">
        <v>0.26700000000000002</v>
      </c>
      <c r="O51" s="35">
        <v>0.26700000000000002</v>
      </c>
      <c r="P51" s="35">
        <v>6.7000000000000004E-2</v>
      </c>
      <c r="Q51" s="35">
        <v>0.2</v>
      </c>
      <c r="S51" s="26">
        <v>2</v>
      </c>
      <c r="T51" s="26">
        <v>0</v>
      </c>
      <c r="U51" s="26">
        <v>0</v>
      </c>
      <c r="W51" s="26">
        <v>1953.1</v>
      </c>
      <c r="X51" s="26">
        <v>1950</v>
      </c>
      <c r="Y51" s="28">
        <v>286526</v>
      </c>
      <c r="Z51" s="28">
        <v>55000</v>
      </c>
      <c r="AA51" s="28">
        <v>83303.8</v>
      </c>
      <c r="AB51" s="28">
        <v>50400</v>
      </c>
      <c r="AC51" s="35">
        <v>0.13</v>
      </c>
      <c r="AD51" s="35">
        <v>0.17699999999999999</v>
      </c>
      <c r="AE51" s="28">
        <v>12175.2</v>
      </c>
      <c r="AF51" s="28">
        <v>11564</v>
      </c>
      <c r="AH51" s="29" t="str">
        <f>IF($D51 = "SPLIT", "",COUNTIFS($D$7:$D$347,$D51,N$7:N$347,"&gt;"&amp;N51)+1)</f>
        <v/>
      </c>
      <c r="AI51" s="29" t="str">
        <f>IF($D51 = "SPLIT", "",COUNTIFS($D$7:$D$347,$D51,S$7:S$347,"&gt;"&amp;S51)+1)</f>
        <v/>
      </c>
      <c r="AJ51" s="29" t="str">
        <f>IF($D51 = "SPLIT", "",COUNTIFS($D$7:$D$347,$D51,T$7:T$347,"&gt;"&amp;T51)+1)</f>
        <v/>
      </c>
      <c r="AK51" s="29" t="str">
        <f>IF($D51 = "SPLIT", "",COUNTIFS($D$7:$D$347,$D51,X$7:X$347,"&lt;"&amp;X51)+1)</f>
        <v/>
      </c>
      <c r="AL51" s="29" t="str">
        <f>IF($D51 = "SPLIT", "",COUNTIFS($D$7:$D$347,$D51,Z$7:Z$347,"&gt;"&amp;Z51)+1)</f>
        <v/>
      </c>
      <c r="AM51" s="29" t="str">
        <f>IF($D51 = "SPLIT", "",COUNTIFS($D$7:$D$347,$D51,AB$7:AB$347,"&gt;"&amp;AB51)+1)</f>
        <v/>
      </c>
      <c r="AN51" s="29" t="str">
        <f>IF($D51 = "SPLIT", "",COUNTIFS($D$7:$D$347,$D51,AD$7:AD$347,"&gt;"&amp;AD51)+1)</f>
        <v/>
      </c>
      <c r="AO51" s="29" t="str">
        <f>IF($D51 = "SPLIT", "",COUNTIFS($D$7:$D$347,$D51,AF$7:AF$347,"&gt;"&amp;AF51)+1)</f>
        <v/>
      </c>
    </row>
    <row r="52" spans="1:41" hidden="1" x14ac:dyDescent="0.25">
      <c r="A52" s="25">
        <v>540280</v>
      </c>
      <c r="B52" s="25" t="s">
        <v>120</v>
      </c>
      <c r="C52" s="25" t="s">
        <v>110</v>
      </c>
      <c r="D52" s="25" t="s">
        <v>55</v>
      </c>
      <c r="E52" s="26">
        <v>4</v>
      </c>
      <c r="F52" s="26" t="s">
        <v>121</v>
      </c>
      <c r="G52" s="26">
        <v>36</v>
      </c>
      <c r="H52" s="26">
        <v>0</v>
      </c>
      <c r="I52" s="26">
        <v>2</v>
      </c>
      <c r="J52" s="26">
        <v>0</v>
      </c>
      <c r="K52" s="26">
        <v>38</v>
      </c>
      <c r="L52" s="35">
        <v>0.94699999999999995</v>
      </c>
      <c r="M52" s="35">
        <v>0</v>
      </c>
      <c r="N52" s="35">
        <v>5.2999999999999999E-2</v>
      </c>
      <c r="O52" s="35">
        <v>0</v>
      </c>
      <c r="P52" s="35">
        <v>0</v>
      </c>
      <c r="Q52" s="35">
        <v>0</v>
      </c>
      <c r="S52" s="26">
        <v>2</v>
      </c>
      <c r="T52" s="26">
        <v>0</v>
      </c>
      <c r="U52" s="26">
        <v>0</v>
      </c>
      <c r="W52" s="26">
        <v>1926.9</v>
      </c>
      <c r="X52" s="26">
        <v>1920</v>
      </c>
      <c r="Y52" s="28">
        <v>31835.5</v>
      </c>
      <c r="Z52" s="28">
        <v>26350</v>
      </c>
      <c r="AA52" s="28">
        <v>24592.799999999999</v>
      </c>
      <c r="AB52" s="28">
        <v>26100</v>
      </c>
      <c r="AC52" s="35">
        <v>0.14699999999999999</v>
      </c>
      <c r="AD52" s="35">
        <v>0.13100000000000001</v>
      </c>
      <c r="AE52" s="28">
        <v>4593.3999999999996</v>
      </c>
      <c r="AF52" s="28">
        <v>2485.3000000000002</v>
      </c>
      <c r="AH52" s="29">
        <f>IF($D52 = "SPLIT", "",COUNTIFS($D$7:$D$347,$D52,N$7:N$347,"&gt;"&amp;N52)+1)</f>
        <v>166</v>
      </c>
      <c r="AI52" s="29">
        <f>IF($D52 = "SPLIT", "",COUNTIFS($D$7:$D$347,$D52,S$7:S$347,"&gt;"&amp;S52)+1)</f>
        <v>141</v>
      </c>
      <c r="AJ52" s="29">
        <f>IF($D52 = "SPLIT", "",COUNTIFS($D$7:$D$347,$D52,T$7:T$347,"&gt;"&amp;T52)+1)</f>
        <v>113</v>
      </c>
      <c r="AK52" s="29">
        <f>IF($D52 = "SPLIT", "",COUNTIFS($D$7:$D$347,$D52,X$7:X$347,"&lt;"&amp;X52)+1)</f>
        <v>21</v>
      </c>
      <c r="AL52" s="29">
        <f>IF($D52 = "SPLIT", "",COUNTIFS($D$7:$D$347,$D52,Z$7:Z$347,"&gt;"&amp;Z52)+1)</f>
        <v>169</v>
      </c>
      <c r="AM52" s="29">
        <f>IF($D52 = "SPLIT", "",COUNTIFS($D$7:$D$347,$D52,AB$7:AB$347,"&gt;"&amp;AB52)+1)</f>
        <v>161</v>
      </c>
      <c r="AN52" s="29">
        <f>IF($D52 = "SPLIT", "",COUNTIFS($D$7:$D$347,$D52,AD$7:AD$347,"&gt;"&amp;AD52)+1)</f>
        <v>87</v>
      </c>
      <c r="AO52" s="29">
        <f>IF($D52 = "SPLIT", "",COUNTIFS($D$7:$D$347,$D52,AF$7:AF$347,"&gt;"&amp;AF52)+1)</f>
        <v>148</v>
      </c>
    </row>
    <row r="53" spans="1:41" hidden="1" x14ac:dyDescent="0.25">
      <c r="A53" s="25">
        <v>540031</v>
      </c>
      <c r="B53" s="25" t="s">
        <v>122</v>
      </c>
      <c r="C53" s="25" t="s">
        <v>110</v>
      </c>
      <c r="D53" s="25" t="s">
        <v>55</v>
      </c>
      <c r="E53" s="26">
        <v>4</v>
      </c>
      <c r="F53" s="26" t="s">
        <v>123</v>
      </c>
      <c r="G53" s="26">
        <v>49</v>
      </c>
      <c r="H53" s="26">
        <v>0</v>
      </c>
      <c r="I53" s="26">
        <v>5</v>
      </c>
      <c r="J53" s="26">
        <v>1</v>
      </c>
      <c r="K53" s="26">
        <v>55</v>
      </c>
      <c r="L53" s="35">
        <v>0.89100000000000001</v>
      </c>
      <c r="M53" s="35">
        <v>0</v>
      </c>
      <c r="N53" s="35">
        <v>9.0999999999999998E-2</v>
      </c>
      <c r="O53" s="35">
        <v>1.7999999999999999E-2</v>
      </c>
      <c r="P53" s="35">
        <v>1.7999999999999999E-2</v>
      </c>
      <c r="Q53" s="35">
        <v>0</v>
      </c>
      <c r="S53" s="26">
        <v>0</v>
      </c>
      <c r="T53" s="26">
        <v>0</v>
      </c>
      <c r="U53" s="26">
        <v>0</v>
      </c>
      <c r="W53" s="26">
        <v>1936.8</v>
      </c>
      <c r="X53" s="26">
        <v>1933.5</v>
      </c>
      <c r="Y53" s="28">
        <v>43140</v>
      </c>
      <c r="Z53" s="28">
        <v>27000</v>
      </c>
      <c r="AA53" s="28">
        <v>45244</v>
      </c>
      <c r="AB53" s="28">
        <v>28100</v>
      </c>
      <c r="AC53" s="35">
        <v>0.10299999999999999</v>
      </c>
      <c r="AD53" s="35">
        <v>9.4E-2</v>
      </c>
      <c r="AE53" s="28">
        <v>3078.5</v>
      </c>
      <c r="AF53" s="28">
        <v>1706.2</v>
      </c>
      <c r="AH53" s="29">
        <f>IF($D53 = "SPLIT", "",COUNTIFS($D$7:$D$347,$D53,N$7:N$347,"&gt;"&amp;N53)+1)</f>
        <v>138</v>
      </c>
      <c r="AI53" s="29">
        <f>IF($D53 = "SPLIT", "",COUNTIFS($D$7:$D$347,$D53,S$7:S$347,"&gt;"&amp;S53)+1)</f>
        <v>177</v>
      </c>
      <c r="AJ53" s="29">
        <f>IF($D53 = "SPLIT", "",COUNTIFS($D$7:$D$347,$D53,T$7:T$347,"&gt;"&amp;T53)+1)</f>
        <v>113</v>
      </c>
      <c r="AK53" s="29">
        <f>IF($D53 = "SPLIT", "",COUNTIFS($D$7:$D$347,$D53,X$7:X$347,"&lt;"&amp;X53)+1)</f>
        <v>60</v>
      </c>
      <c r="AL53" s="29">
        <f>IF($D53 = "SPLIT", "",COUNTIFS($D$7:$D$347,$D53,Z$7:Z$347,"&gt;"&amp;Z53)+1)</f>
        <v>167</v>
      </c>
      <c r="AM53" s="29">
        <f>IF($D53 = "SPLIT", "",COUNTIFS($D$7:$D$347,$D53,AB$7:AB$347,"&gt;"&amp;AB53)+1)</f>
        <v>150</v>
      </c>
      <c r="AN53" s="29">
        <f>IF($D53 = "SPLIT", "",COUNTIFS($D$7:$D$347,$D53,AD$7:AD$347,"&gt;"&amp;AD53)+1)</f>
        <v>126</v>
      </c>
      <c r="AO53" s="29">
        <f>IF($D53 = "SPLIT", "",COUNTIFS($D$7:$D$347,$D53,AF$7:AF$347,"&gt;"&amp;AF53)+1)</f>
        <v>176</v>
      </c>
    </row>
    <row r="54" spans="1:41" hidden="1" x14ac:dyDescent="0.25">
      <c r="A54" s="25">
        <v>540032</v>
      </c>
      <c r="B54" s="25" t="s">
        <v>124</v>
      </c>
      <c r="C54" s="25" t="s">
        <v>110</v>
      </c>
      <c r="D54" s="25" t="s">
        <v>55</v>
      </c>
      <c r="E54" s="26">
        <v>4</v>
      </c>
      <c r="F54" s="26" t="s">
        <v>121</v>
      </c>
      <c r="G54" s="26">
        <v>29</v>
      </c>
      <c r="H54" s="26">
        <v>0</v>
      </c>
      <c r="I54" s="26">
        <v>7</v>
      </c>
      <c r="J54" s="26">
        <v>3</v>
      </c>
      <c r="K54" s="26">
        <v>39</v>
      </c>
      <c r="L54" s="35">
        <v>0.74399999999999999</v>
      </c>
      <c r="M54" s="35">
        <v>0</v>
      </c>
      <c r="N54" s="35">
        <v>0.17899999999999999</v>
      </c>
      <c r="O54" s="35">
        <v>7.6999999999999999E-2</v>
      </c>
      <c r="P54" s="35">
        <v>0</v>
      </c>
      <c r="Q54" s="35">
        <v>5.0999999999999997E-2</v>
      </c>
      <c r="S54" s="26">
        <v>2</v>
      </c>
      <c r="T54" s="26">
        <v>0</v>
      </c>
      <c r="U54" s="26">
        <v>2</v>
      </c>
      <c r="W54" s="26">
        <v>1940.1</v>
      </c>
      <c r="X54" s="26">
        <v>1940</v>
      </c>
      <c r="Y54" s="28">
        <v>34920.5</v>
      </c>
      <c r="Z54" s="28">
        <v>24200</v>
      </c>
      <c r="AA54" s="28">
        <v>28890.9</v>
      </c>
      <c r="AB54" s="28">
        <v>23650</v>
      </c>
      <c r="AC54" s="35">
        <v>0.17399999999999999</v>
      </c>
      <c r="AD54" s="35">
        <v>0.156</v>
      </c>
      <c r="AE54" s="28">
        <v>4569.3</v>
      </c>
      <c r="AF54" s="28">
        <v>3647.3</v>
      </c>
      <c r="AH54" s="29">
        <f>IF($D54 = "SPLIT", "",COUNTIFS($D$7:$D$347,$D54,N$7:N$347,"&gt;"&amp;N54)+1)</f>
        <v>76</v>
      </c>
      <c r="AI54" s="29">
        <f>IF($D54 = "SPLIT", "",COUNTIFS($D$7:$D$347,$D54,S$7:S$347,"&gt;"&amp;S54)+1)</f>
        <v>141</v>
      </c>
      <c r="AJ54" s="29">
        <f>IF($D54 = "SPLIT", "",COUNTIFS($D$7:$D$347,$D54,T$7:T$347,"&gt;"&amp;T54)+1)</f>
        <v>113</v>
      </c>
      <c r="AK54" s="29">
        <f>IF($D54 = "SPLIT", "",COUNTIFS($D$7:$D$347,$D54,X$7:X$347,"&lt;"&amp;X54)+1)</f>
        <v>72</v>
      </c>
      <c r="AL54" s="29">
        <f>IF($D54 = "SPLIT", "",COUNTIFS($D$7:$D$347,$D54,Z$7:Z$347,"&gt;"&amp;Z54)+1)</f>
        <v>181</v>
      </c>
      <c r="AM54" s="29">
        <f>IF($D54 = "SPLIT", "",COUNTIFS($D$7:$D$347,$D54,AB$7:AB$347,"&gt;"&amp;AB54)+1)</f>
        <v>174</v>
      </c>
      <c r="AN54" s="29">
        <f>IF($D54 = "SPLIT", "",COUNTIFS($D$7:$D$347,$D54,AD$7:AD$347,"&gt;"&amp;AD54)+1)</f>
        <v>68</v>
      </c>
      <c r="AO54" s="29">
        <f>IF($D54 = "SPLIT", "",COUNTIFS($D$7:$D$347,$D54,AF$7:AF$347,"&gt;"&amp;AF54)+1)</f>
        <v>123</v>
      </c>
    </row>
    <row r="55" spans="1:41" hidden="1" x14ac:dyDescent="0.25">
      <c r="A55" s="25">
        <v>540033</v>
      </c>
      <c r="B55" s="25" t="s">
        <v>125</v>
      </c>
      <c r="C55" s="25" t="s">
        <v>110</v>
      </c>
      <c r="D55" s="25" t="s">
        <v>88</v>
      </c>
      <c r="E55" s="26">
        <v>4</v>
      </c>
      <c r="F55" s="26" t="s">
        <v>126</v>
      </c>
      <c r="G55" s="26">
        <v>54</v>
      </c>
      <c r="H55" s="26">
        <v>3</v>
      </c>
      <c r="I55" s="26">
        <v>12</v>
      </c>
      <c r="J55" s="26">
        <v>5</v>
      </c>
      <c r="K55" s="26">
        <v>74</v>
      </c>
      <c r="L55" s="35">
        <v>0.73</v>
      </c>
      <c r="M55" s="35">
        <v>4.1000000000000002E-2</v>
      </c>
      <c r="N55" s="35">
        <v>0.16200000000000001</v>
      </c>
      <c r="O55" s="35">
        <v>6.8000000000000005E-2</v>
      </c>
      <c r="P55" s="35">
        <v>5.3999999999999999E-2</v>
      </c>
      <c r="Q55" s="35">
        <v>0</v>
      </c>
      <c r="S55" s="26">
        <v>12</v>
      </c>
      <c r="T55" s="26">
        <v>2</v>
      </c>
      <c r="U55" s="26">
        <v>2</v>
      </c>
      <c r="W55" s="26">
        <v>1951.6</v>
      </c>
      <c r="X55" s="26">
        <v>1947.5</v>
      </c>
      <c r="Y55" s="28">
        <v>49968</v>
      </c>
      <c r="Z55" s="28">
        <v>24750</v>
      </c>
      <c r="AA55" s="28">
        <v>32766.3</v>
      </c>
      <c r="AB55" s="28">
        <v>24600</v>
      </c>
      <c r="AC55" s="35">
        <v>0.17599999999999999</v>
      </c>
      <c r="AD55" s="35">
        <v>0.122</v>
      </c>
      <c r="AE55" s="28">
        <v>6126.3</v>
      </c>
      <c r="AF55" s="28">
        <v>2192.4</v>
      </c>
      <c r="AH55" s="29" t="str">
        <f>IF($D55 = "SPLIT", "",COUNTIFS($D$7:$D$347,$D55,N$7:N$347,"&gt;"&amp;N55)+1)</f>
        <v/>
      </c>
      <c r="AI55" s="29" t="str">
        <f>IF($D55 = "SPLIT", "",COUNTIFS($D$7:$D$347,$D55,S$7:S$347,"&gt;"&amp;S55)+1)</f>
        <v/>
      </c>
      <c r="AJ55" s="29" t="str">
        <f>IF($D55 = "SPLIT", "",COUNTIFS($D$7:$D$347,$D55,T$7:T$347,"&gt;"&amp;T55)+1)</f>
        <v/>
      </c>
      <c r="AK55" s="29" t="str">
        <f>IF($D55 = "SPLIT", "",COUNTIFS($D$7:$D$347,$D55,X$7:X$347,"&lt;"&amp;X55)+1)</f>
        <v/>
      </c>
      <c r="AL55" s="29" t="str">
        <f>IF($D55 = "SPLIT", "",COUNTIFS($D$7:$D$347,$D55,Z$7:Z$347,"&gt;"&amp;Z55)+1)</f>
        <v/>
      </c>
      <c r="AM55" s="29" t="str">
        <f>IF($D55 = "SPLIT", "",COUNTIFS($D$7:$D$347,$D55,AB$7:AB$347,"&gt;"&amp;AB55)+1)</f>
        <v/>
      </c>
      <c r="AN55" s="29" t="str">
        <f>IF($D55 = "SPLIT", "",COUNTIFS($D$7:$D$347,$D55,AD$7:AD$347,"&gt;"&amp;AD55)+1)</f>
        <v/>
      </c>
      <c r="AO55" s="29" t="str">
        <f>IF($D55 = "SPLIT", "",COUNTIFS($D$7:$D$347,$D55,AF$7:AF$347,"&gt;"&amp;AF55)+1)</f>
        <v/>
      </c>
    </row>
    <row r="56" spans="1:41" hidden="1" x14ac:dyDescent="0.25">
      <c r="A56" s="160"/>
      <c r="B56" s="160"/>
      <c r="C56" s="160" t="s">
        <v>110</v>
      </c>
      <c r="D56" s="160" t="s">
        <v>2</v>
      </c>
      <c r="E56" s="161">
        <v>4</v>
      </c>
      <c r="F56" s="161"/>
      <c r="G56" s="161">
        <v>1362</v>
      </c>
      <c r="H56" s="161">
        <v>110</v>
      </c>
      <c r="I56" s="161">
        <v>228</v>
      </c>
      <c r="J56" s="161">
        <v>118</v>
      </c>
      <c r="K56" s="161">
        <v>1818</v>
      </c>
      <c r="L56" s="162">
        <v>0.749</v>
      </c>
      <c r="M56" s="162">
        <v>6.0999999999999999E-2</v>
      </c>
      <c r="N56" s="162">
        <v>0.125</v>
      </c>
      <c r="O56" s="162">
        <v>6.5000000000000002E-2</v>
      </c>
      <c r="P56" s="162">
        <v>4.2000000000000003E-2</v>
      </c>
      <c r="Q56" s="162">
        <v>8.0000000000000002E-3</v>
      </c>
      <c r="S56" s="161">
        <v>182</v>
      </c>
      <c r="T56" s="161">
        <v>18</v>
      </c>
      <c r="U56" s="161">
        <v>32</v>
      </c>
      <c r="W56" s="161">
        <v>1948.2</v>
      </c>
      <c r="X56" s="161">
        <v>1941</v>
      </c>
      <c r="Y56" s="163">
        <v>50744.2</v>
      </c>
      <c r="Z56" s="163">
        <v>28500</v>
      </c>
      <c r="AA56" s="163">
        <v>38346.800000000003</v>
      </c>
      <c r="AB56" s="163">
        <v>30800</v>
      </c>
      <c r="AC56" s="162">
        <v>0.188</v>
      </c>
      <c r="AD56" s="162">
        <v>0.11700000000000001</v>
      </c>
      <c r="AE56" s="163">
        <v>6499.2</v>
      </c>
      <c r="AF56" s="163">
        <v>3343</v>
      </c>
      <c r="AH56" s="164">
        <f>IF($D56 = "SPLIT", "",COUNTIFS($D$7:$D$347,$D56,N$7:N$347,"&gt;"&amp;N56)+1)</f>
        <v>47</v>
      </c>
      <c r="AI56" s="164">
        <f>IF($D56 = "SPLIT", "",COUNTIFS($D$7:$D$347,$D56,S$7:S$347,"&gt;"&amp;S56)+1)</f>
        <v>30</v>
      </c>
      <c r="AJ56" s="164">
        <f>IF($D56 = "SPLIT", "",COUNTIFS($D$7:$D$347,$D56,T$7:T$347,"&gt;"&amp;T56)+1)</f>
        <v>40</v>
      </c>
      <c r="AK56" s="164">
        <f>IF($D56 = "SPLIT", "",COUNTIFS($D$7:$D$347,$D56,X$7:X$347,"&lt;"&amp;X56)+1)</f>
        <v>5</v>
      </c>
      <c r="AL56" s="164">
        <f>IF($D56 = "SPLIT", "",COUNTIFS($D$7:$D$347,$D56,Z$7:Z$347,"&gt;"&amp;Z56)+1)</f>
        <v>43</v>
      </c>
      <c r="AM56" s="164">
        <f>IF($D56 = "SPLIT", "",COUNTIFS($D$7:$D$347,$D56,AB$7:AB$347,"&gt;"&amp;AB56)+1)</f>
        <v>45</v>
      </c>
      <c r="AN56" s="164">
        <f>IF($D56 = "SPLIT", "",COUNTIFS($D$7:$D$347,$D56,AD$7:AD$347,"&gt;"&amp;AD56)+1)</f>
        <v>47</v>
      </c>
      <c r="AO56" s="164">
        <f>IF($D56 = "SPLIT", "",COUNTIFS($D$7:$D$347,$D56,AF$7:AF$347,"&gt;"&amp;AF56)+1)</f>
        <v>49</v>
      </c>
    </row>
    <row r="57" spans="1:41" hidden="1" x14ac:dyDescent="0.25">
      <c r="A57" s="30">
        <v>540035</v>
      </c>
      <c r="B57" s="30" t="s">
        <v>127</v>
      </c>
      <c r="C57" s="30" t="s">
        <v>128</v>
      </c>
      <c r="D57" s="30" t="s">
        <v>52</v>
      </c>
      <c r="E57" s="31">
        <v>7</v>
      </c>
      <c r="F57" s="31" t="s">
        <v>68</v>
      </c>
      <c r="G57" s="31">
        <v>274</v>
      </c>
      <c r="H57" s="31">
        <v>0</v>
      </c>
      <c r="I57" s="31">
        <v>79</v>
      </c>
      <c r="J57" s="31">
        <v>5</v>
      </c>
      <c r="K57" s="31">
        <v>358</v>
      </c>
      <c r="L57" s="32">
        <v>0.76500000000000001</v>
      </c>
      <c r="M57" s="32">
        <v>0</v>
      </c>
      <c r="N57" s="32">
        <v>0.221</v>
      </c>
      <c r="O57" s="32">
        <v>1.4E-2</v>
      </c>
      <c r="P57" s="32">
        <v>1.0999999999999999E-2</v>
      </c>
      <c r="Q57" s="32">
        <v>3.0000000000000001E-3</v>
      </c>
      <c r="S57" s="31">
        <v>54</v>
      </c>
      <c r="T57" s="31">
        <v>4</v>
      </c>
      <c r="U57" s="31">
        <v>6</v>
      </c>
      <c r="W57" s="31">
        <v>1954</v>
      </c>
      <c r="X57" s="31">
        <v>1964</v>
      </c>
      <c r="Y57" s="33">
        <v>48941</v>
      </c>
      <c r="Z57" s="33">
        <v>34450</v>
      </c>
      <c r="AA57" s="33">
        <v>43461.4</v>
      </c>
      <c r="AB57" s="33">
        <v>33300</v>
      </c>
      <c r="AC57" s="32">
        <v>0.245</v>
      </c>
      <c r="AD57" s="32">
        <v>0.186</v>
      </c>
      <c r="AE57" s="33">
        <v>8367.4</v>
      </c>
      <c r="AF57" s="33">
        <v>5554.9</v>
      </c>
      <c r="AH57" s="34">
        <f>IF($D57 = "SPLIT", "",COUNTIFS($D$7:$D$347,$D57,N$7:N$347,"&gt;"&amp;N57)+1)</f>
        <v>36</v>
      </c>
      <c r="AI57" s="34">
        <f>IF($D57 = "SPLIT", "",COUNTIFS($D$7:$D$347,$D57,S$7:S$347,"&gt;"&amp;S57)+1)</f>
        <v>47</v>
      </c>
      <c r="AJ57" s="34">
        <f>IF($D57 = "SPLIT", "",COUNTIFS($D$7:$D$347,$D57,T$7:T$347,"&gt;"&amp;T57)+1)</f>
        <v>50</v>
      </c>
      <c r="AK57" s="34">
        <f>IF($D57 = "SPLIT", "",COUNTIFS($D$7:$D$347,$D57,X$7:X$347,"&lt;"&amp;X57)+1)</f>
        <v>8</v>
      </c>
      <c r="AL57" s="34">
        <f>IF($D57 = "SPLIT", "",COUNTIFS($D$7:$D$347,$D57,Z$7:Z$347,"&gt;"&amp;Z57)+1)</f>
        <v>32</v>
      </c>
      <c r="AM57" s="34">
        <f>IF($D57 = "SPLIT", "",COUNTIFS($D$7:$D$347,$D57,AB$7:AB$347,"&gt;"&amp;AB57)+1)</f>
        <v>31</v>
      </c>
      <c r="AN57" s="34">
        <f>IF($D57 = "SPLIT", "",COUNTIFS($D$7:$D$347,$D57,AD$7:AD$347,"&gt;"&amp;AD57)+1)</f>
        <v>25</v>
      </c>
      <c r="AO57" s="34">
        <f>IF($D57 = "SPLIT", "",COUNTIFS($D$7:$D$347,$D57,AF$7:AF$347,"&gt;"&amp;AF57)+1)</f>
        <v>33</v>
      </c>
    </row>
    <row r="58" spans="1:41" hidden="1" x14ac:dyDescent="0.25">
      <c r="A58" s="25">
        <v>540036</v>
      </c>
      <c r="B58" s="25" t="s">
        <v>129</v>
      </c>
      <c r="C58" s="25" t="s">
        <v>128</v>
      </c>
      <c r="D58" s="25" t="s">
        <v>55</v>
      </c>
      <c r="E58" s="26">
        <v>7</v>
      </c>
      <c r="F58" s="26" t="s">
        <v>68</v>
      </c>
      <c r="G58" s="26">
        <v>111</v>
      </c>
      <c r="H58" s="26">
        <v>0</v>
      </c>
      <c r="I58" s="26">
        <v>16</v>
      </c>
      <c r="J58" s="26">
        <v>1</v>
      </c>
      <c r="K58" s="26">
        <v>128</v>
      </c>
      <c r="L58" s="35">
        <v>0.86699999999999999</v>
      </c>
      <c r="M58" s="35">
        <v>0</v>
      </c>
      <c r="N58" s="35">
        <v>0.125</v>
      </c>
      <c r="O58" s="35">
        <v>8.0000000000000002E-3</v>
      </c>
      <c r="P58" s="35">
        <v>0</v>
      </c>
      <c r="Q58" s="35">
        <v>0</v>
      </c>
      <c r="S58" s="26">
        <v>21</v>
      </c>
      <c r="T58" s="26">
        <v>0</v>
      </c>
      <c r="U58" s="26">
        <v>3</v>
      </c>
      <c r="W58" s="26">
        <v>1946.8</v>
      </c>
      <c r="X58" s="26">
        <v>1945</v>
      </c>
      <c r="Y58" s="28">
        <v>190956.2</v>
      </c>
      <c r="Z58" s="28">
        <v>42900</v>
      </c>
      <c r="AA58" s="28">
        <v>39192.1</v>
      </c>
      <c r="AB58" s="28">
        <v>33300</v>
      </c>
      <c r="AC58" s="35">
        <v>0.16800000000000001</v>
      </c>
      <c r="AD58" s="35">
        <v>0.13600000000000001</v>
      </c>
      <c r="AE58" s="28">
        <v>18336.3</v>
      </c>
      <c r="AF58" s="28">
        <v>5365.7</v>
      </c>
      <c r="AH58" s="29">
        <f>IF($D58 = "SPLIT", "",COUNTIFS($D$7:$D$347,$D58,N$7:N$347,"&gt;"&amp;N58)+1)</f>
        <v>108</v>
      </c>
      <c r="AI58" s="29">
        <f>IF($D58 = "SPLIT", "",COUNTIFS($D$7:$D$347,$D58,S$7:S$347,"&gt;"&amp;S58)+1)</f>
        <v>63</v>
      </c>
      <c r="AJ58" s="29">
        <f>IF($D58 = "SPLIT", "",COUNTIFS($D$7:$D$347,$D58,T$7:T$347,"&gt;"&amp;T58)+1)</f>
        <v>113</v>
      </c>
      <c r="AK58" s="29">
        <f>IF($D58 = "SPLIT", "",COUNTIFS($D$7:$D$347,$D58,X$7:X$347,"&lt;"&amp;X58)+1)</f>
        <v>95</v>
      </c>
      <c r="AL58" s="29">
        <f>IF($D58 = "SPLIT", "",COUNTIFS($D$7:$D$347,$D58,Z$7:Z$347,"&gt;"&amp;Z58)+1)</f>
        <v>102</v>
      </c>
      <c r="AM58" s="29">
        <f>IF($D58 = "SPLIT", "",COUNTIFS($D$7:$D$347,$D58,AB$7:AB$347,"&gt;"&amp;AB58)+1)</f>
        <v>122</v>
      </c>
      <c r="AN58" s="29">
        <f>IF($D58 = "SPLIT", "",COUNTIFS($D$7:$D$347,$D58,AD$7:AD$347,"&gt;"&amp;AD58)+1)</f>
        <v>81</v>
      </c>
      <c r="AO58" s="29">
        <f>IF($D58 = "SPLIT", "",COUNTIFS($D$7:$D$347,$D58,AF$7:AF$347,"&gt;"&amp;AF58)+1)</f>
        <v>84</v>
      </c>
    </row>
    <row r="59" spans="1:41" hidden="1" x14ac:dyDescent="0.25">
      <c r="A59" s="25">
        <v>540037</v>
      </c>
      <c r="B59" s="25" t="s">
        <v>130</v>
      </c>
      <c r="C59" s="25" t="s">
        <v>128</v>
      </c>
      <c r="D59" s="25" t="s">
        <v>55</v>
      </c>
      <c r="E59" s="26">
        <v>7</v>
      </c>
      <c r="F59" s="26" t="s">
        <v>68</v>
      </c>
      <c r="G59" s="26">
        <v>13</v>
      </c>
      <c r="H59" s="26">
        <v>0</v>
      </c>
      <c r="I59" s="26">
        <v>5</v>
      </c>
      <c r="J59" s="26">
        <v>0</v>
      </c>
      <c r="K59" s="26">
        <v>18</v>
      </c>
      <c r="L59" s="35">
        <v>0.72199999999999998</v>
      </c>
      <c r="M59" s="35">
        <v>0</v>
      </c>
      <c r="N59" s="35">
        <v>0.27800000000000002</v>
      </c>
      <c r="O59" s="35">
        <v>0</v>
      </c>
      <c r="P59" s="35">
        <v>0</v>
      </c>
      <c r="Q59" s="35">
        <v>0</v>
      </c>
      <c r="S59" s="26">
        <v>1</v>
      </c>
      <c r="T59" s="26">
        <v>0</v>
      </c>
      <c r="U59" s="26">
        <v>0</v>
      </c>
      <c r="W59" s="26">
        <v>1946.6</v>
      </c>
      <c r="X59" s="26">
        <v>1931.5</v>
      </c>
      <c r="Y59" s="28">
        <v>46775.6</v>
      </c>
      <c r="Z59" s="28">
        <v>24250</v>
      </c>
      <c r="AA59" s="28">
        <v>25454.3</v>
      </c>
      <c r="AB59" s="28">
        <v>22100</v>
      </c>
      <c r="AC59" s="35">
        <v>0.1</v>
      </c>
      <c r="AD59" s="35">
        <v>6.5000000000000002E-2</v>
      </c>
      <c r="AE59" s="28">
        <v>3111.6</v>
      </c>
      <c r="AF59" s="28">
        <v>640.20000000000005</v>
      </c>
      <c r="AH59" s="29">
        <f>IF($D59 = "SPLIT", "",COUNTIFS($D$7:$D$347,$D59,N$7:N$347,"&gt;"&amp;N59)+1)</f>
        <v>45</v>
      </c>
      <c r="AI59" s="29">
        <f>IF($D59 = "SPLIT", "",COUNTIFS($D$7:$D$347,$D59,S$7:S$347,"&gt;"&amp;S59)+1)</f>
        <v>153</v>
      </c>
      <c r="AJ59" s="29">
        <f>IF($D59 = "SPLIT", "",COUNTIFS($D$7:$D$347,$D59,T$7:T$347,"&gt;"&amp;T59)+1)</f>
        <v>113</v>
      </c>
      <c r="AK59" s="29">
        <f>IF($D59 = "SPLIT", "",COUNTIFS($D$7:$D$347,$D59,X$7:X$347,"&lt;"&amp;X59)+1)</f>
        <v>57</v>
      </c>
      <c r="AL59" s="29">
        <f>IF($D59 = "SPLIT", "",COUNTIFS($D$7:$D$347,$D59,Z$7:Z$347,"&gt;"&amp;Z59)+1)</f>
        <v>180</v>
      </c>
      <c r="AM59" s="29">
        <f>IF($D59 = "SPLIT", "",COUNTIFS($D$7:$D$347,$D59,AB$7:AB$347,"&gt;"&amp;AB59)+1)</f>
        <v>180</v>
      </c>
      <c r="AN59" s="29">
        <f>IF($D59 = "SPLIT", "",COUNTIFS($D$7:$D$347,$D59,AD$7:AD$347,"&gt;"&amp;AD59)+1)</f>
        <v>153</v>
      </c>
      <c r="AO59" s="29">
        <f>IF($D59 = "SPLIT", "",COUNTIFS($D$7:$D$347,$D59,AF$7:AF$347,"&gt;"&amp;AF59)+1)</f>
        <v>193</v>
      </c>
    </row>
    <row r="60" spans="1:41" hidden="1" x14ac:dyDescent="0.25">
      <c r="A60" s="160"/>
      <c r="B60" s="160"/>
      <c r="C60" s="160" t="s">
        <v>128</v>
      </c>
      <c r="D60" s="160" t="s">
        <v>2</v>
      </c>
      <c r="E60" s="161">
        <v>7</v>
      </c>
      <c r="F60" s="161"/>
      <c r="G60" s="161">
        <v>398</v>
      </c>
      <c r="H60" s="161">
        <v>0</v>
      </c>
      <c r="I60" s="161">
        <v>100</v>
      </c>
      <c r="J60" s="161">
        <v>6</v>
      </c>
      <c r="K60" s="161">
        <v>504</v>
      </c>
      <c r="L60" s="162">
        <v>0.79</v>
      </c>
      <c r="M60" s="162">
        <v>0</v>
      </c>
      <c r="N60" s="162">
        <v>0.19800000000000001</v>
      </c>
      <c r="O60" s="162">
        <v>1.2E-2</v>
      </c>
      <c r="P60" s="162">
        <v>8.0000000000000002E-3</v>
      </c>
      <c r="Q60" s="162">
        <v>2E-3</v>
      </c>
      <c r="S60" s="161">
        <v>76</v>
      </c>
      <c r="T60" s="161">
        <v>4</v>
      </c>
      <c r="U60" s="161">
        <v>9</v>
      </c>
      <c r="W60" s="161">
        <v>1951.8</v>
      </c>
      <c r="X60" s="161">
        <v>1959</v>
      </c>
      <c r="Y60" s="163">
        <v>84931</v>
      </c>
      <c r="Z60" s="163">
        <v>36500</v>
      </c>
      <c r="AA60" s="163">
        <v>49397.7</v>
      </c>
      <c r="AB60" s="163">
        <v>39300</v>
      </c>
      <c r="AC60" s="162">
        <v>0.21199999999999999</v>
      </c>
      <c r="AD60" s="162">
        <v>0.14299999999999999</v>
      </c>
      <c r="AE60" s="163">
        <v>11587.7</v>
      </c>
      <c r="AF60" s="163">
        <v>5365.7</v>
      </c>
      <c r="AH60" s="164">
        <f>IF($D60 = "SPLIT", "",COUNTIFS($D$7:$D$347,$D60,N$7:N$347,"&gt;"&amp;N60)+1)</f>
        <v>32</v>
      </c>
      <c r="AI60" s="164">
        <f>IF($D60 = "SPLIT", "",COUNTIFS($D$7:$D$347,$D60,S$7:S$347,"&gt;"&amp;S60)+1)</f>
        <v>49</v>
      </c>
      <c r="AJ60" s="164">
        <f>IF($D60 = "SPLIT", "",COUNTIFS($D$7:$D$347,$D60,T$7:T$347,"&gt;"&amp;T60)+1)</f>
        <v>52</v>
      </c>
      <c r="AK60" s="164">
        <f>IF($D60 = "SPLIT", "",COUNTIFS($D$7:$D$347,$D60,X$7:X$347,"&lt;"&amp;X60)+1)</f>
        <v>15</v>
      </c>
      <c r="AL60" s="164">
        <f>IF($D60 = "SPLIT", "",COUNTIFS($D$7:$D$347,$D60,Z$7:Z$347,"&gt;"&amp;Z60)+1)</f>
        <v>34</v>
      </c>
      <c r="AM60" s="164">
        <f>IF($D60 = "SPLIT", "",COUNTIFS($D$7:$D$347,$D60,AB$7:AB$347,"&gt;"&amp;AB60)+1)</f>
        <v>39</v>
      </c>
      <c r="AN60" s="164">
        <f>IF($D60 = "SPLIT", "",COUNTIFS($D$7:$D$347,$D60,AD$7:AD$347,"&gt;"&amp;AD60)+1)</f>
        <v>35</v>
      </c>
      <c r="AO60" s="164">
        <f>IF($D60 = "SPLIT", "",COUNTIFS($D$7:$D$347,$D60,AF$7:AF$347,"&gt;"&amp;AF60)+1)</f>
        <v>35</v>
      </c>
    </row>
    <row r="61" spans="1:41" hidden="1" x14ac:dyDescent="0.25">
      <c r="A61" s="25">
        <v>540240</v>
      </c>
      <c r="B61" s="25" t="s">
        <v>131</v>
      </c>
      <c r="C61" s="25" t="s">
        <v>132</v>
      </c>
      <c r="D61" s="25" t="s">
        <v>55</v>
      </c>
      <c r="E61" s="26">
        <v>8</v>
      </c>
      <c r="F61" s="26" t="s">
        <v>121</v>
      </c>
      <c r="G61" s="26">
        <v>17</v>
      </c>
      <c r="H61" s="26">
        <v>0</v>
      </c>
      <c r="I61" s="26">
        <v>5</v>
      </c>
      <c r="J61" s="26">
        <v>0</v>
      </c>
      <c r="K61" s="26">
        <v>22</v>
      </c>
      <c r="L61" s="35">
        <v>0.77300000000000002</v>
      </c>
      <c r="M61" s="35">
        <v>0</v>
      </c>
      <c r="N61" s="35">
        <v>0.22700000000000001</v>
      </c>
      <c r="O61" s="35">
        <v>0</v>
      </c>
      <c r="P61" s="35">
        <v>0</v>
      </c>
      <c r="Q61" s="35">
        <v>0</v>
      </c>
      <c r="S61" s="26">
        <v>0</v>
      </c>
      <c r="T61" s="26">
        <v>0</v>
      </c>
      <c r="U61" s="26">
        <v>0</v>
      </c>
      <c r="W61" s="26">
        <v>1938.7</v>
      </c>
      <c r="X61" s="26">
        <v>1936.5</v>
      </c>
      <c r="Y61" s="28">
        <v>28572.9</v>
      </c>
      <c r="Z61" s="28">
        <v>22300</v>
      </c>
      <c r="AA61" s="28">
        <v>29590.6</v>
      </c>
      <c r="AB61" s="28">
        <v>25100</v>
      </c>
      <c r="AC61" s="35">
        <v>5.1999999999999998E-2</v>
      </c>
      <c r="AD61" s="35">
        <v>2.3E-2</v>
      </c>
      <c r="AE61" s="28">
        <v>1022.9</v>
      </c>
      <c r="AF61" s="28">
        <v>398.2</v>
      </c>
      <c r="AH61" s="29">
        <f>IF($D61 = "SPLIT", "",COUNTIFS($D$7:$D$347,$D61,N$7:N$347,"&gt;"&amp;N61)+1)</f>
        <v>56</v>
      </c>
      <c r="AI61" s="29">
        <f>IF($D61 = "SPLIT", "",COUNTIFS($D$7:$D$347,$D61,S$7:S$347,"&gt;"&amp;S61)+1)</f>
        <v>177</v>
      </c>
      <c r="AJ61" s="29">
        <f>IF($D61 = "SPLIT", "",COUNTIFS($D$7:$D$347,$D61,T$7:T$347,"&gt;"&amp;T61)+1)</f>
        <v>113</v>
      </c>
      <c r="AK61" s="29">
        <f>IF($D61 = "SPLIT", "",COUNTIFS($D$7:$D$347,$D61,X$7:X$347,"&lt;"&amp;X61)+1)</f>
        <v>65</v>
      </c>
      <c r="AL61" s="29">
        <f>IF($D61 = "SPLIT", "",COUNTIFS($D$7:$D$347,$D61,Z$7:Z$347,"&gt;"&amp;Z61)+1)</f>
        <v>188</v>
      </c>
      <c r="AM61" s="29">
        <f>IF($D61 = "SPLIT", "",COUNTIFS($D$7:$D$347,$D61,AB$7:AB$347,"&gt;"&amp;AB61)+1)</f>
        <v>166</v>
      </c>
      <c r="AN61" s="29">
        <f>IF($D61 = "SPLIT", "",COUNTIFS($D$7:$D$347,$D61,AD$7:AD$347,"&gt;"&amp;AD61)+1)</f>
        <v>192</v>
      </c>
      <c r="AO61" s="29">
        <f>IF($D61 = "SPLIT", "",COUNTIFS($D$7:$D$347,$D61,AF$7:AF$347,"&gt;"&amp;AF61)+1)</f>
        <v>196</v>
      </c>
    </row>
    <row r="62" spans="1:41" hidden="1" x14ac:dyDescent="0.25">
      <c r="A62" s="30">
        <v>540038</v>
      </c>
      <c r="B62" s="30" t="s">
        <v>133</v>
      </c>
      <c r="C62" s="30" t="s">
        <v>132</v>
      </c>
      <c r="D62" s="30" t="s">
        <v>52</v>
      </c>
      <c r="E62" s="31">
        <v>8</v>
      </c>
      <c r="F62" s="31" t="s">
        <v>134</v>
      </c>
      <c r="G62" s="31">
        <v>145</v>
      </c>
      <c r="H62" s="31">
        <v>0</v>
      </c>
      <c r="I62" s="31">
        <v>114</v>
      </c>
      <c r="J62" s="31">
        <v>9</v>
      </c>
      <c r="K62" s="31">
        <v>268</v>
      </c>
      <c r="L62" s="32">
        <v>0.54100000000000004</v>
      </c>
      <c r="M62" s="32">
        <v>0</v>
      </c>
      <c r="N62" s="32">
        <v>0.42499999999999999</v>
      </c>
      <c r="O62" s="32">
        <v>3.4000000000000002E-2</v>
      </c>
      <c r="P62" s="32">
        <v>1.4999999999999999E-2</v>
      </c>
      <c r="Q62" s="32">
        <v>4.0000000000000001E-3</v>
      </c>
      <c r="S62" s="31">
        <v>28</v>
      </c>
      <c r="T62" s="31">
        <v>6</v>
      </c>
      <c r="U62" s="31">
        <v>0</v>
      </c>
      <c r="W62" s="31">
        <v>1967.3</v>
      </c>
      <c r="X62" s="31">
        <v>1983</v>
      </c>
      <c r="Y62" s="33">
        <v>68919.8</v>
      </c>
      <c r="Z62" s="33">
        <v>47376</v>
      </c>
      <c r="AA62" s="33">
        <v>56958.7</v>
      </c>
      <c r="AB62" s="33">
        <v>44300</v>
      </c>
      <c r="AC62" s="32">
        <v>0.19800000000000001</v>
      </c>
      <c r="AD62" s="32">
        <v>0.14000000000000001</v>
      </c>
      <c r="AE62" s="33">
        <v>10113.1</v>
      </c>
      <c r="AF62" s="33">
        <v>8860</v>
      </c>
      <c r="AH62" s="34">
        <f>IF($D62 = "SPLIT", "",COUNTIFS($D$7:$D$347,$D62,N$7:N$347,"&gt;"&amp;N62)+1)</f>
        <v>2</v>
      </c>
      <c r="AI62" s="34">
        <f>IF($D62 = "SPLIT", "",COUNTIFS($D$7:$D$347,$D62,S$7:S$347,"&gt;"&amp;S62)+1)</f>
        <v>52</v>
      </c>
      <c r="AJ62" s="34">
        <f>IF($D62 = "SPLIT", "",COUNTIFS($D$7:$D$347,$D62,T$7:T$347,"&gt;"&amp;T62)+1)</f>
        <v>45</v>
      </c>
      <c r="AK62" s="34">
        <f>IF($D62 = "SPLIT", "",COUNTIFS($D$7:$D$347,$D62,X$7:X$347,"&lt;"&amp;X62)+1)</f>
        <v>51</v>
      </c>
      <c r="AL62" s="34">
        <f>IF($D62 = "SPLIT", "",COUNTIFS($D$7:$D$347,$D62,Z$7:Z$347,"&gt;"&amp;Z62)+1)</f>
        <v>16</v>
      </c>
      <c r="AM62" s="34">
        <f>IF($D62 = "SPLIT", "",COUNTIFS($D$7:$D$347,$D62,AB$7:AB$347,"&gt;"&amp;AB62)+1)</f>
        <v>15</v>
      </c>
      <c r="AN62" s="34">
        <f>IF($D62 = "SPLIT", "",COUNTIFS($D$7:$D$347,$D62,AD$7:AD$347,"&gt;"&amp;AD62)+1)</f>
        <v>40</v>
      </c>
      <c r="AO62" s="34">
        <f>IF($D62 = "SPLIT", "",COUNTIFS($D$7:$D$347,$D62,AF$7:AF$347,"&gt;"&amp;AF62)+1)</f>
        <v>17</v>
      </c>
    </row>
    <row r="63" spans="1:41" hidden="1" x14ac:dyDescent="0.25">
      <c r="A63" s="25">
        <v>540039</v>
      </c>
      <c r="B63" s="25" t="s">
        <v>135</v>
      </c>
      <c r="C63" s="25" t="s">
        <v>132</v>
      </c>
      <c r="D63" s="25" t="s">
        <v>55</v>
      </c>
      <c r="E63" s="26">
        <v>8</v>
      </c>
      <c r="F63" s="26" t="s">
        <v>136</v>
      </c>
      <c r="G63" s="26">
        <v>14</v>
      </c>
      <c r="H63" s="26">
        <v>0</v>
      </c>
      <c r="I63" s="26">
        <v>8</v>
      </c>
      <c r="J63" s="26">
        <v>0</v>
      </c>
      <c r="K63" s="26">
        <v>22</v>
      </c>
      <c r="L63" s="35">
        <v>0.63600000000000001</v>
      </c>
      <c r="M63" s="35">
        <v>0</v>
      </c>
      <c r="N63" s="35">
        <v>0.36399999999999999</v>
      </c>
      <c r="O63" s="35">
        <v>0</v>
      </c>
      <c r="P63" s="35">
        <v>0</v>
      </c>
      <c r="Q63" s="35">
        <v>0</v>
      </c>
      <c r="S63" s="26">
        <v>3</v>
      </c>
      <c r="T63" s="26">
        <v>3</v>
      </c>
      <c r="U63" s="26">
        <v>0</v>
      </c>
      <c r="W63" s="26">
        <v>1984.1</v>
      </c>
      <c r="X63" s="26">
        <v>1988</v>
      </c>
      <c r="Y63" s="28">
        <v>387609.5</v>
      </c>
      <c r="Z63" s="28">
        <v>53900</v>
      </c>
      <c r="AA63" s="28">
        <v>43855.7</v>
      </c>
      <c r="AB63" s="28">
        <v>29790</v>
      </c>
      <c r="AC63" s="35">
        <v>0.20100000000000001</v>
      </c>
      <c r="AD63" s="35">
        <v>0.112</v>
      </c>
      <c r="AE63" s="28">
        <v>7505.7</v>
      </c>
      <c r="AF63" s="28">
        <v>6030.5</v>
      </c>
      <c r="AH63" s="29">
        <f>IF($D63 = "SPLIT", "",COUNTIFS($D$7:$D$347,$D63,N$7:N$347,"&gt;"&amp;N63)+1)</f>
        <v>23</v>
      </c>
      <c r="AI63" s="29">
        <f>IF($D63 = "SPLIT", "",COUNTIFS($D$7:$D$347,$D63,S$7:S$347,"&gt;"&amp;S63)+1)</f>
        <v>130</v>
      </c>
      <c r="AJ63" s="29">
        <f>IF($D63 = "SPLIT", "",COUNTIFS($D$7:$D$347,$D63,T$7:T$347,"&gt;"&amp;T63)+1)</f>
        <v>45</v>
      </c>
      <c r="AK63" s="29">
        <f>IF($D63 = "SPLIT", "",COUNTIFS($D$7:$D$347,$D63,X$7:X$347,"&lt;"&amp;X63)+1)</f>
        <v>205</v>
      </c>
      <c r="AL63" s="29">
        <f>IF($D63 = "SPLIT", "",COUNTIFS($D$7:$D$347,$D63,Z$7:Z$347,"&gt;"&amp;Z63)+1)</f>
        <v>63</v>
      </c>
      <c r="AM63" s="29">
        <f>IF($D63 = "SPLIT", "",COUNTIFS($D$7:$D$347,$D63,AB$7:AB$347,"&gt;"&amp;AB63)+1)</f>
        <v>141</v>
      </c>
      <c r="AN63" s="29">
        <f>IF($D63 = "SPLIT", "",COUNTIFS($D$7:$D$347,$D63,AD$7:AD$347,"&gt;"&amp;AD63)+1)</f>
        <v>102</v>
      </c>
      <c r="AO63" s="29">
        <f>IF($D63 = "SPLIT", "",COUNTIFS($D$7:$D$347,$D63,AF$7:AF$347,"&gt;"&amp;AF63)+1)</f>
        <v>79</v>
      </c>
    </row>
    <row r="64" spans="1:41" hidden="1" x14ac:dyDescent="0.25">
      <c r="A64" s="160"/>
      <c r="B64" s="160"/>
      <c r="C64" s="160" t="s">
        <v>132</v>
      </c>
      <c r="D64" s="160" t="s">
        <v>2</v>
      </c>
      <c r="E64" s="161">
        <v>8</v>
      </c>
      <c r="F64" s="161"/>
      <c r="G64" s="161">
        <v>176</v>
      </c>
      <c r="H64" s="161">
        <v>0</v>
      </c>
      <c r="I64" s="161">
        <v>127</v>
      </c>
      <c r="J64" s="161">
        <v>9</v>
      </c>
      <c r="K64" s="161">
        <v>312</v>
      </c>
      <c r="L64" s="162">
        <v>0.56399999999999995</v>
      </c>
      <c r="M64" s="162">
        <v>0</v>
      </c>
      <c r="N64" s="162">
        <v>0.40699999999999997</v>
      </c>
      <c r="O64" s="162">
        <v>2.9000000000000001E-2</v>
      </c>
      <c r="P64" s="162">
        <v>1.2999999999999999E-2</v>
      </c>
      <c r="Q64" s="162">
        <v>3.0000000000000001E-3</v>
      </c>
      <c r="S64" s="161">
        <v>31</v>
      </c>
      <c r="T64" s="161">
        <v>9</v>
      </c>
      <c r="U64" s="161">
        <v>0</v>
      </c>
      <c r="W64" s="161">
        <v>1966.7</v>
      </c>
      <c r="X64" s="161">
        <v>1983</v>
      </c>
      <c r="Y64" s="163">
        <v>88546.5</v>
      </c>
      <c r="Z64" s="163">
        <v>44300</v>
      </c>
      <c r="AA64" s="163">
        <v>62323.6</v>
      </c>
      <c r="AB64" s="163">
        <v>49450</v>
      </c>
      <c r="AC64" s="162">
        <v>0.182</v>
      </c>
      <c r="AD64" s="162">
        <v>0.14000000000000001</v>
      </c>
      <c r="AE64" s="163">
        <v>8708.6</v>
      </c>
      <c r="AF64" s="163">
        <v>7637.5</v>
      </c>
      <c r="AH64" s="164">
        <f>IF($D64 = "SPLIT", "",COUNTIFS($D$7:$D$347,$D64,N$7:N$347,"&gt;"&amp;N64)+1)</f>
        <v>3</v>
      </c>
      <c r="AI64" s="164">
        <f>IF($D64 = "SPLIT", "",COUNTIFS($D$7:$D$347,$D64,S$7:S$347,"&gt;"&amp;S64)+1)</f>
        <v>54</v>
      </c>
      <c r="AJ64" s="164">
        <f>IF($D64 = "SPLIT", "",COUNTIFS($D$7:$D$347,$D64,T$7:T$347,"&gt;"&amp;T64)+1)</f>
        <v>46</v>
      </c>
      <c r="AK64" s="164">
        <f>IF($D64 = "SPLIT", "",COUNTIFS($D$7:$D$347,$D64,X$7:X$347,"&lt;"&amp;X64)+1)</f>
        <v>53</v>
      </c>
      <c r="AL64" s="164">
        <f>IF($D64 = "SPLIT", "",COUNTIFS($D$7:$D$347,$D64,Z$7:Z$347,"&gt;"&amp;Z64)+1)</f>
        <v>22</v>
      </c>
      <c r="AM64" s="164">
        <f>IF($D64 = "SPLIT", "",COUNTIFS($D$7:$D$347,$D64,AB$7:AB$347,"&gt;"&amp;AB64)+1)</f>
        <v>26</v>
      </c>
      <c r="AN64" s="164">
        <f>IF($D64 = "SPLIT", "",COUNTIFS($D$7:$D$347,$D64,AD$7:AD$347,"&gt;"&amp;AD64)+1)</f>
        <v>36</v>
      </c>
      <c r="AO64" s="164">
        <f>IF($D64 = "SPLIT", "",COUNTIFS($D$7:$D$347,$D64,AF$7:AF$347,"&gt;"&amp;AF64)+1)</f>
        <v>17</v>
      </c>
    </row>
    <row r="65" spans="1:41" x14ac:dyDescent="0.25">
      <c r="A65" s="25">
        <v>540041</v>
      </c>
      <c r="B65" s="25" t="s">
        <v>137</v>
      </c>
      <c r="C65" s="25" t="s">
        <v>138</v>
      </c>
      <c r="D65" s="25" t="s">
        <v>88</v>
      </c>
      <c r="E65" s="26">
        <v>4</v>
      </c>
      <c r="F65" s="26" t="s">
        <v>139</v>
      </c>
      <c r="G65" s="26">
        <v>129</v>
      </c>
      <c r="H65" s="26">
        <v>0</v>
      </c>
      <c r="I65" s="26">
        <v>14</v>
      </c>
      <c r="J65" s="26">
        <v>0</v>
      </c>
      <c r="K65" s="26">
        <v>143</v>
      </c>
      <c r="L65" s="35">
        <v>0.90200000000000002</v>
      </c>
      <c r="M65" s="35">
        <v>0</v>
      </c>
      <c r="N65" s="35">
        <v>9.8000000000000004E-2</v>
      </c>
      <c r="O65" s="35">
        <v>0</v>
      </c>
      <c r="P65" s="35">
        <v>0</v>
      </c>
      <c r="Q65" s="35">
        <v>0</v>
      </c>
      <c r="S65" s="26">
        <v>27</v>
      </c>
      <c r="T65" s="26">
        <v>2</v>
      </c>
      <c r="U65" s="26">
        <v>1</v>
      </c>
      <c r="W65" s="26">
        <v>1947.3</v>
      </c>
      <c r="X65" s="26">
        <v>1948</v>
      </c>
      <c r="Y65" s="28">
        <v>80022.3</v>
      </c>
      <c r="Z65" s="28">
        <v>49800</v>
      </c>
      <c r="AA65" s="28">
        <v>53593.4</v>
      </c>
      <c r="AB65" s="28">
        <v>49800</v>
      </c>
      <c r="AC65" s="35">
        <v>0.16500000000000001</v>
      </c>
      <c r="AD65" s="35">
        <v>0.152</v>
      </c>
      <c r="AE65" s="28">
        <v>11034.9</v>
      </c>
      <c r="AF65" s="28">
        <v>7038.2</v>
      </c>
      <c r="AH65" s="29" t="str">
        <f>IF($D65 = "SPLIT", "",COUNTIFS($D$7:$D$347,$D65,N$7:N$347,"&gt;"&amp;N65)+1)</f>
        <v/>
      </c>
      <c r="AI65" s="29" t="str">
        <f>IF($D65 = "SPLIT", "",COUNTIFS($D$7:$D$347,$D65,S$7:S$347,"&gt;"&amp;S65)+1)</f>
        <v/>
      </c>
      <c r="AJ65" s="29" t="str">
        <f>IF($D65 = "SPLIT", "",COUNTIFS($D$7:$D$347,$D65,T$7:T$347,"&gt;"&amp;T65)+1)</f>
        <v/>
      </c>
      <c r="AK65" s="29" t="str">
        <f>IF($D65 = "SPLIT", "",COUNTIFS($D$7:$D$347,$D65,X$7:X$347,"&lt;"&amp;X65)+1)</f>
        <v/>
      </c>
      <c r="AL65" s="29" t="str">
        <f>IF($D65 = "SPLIT", "",COUNTIFS($D$7:$D$347,$D65,Z$7:Z$347,"&gt;"&amp;Z65)+1)</f>
        <v/>
      </c>
      <c r="AM65" s="29" t="str">
        <f>IF($D65 = "SPLIT", "",COUNTIFS($D$7:$D$347,$D65,AB$7:AB$347,"&gt;"&amp;AB65)+1)</f>
        <v/>
      </c>
      <c r="AN65" s="29" t="str">
        <f>IF($D65 = "SPLIT", "",COUNTIFS($D$7:$D$347,$D65,AD$7:AD$347,"&gt;"&amp;AD65)+1)</f>
        <v/>
      </c>
      <c r="AO65" s="29" t="str">
        <f>IF($D65 = "SPLIT", "",COUNTIFS($D$7:$D$347,$D65,AF$7:AF$347,"&gt;"&amp;AF65)+1)</f>
        <v/>
      </c>
    </row>
    <row r="66" spans="1:41" x14ac:dyDescent="0.25">
      <c r="A66" s="25">
        <v>540243</v>
      </c>
      <c r="B66" s="25" t="s">
        <v>140</v>
      </c>
      <c r="C66" s="25" t="s">
        <v>138</v>
      </c>
      <c r="D66" s="25" t="s">
        <v>55</v>
      </c>
      <c r="E66" s="26">
        <v>4</v>
      </c>
      <c r="F66" s="26" t="s">
        <v>141</v>
      </c>
      <c r="G66" s="26">
        <v>0</v>
      </c>
      <c r="H66" s="26">
        <v>0</v>
      </c>
      <c r="I66" s="26">
        <v>3</v>
      </c>
      <c r="J66" s="26">
        <v>0</v>
      </c>
      <c r="K66" s="26">
        <v>3</v>
      </c>
      <c r="L66" s="35">
        <v>0</v>
      </c>
      <c r="M66" s="35">
        <v>0</v>
      </c>
      <c r="N66" s="35">
        <v>1</v>
      </c>
      <c r="O66" s="35">
        <v>0</v>
      </c>
      <c r="P66" s="35">
        <v>0</v>
      </c>
      <c r="Q66" s="35">
        <v>0</v>
      </c>
      <c r="S66" s="26">
        <v>3</v>
      </c>
      <c r="T66" s="26">
        <v>3</v>
      </c>
      <c r="U66" s="26">
        <v>0</v>
      </c>
      <c r="W66" s="26">
        <v>1997.7</v>
      </c>
      <c r="X66" s="26">
        <v>1995</v>
      </c>
      <c r="Y66" s="28">
        <v>52203.3</v>
      </c>
      <c r="Z66" s="28">
        <v>43500</v>
      </c>
      <c r="AA66" s="28">
        <v>52203.3</v>
      </c>
      <c r="AB66" s="28">
        <v>43500</v>
      </c>
      <c r="AC66" s="35">
        <v>0.63500000000000001</v>
      </c>
      <c r="AD66" s="35">
        <v>0.57599999999999996</v>
      </c>
      <c r="AE66" s="28">
        <v>31023.8</v>
      </c>
      <c r="AF66" s="28">
        <v>23838</v>
      </c>
      <c r="AH66" s="29">
        <f>IF($D66 = "SPLIT", "",COUNTIFS($D$7:$D$347,$D66,N$7:N$347,"&gt;"&amp;N66)+1)</f>
        <v>1</v>
      </c>
      <c r="AI66" s="29">
        <f>IF($D66 = "SPLIT", "",COUNTIFS($D$7:$D$347,$D66,S$7:S$347,"&gt;"&amp;S66)+1)</f>
        <v>130</v>
      </c>
      <c r="AJ66" s="29">
        <f>IF($D66 = "SPLIT", "",COUNTIFS($D$7:$D$347,$D66,T$7:T$347,"&gt;"&amp;T66)+1)</f>
        <v>45</v>
      </c>
      <c r="AK66" s="29">
        <f>IF($D66 = "SPLIT", "",COUNTIFS($D$7:$D$347,$D66,X$7:X$347,"&lt;"&amp;X66)+1)</f>
        <v>210</v>
      </c>
      <c r="AL66" s="29">
        <f>IF($D66 = "SPLIT", "",COUNTIFS($D$7:$D$347,$D66,Z$7:Z$347,"&gt;"&amp;Z66)+1)</f>
        <v>99</v>
      </c>
      <c r="AM66" s="29">
        <f>IF($D66 = "SPLIT", "",COUNTIFS($D$7:$D$347,$D66,AB$7:AB$347,"&gt;"&amp;AB66)+1)</f>
        <v>86</v>
      </c>
      <c r="AN66" s="29">
        <f>IF($D66 = "SPLIT", "",COUNTIFS($D$7:$D$347,$D66,AD$7:AD$347,"&gt;"&amp;AD66)+1)</f>
        <v>3</v>
      </c>
      <c r="AO66" s="29">
        <f>IF($D66 = "SPLIT", "",COUNTIFS($D$7:$D$347,$D66,AF$7:AF$347,"&gt;"&amp;AF66)+1)</f>
        <v>7</v>
      </c>
    </row>
    <row r="67" spans="1:41" x14ac:dyDescent="0.25">
      <c r="A67" s="30">
        <v>540040</v>
      </c>
      <c r="B67" s="30" t="s">
        <v>142</v>
      </c>
      <c r="C67" s="30" t="s">
        <v>138</v>
      </c>
      <c r="D67" s="30" t="s">
        <v>52</v>
      </c>
      <c r="E67" s="31">
        <v>4</v>
      </c>
      <c r="F67" s="31" t="s">
        <v>143</v>
      </c>
      <c r="G67" s="31">
        <v>744</v>
      </c>
      <c r="H67" s="31">
        <v>106</v>
      </c>
      <c r="I67" s="31">
        <v>317</v>
      </c>
      <c r="J67" s="31">
        <v>8</v>
      </c>
      <c r="K67" s="31">
        <v>1175</v>
      </c>
      <c r="L67" s="32">
        <v>0.63300000000000001</v>
      </c>
      <c r="M67" s="32">
        <v>0.09</v>
      </c>
      <c r="N67" s="32">
        <v>0.27</v>
      </c>
      <c r="O67" s="32">
        <v>7.0000000000000001E-3</v>
      </c>
      <c r="P67" s="32">
        <v>2E-3</v>
      </c>
      <c r="Q67" s="32">
        <v>4.0000000000000001E-3</v>
      </c>
      <c r="S67" s="31">
        <v>239</v>
      </c>
      <c r="T67" s="31">
        <v>87</v>
      </c>
      <c r="U67" s="31">
        <v>25</v>
      </c>
      <c r="W67" s="31">
        <v>1970.5</v>
      </c>
      <c r="X67" s="31">
        <v>1976</v>
      </c>
      <c r="Y67" s="33">
        <v>97873.8</v>
      </c>
      <c r="Z67" s="33">
        <v>37400</v>
      </c>
      <c r="AA67" s="33">
        <v>78303</v>
      </c>
      <c r="AB67" s="33">
        <v>37100</v>
      </c>
      <c r="AC67" s="32">
        <v>0.245</v>
      </c>
      <c r="AD67" s="32">
        <v>0.17699999999999999</v>
      </c>
      <c r="AE67" s="33">
        <v>11323.4</v>
      </c>
      <c r="AF67" s="33">
        <v>5989.8</v>
      </c>
      <c r="AH67" s="34">
        <f>IF($D67 = "SPLIT", "",COUNTIFS($D$7:$D$347,$D67,N$7:N$347,"&gt;"&amp;N67)+1)</f>
        <v>21</v>
      </c>
      <c r="AI67" s="34">
        <f>IF($D67 = "SPLIT", "",COUNTIFS($D$7:$D$347,$D67,S$7:S$347,"&gt;"&amp;S67)+1)</f>
        <v>12</v>
      </c>
      <c r="AJ67" s="34">
        <f>IF($D67 = "SPLIT", "",COUNTIFS($D$7:$D$347,$D67,T$7:T$347,"&gt;"&amp;T67)+1)</f>
        <v>9</v>
      </c>
      <c r="AK67" s="34">
        <f>IF($D67 = "SPLIT", "",COUNTIFS($D$7:$D$347,$D67,X$7:X$347,"&lt;"&amp;X67)+1)</f>
        <v>40</v>
      </c>
      <c r="AL67" s="34">
        <f>IF($D67 = "SPLIT", "",COUNTIFS($D$7:$D$347,$D67,Z$7:Z$347,"&gt;"&amp;Z67)+1)</f>
        <v>27</v>
      </c>
      <c r="AM67" s="34">
        <f>IF($D67 = "SPLIT", "",COUNTIFS($D$7:$D$347,$D67,AB$7:AB$347,"&gt;"&amp;AB67)+1)</f>
        <v>25</v>
      </c>
      <c r="AN67" s="34">
        <f>IF($D67 = "SPLIT", "",COUNTIFS($D$7:$D$347,$D67,AD$7:AD$347,"&gt;"&amp;AD67)+1)</f>
        <v>26</v>
      </c>
      <c r="AO67" s="34">
        <f>IF($D67 = "SPLIT", "",COUNTIFS($D$7:$D$347,$D67,AF$7:AF$347,"&gt;"&amp;AF67)+1)</f>
        <v>29</v>
      </c>
    </row>
    <row r="68" spans="1:41" s="180" customFormat="1" x14ac:dyDescent="0.25">
      <c r="A68" s="177">
        <v>540228</v>
      </c>
      <c r="B68" s="177" t="s">
        <v>144</v>
      </c>
      <c r="C68" s="177" t="s">
        <v>138</v>
      </c>
      <c r="D68" s="177" t="s">
        <v>55</v>
      </c>
      <c r="E68" s="178">
        <v>4</v>
      </c>
      <c r="F68" s="178" t="s">
        <v>145</v>
      </c>
      <c r="G68" s="178">
        <v>267</v>
      </c>
      <c r="H68" s="178">
        <v>69</v>
      </c>
      <c r="I68" s="183">
        <f xml:space="preserve"> 3 + H68</f>
        <v>72</v>
      </c>
      <c r="J68" s="178">
        <v>3</v>
      </c>
      <c r="K68" s="178">
        <v>342</v>
      </c>
      <c r="L68" s="179">
        <v>0.78100000000000003</v>
      </c>
      <c r="M68" s="179">
        <v>0.20200000000000001</v>
      </c>
      <c r="N68" s="184">
        <f xml:space="preserve"> I68 / K68</f>
        <v>0.21052631578947367</v>
      </c>
      <c r="O68" s="179">
        <v>8.9999999999999993E-3</v>
      </c>
      <c r="P68" s="179">
        <v>3.0000000000000001E-3</v>
      </c>
      <c r="Q68" s="179">
        <v>3.0000000000000001E-3</v>
      </c>
      <c r="S68" s="178">
        <v>34</v>
      </c>
      <c r="T68" s="178">
        <v>1</v>
      </c>
      <c r="U68" s="178">
        <v>4</v>
      </c>
      <c r="W68" s="178">
        <v>1958.4</v>
      </c>
      <c r="X68" s="178">
        <v>1950</v>
      </c>
      <c r="Y68" s="181">
        <v>44662.5</v>
      </c>
      <c r="Z68" s="181">
        <v>35200</v>
      </c>
      <c r="AA68" s="181">
        <v>33401.199999999997</v>
      </c>
      <c r="AB68" s="181">
        <v>34500</v>
      </c>
      <c r="AC68" s="179">
        <v>0.129</v>
      </c>
      <c r="AD68" s="179">
        <v>8.7999999999999995E-2</v>
      </c>
      <c r="AE68" s="181">
        <v>4071</v>
      </c>
      <c r="AF68" s="181">
        <v>1778.4</v>
      </c>
      <c r="AH68" s="182">
        <f>IF($D68 = "SPLIT", "",COUNTIFS($D$7:$D$347,$D68,N$7:N$347,"&gt;"&amp;N68)+1)</f>
        <v>65</v>
      </c>
      <c r="AI68" s="182">
        <f>IF($D68 = "SPLIT", "",COUNTIFS($D$7:$D$347,$D68,S$7:S$347,"&gt;"&amp;S68)+1)</f>
        <v>44</v>
      </c>
      <c r="AJ68" s="182">
        <f>IF($D68 = "SPLIT", "",COUNTIFS($D$7:$D$347,$D68,T$7:T$347,"&gt;"&amp;T68)+1)</f>
        <v>84</v>
      </c>
      <c r="AK68" s="182">
        <f>IF($D68 = "SPLIT", "",COUNTIFS($D$7:$D$347,$D68,X$7:X$347,"&lt;"&amp;X68)+1)</f>
        <v>120</v>
      </c>
      <c r="AL68" s="182">
        <f>IF($D68 = "SPLIT", "",COUNTIFS($D$7:$D$347,$D68,Z$7:Z$347,"&gt;"&amp;Z68)+1)</f>
        <v>138</v>
      </c>
      <c r="AM68" s="182">
        <f>IF($D68 = "SPLIT", "",COUNTIFS($D$7:$D$347,$D68,AB$7:AB$347,"&gt;"&amp;AB68)+1)</f>
        <v>116</v>
      </c>
      <c r="AN68" s="182">
        <f>IF($D68 = "SPLIT", "",COUNTIFS($D$7:$D$347,$D68,AD$7:AD$347,"&gt;"&amp;AD68)+1)</f>
        <v>132</v>
      </c>
      <c r="AO68" s="182">
        <f>IF($D68 = "SPLIT", "",COUNTIFS($D$7:$D$347,$D68,AF$7:AF$347,"&gt;"&amp;AF68)+1)</f>
        <v>172</v>
      </c>
    </row>
    <row r="69" spans="1:41" x14ac:dyDescent="0.25">
      <c r="A69" s="25">
        <v>540043</v>
      </c>
      <c r="B69" s="25" t="s">
        <v>146</v>
      </c>
      <c r="C69" s="25" t="s">
        <v>138</v>
      </c>
      <c r="D69" s="25" t="s">
        <v>55</v>
      </c>
      <c r="E69" s="26">
        <v>4</v>
      </c>
      <c r="F69" s="26" t="s">
        <v>147</v>
      </c>
      <c r="G69" s="26">
        <v>60</v>
      </c>
      <c r="H69" s="26">
        <v>0</v>
      </c>
      <c r="I69" s="26">
        <v>7</v>
      </c>
      <c r="J69" s="26">
        <v>0</v>
      </c>
      <c r="K69" s="26">
        <v>67</v>
      </c>
      <c r="L69" s="35">
        <v>0.89600000000000002</v>
      </c>
      <c r="M69" s="35">
        <v>0</v>
      </c>
      <c r="N69" s="35">
        <v>0.104</v>
      </c>
      <c r="O69" s="35">
        <v>0</v>
      </c>
      <c r="P69" s="35">
        <v>0</v>
      </c>
      <c r="Q69" s="35">
        <v>0</v>
      </c>
      <c r="S69" s="26">
        <v>5</v>
      </c>
      <c r="T69" s="26">
        <v>2</v>
      </c>
      <c r="U69" s="26">
        <v>3</v>
      </c>
      <c r="W69" s="26">
        <v>1931.4</v>
      </c>
      <c r="X69" s="26">
        <v>1920</v>
      </c>
      <c r="Y69" s="28">
        <v>444633.5</v>
      </c>
      <c r="Z69" s="28">
        <v>40800</v>
      </c>
      <c r="AA69" s="28">
        <v>39829.4</v>
      </c>
      <c r="AB69" s="28">
        <v>40750</v>
      </c>
      <c r="AC69" s="35">
        <v>0.10100000000000001</v>
      </c>
      <c r="AD69" s="35">
        <v>9.1999999999999998E-2</v>
      </c>
      <c r="AE69" s="28">
        <v>169432</v>
      </c>
      <c r="AF69" s="28">
        <v>2643.7</v>
      </c>
      <c r="AH69" s="29">
        <f>IF($D69 = "SPLIT", "",COUNTIFS($D$7:$D$347,$D69,N$7:N$347,"&gt;"&amp;N69)+1)</f>
        <v>128</v>
      </c>
      <c r="AI69" s="29">
        <f>IF($D69 = "SPLIT", "",COUNTIFS($D$7:$D$347,$D69,S$7:S$347,"&gt;"&amp;S69)+1)</f>
        <v>110</v>
      </c>
      <c r="AJ69" s="29">
        <f>IF($D69 = "SPLIT", "",COUNTIFS($D$7:$D$347,$D69,T$7:T$347,"&gt;"&amp;T69)+1)</f>
        <v>59</v>
      </c>
      <c r="AK69" s="29">
        <f>IF($D69 = "SPLIT", "",COUNTIFS($D$7:$D$347,$D69,X$7:X$347,"&lt;"&amp;X69)+1)</f>
        <v>21</v>
      </c>
      <c r="AL69" s="29">
        <f>IF($D69 = "SPLIT", "",COUNTIFS($D$7:$D$347,$D69,Z$7:Z$347,"&gt;"&amp;Z69)+1)</f>
        <v>113</v>
      </c>
      <c r="AM69" s="29">
        <f>IF($D69 = "SPLIT", "",COUNTIFS($D$7:$D$347,$D69,AB$7:AB$347,"&gt;"&amp;AB69)+1)</f>
        <v>96</v>
      </c>
      <c r="AN69" s="29">
        <f>IF($D69 = "SPLIT", "",COUNTIFS($D$7:$D$347,$D69,AD$7:AD$347,"&gt;"&amp;AD69)+1)</f>
        <v>127</v>
      </c>
      <c r="AO69" s="29">
        <f>IF($D69 = "SPLIT", "",COUNTIFS($D$7:$D$347,$D69,AF$7:AF$347,"&gt;"&amp;AF69)+1)</f>
        <v>143</v>
      </c>
    </row>
    <row r="70" spans="1:41" x14ac:dyDescent="0.25">
      <c r="A70" s="25">
        <v>540044</v>
      </c>
      <c r="B70" s="25" t="s">
        <v>148</v>
      </c>
      <c r="C70" s="25" t="s">
        <v>138</v>
      </c>
      <c r="D70" s="25" t="s">
        <v>55</v>
      </c>
      <c r="E70" s="26">
        <v>4</v>
      </c>
      <c r="F70" s="26" t="s">
        <v>149</v>
      </c>
      <c r="G70" s="26">
        <v>45</v>
      </c>
      <c r="H70" s="26">
        <v>7</v>
      </c>
      <c r="I70" s="26">
        <v>9</v>
      </c>
      <c r="J70" s="26">
        <v>1</v>
      </c>
      <c r="K70" s="26">
        <v>62</v>
      </c>
      <c r="L70" s="35">
        <v>0.72599999999999998</v>
      </c>
      <c r="M70" s="35">
        <v>0.113</v>
      </c>
      <c r="N70" s="35">
        <v>0.14499999999999999</v>
      </c>
      <c r="O70" s="35">
        <v>1.6E-2</v>
      </c>
      <c r="P70" s="35">
        <v>0</v>
      </c>
      <c r="Q70" s="35">
        <v>1.6E-2</v>
      </c>
      <c r="S70" s="26">
        <v>3</v>
      </c>
      <c r="T70" s="26">
        <v>2</v>
      </c>
      <c r="U70" s="26">
        <v>0</v>
      </c>
      <c r="W70" s="26">
        <v>1967.4</v>
      </c>
      <c r="X70" s="26">
        <v>1967</v>
      </c>
      <c r="Y70" s="28">
        <v>51174.1</v>
      </c>
      <c r="Z70" s="28">
        <v>36100</v>
      </c>
      <c r="AA70" s="28">
        <v>40016.6</v>
      </c>
      <c r="AB70" s="28">
        <v>33050</v>
      </c>
      <c r="AC70" s="35">
        <v>0.13600000000000001</v>
      </c>
      <c r="AD70" s="35">
        <v>0.1</v>
      </c>
      <c r="AE70" s="28">
        <v>4333.5</v>
      </c>
      <c r="AF70" s="28">
        <v>2566.5</v>
      </c>
      <c r="AH70" s="29">
        <f>IF($D70 = "SPLIT", "",COUNTIFS($D$7:$D$347,$D70,N$7:N$347,"&gt;"&amp;N70)+1)</f>
        <v>93</v>
      </c>
      <c r="AI70" s="29">
        <f>IF($D70 = "SPLIT", "",COUNTIFS($D$7:$D$347,$D70,S$7:S$347,"&gt;"&amp;S70)+1)</f>
        <v>130</v>
      </c>
      <c r="AJ70" s="29">
        <f>IF($D70 = "SPLIT", "",COUNTIFS($D$7:$D$347,$D70,T$7:T$347,"&gt;"&amp;T70)+1)</f>
        <v>59</v>
      </c>
      <c r="AK70" s="29">
        <f>IF($D70 = "SPLIT", "",COUNTIFS($D$7:$D$347,$D70,X$7:X$347,"&lt;"&amp;X70)+1)</f>
        <v>157</v>
      </c>
      <c r="AL70" s="29">
        <f>IF($D70 = "SPLIT", "",COUNTIFS($D$7:$D$347,$D70,Z$7:Z$347,"&gt;"&amp;Z70)+1)</f>
        <v>128</v>
      </c>
      <c r="AM70" s="29">
        <f>IF($D70 = "SPLIT", "",COUNTIFS($D$7:$D$347,$D70,AB$7:AB$347,"&gt;"&amp;AB70)+1)</f>
        <v>123</v>
      </c>
      <c r="AN70" s="29">
        <f>IF($D70 = "SPLIT", "",COUNTIFS($D$7:$D$347,$D70,AD$7:AD$347,"&gt;"&amp;AD70)+1)</f>
        <v>123</v>
      </c>
      <c r="AO70" s="29">
        <f>IF($D70 = "SPLIT", "",COUNTIFS($D$7:$D$347,$D70,AF$7:AF$347,"&gt;"&amp;AF70)+1)</f>
        <v>146</v>
      </c>
    </row>
    <row r="71" spans="1:41" s="180" customFormat="1" x14ac:dyDescent="0.25">
      <c r="A71" s="177">
        <v>540045</v>
      </c>
      <c r="B71" s="177" t="s">
        <v>150</v>
      </c>
      <c r="C71" s="177" t="s">
        <v>138</v>
      </c>
      <c r="D71" s="177" t="s">
        <v>55</v>
      </c>
      <c r="E71" s="178">
        <v>4</v>
      </c>
      <c r="F71" s="178" t="s">
        <v>151</v>
      </c>
      <c r="G71" s="178">
        <v>382</v>
      </c>
      <c r="H71" s="178">
        <v>7</v>
      </c>
      <c r="I71" s="183">
        <f xml:space="preserve"> 40 + H71</f>
        <v>47</v>
      </c>
      <c r="J71" s="178">
        <v>3</v>
      </c>
      <c r="K71" s="178">
        <v>432</v>
      </c>
      <c r="L71" s="179">
        <v>0.88400000000000001</v>
      </c>
      <c r="M71" s="179">
        <v>1.6E-2</v>
      </c>
      <c r="N71" s="184">
        <f xml:space="preserve"> I71 / K71</f>
        <v>0.10879629629629629</v>
      </c>
      <c r="O71" s="179">
        <v>7.0000000000000001E-3</v>
      </c>
      <c r="P71" s="179">
        <v>0</v>
      </c>
      <c r="Q71" s="179">
        <v>2E-3</v>
      </c>
      <c r="S71" s="178">
        <v>37</v>
      </c>
      <c r="T71" s="178">
        <v>1</v>
      </c>
      <c r="U71" s="178">
        <v>0</v>
      </c>
      <c r="W71" s="178">
        <v>1944.5</v>
      </c>
      <c r="X71" s="178">
        <v>1940</v>
      </c>
      <c r="Y71" s="181">
        <v>88249.3</v>
      </c>
      <c r="Z71" s="181">
        <v>45950</v>
      </c>
      <c r="AA71" s="181">
        <v>50565.2</v>
      </c>
      <c r="AB71" s="181">
        <v>44600</v>
      </c>
      <c r="AC71" s="179">
        <v>9.0999999999999998E-2</v>
      </c>
      <c r="AD71" s="179">
        <v>6.5000000000000002E-2</v>
      </c>
      <c r="AE71" s="181">
        <v>4925.3</v>
      </c>
      <c r="AF71" s="181">
        <v>1956.2</v>
      </c>
      <c r="AH71" s="182">
        <f>IF($D71 = "SPLIT", "",COUNTIFS($D$7:$D$347,$D71,N$7:N$347,"&gt;"&amp;N71)+1)</f>
        <v>119</v>
      </c>
      <c r="AI71" s="182">
        <f>IF($D71 = "SPLIT", "",COUNTIFS($D$7:$D$347,$D71,S$7:S$347,"&gt;"&amp;S71)+1)</f>
        <v>42</v>
      </c>
      <c r="AJ71" s="182">
        <f>IF($D71 = "SPLIT", "",COUNTIFS($D$7:$D$347,$D71,T$7:T$347,"&gt;"&amp;T71)+1)</f>
        <v>84</v>
      </c>
      <c r="AK71" s="182">
        <f>IF($D71 = "SPLIT", "",COUNTIFS($D$7:$D$347,$D71,X$7:X$347,"&lt;"&amp;X71)+1)</f>
        <v>72</v>
      </c>
      <c r="AL71" s="182">
        <f>IF($D71 = "SPLIT", "",COUNTIFS($D$7:$D$347,$D71,Z$7:Z$347,"&gt;"&amp;Z71)+1)</f>
        <v>89</v>
      </c>
      <c r="AM71" s="182">
        <f>IF($D71 = "SPLIT", "",COUNTIFS($D$7:$D$347,$D71,AB$7:AB$347,"&gt;"&amp;AB71)+1)</f>
        <v>80</v>
      </c>
      <c r="AN71" s="182">
        <f>IF($D71 = "SPLIT", "",COUNTIFS($D$7:$D$347,$D71,AD$7:AD$347,"&gt;"&amp;AD71)+1)</f>
        <v>153</v>
      </c>
      <c r="AO71" s="182">
        <f>IF($D71 = "SPLIT", "",COUNTIFS($D$7:$D$347,$D71,AF$7:AF$347,"&gt;"&amp;AF71)+1)</f>
        <v>166</v>
      </c>
    </row>
    <row r="72" spans="1:41" x14ac:dyDescent="0.25">
      <c r="A72" s="160"/>
      <c r="B72" s="160"/>
      <c r="C72" s="160" t="s">
        <v>138</v>
      </c>
      <c r="D72" s="160" t="s">
        <v>2</v>
      </c>
      <c r="E72" s="161">
        <v>4</v>
      </c>
      <c r="F72" s="161"/>
      <c r="G72" s="161">
        <v>1627</v>
      </c>
      <c r="H72" s="161">
        <v>189</v>
      </c>
      <c r="I72" s="161">
        <v>393</v>
      </c>
      <c r="J72" s="161">
        <v>15</v>
      </c>
      <c r="K72" s="161">
        <v>2224</v>
      </c>
      <c r="L72" s="162">
        <v>0.73199999999999998</v>
      </c>
      <c r="M72" s="162">
        <v>8.5000000000000006E-2</v>
      </c>
      <c r="N72" s="162">
        <v>0.17699999999999999</v>
      </c>
      <c r="O72" s="162">
        <v>7.0000000000000001E-3</v>
      </c>
      <c r="P72" s="162">
        <v>1E-3</v>
      </c>
      <c r="Q72" s="162">
        <v>4.0000000000000001E-3</v>
      </c>
      <c r="S72" s="161">
        <v>348</v>
      </c>
      <c r="T72" s="161">
        <v>98</v>
      </c>
      <c r="U72" s="161">
        <v>33</v>
      </c>
      <c r="W72" s="161">
        <v>1960.5</v>
      </c>
      <c r="X72" s="161">
        <v>1960</v>
      </c>
      <c r="Y72" s="163">
        <v>95756.800000000003</v>
      </c>
      <c r="Z72" s="163">
        <v>39550</v>
      </c>
      <c r="AA72" s="163">
        <v>71007.5</v>
      </c>
      <c r="AB72" s="163">
        <v>42900</v>
      </c>
      <c r="AC72" s="162">
        <v>0.184</v>
      </c>
      <c r="AD72" s="162">
        <v>0.12</v>
      </c>
      <c r="AE72" s="163">
        <v>12573.5</v>
      </c>
      <c r="AF72" s="163">
        <v>3714</v>
      </c>
      <c r="AH72" s="164">
        <f>IF($D72 = "SPLIT", "",COUNTIFS($D$7:$D$347,$D72,N$7:N$347,"&gt;"&amp;N72)+1)</f>
        <v>37</v>
      </c>
      <c r="AI72" s="164">
        <f>IF($D72 = "SPLIT", "",COUNTIFS($D$7:$D$347,$D72,S$7:S$347,"&gt;"&amp;S72)+1)</f>
        <v>14</v>
      </c>
      <c r="AJ72" s="164">
        <f>IF($D72 = "SPLIT", "",COUNTIFS($D$7:$D$347,$D72,T$7:T$347,"&gt;"&amp;T72)+1)</f>
        <v>9</v>
      </c>
      <c r="AK72" s="164">
        <f>IF($D72 = "SPLIT", "",COUNTIFS($D$7:$D$347,$D72,X$7:X$347,"&lt;"&amp;X72)+1)</f>
        <v>16</v>
      </c>
      <c r="AL72" s="164">
        <f>IF($D72 = "SPLIT", "",COUNTIFS($D$7:$D$347,$D72,Z$7:Z$347,"&gt;"&amp;Z72)+1)</f>
        <v>30</v>
      </c>
      <c r="AM72" s="164">
        <f>IF($D72 = "SPLIT", "",COUNTIFS($D$7:$D$347,$D72,AB$7:AB$347,"&gt;"&amp;AB72)+1)</f>
        <v>33</v>
      </c>
      <c r="AN72" s="164">
        <f>IF($D72 = "SPLIT", "",COUNTIFS($D$7:$D$347,$D72,AD$7:AD$347,"&gt;"&amp;AD72)+1)</f>
        <v>44</v>
      </c>
      <c r="AO72" s="164">
        <f>IF($D72 = "SPLIT", "",COUNTIFS($D$7:$D$347,$D72,AF$7:AF$347,"&gt;"&amp;AF72)+1)</f>
        <v>45</v>
      </c>
    </row>
    <row r="73" spans="1:41" hidden="1" x14ac:dyDescent="0.25">
      <c r="A73" s="25">
        <v>540046</v>
      </c>
      <c r="B73" s="25" t="s">
        <v>152</v>
      </c>
      <c r="C73" s="25" t="s">
        <v>153</v>
      </c>
      <c r="D73" s="25" t="s">
        <v>55</v>
      </c>
      <c r="E73" s="26">
        <v>8</v>
      </c>
      <c r="F73" s="26" t="s">
        <v>154</v>
      </c>
      <c r="G73" s="26">
        <v>29</v>
      </c>
      <c r="H73" s="26">
        <v>0</v>
      </c>
      <c r="I73" s="26">
        <v>8</v>
      </c>
      <c r="J73" s="26">
        <v>0</v>
      </c>
      <c r="K73" s="26">
        <v>37</v>
      </c>
      <c r="L73" s="35">
        <v>0.78400000000000003</v>
      </c>
      <c r="M73" s="35">
        <v>0</v>
      </c>
      <c r="N73" s="35">
        <v>0.216</v>
      </c>
      <c r="O73" s="35">
        <v>0</v>
      </c>
      <c r="P73" s="35">
        <v>0</v>
      </c>
      <c r="Q73" s="35">
        <v>0</v>
      </c>
      <c r="S73" s="26">
        <v>10</v>
      </c>
      <c r="T73" s="26">
        <v>2</v>
      </c>
      <c r="U73" s="26">
        <v>1</v>
      </c>
      <c r="W73" s="26">
        <v>1922.9</v>
      </c>
      <c r="X73" s="26">
        <v>1920</v>
      </c>
      <c r="Y73" s="28">
        <v>109864.9</v>
      </c>
      <c r="Z73" s="28">
        <v>68400</v>
      </c>
      <c r="AA73" s="28">
        <v>88313.600000000006</v>
      </c>
      <c r="AB73" s="28">
        <v>65100</v>
      </c>
      <c r="AC73" s="35">
        <v>0.19500000000000001</v>
      </c>
      <c r="AD73" s="35">
        <v>0.151</v>
      </c>
      <c r="AE73" s="28">
        <v>12464.9</v>
      </c>
      <c r="AF73" s="28">
        <v>9873.7000000000007</v>
      </c>
      <c r="AH73" s="29">
        <f>IF($D73 = "SPLIT", "",COUNTIFS($D$7:$D$347,$D73,N$7:N$347,"&gt;"&amp;N73)+1)</f>
        <v>63</v>
      </c>
      <c r="AI73" s="29">
        <f>IF($D73 = "SPLIT", "",COUNTIFS($D$7:$D$347,$D73,S$7:S$347,"&gt;"&amp;S73)+1)</f>
        <v>95</v>
      </c>
      <c r="AJ73" s="29">
        <f>IF($D73 = "SPLIT", "",COUNTIFS($D$7:$D$347,$D73,T$7:T$347,"&gt;"&amp;T73)+1)</f>
        <v>59</v>
      </c>
      <c r="AK73" s="29">
        <f>IF($D73 = "SPLIT", "",COUNTIFS($D$7:$D$347,$D73,X$7:X$347,"&lt;"&amp;X73)+1)</f>
        <v>21</v>
      </c>
      <c r="AL73" s="29">
        <f>IF($D73 = "SPLIT", "",COUNTIFS($D$7:$D$347,$D73,Z$7:Z$347,"&gt;"&amp;Z73)+1)</f>
        <v>37</v>
      </c>
      <c r="AM73" s="29">
        <f>IF($D73 = "SPLIT", "",COUNTIFS($D$7:$D$347,$D73,AB$7:AB$347,"&gt;"&amp;AB73)+1)</f>
        <v>31</v>
      </c>
      <c r="AN73" s="29">
        <f>IF($D73 = "SPLIT", "",COUNTIFS($D$7:$D$347,$D73,AD$7:AD$347,"&gt;"&amp;AD73)+1)</f>
        <v>71</v>
      </c>
      <c r="AO73" s="29">
        <f>IF($D73 = "SPLIT", "",COUNTIFS($D$7:$D$347,$D73,AF$7:AF$347,"&gt;"&amp;AF73)+1)</f>
        <v>37</v>
      </c>
    </row>
    <row r="74" spans="1:41" hidden="1" x14ac:dyDescent="0.25">
      <c r="A74" s="30">
        <v>540226</v>
      </c>
      <c r="B74" s="30" t="s">
        <v>155</v>
      </c>
      <c r="C74" s="30" t="s">
        <v>153</v>
      </c>
      <c r="D74" s="30" t="s">
        <v>52</v>
      </c>
      <c r="E74" s="31">
        <v>8</v>
      </c>
      <c r="F74" s="31" t="s">
        <v>134</v>
      </c>
      <c r="G74" s="31">
        <v>722</v>
      </c>
      <c r="H74" s="31">
        <v>0</v>
      </c>
      <c r="I74" s="31">
        <v>293</v>
      </c>
      <c r="J74" s="31">
        <v>75</v>
      </c>
      <c r="K74" s="31">
        <v>1090</v>
      </c>
      <c r="L74" s="32">
        <v>0.66200000000000003</v>
      </c>
      <c r="M74" s="32">
        <v>0</v>
      </c>
      <c r="N74" s="32">
        <v>0.26900000000000002</v>
      </c>
      <c r="O74" s="32">
        <v>6.9000000000000006E-2</v>
      </c>
      <c r="P74" s="32">
        <v>2.1000000000000001E-2</v>
      </c>
      <c r="Q74" s="32">
        <v>1E-3</v>
      </c>
      <c r="S74" s="31">
        <v>430</v>
      </c>
      <c r="T74" s="31">
        <v>79</v>
      </c>
      <c r="U74" s="31">
        <v>127</v>
      </c>
      <c r="W74" s="31">
        <v>1958.4</v>
      </c>
      <c r="X74" s="31">
        <v>1970</v>
      </c>
      <c r="Y74" s="33">
        <v>61747.1</v>
      </c>
      <c r="Z74" s="33">
        <v>42650</v>
      </c>
      <c r="AA74" s="33">
        <v>55748</v>
      </c>
      <c r="AB74" s="33">
        <v>42000</v>
      </c>
      <c r="AC74" s="32">
        <v>0.441</v>
      </c>
      <c r="AD74" s="32">
        <v>0.44</v>
      </c>
      <c r="AE74" s="33">
        <v>19542.3</v>
      </c>
      <c r="AF74" s="33">
        <v>14776</v>
      </c>
      <c r="AH74" s="34">
        <f>IF($D74 = "SPLIT", "",COUNTIFS($D$7:$D$347,$D74,N$7:N$347,"&gt;"&amp;N74)+1)</f>
        <v>22</v>
      </c>
      <c r="AI74" s="34">
        <f>IF($D74 = "SPLIT", "",COUNTIFS($D$7:$D$347,$D74,S$7:S$347,"&gt;"&amp;S74)+1)</f>
        <v>5</v>
      </c>
      <c r="AJ74" s="34">
        <f>IF($D74 = "SPLIT", "",COUNTIFS($D$7:$D$347,$D74,T$7:T$347,"&gt;"&amp;T74)+1)</f>
        <v>11</v>
      </c>
      <c r="AK74" s="34">
        <f>IF($D74 = "SPLIT", "",COUNTIFS($D$7:$D$347,$D74,X$7:X$347,"&lt;"&amp;X74)+1)</f>
        <v>21</v>
      </c>
      <c r="AL74" s="34">
        <f>IF($D74 = "SPLIT", "",COUNTIFS($D$7:$D$347,$D74,Z$7:Z$347,"&gt;"&amp;Z74)+1)</f>
        <v>22</v>
      </c>
      <c r="AM74" s="34">
        <f>IF($D74 = "SPLIT", "",COUNTIFS($D$7:$D$347,$D74,AB$7:AB$347,"&gt;"&amp;AB74)+1)</f>
        <v>20</v>
      </c>
      <c r="AN74" s="34">
        <f>IF($D74 = "SPLIT", "",COUNTIFS($D$7:$D$347,$D74,AD$7:AD$347,"&gt;"&amp;AD74)+1)</f>
        <v>3</v>
      </c>
      <c r="AO74" s="34">
        <f>IF($D74 = "SPLIT", "",COUNTIFS($D$7:$D$347,$D74,AF$7:AF$347,"&gt;"&amp;AF74)+1)</f>
        <v>5</v>
      </c>
    </row>
    <row r="75" spans="1:41" hidden="1" x14ac:dyDescent="0.25">
      <c r="A75" s="25">
        <v>540276</v>
      </c>
      <c r="B75" s="25" t="s">
        <v>156</v>
      </c>
      <c r="C75" s="25" t="s">
        <v>153</v>
      </c>
      <c r="D75" s="25" t="s">
        <v>55</v>
      </c>
      <c r="E75" s="26">
        <v>8</v>
      </c>
      <c r="F75" s="26" t="s">
        <v>157</v>
      </c>
      <c r="G75" s="26">
        <v>5</v>
      </c>
      <c r="H75" s="26">
        <v>0</v>
      </c>
      <c r="I75" s="26">
        <v>2</v>
      </c>
      <c r="J75" s="26">
        <v>0</v>
      </c>
      <c r="K75" s="26">
        <v>7</v>
      </c>
      <c r="L75" s="35">
        <v>0.71399999999999997</v>
      </c>
      <c r="M75" s="35">
        <v>0</v>
      </c>
      <c r="N75" s="35">
        <v>0.28599999999999998</v>
      </c>
      <c r="O75" s="35">
        <v>0</v>
      </c>
      <c r="P75" s="35">
        <v>0</v>
      </c>
      <c r="Q75" s="35">
        <v>0</v>
      </c>
      <c r="S75" s="26">
        <v>1</v>
      </c>
      <c r="T75" s="26">
        <v>0</v>
      </c>
      <c r="U75" s="26">
        <v>0</v>
      </c>
      <c r="W75" s="26">
        <v>1970</v>
      </c>
      <c r="X75" s="26">
        <v>1970</v>
      </c>
      <c r="Y75" s="28">
        <v>244414.3</v>
      </c>
      <c r="Z75" s="28">
        <v>121900</v>
      </c>
      <c r="AA75" s="28">
        <v>56600</v>
      </c>
      <c r="AB75" s="28">
        <v>56600</v>
      </c>
      <c r="AC75" s="35">
        <v>0.05</v>
      </c>
      <c r="AD75" s="35">
        <v>5.1999999999999998E-2</v>
      </c>
      <c r="AE75" s="28">
        <v>6441.5</v>
      </c>
      <c r="AF75" s="28">
        <v>4341.7</v>
      </c>
      <c r="AH75" s="29">
        <f>IF($D75 = "SPLIT", "",COUNTIFS($D$7:$D$347,$D75,N$7:N$347,"&gt;"&amp;N75)+1)</f>
        <v>40</v>
      </c>
      <c r="AI75" s="29">
        <f>IF($D75 = "SPLIT", "",COUNTIFS($D$7:$D$347,$D75,S$7:S$347,"&gt;"&amp;S75)+1)</f>
        <v>153</v>
      </c>
      <c r="AJ75" s="29">
        <f>IF($D75 = "SPLIT", "",COUNTIFS($D$7:$D$347,$D75,T$7:T$347,"&gt;"&amp;T75)+1)</f>
        <v>113</v>
      </c>
      <c r="AK75" s="29">
        <f>IF($D75 = "SPLIT", "",COUNTIFS($D$7:$D$347,$D75,X$7:X$347,"&lt;"&amp;X75)+1)</f>
        <v>163</v>
      </c>
      <c r="AL75" s="29">
        <f>IF($D75 = "SPLIT", "",COUNTIFS($D$7:$D$347,$D75,Z$7:Z$347,"&gt;"&amp;Z75)+1)</f>
        <v>10</v>
      </c>
      <c r="AM75" s="29">
        <f>IF($D75 = "SPLIT", "",COUNTIFS($D$7:$D$347,$D75,AB$7:AB$347,"&gt;"&amp;AB75)+1)</f>
        <v>46</v>
      </c>
      <c r="AN75" s="29">
        <f>IF($D75 = "SPLIT", "",COUNTIFS($D$7:$D$347,$D75,AD$7:AD$347,"&gt;"&amp;AD75)+1)</f>
        <v>166</v>
      </c>
      <c r="AO75" s="29">
        <f>IF($D75 = "SPLIT", "",COUNTIFS($D$7:$D$347,$D75,AF$7:AF$347,"&gt;"&amp;AF75)+1)</f>
        <v>107</v>
      </c>
    </row>
    <row r="76" spans="1:41" hidden="1" x14ac:dyDescent="0.25">
      <c r="A76" s="160"/>
      <c r="B76" s="160"/>
      <c r="C76" s="160" t="s">
        <v>153</v>
      </c>
      <c r="D76" s="160" t="s">
        <v>2</v>
      </c>
      <c r="E76" s="161">
        <v>8</v>
      </c>
      <c r="F76" s="161"/>
      <c r="G76" s="161">
        <v>756</v>
      </c>
      <c r="H76" s="161">
        <v>0</v>
      </c>
      <c r="I76" s="161">
        <v>303</v>
      </c>
      <c r="J76" s="161">
        <v>75</v>
      </c>
      <c r="K76" s="161">
        <v>1134</v>
      </c>
      <c r="L76" s="162">
        <v>0.66700000000000004</v>
      </c>
      <c r="M76" s="162">
        <v>0</v>
      </c>
      <c r="N76" s="162">
        <v>0.26700000000000002</v>
      </c>
      <c r="O76" s="162">
        <v>6.6000000000000003E-2</v>
      </c>
      <c r="P76" s="162">
        <v>0.02</v>
      </c>
      <c r="Q76" s="162">
        <v>1E-3</v>
      </c>
      <c r="S76" s="161">
        <v>441</v>
      </c>
      <c r="T76" s="161">
        <v>81</v>
      </c>
      <c r="U76" s="161">
        <v>128</v>
      </c>
      <c r="W76" s="161">
        <v>1957</v>
      </c>
      <c r="X76" s="161">
        <v>1969.5</v>
      </c>
      <c r="Y76" s="163">
        <v>64444.7</v>
      </c>
      <c r="Z76" s="163">
        <v>43400</v>
      </c>
      <c r="AA76" s="163">
        <v>64192.6</v>
      </c>
      <c r="AB76" s="163">
        <v>52250</v>
      </c>
      <c r="AC76" s="162">
        <v>0.43099999999999999</v>
      </c>
      <c r="AD76" s="162">
        <v>0.42299999999999999</v>
      </c>
      <c r="AE76" s="163">
        <v>19248.400000000001</v>
      </c>
      <c r="AF76" s="163">
        <v>14599.3</v>
      </c>
      <c r="AH76" s="164">
        <f>IF($D76 = "SPLIT", "",COUNTIFS($D$7:$D$347,$D76,N$7:N$347,"&gt;"&amp;N76)+1)</f>
        <v>16</v>
      </c>
      <c r="AI76" s="164">
        <f>IF($D76 = "SPLIT", "",COUNTIFS($D$7:$D$347,$D76,S$7:S$347,"&gt;"&amp;S76)+1)</f>
        <v>9</v>
      </c>
      <c r="AJ76" s="164">
        <f>IF($D76 = "SPLIT", "",COUNTIFS($D$7:$D$347,$D76,T$7:T$347,"&gt;"&amp;T76)+1)</f>
        <v>12</v>
      </c>
      <c r="AK76" s="164">
        <f>IF($D76 = "SPLIT", "",COUNTIFS($D$7:$D$347,$D76,X$7:X$347,"&lt;"&amp;X76)+1)</f>
        <v>31</v>
      </c>
      <c r="AL76" s="164">
        <f>IF($D76 = "SPLIT", "",COUNTIFS($D$7:$D$347,$D76,Z$7:Z$347,"&gt;"&amp;Z76)+1)</f>
        <v>24</v>
      </c>
      <c r="AM76" s="164">
        <f>IF($D76 = "SPLIT", "",COUNTIFS($D$7:$D$347,$D76,AB$7:AB$347,"&gt;"&amp;AB76)+1)</f>
        <v>22</v>
      </c>
      <c r="AN76" s="164">
        <f>IF($D76 = "SPLIT", "",COUNTIFS($D$7:$D$347,$D76,AD$7:AD$347,"&gt;"&amp;AD76)+1)</f>
        <v>2</v>
      </c>
      <c r="AO76" s="164">
        <f>IF($D76 = "SPLIT", "",COUNTIFS($D$7:$D$347,$D76,AF$7:AF$347,"&gt;"&amp;AF76)+1)</f>
        <v>3</v>
      </c>
    </row>
    <row r="77" spans="1:41" hidden="1" x14ac:dyDescent="0.25">
      <c r="A77" s="25">
        <v>540048</v>
      </c>
      <c r="B77" s="25" t="s">
        <v>158</v>
      </c>
      <c r="C77" s="25" t="s">
        <v>159</v>
      </c>
      <c r="D77" s="25" t="s">
        <v>55</v>
      </c>
      <c r="E77" s="26">
        <v>11</v>
      </c>
      <c r="F77" s="26" t="s">
        <v>160</v>
      </c>
      <c r="G77" s="26">
        <v>14</v>
      </c>
      <c r="H77" s="26">
        <v>0</v>
      </c>
      <c r="I77" s="26">
        <v>1</v>
      </c>
      <c r="J77" s="26">
        <v>1</v>
      </c>
      <c r="K77" s="26">
        <v>16</v>
      </c>
      <c r="L77" s="35">
        <v>0.875</v>
      </c>
      <c r="M77" s="35">
        <v>0</v>
      </c>
      <c r="N77" s="35">
        <v>6.3E-2</v>
      </c>
      <c r="O77" s="35">
        <v>6.3E-2</v>
      </c>
      <c r="P77" s="35">
        <v>0</v>
      </c>
      <c r="Q77" s="35">
        <v>0</v>
      </c>
      <c r="S77" s="26">
        <v>0</v>
      </c>
      <c r="T77" s="26">
        <v>0</v>
      </c>
      <c r="U77" s="26">
        <v>0</v>
      </c>
      <c r="W77" s="26">
        <v>1938.3</v>
      </c>
      <c r="X77" s="26">
        <v>1954</v>
      </c>
      <c r="Y77" s="28">
        <v>132150</v>
      </c>
      <c r="Z77" s="28">
        <v>68500</v>
      </c>
      <c r="AA77" s="28">
        <v>85840</v>
      </c>
      <c r="AB77" s="28">
        <v>45750</v>
      </c>
      <c r="AC77" s="35">
        <v>0.105</v>
      </c>
      <c r="AD77" s="35">
        <v>3.5000000000000003E-2</v>
      </c>
      <c r="AE77" s="28">
        <v>1995.8</v>
      </c>
      <c r="AF77" s="28">
        <v>1234.2</v>
      </c>
      <c r="AH77" s="29">
        <f>IF($D77 = "SPLIT", "",COUNTIFS($D$7:$D$347,$D77,N$7:N$347,"&gt;"&amp;N77)+1)</f>
        <v>159</v>
      </c>
      <c r="AI77" s="29">
        <f>IF($D77 = "SPLIT", "",COUNTIFS($D$7:$D$347,$D77,S$7:S$347,"&gt;"&amp;S77)+1)</f>
        <v>177</v>
      </c>
      <c r="AJ77" s="29">
        <f>IF($D77 = "SPLIT", "",COUNTIFS($D$7:$D$347,$D77,T$7:T$347,"&gt;"&amp;T77)+1)</f>
        <v>113</v>
      </c>
      <c r="AK77" s="29">
        <f>IF($D77 = "SPLIT", "",COUNTIFS($D$7:$D$347,$D77,X$7:X$347,"&lt;"&amp;X77)+1)</f>
        <v>133</v>
      </c>
      <c r="AL77" s="29">
        <f>IF($D77 = "SPLIT", "",COUNTIFS($D$7:$D$347,$D77,Z$7:Z$347,"&gt;"&amp;Z77)+1)</f>
        <v>36</v>
      </c>
      <c r="AM77" s="29">
        <f>IF($D77 = "SPLIT", "",COUNTIFS($D$7:$D$347,$D77,AB$7:AB$347,"&gt;"&amp;AB77)+1)</f>
        <v>75</v>
      </c>
      <c r="AN77" s="29">
        <f>IF($D77 = "SPLIT", "",COUNTIFS($D$7:$D$347,$D77,AD$7:AD$347,"&gt;"&amp;AD77)+1)</f>
        <v>187</v>
      </c>
      <c r="AO77" s="29">
        <f>IF($D77 = "SPLIT", "",COUNTIFS($D$7:$D$347,$D77,AF$7:AF$347,"&gt;"&amp;AF77)+1)</f>
        <v>186</v>
      </c>
    </row>
    <row r="78" spans="1:41" hidden="1" x14ac:dyDescent="0.25">
      <c r="A78" s="30">
        <v>540047</v>
      </c>
      <c r="B78" s="30" t="s">
        <v>161</v>
      </c>
      <c r="C78" s="30" t="s">
        <v>159</v>
      </c>
      <c r="D78" s="30" t="s">
        <v>52</v>
      </c>
      <c r="E78" s="31">
        <v>11</v>
      </c>
      <c r="F78" s="31" t="s">
        <v>162</v>
      </c>
      <c r="G78" s="31">
        <v>211</v>
      </c>
      <c r="H78" s="31">
        <v>14</v>
      </c>
      <c r="I78" s="31">
        <v>10</v>
      </c>
      <c r="J78" s="31">
        <v>6</v>
      </c>
      <c r="K78" s="31">
        <v>241</v>
      </c>
      <c r="L78" s="32">
        <v>0.876</v>
      </c>
      <c r="M78" s="32">
        <v>5.8000000000000003E-2</v>
      </c>
      <c r="N78" s="32">
        <v>4.1000000000000002E-2</v>
      </c>
      <c r="O78" s="32">
        <v>2.5000000000000001E-2</v>
      </c>
      <c r="P78" s="32">
        <v>4.0000000000000001E-3</v>
      </c>
      <c r="Q78" s="32">
        <v>1.2E-2</v>
      </c>
      <c r="S78" s="31">
        <v>41</v>
      </c>
      <c r="T78" s="31">
        <v>3</v>
      </c>
      <c r="U78" s="31">
        <v>5</v>
      </c>
      <c r="W78" s="31">
        <v>1963.5</v>
      </c>
      <c r="X78" s="31">
        <v>1964</v>
      </c>
      <c r="Y78" s="33">
        <v>96524.3</v>
      </c>
      <c r="Z78" s="33">
        <v>50800</v>
      </c>
      <c r="AA78" s="33">
        <v>48913.599999999999</v>
      </c>
      <c r="AB78" s="33">
        <v>50800</v>
      </c>
      <c r="AC78" s="32">
        <v>0.17499999999999999</v>
      </c>
      <c r="AD78" s="32">
        <v>0.126</v>
      </c>
      <c r="AE78" s="33">
        <v>18486.599999999999</v>
      </c>
      <c r="AF78" s="33">
        <v>5476.7</v>
      </c>
      <c r="AH78" s="34">
        <f>IF($D78 = "SPLIT", "",COUNTIFS($D$7:$D$347,$D78,N$7:N$347,"&gt;"&amp;N78)+1)</f>
        <v>55</v>
      </c>
      <c r="AI78" s="34">
        <f>IF($D78 = "SPLIT", "",COUNTIFS($D$7:$D$347,$D78,S$7:S$347,"&gt;"&amp;S78)+1)</f>
        <v>51</v>
      </c>
      <c r="AJ78" s="34">
        <f>IF($D78 = "SPLIT", "",COUNTIFS($D$7:$D$347,$D78,T$7:T$347,"&gt;"&amp;T78)+1)</f>
        <v>54</v>
      </c>
      <c r="AK78" s="34">
        <f>IF($D78 = "SPLIT", "",COUNTIFS($D$7:$D$347,$D78,X$7:X$347,"&lt;"&amp;X78)+1)</f>
        <v>8</v>
      </c>
      <c r="AL78" s="34">
        <f>IF($D78 = "SPLIT", "",COUNTIFS($D$7:$D$347,$D78,Z$7:Z$347,"&gt;"&amp;Z78)+1)</f>
        <v>11</v>
      </c>
      <c r="AM78" s="34">
        <f>IF($D78 = "SPLIT", "",COUNTIFS($D$7:$D$347,$D78,AB$7:AB$347,"&gt;"&amp;AB78)+1)</f>
        <v>9</v>
      </c>
      <c r="AN78" s="34">
        <f>IF($D78 = "SPLIT", "",COUNTIFS($D$7:$D$347,$D78,AD$7:AD$347,"&gt;"&amp;AD78)+1)</f>
        <v>44</v>
      </c>
      <c r="AO78" s="34">
        <f>IF($D78 = "SPLIT", "",COUNTIFS($D$7:$D$347,$D78,AF$7:AF$347,"&gt;"&amp;AF78)+1)</f>
        <v>34</v>
      </c>
    </row>
    <row r="79" spans="1:41" hidden="1" x14ac:dyDescent="0.25">
      <c r="A79" s="25">
        <v>540049</v>
      </c>
      <c r="B79" s="25" t="s">
        <v>163</v>
      </c>
      <c r="C79" s="25" t="s">
        <v>159</v>
      </c>
      <c r="D79" s="25" t="s">
        <v>55</v>
      </c>
      <c r="E79" s="26">
        <v>11</v>
      </c>
      <c r="F79" s="26" t="s">
        <v>164</v>
      </c>
      <c r="G79" s="26">
        <v>128</v>
      </c>
      <c r="H79" s="26">
        <v>0</v>
      </c>
      <c r="I79" s="26">
        <v>41</v>
      </c>
      <c r="J79" s="26">
        <v>5</v>
      </c>
      <c r="K79" s="26">
        <v>174</v>
      </c>
      <c r="L79" s="35">
        <v>0.73599999999999999</v>
      </c>
      <c r="M79" s="35">
        <v>0</v>
      </c>
      <c r="N79" s="35">
        <v>0.23599999999999999</v>
      </c>
      <c r="O79" s="35">
        <v>2.9000000000000001E-2</v>
      </c>
      <c r="P79" s="35">
        <v>6.0000000000000001E-3</v>
      </c>
      <c r="Q79" s="35">
        <v>6.0000000000000001E-3</v>
      </c>
      <c r="S79" s="26">
        <v>41</v>
      </c>
      <c r="T79" s="26">
        <v>20</v>
      </c>
      <c r="U79" s="26">
        <v>1</v>
      </c>
      <c r="W79" s="26">
        <v>1941.4</v>
      </c>
      <c r="X79" s="26">
        <v>1937</v>
      </c>
      <c r="Y79" s="28">
        <v>52358</v>
      </c>
      <c r="Z79" s="28">
        <v>24400</v>
      </c>
      <c r="AA79" s="28">
        <v>26853.9</v>
      </c>
      <c r="AB79" s="28">
        <v>23000</v>
      </c>
      <c r="AC79" s="35">
        <v>0.26400000000000001</v>
      </c>
      <c r="AD79" s="35">
        <v>0.20499999999999999</v>
      </c>
      <c r="AE79" s="28">
        <v>9267</v>
      </c>
      <c r="AF79" s="28">
        <v>5163.7</v>
      </c>
      <c r="AH79" s="29">
        <f>IF($D79 = "SPLIT", "",COUNTIFS($D$7:$D$347,$D79,N$7:N$347,"&gt;"&amp;N79)+1)</f>
        <v>51</v>
      </c>
      <c r="AI79" s="29">
        <f>IF($D79 = "SPLIT", "",COUNTIFS($D$7:$D$347,$D79,S$7:S$347,"&gt;"&amp;S79)+1)</f>
        <v>38</v>
      </c>
      <c r="AJ79" s="29">
        <f>IF($D79 = "SPLIT", "",COUNTIFS($D$7:$D$347,$D79,T$7:T$347,"&gt;"&amp;T79)+1)</f>
        <v>12</v>
      </c>
      <c r="AK79" s="29">
        <f>IF($D79 = "SPLIT", "",COUNTIFS($D$7:$D$347,$D79,X$7:X$347,"&lt;"&amp;X79)+1)</f>
        <v>66</v>
      </c>
      <c r="AL79" s="29">
        <f>IF($D79 = "SPLIT", "",COUNTIFS($D$7:$D$347,$D79,Z$7:Z$347,"&gt;"&amp;Z79)+1)</f>
        <v>178</v>
      </c>
      <c r="AM79" s="29">
        <f>IF($D79 = "SPLIT", "",COUNTIFS($D$7:$D$347,$D79,AB$7:AB$347,"&gt;"&amp;AB79)+1)</f>
        <v>176</v>
      </c>
      <c r="AN79" s="29">
        <f>IF($D79 = "SPLIT", "",COUNTIFS($D$7:$D$347,$D79,AD$7:AD$347,"&gt;"&amp;AD79)+1)</f>
        <v>45</v>
      </c>
      <c r="AO79" s="29">
        <f>IF($D79 = "SPLIT", "",COUNTIFS($D$7:$D$347,$D79,AF$7:AF$347,"&gt;"&amp;AF79)+1)</f>
        <v>90</v>
      </c>
    </row>
    <row r="80" spans="1:41" hidden="1" x14ac:dyDescent="0.25">
      <c r="A80" s="25">
        <v>540014</v>
      </c>
      <c r="B80" s="25" t="s">
        <v>87</v>
      </c>
      <c r="C80" s="25" t="s">
        <v>159</v>
      </c>
      <c r="D80" s="25" t="s">
        <v>88</v>
      </c>
      <c r="E80" s="26">
        <v>11</v>
      </c>
      <c r="F80" s="26" t="s">
        <v>82</v>
      </c>
      <c r="G80" s="26">
        <v>125</v>
      </c>
      <c r="H80" s="26">
        <v>0</v>
      </c>
      <c r="I80" s="26">
        <v>2</v>
      </c>
      <c r="J80" s="26">
        <v>0</v>
      </c>
      <c r="K80" s="26">
        <v>127</v>
      </c>
      <c r="L80" s="35">
        <v>0.98399999999999999</v>
      </c>
      <c r="M80" s="35">
        <v>0</v>
      </c>
      <c r="N80" s="35">
        <v>1.6E-2</v>
      </c>
      <c r="O80" s="35">
        <v>0</v>
      </c>
      <c r="P80" s="35">
        <v>0</v>
      </c>
      <c r="Q80" s="35">
        <v>0</v>
      </c>
      <c r="S80" s="26">
        <v>51</v>
      </c>
      <c r="T80" s="26">
        <v>0</v>
      </c>
      <c r="U80" s="26">
        <v>0</v>
      </c>
      <c r="W80" s="26">
        <v>1960.3</v>
      </c>
      <c r="X80" s="26">
        <v>1964</v>
      </c>
      <c r="Y80" s="28">
        <v>179932.3</v>
      </c>
      <c r="Z80" s="28">
        <v>93400</v>
      </c>
      <c r="AA80" s="28">
        <v>96337.9</v>
      </c>
      <c r="AB80" s="28">
        <v>92100</v>
      </c>
      <c r="AC80" s="35">
        <v>0.189</v>
      </c>
      <c r="AD80" s="35">
        <v>0.17</v>
      </c>
      <c r="AE80" s="28">
        <v>16219.8</v>
      </c>
      <c r="AF80" s="28">
        <v>16242.7</v>
      </c>
      <c r="AH80" s="29" t="str">
        <f>IF($D80 = "SPLIT", "",COUNTIFS($D$7:$D$347,$D80,N$7:N$347,"&gt;"&amp;N80)+1)</f>
        <v/>
      </c>
      <c r="AI80" s="29" t="str">
        <f>IF($D80 = "SPLIT", "",COUNTIFS($D$7:$D$347,$D80,S$7:S$347,"&gt;"&amp;S80)+1)</f>
        <v/>
      </c>
      <c r="AJ80" s="29" t="str">
        <f>IF($D80 = "SPLIT", "",COUNTIFS($D$7:$D$347,$D80,T$7:T$347,"&gt;"&amp;T80)+1)</f>
        <v/>
      </c>
      <c r="AK80" s="29" t="str">
        <f>IF($D80 = "SPLIT", "",COUNTIFS($D$7:$D$347,$D80,X$7:X$347,"&lt;"&amp;X80)+1)</f>
        <v/>
      </c>
      <c r="AL80" s="29" t="str">
        <f>IF($D80 = "SPLIT", "",COUNTIFS($D$7:$D$347,$D80,Z$7:Z$347,"&gt;"&amp;Z80)+1)</f>
        <v/>
      </c>
      <c r="AM80" s="29" t="str">
        <f>IF($D80 = "SPLIT", "",COUNTIFS($D$7:$D$347,$D80,AB$7:AB$347,"&gt;"&amp;AB80)+1)</f>
        <v/>
      </c>
      <c r="AN80" s="29" t="str">
        <f>IF($D80 = "SPLIT", "",COUNTIFS($D$7:$D$347,$D80,AD$7:AD$347,"&gt;"&amp;AD80)+1)</f>
        <v/>
      </c>
      <c r="AO80" s="29" t="str">
        <f>IF($D80 = "SPLIT", "",COUNTIFS($D$7:$D$347,$D80,AF$7:AF$347,"&gt;"&amp;AF80)+1)</f>
        <v/>
      </c>
    </row>
    <row r="81" spans="1:41" hidden="1" x14ac:dyDescent="0.25">
      <c r="A81" s="160"/>
      <c r="B81" s="160"/>
      <c r="C81" s="160" t="s">
        <v>159</v>
      </c>
      <c r="D81" s="160" t="s">
        <v>2</v>
      </c>
      <c r="E81" s="161">
        <v>11</v>
      </c>
      <c r="F81" s="161"/>
      <c r="G81" s="161">
        <v>478</v>
      </c>
      <c r="H81" s="161">
        <v>14</v>
      </c>
      <c r="I81" s="161">
        <v>54</v>
      </c>
      <c r="J81" s="161">
        <v>12</v>
      </c>
      <c r="K81" s="161">
        <v>558</v>
      </c>
      <c r="L81" s="162">
        <v>0.85699999999999998</v>
      </c>
      <c r="M81" s="162">
        <v>2.5000000000000001E-2</v>
      </c>
      <c r="N81" s="162">
        <v>9.7000000000000003E-2</v>
      </c>
      <c r="O81" s="162">
        <v>2.1999999999999999E-2</v>
      </c>
      <c r="P81" s="162">
        <v>4.0000000000000001E-3</v>
      </c>
      <c r="Q81" s="162">
        <v>7.0000000000000001E-3</v>
      </c>
      <c r="S81" s="161">
        <v>133</v>
      </c>
      <c r="T81" s="161">
        <v>23</v>
      </c>
      <c r="U81" s="161">
        <v>6</v>
      </c>
      <c r="W81" s="161">
        <v>1954.8</v>
      </c>
      <c r="X81" s="161">
        <v>1962</v>
      </c>
      <c r="Y81" s="163">
        <v>102757.1</v>
      </c>
      <c r="Z81" s="163">
        <v>46450</v>
      </c>
      <c r="AA81" s="163">
        <v>62314.3</v>
      </c>
      <c r="AB81" s="163">
        <v>55050</v>
      </c>
      <c r="AC81" s="162">
        <v>0.214</v>
      </c>
      <c r="AD81" s="162">
        <v>0.17199999999999999</v>
      </c>
      <c r="AE81" s="163">
        <v>14072</v>
      </c>
      <c r="AF81" s="163">
        <v>6171.3</v>
      </c>
      <c r="AH81" s="164">
        <f>IF($D81 = "SPLIT", "",COUNTIFS($D$7:$D$347,$D81,N$7:N$347,"&gt;"&amp;N81)+1)</f>
        <v>50</v>
      </c>
      <c r="AI81" s="164">
        <f>IF($D81 = "SPLIT", "",COUNTIFS($D$7:$D$347,$D81,S$7:S$347,"&gt;"&amp;S81)+1)</f>
        <v>39</v>
      </c>
      <c r="AJ81" s="164">
        <f>IF($D81 = "SPLIT", "",COUNTIFS($D$7:$D$347,$D81,T$7:T$347,"&gt;"&amp;T81)+1)</f>
        <v>35</v>
      </c>
      <c r="AK81" s="164">
        <f>IF($D81 = "SPLIT", "",COUNTIFS($D$7:$D$347,$D81,X$7:X$347,"&lt;"&amp;X81)+1)</f>
        <v>22</v>
      </c>
      <c r="AL81" s="164">
        <f>IF($D81 = "SPLIT", "",COUNTIFS($D$7:$D$347,$D81,Z$7:Z$347,"&gt;"&amp;Z81)+1)</f>
        <v>18</v>
      </c>
      <c r="AM81" s="164">
        <f>IF($D81 = "SPLIT", "",COUNTIFS($D$7:$D$347,$D81,AB$7:AB$347,"&gt;"&amp;AB81)+1)</f>
        <v>14</v>
      </c>
      <c r="AN81" s="164">
        <f>IF($D81 = "SPLIT", "",COUNTIFS($D$7:$D$347,$D81,AD$7:AD$347,"&gt;"&amp;AD81)+1)</f>
        <v>22</v>
      </c>
      <c r="AO81" s="164">
        <f>IF($D81 = "SPLIT", "",COUNTIFS($D$7:$D$347,$D81,AF$7:AF$347,"&gt;"&amp;AF81)+1)</f>
        <v>29</v>
      </c>
    </row>
    <row r="82" spans="1:41" hidden="1" x14ac:dyDescent="0.25">
      <c r="A82" s="30">
        <v>540051</v>
      </c>
      <c r="B82" s="30" t="s">
        <v>165</v>
      </c>
      <c r="C82" s="30" t="s">
        <v>166</v>
      </c>
      <c r="D82" s="30" t="s">
        <v>52</v>
      </c>
      <c r="E82" s="31">
        <v>8</v>
      </c>
      <c r="F82" s="31" t="s">
        <v>167</v>
      </c>
      <c r="G82" s="31">
        <v>292</v>
      </c>
      <c r="H82" s="31">
        <v>60</v>
      </c>
      <c r="I82" s="31">
        <v>121</v>
      </c>
      <c r="J82" s="31">
        <v>65</v>
      </c>
      <c r="K82" s="31">
        <v>538</v>
      </c>
      <c r="L82" s="32">
        <v>0.54300000000000004</v>
      </c>
      <c r="M82" s="32">
        <v>0.112</v>
      </c>
      <c r="N82" s="32">
        <v>0.22500000000000001</v>
      </c>
      <c r="O82" s="32">
        <v>0.121</v>
      </c>
      <c r="P82" s="32">
        <v>5.8000000000000003E-2</v>
      </c>
      <c r="Q82" s="32">
        <v>8.9999999999999993E-3</v>
      </c>
      <c r="S82" s="31">
        <v>91</v>
      </c>
      <c r="T82" s="31">
        <v>29</v>
      </c>
      <c r="U82" s="31">
        <v>12</v>
      </c>
      <c r="W82" s="31">
        <v>1962</v>
      </c>
      <c r="X82" s="31">
        <v>1975</v>
      </c>
      <c r="Y82" s="33">
        <v>76373.2</v>
      </c>
      <c r="Z82" s="33">
        <v>40050</v>
      </c>
      <c r="AA82" s="33">
        <v>47980.6</v>
      </c>
      <c r="AB82" s="33">
        <v>34800</v>
      </c>
      <c r="AC82" s="32">
        <v>0.27800000000000002</v>
      </c>
      <c r="AD82" s="32">
        <v>0.17699999999999999</v>
      </c>
      <c r="AE82" s="33">
        <v>12125.3</v>
      </c>
      <c r="AF82" s="33">
        <v>5157.5</v>
      </c>
      <c r="AH82" s="34">
        <f>IF($D82 = "SPLIT", "",COUNTIFS($D$7:$D$347,$D82,N$7:N$347,"&gt;"&amp;N82)+1)</f>
        <v>35</v>
      </c>
      <c r="AI82" s="34">
        <f>IF($D82 = "SPLIT", "",COUNTIFS($D$7:$D$347,$D82,S$7:S$347,"&gt;"&amp;S82)+1)</f>
        <v>36</v>
      </c>
      <c r="AJ82" s="34">
        <f>IF($D82 = "SPLIT", "",COUNTIFS($D$7:$D$347,$D82,T$7:T$347,"&gt;"&amp;T82)+1)</f>
        <v>23</v>
      </c>
      <c r="AK82" s="34">
        <f>IF($D82 = "SPLIT", "",COUNTIFS($D$7:$D$347,$D82,X$7:X$347,"&lt;"&amp;X82)+1)</f>
        <v>34</v>
      </c>
      <c r="AL82" s="34">
        <f>IF($D82 = "SPLIT", "",COUNTIFS($D$7:$D$347,$D82,Z$7:Z$347,"&gt;"&amp;Z82)+1)</f>
        <v>24</v>
      </c>
      <c r="AM82" s="34">
        <f>IF($D82 = "SPLIT", "",COUNTIFS($D$7:$D$347,$D82,AB$7:AB$347,"&gt;"&amp;AB82)+1)</f>
        <v>27</v>
      </c>
      <c r="AN82" s="34">
        <f>IF($D82 = "SPLIT", "",COUNTIFS($D$7:$D$347,$D82,AD$7:AD$347,"&gt;"&amp;AD82)+1)</f>
        <v>26</v>
      </c>
      <c r="AO82" s="34">
        <f>IF($D82 = "SPLIT", "",COUNTIFS($D$7:$D$347,$D82,AF$7:AF$347,"&gt;"&amp;AF82)+1)</f>
        <v>37</v>
      </c>
    </row>
    <row r="83" spans="1:41" hidden="1" x14ac:dyDescent="0.25">
      <c r="A83" s="25">
        <v>540052</v>
      </c>
      <c r="B83" s="25" t="s">
        <v>168</v>
      </c>
      <c r="C83" s="25" t="s">
        <v>166</v>
      </c>
      <c r="D83" s="25" t="s">
        <v>55</v>
      </c>
      <c r="E83" s="26">
        <v>8</v>
      </c>
      <c r="F83" s="26" t="s">
        <v>169</v>
      </c>
      <c r="G83" s="26">
        <v>48</v>
      </c>
      <c r="H83" s="26">
        <v>0</v>
      </c>
      <c r="I83" s="26">
        <v>25</v>
      </c>
      <c r="J83" s="26">
        <v>8</v>
      </c>
      <c r="K83" s="26">
        <v>81</v>
      </c>
      <c r="L83" s="35">
        <v>0.59299999999999997</v>
      </c>
      <c r="M83" s="35">
        <v>0</v>
      </c>
      <c r="N83" s="35">
        <v>0.309</v>
      </c>
      <c r="O83" s="35">
        <v>9.9000000000000005E-2</v>
      </c>
      <c r="P83" s="35">
        <v>4.9000000000000002E-2</v>
      </c>
      <c r="Q83" s="35">
        <v>1.2E-2</v>
      </c>
      <c r="S83" s="26">
        <v>20</v>
      </c>
      <c r="T83" s="26">
        <v>2</v>
      </c>
      <c r="U83" s="26">
        <v>2</v>
      </c>
      <c r="W83" s="26">
        <v>1962.1</v>
      </c>
      <c r="X83" s="26">
        <v>1974</v>
      </c>
      <c r="Y83" s="28">
        <v>228631.1</v>
      </c>
      <c r="Z83" s="28">
        <v>40300</v>
      </c>
      <c r="AA83" s="28">
        <v>93420.800000000003</v>
      </c>
      <c r="AB83" s="28">
        <v>22700</v>
      </c>
      <c r="AC83" s="35">
        <v>0.17</v>
      </c>
      <c r="AD83" s="35">
        <v>0.11</v>
      </c>
      <c r="AE83" s="28">
        <v>17638.400000000001</v>
      </c>
      <c r="AF83" s="28">
        <v>4465.7</v>
      </c>
      <c r="AH83" s="29">
        <f>IF($D83 = "SPLIT", "",COUNTIFS($D$7:$D$347,$D83,N$7:N$347,"&gt;"&amp;N83)+1)</f>
        <v>36</v>
      </c>
      <c r="AI83" s="29">
        <f>IF($D83 = "SPLIT", "",COUNTIFS($D$7:$D$347,$D83,S$7:S$347,"&gt;"&amp;S83)+1)</f>
        <v>65</v>
      </c>
      <c r="AJ83" s="29">
        <f>IF($D83 = "SPLIT", "",COUNTIFS($D$7:$D$347,$D83,T$7:T$347,"&gt;"&amp;T83)+1)</f>
        <v>59</v>
      </c>
      <c r="AK83" s="29">
        <f>IF($D83 = "SPLIT", "",COUNTIFS($D$7:$D$347,$D83,X$7:X$347,"&lt;"&amp;X83)+1)</f>
        <v>173</v>
      </c>
      <c r="AL83" s="29">
        <f>IF($D83 = "SPLIT", "",COUNTIFS($D$7:$D$347,$D83,Z$7:Z$347,"&gt;"&amp;Z83)+1)</f>
        <v>116</v>
      </c>
      <c r="AM83" s="29">
        <f>IF($D83 = "SPLIT", "",COUNTIFS($D$7:$D$347,$D83,AB$7:AB$347,"&gt;"&amp;AB83)+1)</f>
        <v>177</v>
      </c>
      <c r="AN83" s="29">
        <f>IF($D83 = "SPLIT", "",COUNTIFS($D$7:$D$347,$D83,AD$7:AD$347,"&gt;"&amp;AD83)+1)</f>
        <v>106</v>
      </c>
      <c r="AO83" s="29">
        <f>IF($D83 = "SPLIT", "",COUNTIFS($D$7:$D$347,$D83,AF$7:AF$347,"&gt;"&amp;AF83)+1)</f>
        <v>102</v>
      </c>
    </row>
    <row r="84" spans="1:41" hidden="1" x14ac:dyDescent="0.25">
      <c r="A84" s="25">
        <v>540245</v>
      </c>
      <c r="B84" s="25" t="s">
        <v>170</v>
      </c>
      <c r="C84" s="25" t="s">
        <v>166</v>
      </c>
      <c r="D84" s="25" t="s">
        <v>55</v>
      </c>
      <c r="E84" s="26">
        <v>8</v>
      </c>
      <c r="F84" s="26" t="s">
        <v>134</v>
      </c>
      <c r="G84" s="26">
        <v>2</v>
      </c>
      <c r="H84" s="26">
        <v>0</v>
      </c>
      <c r="I84" s="26">
        <v>0</v>
      </c>
      <c r="J84" s="26">
        <v>0</v>
      </c>
      <c r="K84" s="26">
        <v>2</v>
      </c>
      <c r="L84" s="35">
        <v>1</v>
      </c>
      <c r="M84" s="35">
        <v>0</v>
      </c>
      <c r="N84" s="35">
        <v>0</v>
      </c>
      <c r="O84" s="35">
        <v>0</v>
      </c>
      <c r="P84" s="35">
        <v>0</v>
      </c>
      <c r="Q84" s="35">
        <v>0</v>
      </c>
      <c r="S84" s="26">
        <v>1</v>
      </c>
      <c r="T84" s="26">
        <v>0</v>
      </c>
      <c r="U84" s="26">
        <v>0</v>
      </c>
      <c r="W84" s="26">
        <v>1897</v>
      </c>
      <c r="X84" s="26">
        <v>1897</v>
      </c>
      <c r="Y84" s="28">
        <v>94150</v>
      </c>
      <c r="Z84" s="28">
        <v>94150</v>
      </c>
      <c r="AA84" s="28">
        <v>94150</v>
      </c>
      <c r="AB84" s="28">
        <v>94150</v>
      </c>
      <c r="AC84" s="35">
        <v>0.23</v>
      </c>
      <c r="AD84" s="35">
        <v>0.23</v>
      </c>
      <c r="AE84" s="28">
        <v>30681</v>
      </c>
      <c r="AF84" s="28">
        <v>30681</v>
      </c>
      <c r="AH84" s="29">
        <f>IF($D84 = "SPLIT", "",COUNTIFS($D$7:$D$347,$D84,N$7:N$347,"&gt;"&amp;N84)+1)</f>
        <v>195</v>
      </c>
      <c r="AI84" s="29">
        <f>IF($D84 = "SPLIT", "",COUNTIFS($D$7:$D$347,$D84,S$7:S$347,"&gt;"&amp;S84)+1)</f>
        <v>153</v>
      </c>
      <c r="AJ84" s="29">
        <f>IF($D84 = "SPLIT", "",COUNTIFS($D$7:$D$347,$D84,T$7:T$347,"&gt;"&amp;T84)+1)</f>
        <v>113</v>
      </c>
      <c r="AK84" s="29">
        <f>IF($D84 = "SPLIT", "",COUNTIFS($D$7:$D$347,$D84,X$7:X$347,"&lt;"&amp;X84)+1)</f>
        <v>9</v>
      </c>
      <c r="AL84" s="29">
        <f>IF($D84 = "SPLIT", "",COUNTIFS($D$7:$D$347,$D84,Z$7:Z$347,"&gt;"&amp;Z84)+1)</f>
        <v>16</v>
      </c>
      <c r="AM84" s="29">
        <f>IF($D84 = "SPLIT", "",COUNTIFS($D$7:$D$347,$D84,AB$7:AB$347,"&gt;"&amp;AB84)+1)</f>
        <v>9</v>
      </c>
      <c r="AN84" s="29">
        <f>IF($D84 = "SPLIT", "",COUNTIFS($D$7:$D$347,$D84,AD$7:AD$347,"&gt;"&amp;AD84)+1)</f>
        <v>38</v>
      </c>
      <c r="AO84" s="29">
        <f>IF($D84 = "SPLIT", "",COUNTIFS($D$7:$D$347,$D84,AF$7:AF$347,"&gt;"&amp;AF84)+1)</f>
        <v>5</v>
      </c>
    </row>
    <row r="85" spans="1:41" hidden="1" x14ac:dyDescent="0.25">
      <c r="A85" s="160"/>
      <c r="B85" s="160"/>
      <c r="C85" s="160" t="s">
        <v>166</v>
      </c>
      <c r="D85" s="160" t="s">
        <v>2</v>
      </c>
      <c r="E85" s="161">
        <v>8</v>
      </c>
      <c r="F85" s="161"/>
      <c r="G85" s="161">
        <v>342</v>
      </c>
      <c r="H85" s="161">
        <v>60</v>
      </c>
      <c r="I85" s="161">
        <v>146</v>
      </c>
      <c r="J85" s="161">
        <v>73</v>
      </c>
      <c r="K85" s="161">
        <v>621</v>
      </c>
      <c r="L85" s="162">
        <v>0.55100000000000005</v>
      </c>
      <c r="M85" s="162">
        <v>9.7000000000000003E-2</v>
      </c>
      <c r="N85" s="162">
        <v>0.23499999999999999</v>
      </c>
      <c r="O85" s="162">
        <v>0.11799999999999999</v>
      </c>
      <c r="P85" s="162">
        <v>5.6000000000000001E-2</v>
      </c>
      <c r="Q85" s="162">
        <v>0.01</v>
      </c>
      <c r="S85" s="161">
        <v>112</v>
      </c>
      <c r="T85" s="161">
        <v>31</v>
      </c>
      <c r="U85" s="161">
        <v>14</v>
      </c>
      <c r="W85" s="161">
        <v>1961.8</v>
      </c>
      <c r="X85" s="161">
        <v>1975</v>
      </c>
      <c r="Y85" s="163">
        <v>96290.2</v>
      </c>
      <c r="Z85" s="163">
        <v>40200</v>
      </c>
      <c r="AA85" s="163">
        <v>62934.400000000001</v>
      </c>
      <c r="AB85" s="163">
        <v>52050</v>
      </c>
      <c r="AC85" s="162">
        <v>0.25700000000000001</v>
      </c>
      <c r="AD85" s="162">
        <v>0.16400000000000001</v>
      </c>
      <c r="AE85" s="163">
        <v>13268.9</v>
      </c>
      <c r="AF85" s="163">
        <v>5042.8999999999996</v>
      </c>
      <c r="AH85" s="164">
        <f>IF($D85 = "SPLIT", "",COUNTIFS($D$7:$D$347,$D85,N$7:N$347,"&gt;"&amp;N85)+1)</f>
        <v>23</v>
      </c>
      <c r="AI85" s="164">
        <f>IF($D85 = "SPLIT", "",COUNTIFS($D$7:$D$347,$D85,S$7:S$347,"&gt;"&amp;S85)+1)</f>
        <v>41</v>
      </c>
      <c r="AJ85" s="164">
        <f>IF($D85 = "SPLIT", "",COUNTIFS($D$7:$D$347,$D85,T$7:T$347,"&gt;"&amp;T85)+1)</f>
        <v>30</v>
      </c>
      <c r="AK85" s="164">
        <f>IF($D85 = "SPLIT", "",COUNTIFS($D$7:$D$347,$D85,X$7:X$347,"&lt;"&amp;X85)+1)</f>
        <v>45</v>
      </c>
      <c r="AL85" s="164">
        <f>IF($D85 = "SPLIT", "",COUNTIFS($D$7:$D$347,$D85,Z$7:Z$347,"&gt;"&amp;Z85)+1)</f>
        <v>27</v>
      </c>
      <c r="AM85" s="164">
        <f>IF($D85 = "SPLIT", "",COUNTIFS($D$7:$D$347,$D85,AB$7:AB$347,"&gt;"&amp;AB85)+1)</f>
        <v>23</v>
      </c>
      <c r="AN85" s="164">
        <f>IF($D85 = "SPLIT", "",COUNTIFS($D$7:$D$347,$D85,AD$7:AD$347,"&gt;"&amp;AD85)+1)</f>
        <v>24</v>
      </c>
      <c r="AO85" s="164">
        <f>IF($D85 = "SPLIT", "",COUNTIFS($D$7:$D$347,$D85,AF$7:AF$347,"&gt;"&amp;AF85)+1)</f>
        <v>36</v>
      </c>
    </row>
    <row r="86" spans="1:41" hidden="1" x14ac:dyDescent="0.25">
      <c r="A86" s="25">
        <v>540054</v>
      </c>
      <c r="B86" s="25" t="s">
        <v>171</v>
      </c>
      <c r="C86" s="25" t="s">
        <v>172</v>
      </c>
      <c r="D86" s="25" t="s">
        <v>55</v>
      </c>
      <c r="E86" s="26">
        <v>6</v>
      </c>
      <c r="F86" s="26" t="s">
        <v>173</v>
      </c>
      <c r="G86" s="26">
        <v>21</v>
      </c>
      <c r="H86" s="26">
        <v>0</v>
      </c>
      <c r="I86" s="26">
        <v>4</v>
      </c>
      <c r="J86" s="26">
        <v>4</v>
      </c>
      <c r="K86" s="26">
        <v>29</v>
      </c>
      <c r="L86" s="35">
        <v>0.72399999999999998</v>
      </c>
      <c r="M86" s="35">
        <v>0</v>
      </c>
      <c r="N86" s="35">
        <v>0.13800000000000001</v>
      </c>
      <c r="O86" s="35">
        <v>0.13800000000000001</v>
      </c>
      <c r="P86" s="35">
        <v>0.10299999999999999</v>
      </c>
      <c r="Q86" s="35">
        <v>3.4000000000000002E-2</v>
      </c>
      <c r="S86" s="26">
        <v>1</v>
      </c>
      <c r="T86" s="26">
        <v>0</v>
      </c>
      <c r="U86" s="26">
        <v>0</v>
      </c>
      <c r="W86" s="26">
        <v>1945.5</v>
      </c>
      <c r="X86" s="26">
        <v>1940</v>
      </c>
      <c r="Y86" s="28">
        <v>106080.7</v>
      </c>
      <c r="Z86" s="28">
        <v>35500</v>
      </c>
      <c r="AA86" s="28">
        <v>35049.5</v>
      </c>
      <c r="AB86" s="28">
        <v>31600</v>
      </c>
      <c r="AC86" s="35">
        <v>0.05</v>
      </c>
      <c r="AD86" s="35">
        <v>0.04</v>
      </c>
      <c r="AE86" s="28">
        <v>3361.7</v>
      </c>
      <c r="AF86" s="28">
        <v>1716</v>
      </c>
      <c r="AH86" s="29">
        <f>IF($D86 = "SPLIT", "",COUNTIFS($D$7:$D$347,$D86,N$7:N$347,"&gt;"&amp;N86)+1)</f>
        <v>102</v>
      </c>
      <c r="AI86" s="29">
        <f>IF($D86 = "SPLIT", "",COUNTIFS($D$7:$D$347,$D86,S$7:S$347,"&gt;"&amp;S86)+1)</f>
        <v>153</v>
      </c>
      <c r="AJ86" s="29">
        <f>IF($D86 = "SPLIT", "",COUNTIFS($D$7:$D$347,$D86,T$7:T$347,"&gt;"&amp;T86)+1)</f>
        <v>113</v>
      </c>
      <c r="AK86" s="29">
        <f>IF($D86 = "SPLIT", "",COUNTIFS($D$7:$D$347,$D86,X$7:X$347,"&lt;"&amp;X86)+1)</f>
        <v>72</v>
      </c>
      <c r="AL86" s="29">
        <f>IF($D86 = "SPLIT", "",COUNTIFS($D$7:$D$347,$D86,Z$7:Z$347,"&gt;"&amp;Z86)+1)</f>
        <v>135</v>
      </c>
      <c r="AM86" s="29">
        <f>IF($D86 = "SPLIT", "",COUNTIFS($D$7:$D$347,$D86,AB$7:AB$347,"&gt;"&amp;AB86)+1)</f>
        <v>131</v>
      </c>
      <c r="AN86" s="29">
        <f>IF($D86 = "SPLIT", "",COUNTIFS($D$7:$D$347,$D86,AD$7:AD$347,"&gt;"&amp;AD86)+1)</f>
        <v>177</v>
      </c>
      <c r="AO86" s="29">
        <f>IF($D86 = "SPLIT", "",COUNTIFS($D$7:$D$347,$D86,AF$7:AF$347,"&gt;"&amp;AF86)+1)</f>
        <v>175</v>
      </c>
    </row>
    <row r="87" spans="1:41" hidden="1" x14ac:dyDescent="0.25">
      <c r="A87" s="25">
        <v>540055</v>
      </c>
      <c r="B87" s="25" t="s">
        <v>174</v>
      </c>
      <c r="C87" s="25" t="s">
        <v>172</v>
      </c>
      <c r="D87" s="25" t="s">
        <v>55</v>
      </c>
      <c r="E87" s="26">
        <v>6</v>
      </c>
      <c r="F87" s="26" t="s">
        <v>113</v>
      </c>
      <c r="G87" s="26">
        <v>109</v>
      </c>
      <c r="H87" s="26">
        <v>5</v>
      </c>
      <c r="I87" s="26">
        <v>26</v>
      </c>
      <c r="J87" s="26">
        <v>4</v>
      </c>
      <c r="K87" s="26">
        <v>144</v>
      </c>
      <c r="L87" s="35">
        <v>0.75700000000000001</v>
      </c>
      <c r="M87" s="35">
        <v>3.5000000000000003E-2</v>
      </c>
      <c r="N87" s="35">
        <v>0.18099999999999999</v>
      </c>
      <c r="O87" s="35">
        <v>2.8000000000000001E-2</v>
      </c>
      <c r="P87" s="35">
        <v>1.4E-2</v>
      </c>
      <c r="Q87" s="35">
        <v>1.4E-2</v>
      </c>
      <c r="S87" s="26">
        <v>22</v>
      </c>
      <c r="T87" s="26">
        <v>3</v>
      </c>
      <c r="U87" s="26">
        <v>1</v>
      </c>
      <c r="W87" s="26">
        <v>1959.3</v>
      </c>
      <c r="X87" s="26">
        <v>1957.5</v>
      </c>
      <c r="Y87" s="28">
        <v>279852.40000000002</v>
      </c>
      <c r="Z87" s="28">
        <v>89500</v>
      </c>
      <c r="AA87" s="28">
        <v>132077.6</v>
      </c>
      <c r="AB87" s="28">
        <v>79300</v>
      </c>
      <c r="AC87" s="35">
        <v>8.8999999999999996E-2</v>
      </c>
      <c r="AD87" s="35">
        <v>6.6000000000000003E-2</v>
      </c>
      <c r="AE87" s="28">
        <v>36808.5</v>
      </c>
      <c r="AF87" s="28">
        <v>6548.1</v>
      </c>
      <c r="AH87" s="29">
        <f>IF($D87 = "SPLIT", "",COUNTIFS($D$7:$D$347,$D87,N$7:N$347,"&gt;"&amp;N87)+1)</f>
        <v>75</v>
      </c>
      <c r="AI87" s="29">
        <f>IF($D87 = "SPLIT", "",COUNTIFS($D$7:$D$347,$D87,S$7:S$347,"&gt;"&amp;S87)+1)</f>
        <v>61</v>
      </c>
      <c r="AJ87" s="29">
        <f>IF($D87 = "SPLIT", "",COUNTIFS($D$7:$D$347,$D87,T$7:T$347,"&gt;"&amp;T87)+1)</f>
        <v>45</v>
      </c>
      <c r="AK87" s="29">
        <f>IF($D87 = "SPLIT", "",COUNTIFS($D$7:$D$347,$D87,X$7:X$347,"&lt;"&amp;X87)+1)</f>
        <v>142</v>
      </c>
      <c r="AL87" s="29">
        <f>IF($D87 = "SPLIT", "",COUNTIFS($D$7:$D$347,$D87,Z$7:Z$347,"&gt;"&amp;Z87)+1)</f>
        <v>19</v>
      </c>
      <c r="AM87" s="29">
        <f>IF($D87 = "SPLIT", "",COUNTIFS($D$7:$D$347,$D87,AB$7:AB$347,"&gt;"&amp;AB87)+1)</f>
        <v>14</v>
      </c>
      <c r="AN87" s="29">
        <f>IF($D87 = "SPLIT", "",COUNTIFS($D$7:$D$347,$D87,AD$7:AD$347,"&gt;"&amp;AD87)+1)</f>
        <v>148</v>
      </c>
      <c r="AO87" s="29">
        <f>IF($D87 = "SPLIT", "",COUNTIFS($D$7:$D$347,$D87,AF$7:AF$347,"&gt;"&amp;AF87)+1)</f>
        <v>72</v>
      </c>
    </row>
    <row r="88" spans="1:41" hidden="1" x14ac:dyDescent="0.25">
      <c r="A88" s="25">
        <v>540056</v>
      </c>
      <c r="B88" s="25" t="s">
        <v>175</v>
      </c>
      <c r="C88" s="25" t="s">
        <v>172</v>
      </c>
      <c r="D88" s="25" t="s">
        <v>55</v>
      </c>
      <c r="E88" s="26">
        <v>6</v>
      </c>
      <c r="F88" s="26" t="s">
        <v>176</v>
      </c>
      <c r="G88" s="26">
        <v>416</v>
      </c>
      <c r="H88" s="26">
        <v>3</v>
      </c>
      <c r="I88" s="26">
        <v>34</v>
      </c>
      <c r="J88" s="26">
        <v>1</v>
      </c>
      <c r="K88" s="26">
        <v>454</v>
      </c>
      <c r="L88" s="35">
        <v>0.91600000000000004</v>
      </c>
      <c r="M88" s="35">
        <v>7.0000000000000001E-3</v>
      </c>
      <c r="N88" s="35">
        <v>7.4999999999999997E-2</v>
      </c>
      <c r="O88" s="35">
        <v>2E-3</v>
      </c>
      <c r="P88" s="35">
        <v>0</v>
      </c>
      <c r="Q88" s="35">
        <v>2E-3</v>
      </c>
      <c r="S88" s="26">
        <v>95</v>
      </c>
      <c r="T88" s="26">
        <v>12</v>
      </c>
      <c r="U88" s="26">
        <v>0</v>
      </c>
      <c r="W88" s="26">
        <v>1928.7</v>
      </c>
      <c r="X88" s="26">
        <v>1920</v>
      </c>
      <c r="Y88" s="28">
        <v>69887.3</v>
      </c>
      <c r="Z88" s="28">
        <v>38400</v>
      </c>
      <c r="AA88" s="28">
        <v>43780.4</v>
      </c>
      <c r="AB88" s="28">
        <v>36200</v>
      </c>
      <c r="AC88" s="35">
        <v>0.21</v>
      </c>
      <c r="AD88" s="35">
        <v>0.16</v>
      </c>
      <c r="AE88" s="28">
        <v>9471.9</v>
      </c>
      <c r="AF88" s="28">
        <v>5571.8</v>
      </c>
      <c r="AH88" s="29">
        <f>IF($D88 = "SPLIT", "",COUNTIFS($D$7:$D$347,$D88,N$7:N$347,"&gt;"&amp;N88)+1)</f>
        <v>151</v>
      </c>
      <c r="AI88" s="29">
        <f>IF($D88 = "SPLIT", "",COUNTIFS($D$7:$D$347,$D88,S$7:S$347,"&gt;"&amp;S88)+1)</f>
        <v>15</v>
      </c>
      <c r="AJ88" s="29">
        <f>IF($D88 = "SPLIT", "",COUNTIFS($D$7:$D$347,$D88,T$7:T$347,"&gt;"&amp;T88)+1)</f>
        <v>16</v>
      </c>
      <c r="AK88" s="29">
        <f>IF($D88 = "SPLIT", "",COUNTIFS($D$7:$D$347,$D88,X$7:X$347,"&lt;"&amp;X88)+1)</f>
        <v>21</v>
      </c>
      <c r="AL88" s="29">
        <f>IF($D88 = "SPLIT", "",COUNTIFS($D$7:$D$347,$D88,Z$7:Z$347,"&gt;"&amp;Z88)+1)</f>
        <v>118</v>
      </c>
      <c r="AM88" s="29">
        <f>IF($D88 = "SPLIT", "",COUNTIFS($D$7:$D$347,$D88,AB$7:AB$347,"&gt;"&amp;AB88)+1)</f>
        <v>112</v>
      </c>
      <c r="AN88" s="29">
        <f>IF($D88 = "SPLIT", "",COUNTIFS($D$7:$D$347,$D88,AD$7:AD$347,"&gt;"&amp;AD88)+1)</f>
        <v>67</v>
      </c>
      <c r="AO88" s="29">
        <f>IF($D88 = "SPLIT", "",COUNTIFS($D$7:$D$347,$D88,AF$7:AF$347,"&gt;"&amp;AF88)+1)</f>
        <v>83</v>
      </c>
    </row>
    <row r="89" spans="1:41" hidden="1" x14ac:dyDescent="0.25">
      <c r="A89" s="30">
        <v>540053</v>
      </c>
      <c r="B89" s="30" t="s">
        <v>177</v>
      </c>
      <c r="C89" s="30" t="s">
        <v>172</v>
      </c>
      <c r="D89" s="30" t="s">
        <v>52</v>
      </c>
      <c r="E89" s="31">
        <v>6</v>
      </c>
      <c r="F89" s="31" t="s">
        <v>178</v>
      </c>
      <c r="G89" s="31">
        <v>686</v>
      </c>
      <c r="H89" s="31">
        <v>60</v>
      </c>
      <c r="I89" s="31">
        <v>167</v>
      </c>
      <c r="J89" s="31">
        <v>108</v>
      </c>
      <c r="K89" s="31">
        <v>1021</v>
      </c>
      <c r="L89" s="32">
        <v>0.67200000000000004</v>
      </c>
      <c r="M89" s="32">
        <v>5.8999999999999997E-2</v>
      </c>
      <c r="N89" s="32">
        <v>0.16400000000000001</v>
      </c>
      <c r="O89" s="32">
        <v>0.106</v>
      </c>
      <c r="P89" s="32">
        <v>7.1999999999999995E-2</v>
      </c>
      <c r="Q89" s="32">
        <v>1.0999999999999999E-2</v>
      </c>
      <c r="S89" s="31">
        <v>133</v>
      </c>
      <c r="T89" s="31">
        <v>23</v>
      </c>
      <c r="U89" s="31">
        <v>11</v>
      </c>
      <c r="W89" s="31">
        <v>1949.7</v>
      </c>
      <c r="X89" s="31">
        <v>1952</v>
      </c>
      <c r="Y89" s="33">
        <v>67107.399999999994</v>
      </c>
      <c r="Z89" s="33">
        <v>35900</v>
      </c>
      <c r="AA89" s="33">
        <v>50666.2</v>
      </c>
      <c r="AB89" s="33">
        <v>33450</v>
      </c>
      <c r="AC89" s="32">
        <v>0.182</v>
      </c>
      <c r="AD89" s="32">
        <v>0.114</v>
      </c>
      <c r="AE89" s="33">
        <v>8728.5</v>
      </c>
      <c r="AF89" s="33">
        <v>4002</v>
      </c>
      <c r="AH89" s="34">
        <f>IF($D89 = "SPLIT", "",COUNTIFS($D$7:$D$347,$D89,N$7:N$347,"&gt;"&amp;N89)+1)</f>
        <v>46</v>
      </c>
      <c r="AI89" s="34">
        <f>IF($D89 = "SPLIT", "",COUNTIFS($D$7:$D$347,$D89,S$7:S$347,"&gt;"&amp;S89)+1)</f>
        <v>27</v>
      </c>
      <c r="AJ89" s="34">
        <f>IF($D89 = "SPLIT", "",COUNTIFS($D$7:$D$347,$D89,T$7:T$347,"&gt;"&amp;T89)+1)</f>
        <v>30</v>
      </c>
      <c r="AK89" s="34">
        <f>IF($D89 = "SPLIT", "",COUNTIFS($D$7:$D$347,$D89,X$7:X$347,"&lt;"&amp;X89)+1)</f>
        <v>4</v>
      </c>
      <c r="AL89" s="34">
        <f>IF($D89 = "SPLIT", "",COUNTIFS($D$7:$D$347,$D89,Z$7:Z$347,"&gt;"&amp;Z89)+1)</f>
        <v>28</v>
      </c>
      <c r="AM89" s="34">
        <f>IF($D89 = "SPLIT", "",COUNTIFS($D$7:$D$347,$D89,AB$7:AB$347,"&gt;"&amp;AB89)+1)</f>
        <v>30</v>
      </c>
      <c r="AN89" s="34">
        <f>IF($D89 = "SPLIT", "",COUNTIFS($D$7:$D$347,$D89,AD$7:AD$347,"&gt;"&amp;AD89)+1)</f>
        <v>49</v>
      </c>
      <c r="AO89" s="34">
        <f>IF($D89 = "SPLIT", "",COUNTIFS($D$7:$D$347,$D89,AF$7:AF$347,"&gt;"&amp;AF89)+1)</f>
        <v>45</v>
      </c>
    </row>
    <row r="90" spans="1:41" hidden="1" x14ac:dyDescent="0.25">
      <c r="A90" s="25">
        <v>540057</v>
      </c>
      <c r="B90" s="25" t="s">
        <v>179</v>
      </c>
      <c r="C90" s="25" t="s">
        <v>172</v>
      </c>
      <c r="D90" s="25" t="s">
        <v>55</v>
      </c>
      <c r="E90" s="26">
        <v>6</v>
      </c>
      <c r="F90" s="26" t="s">
        <v>113</v>
      </c>
      <c r="G90" s="26">
        <v>56</v>
      </c>
      <c r="H90" s="26">
        <v>2</v>
      </c>
      <c r="I90" s="26">
        <v>12</v>
      </c>
      <c r="J90" s="26">
        <v>3</v>
      </c>
      <c r="K90" s="26">
        <v>73</v>
      </c>
      <c r="L90" s="35">
        <v>0.76700000000000002</v>
      </c>
      <c r="M90" s="35">
        <v>2.7E-2</v>
      </c>
      <c r="N90" s="35">
        <v>0.16400000000000001</v>
      </c>
      <c r="O90" s="35">
        <v>4.1000000000000002E-2</v>
      </c>
      <c r="P90" s="35">
        <v>2.7E-2</v>
      </c>
      <c r="Q90" s="35">
        <v>1.4E-2</v>
      </c>
      <c r="S90" s="26">
        <v>1</v>
      </c>
      <c r="T90" s="26">
        <v>1</v>
      </c>
      <c r="U90" s="26">
        <v>0</v>
      </c>
      <c r="W90" s="26">
        <v>1942.5</v>
      </c>
      <c r="X90" s="26">
        <v>1925</v>
      </c>
      <c r="Y90" s="28">
        <v>65121.8</v>
      </c>
      <c r="Z90" s="28">
        <v>30400</v>
      </c>
      <c r="AA90" s="28">
        <v>37632.6</v>
      </c>
      <c r="AB90" s="28">
        <v>28300</v>
      </c>
      <c r="AC90" s="35">
        <v>0.13900000000000001</v>
      </c>
      <c r="AD90" s="35">
        <v>0.13100000000000001</v>
      </c>
      <c r="AE90" s="28">
        <v>6624.3</v>
      </c>
      <c r="AF90" s="28">
        <v>1791.9</v>
      </c>
      <c r="AH90" s="29">
        <f>IF($D90 = "SPLIT", "",COUNTIFS($D$7:$D$347,$D90,N$7:N$347,"&gt;"&amp;N90)+1)</f>
        <v>83</v>
      </c>
      <c r="AI90" s="29">
        <f>IF($D90 = "SPLIT", "",COUNTIFS($D$7:$D$347,$D90,S$7:S$347,"&gt;"&amp;S90)+1)</f>
        <v>153</v>
      </c>
      <c r="AJ90" s="29">
        <f>IF($D90 = "SPLIT", "",COUNTIFS($D$7:$D$347,$D90,T$7:T$347,"&gt;"&amp;T90)+1)</f>
        <v>84</v>
      </c>
      <c r="AK90" s="29">
        <f>IF($D90 = "SPLIT", "",COUNTIFS($D$7:$D$347,$D90,X$7:X$347,"&lt;"&amp;X90)+1)</f>
        <v>39</v>
      </c>
      <c r="AL90" s="29">
        <f>IF($D90 = "SPLIT", "",COUNTIFS($D$7:$D$347,$D90,Z$7:Z$347,"&gt;"&amp;Z90)+1)</f>
        <v>153</v>
      </c>
      <c r="AM90" s="29">
        <f>IF($D90 = "SPLIT", "",COUNTIFS($D$7:$D$347,$D90,AB$7:AB$347,"&gt;"&amp;AB90)+1)</f>
        <v>148</v>
      </c>
      <c r="AN90" s="29">
        <f>IF($D90 = "SPLIT", "",COUNTIFS($D$7:$D$347,$D90,AD$7:AD$347,"&gt;"&amp;AD90)+1)</f>
        <v>87</v>
      </c>
      <c r="AO90" s="29">
        <f>IF($D90 = "SPLIT", "",COUNTIFS($D$7:$D$347,$D90,AF$7:AF$347,"&gt;"&amp;AF90)+1)</f>
        <v>171</v>
      </c>
    </row>
    <row r="91" spans="1:41" hidden="1" x14ac:dyDescent="0.25">
      <c r="A91" s="25">
        <v>540058</v>
      </c>
      <c r="B91" s="25" t="s">
        <v>180</v>
      </c>
      <c r="C91" s="25" t="s">
        <v>172</v>
      </c>
      <c r="D91" s="25" t="s">
        <v>55</v>
      </c>
      <c r="E91" s="26">
        <v>6</v>
      </c>
      <c r="F91" s="26" t="s">
        <v>113</v>
      </c>
      <c r="G91" s="26">
        <v>32</v>
      </c>
      <c r="H91" s="26">
        <v>0</v>
      </c>
      <c r="I91" s="26">
        <v>3</v>
      </c>
      <c r="J91" s="26">
        <v>3</v>
      </c>
      <c r="K91" s="26">
        <v>38</v>
      </c>
      <c r="L91" s="35">
        <v>0.84199999999999997</v>
      </c>
      <c r="M91" s="35">
        <v>0</v>
      </c>
      <c r="N91" s="35">
        <v>7.9000000000000001E-2</v>
      </c>
      <c r="O91" s="35">
        <v>7.9000000000000001E-2</v>
      </c>
      <c r="P91" s="35">
        <v>2.5999999999999999E-2</v>
      </c>
      <c r="Q91" s="35">
        <v>2.5999999999999999E-2</v>
      </c>
      <c r="S91" s="26">
        <v>3</v>
      </c>
      <c r="T91" s="26">
        <v>1</v>
      </c>
      <c r="U91" s="26">
        <v>1</v>
      </c>
      <c r="W91" s="26">
        <v>1929.9</v>
      </c>
      <c r="X91" s="26">
        <v>1925</v>
      </c>
      <c r="Y91" s="28">
        <v>64837.7</v>
      </c>
      <c r="Z91" s="28">
        <v>35800</v>
      </c>
      <c r="AA91" s="28">
        <v>30993.599999999999</v>
      </c>
      <c r="AB91" s="28">
        <v>31750</v>
      </c>
      <c r="AC91" s="35">
        <v>0.161</v>
      </c>
      <c r="AD91" s="35">
        <v>0.14699999999999999</v>
      </c>
      <c r="AE91" s="28">
        <v>9867.6</v>
      </c>
      <c r="AF91" s="28">
        <v>2273.1999999999998</v>
      </c>
      <c r="AH91" s="29">
        <f>IF($D91 = "SPLIT", "",COUNTIFS($D$7:$D$347,$D91,N$7:N$347,"&gt;"&amp;N91)+1)</f>
        <v>145</v>
      </c>
      <c r="AI91" s="29">
        <f>IF($D91 = "SPLIT", "",COUNTIFS($D$7:$D$347,$D91,S$7:S$347,"&gt;"&amp;S91)+1)</f>
        <v>130</v>
      </c>
      <c r="AJ91" s="29">
        <f>IF($D91 = "SPLIT", "",COUNTIFS($D$7:$D$347,$D91,T$7:T$347,"&gt;"&amp;T91)+1)</f>
        <v>84</v>
      </c>
      <c r="AK91" s="29">
        <f>IF($D91 = "SPLIT", "",COUNTIFS($D$7:$D$347,$D91,X$7:X$347,"&lt;"&amp;X91)+1)</f>
        <v>39</v>
      </c>
      <c r="AL91" s="29">
        <f>IF($D91 = "SPLIT", "",COUNTIFS($D$7:$D$347,$D91,Z$7:Z$347,"&gt;"&amp;Z91)+1)</f>
        <v>132</v>
      </c>
      <c r="AM91" s="29">
        <f>IF($D91 = "SPLIT", "",COUNTIFS($D$7:$D$347,$D91,AB$7:AB$347,"&gt;"&amp;AB91)+1)</f>
        <v>129</v>
      </c>
      <c r="AN91" s="29">
        <f>IF($D91 = "SPLIT", "",COUNTIFS($D$7:$D$347,$D91,AD$7:AD$347,"&gt;"&amp;AD91)+1)</f>
        <v>74</v>
      </c>
      <c r="AO91" s="29">
        <f>IF($D91 = "SPLIT", "",COUNTIFS($D$7:$D$347,$D91,AF$7:AF$347,"&gt;"&amp;AF91)+1)</f>
        <v>154</v>
      </c>
    </row>
    <row r="92" spans="1:41" hidden="1" x14ac:dyDescent="0.25">
      <c r="A92" s="25">
        <v>540059</v>
      </c>
      <c r="B92" s="25" t="s">
        <v>181</v>
      </c>
      <c r="C92" s="25" t="s">
        <v>172</v>
      </c>
      <c r="D92" s="25" t="s">
        <v>55</v>
      </c>
      <c r="E92" s="26">
        <v>6</v>
      </c>
      <c r="F92" s="26" t="s">
        <v>182</v>
      </c>
      <c r="G92" s="26">
        <v>46</v>
      </c>
      <c r="H92" s="26">
        <v>3</v>
      </c>
      <c r="I92" s="26">
        <v>12</v>
      </c>
      <c r="J92" s="26">
        <v>1</v>
      </c>
      <c r="K92" s="26">
        <v>62</v>
      </c>
      <c r="L92" s="35">
        <v>0.74199999999999999</v>
      </c>
      <c r="M92" s="35">
        <v>4.8000000000000001E-2</v>
      </c>
      <c r="N92" s="35">
        <v>0.19400000000000001</v>
      </c>
      <c r="O92" s="35">
        <v>1.6E-2</v>
      </c>
      <c r="P92" s="35">
        <v>1.6E-2</v>
      </c>
      <c r="Q92" s="35">
        <v>0</v>
      </c>
      <c r="S92" s="26">
        <v>13</v>
      </c>
      <c r="T92" s="26">
        <v>4</v>
      </c>
      <c r="U92" s="26">
        <v>1</v>
      </c>
      <c r="W92" s="26">
        <v>1950.7</v>
      </c>
      <c r="X92" s="26">
        <v>1946</v>
      </c>
      <c r="Y92" s="28">
        <v>80728.100000000006</v>
      </c>
      <c r="Z92" s="28">
        <v>46950</v>
      </c>
      <c r="AA92" s="28">
        <v>44760</v>
      </c>
      <c r="AB92" s="28">
        <v>43500</v>
      </c>
      <c r="AC92" s="35">
        <v>0.161</v>
      </c>
      <c r="AD92" s="35">
        <v>0.14899999999999999</v>
      </c>
      <c r="AE92" s="28">
        <v>16036</v>
      </c>
      <c r="AF92" s="28">
        <v>6214.4</v>
      </c>
      <c r="AH92" s="29">
        <f>IF($D92 = "SPLIT", "",COUNTIFS($D$7:$D$347,$D92,N$7:N$347,"&gt;"&amp;N92)+1)</f>
        <v>69</v>
      </c>
      <c r="AI92" s="29">
        <f>IF($D92 = "SPLIT", "",COUNTIFS($D$7:$D$347,$D92,S$7:S$347,"&gt;"&amp;S92)+1)</f>
        <v>81</v>
      </c>
      <c r="AJ92" s="29">
        <f>IF($D92 = "SPLIT", "",COUNTIFS($D$7:$D$347,$D92,T$7:T$347,"&gt;"&amp;T92)+1)</f>
        <v>40</v>
      </c>
      <c r="AK92" s="29">
        <f>IF($D92 = "SPLIT", "",COUNTIFS($D$7:$D$347,$D92,X$7:X$347,"&lt;"&amp;X92)+1)</f>
        <v>101</v>
      </c>
      <c r="AL92" s="29">
        <f>IF($D92 = "SPLIT", "",COUNTIFS($D$7:$D$347,$D92,Z$7:Z$347,"&gt;"&amp;Z92)+1)</f>
        <v>86</v>
      </c>
      <c r="AM92" s="29">
        <f>IF($D92 = "SPLIT", "",COUNTIFS($D$7:$D$347,$D92,AB$7:AB$347,"&gt;"&amp;AB92)+1)</f>
        <v>86</v>
      </c>
      <c r="AN92" s="29">
        <f>IF($D92 = "SPLIT", "",COUNTIFS($D$7:$D$347,$D92,AD$7:AD$347,"&gt;"&amp;AD92)+1)</f>
        <v>72</v>
      </c>
      <c r="AO92" s="29">
        <f>IF($D92 = "SPLIT", "",COUNTIFS($D$7:$D$347,$D92,AF$7:AF$347,"&gt;"&amp;AF92)+1)</f>
        <v>78</v>
      </c>
    </row>
    <row r="93" spans="1:41" hidden="1" x14ac:dyDescent="0.25">
      <c r="A93" s="25">
        <v>540242</v>
      </c>
      <c r="B93" s="25" t="s">
        <v>183</v>
      </c>
      <c r="C93" s="25" t="s">
        <v>172</v>
      </c>
      <c r="D93" s="25" t="s">
        <v>55</v>
      </c>
      <c r="E93" s="26">
        <v>6</v>
      </c>
      <c r="F93" s="26" t="s">
        <v>184</v>
      </c>
      <c r="G93" s="26">
        <v>126</v>
      </c>
      <c r="H93" s="26">
        <v>9</v>
      </c>
      <c r="I93" s="26">
        <v>11</v>
      </c>
      <c r="J93" s="26">
        <v>5</v>
      </c>
      <c r="K93" s="26">
        <v>151</v>
      </c>
      <c r="L93" s="35">
        <v>0.83399999999999996</v>
      </c>
      <c r="M93" s="35">
        <v>0.06</v>
      </c>
      <c r="N93" s="35">
        <v>7.2999999999999995E-2</v>
      </c>
      <c r="O93" s="35">
        <v>3.3000000000000002E-2</v>
      </c>
      <c r="P93" s="35">
        <v>0</v>
      </c>
      <c r="Q93" s="35">
        <v>1.2999999999999999E-2</v>
      </c>
      <c r="S93" s="26">
        <v>20</v>
      </c>
      <c r="T93" s="26">
        <v>0</v>
      </c>
      <c r="U93" s="26">
        <v>0</v>
      </c>
      <c r="W93" s="26">
        <v>1937.6</v>
      </c>
      <c r="X93" s="26">
        <v>1920</v>
      </c>
      <c r="Y93" s="28">
        <v>55264.1</v>
      </c>
      <c r="Z93" s="28">
        <v>40700</v>
      </c>
      <c r="AA93" s="28">
        <v>41256.400000000001</v>
      </c>
      <c r="AB93" s="28">
        <v>39600</v>
      </c>
      <c r="AC93" s="35">
        <v>0.16</v>
      </c>
      <c r="AD93" s="35">
        <v>0.11</v>
      </c>
      <c r="AE93" s="28">
        <v>5975.3</v>
      </c>
      <c r="AF93" s="28">
        <v>3770.9</v>
      </c>
      <c r="AH93" s="29">
        <f>IF($D93 = "SPLIT", "",COUNTIFS($D$7:$D$347,$D93,N$7:N$347,"&gt;"&amp;N93)+1)</f>
        <v>152</v>
      </c>
      <c r="AI93" s="29">
        <f>IF($D93 = "SPLIT", "",COUNTIFS($D$7:$D$347,$D93,S$7:S$347,"&gt;"&amp;S93)+1)</f>
        <v>65</v>
      </c>
      <c r="AJ93" s="29">
        <f>IF($D93 = "SPLIT", "",COUNTIFS($D$7:$D$347,$D93,T$7:T$347,"&gt;"&amp;T93)+1)</f>
        <v>113</v>
      </c>
      <c r="AK93" s="29">
        <f>IF($D93 = "SPLIT", "",COUNTIFS($D$7:$D$347,$D93,X$7:X$347,"&lt;"&amp;X93)+1)</f>
        <v>21</v>
      </c>
      <c r="AL93" s="29">
        <f>IF($D93 = "SPLIT", "",COUNTIFS($D$7:$D$347,$D93,Z$7:Z$347,"&gt;"&amp;Z93)+1)</f>
        <v>114</v>
      </c>
      <c r="AM93" s="29">
        <f>IF($D93 = "SPLIT", "",COUNTIFS($D$7:$D$347,$D93,AB$7:AB$347,"&gt;"&amp;AB93)+1)</f>
        <v>102</v>
      </c>
      <c r="AN93" s="29">
        <f>IF($D93 = "SPLIT", "",COUNTIFS($D$7:$D$347,$D93,AD$7:AD$347,"&gt;"&amp;AD93)+1)</f>
        <v>106</v>
      </c>
      <c r="AO93" s="29">
        <f>IF($D93 = "SPLIT", "",COUNTIFS($D$7:$D$347,$D93,AF$7:AF$347,"&gt;"&amp;AF93)+1)</f>
        <v>120</v>
      </c>
    </row>
    <row r="94" spans="1:41" hidden="1" x14ac:dyDescent="0.25">
      <c r="A94" s="25">
        <v>540060</v>
      </c>
      <c r="B94" s="25" t="s">
        <v>185</v>
      </c>
      <c r="C94" s="25" t="s">
        <v>172</v>
      </c>
      <c r="D94" s="25" t="s">
        <v>55</v>
      </c>
      <c r="E94" s="26">
        <v>6</v>
      </c>
      <c r="F94" s="26" t="s">
        <v>186</v>
      </c>
      <c r="G94" s="26">
        <v>49</v>
      </c>
      <c r="H94" s="26">
        <v>21</v>
      </c>
      <c r="I94" s="26">
        <v>21</v>
      </c>
      <c r="J94" s="26">
        <v>1</v>
      </c>
      <c r="K94" s="26">
        <v>92</v>
      </c>
      <c r="L94" s="35">
        <v>0.53300000000000003</v>
      </c>
      <c r="M94" s="35">
        <v>0.22800000000000001</v>
      </c>
      <c r="N94" s="35">
        <v>0.22800000000000001</v>
      </c>
      <c r="O94" s="35">
        <v>1.0999999999999999E-2</v>
      </c>
      <c r="P94" s="35">
        <v>0</v>
      </c>
      <c r="Q94" s="35">
        <v>1.0999999999999999E-2</v>
      </c>
      <c r="S94" s="26">
        <v>28</v>
      </c>
      <c r="T94" s="26">
        <v>10</v>
      </c>
      <c r="U94" s="26">
        <v>4</v>
      </c>
      <c r="W94" s="26">
        <v>1937.8</v>
      </c>
      <c r="X94" s="26">
        <v>1920</v>
      </c>
      <c r="Y94" s="28">
        <v>64987.199999999997</v>
      </c>
      <c r="Z94" s="28">
        <v>27600</v>
      </c>
      <c r="AA94" s="28">
        <v>32971.5</v>
      </c>
      <c r="AB94" s="28">
        <v>24000</v>
      </c>
      <c r="AC94" s="35">
        <v>0.28899999999999998</v>
      </c>
      <c r="AD94" s="35">
        <v>0.24199999999999999</v>
      </c>
      <c r="AE94" s="28">
        <v>11171.9</v>
      </c>
      <c r="AF94" s="28">
        <v>8748.6</v>
      </c>
      <c r="AH94" s="29">
        <f>IF($D94 = "SPLIT", "",COUNTIFS($D$7:$D$347,$D94,N$7:N$347,"&gt;"&amp;N94)+1)</f>
        <v>55</v>
      </c>
      <c r="AI94" s="29">
        <f>IF($D94 = "SPLIT", "",COUNTIFS($D$7:$D$347,$D94,S$7:S$347,"&gt;"&amp;S94)+1)</f>
        <v>53</v>
      </c>
      <c r="AJ94" s="29">
        <f>IF($D94 = "SPLIT", "",COUNTIFS($D$7:$D$347,$D94,T$7:T$347,"&gt;"&amp;T94)+1)</f>
        <v>22</v>
      </c>
      <c r="AK94" s="29">
        <f>IF($D94 = "SPLIT", "",COUNTIFS($D$7:$D$347,$D94,X$7:X$347,"&lt;"&amp;X94)+1)</f>
        <v>21</v>
      </c>
      <c r="AL94" s="29">
        <f>IF($D94 = "SPLIT", "",COUNTIFS($D$7:$D$347,$D94,Z$7:Z$347,"&gt;"&amp;Z94)+1)</f>
        <v>165</v>
      </c>
      <c r="AM94" s="29">
        <f>IF($D94 = "SPLIT", "",COUNTIFS($D$7:$D$347,$D94,AB$7:AB$347,"&gt;"&amp;AB94)+1)</f>
        <v>171</v>
      </c>
      <c r="AN94" s="29">
        <f>IF($D94 = "SPLIT", "",COUNTIFS($D$7:$D$347,$D94,AD$7:AD$347,"&gt;"&amp;AD94)+1)</f>
        <v>33</v>
      </c>
      <c r="AO94" s="29">
        <f>IF($D94 = "SPLIT", "",COUNTIFS($D$7:$D$347,$D94,AF$7:AF$347,"&gt;"&amp;AF94)+1)</f>
        <v>45</v>
      </c>
    </row>
    <row r="95" spans="1:41" hidden="1" x14ac:dyDescent="0.25">
      <c r="A95" s="25">
        <v>540061</v>
      </c>
      <c r="B95" s="25" t="s">
        <v>187</v>
      </c>
      <c r="C95" s="25" t="s">
        <v>172</v>
      </c>
      <c r="D95" s="25" t="s">
        <v>55</v>
      </c>
      <c r="E95" s="26">
        <v>6</v>
      </c>
      <c r="F95" s="26" t="s">
        <v>188</v>
      </c>
      <c r="G95" s="26">
        <v>13</v>
      </c>
      <c r="H95" s="26">
        <v>0</v>
      </c>
      <c r="I95" s="26">
        <v>4</v>
      </c>
      <c r="J95" s="26">
        <v>0</v>
      </c>
      <c r="K95" s="26">
        <v>17</v>
      </c>
      <c r="L95" s="35">
        <v>0.76500000000000001</v>
      </c>
      <c r="M95" s="35">
        <v>0</v>
      </c>
      <c r="N95" s="35">
        <v>0.23499999999999999</v>
      </c>
      <c r="O95" s="35">
        <v>0</v>
      </c>
      <c r="P95" s="35">
        <v>0</v>
      </c>
      <c r="Q95" s="35">
        <v>0</v>
      </c>
      <c r="S95" s="26">
        <v>2</v>
      </c>
      <c r="T95" s="26">
        <v>0</v>
      </c>
      <c r="U95" s="26">
        <v>0</v>
      </c>
      <c r="W95" s="26">
        <v>1944.3</v>
      </c>
      <c r="X95" s="26">
        <v>1930</v>
      </c>
      <c r="Y95" s="28">
        <v>111913.7</v>
      </c>
      <c r="Z95" s="28">
        <v>74500</v>
      </c>
      <c r="AA95" s="28">
        <v>60604.7</v>
      </c>
      <c r="AB95" s="28">
        <v>57600</v>
      </c>
      <c r="AC95" s="35">
        <v>0.108</v>
      </c>
      <c r="AD95" s="35">
        <v>7.0999999999999994E-2</v>
      </c>
      <c r="AE95" s="28">
        <v>7909.7</v>
      </c>
      <c r="AF95" s="28">
        <v>7995.1</v>
      </c>
      <c r="AH95" s="29">
        <f>IF($D95 = "SPLIT", "",COUNTIFS($D$7:$D$347,$D95,N$7:N$347,"&gt;"&amp;N95)+1)</f>
        <v>52</v>
      </c>
      <c r="AI95" s="29">
        <f>IF($D95 = "SPLIT", "",COUNTIFS($D$7:$D$347,$D95,S$7:S$347,"&gt;"&amp;S95)+1)</f>
        <v>141</v>
      </c>
      <c r="AJ95" s="29">
        <f>IF($D95 = "SPLIT", "",COUNTIFS($D$7:$D$347,$D95,T$7:T$347,"&gt;"&amp;T95)+1)</f>
        <v>113</v>
      </c>
      <c r="AK95" s="29">
        <f>IF($D95 = "SPLIT", "",COUNTIFS($D$7:$D$347,$D95,X$7:X$347,"&lt;"&amp;X95)+1)</f>
        <v>48</v>
      </c>
      <c r="AL95" s="29">
        <f>IF($D95 = "SPLIT", "",COUNTIFS($D$7:$D$347,$D95,Z$7:Z$347,"&gt;"&amp;Z95)+1)</f>
        <v>28</v>
      </c>
      <c r="AM95" s="29">
        <f>IF($D95 = "SPLIT", "",COUNTIFS($D$7:$D$347,$D95,AB$7:AB$347,"&gt;"&amp;AB95)+1)</f>
        <v>43</v>
      </c>
      <c r="AN95" s="29">
        <f>IF($D95 = "SPLIT", "",COUNTIFS($D$7:$D$347,$D95,AD$7:AD$347,"&gt;"&amp;AD95)+1)</f>
        <v>143</v>
      </c>
      <c r="AO95" s="29">
        <f>IF($D95 = "SPLIT", "",COUNTIFS($D$7:$D$347,$D95,AF$7:AF$347,"&gt;"&amp;AF95)+1)</f>
        <v>54</v>
      </c>
    </row>
    <row r="96" spans="1:41" hidden="1" x14ac:dyDescent="0.25">
      <c r="A96" s="25">
        <v>540062</v>
      </c>
      <c r="B96" s="25" t="s">
        <v>189</v>
      </c>
      <c r="C96" s="25" t="s">
        <v>172</v>
      </c>
      <c r="D96" s="25" t="s">
        <v>55</v>
      </c>
      <c r="E96" s="26">
        <v>6</v>
      </c>
      <c r="F96" s="26" t="s">
        <v>154</v>
      </c>
      <c r="G96" s="26">
        <v>1</v>
      </c>
      <c r="H96" s="26">
        <v>0</v>
      </c>
      <c r="I96" s="26">
        <v>0</v>
      </c>
      <c r="J96" s="26">
        <v>0</v>
      </c>
      <c r="K96" s="26">
        <v>1</v>
      </c>
      <c r="L96" s="35">
        <v>1</v>
      </c>
      <c r="M96" s="35">
        <v>0</v>
      </c>
      <c r="N96" s="35">
        <v>0</v>
      </c>
      <c r="O96" s="35">
        <v>0</v>
      </c>
      <c r="P96" s="35">
        <v>0</v>
      </c>
      <c r="Q96" s="35">
        <v>0</v>
      </c>
      <c r="S96" s="26">
        <v>0</v>
      </c>
      <c r="T96" s="26">
        <v>0</v>
      </c>
      <c r="U96" s="26">
        <v>0</v>
      </c>
      <c r="W96" s="26">
        <v>1975</v>
      </c>
      <c r="X96" s="26">
        <v>1975</v>
      </c>
      <c r="Y96" s="28">
        <v>63700</v>
      </c>
      <c r="Z96" s="28">
        <v>63700</v>
      </c>
      <c r="AA96" s="28">
        <v>63700</v>
      </c>
      <c r="AB96" s="28">
        <v>63700</v>
      </c>
      <c r="AC96" s="35">
        <v>0</v>
      </c>
      <c r="AD96" s="35">
        <v>0</v>
      </c>
      <c r="AE96" s="28">
        <v>0</v>
      </c>
      <c r="AF96" s="28">
        <v>0</v>
      </c>
      <c r="AH96" s="29">
        <f>IF($D96 = "SPLIT", "",COUNTIFS($D$7:$D$347,$D96,N$7:N$347,"&gt;"&amp;N96)+1)</f>
        <v>195</v>
      </c>
      <c r="AI96" s="29">
        <f>IF($D96 = "SPLIT", "",COUNTIFS($D$7:$D$347,$D96,S$7:S$347,"&gt;"&amp;S96)+1)</f>
        <v>177</v>
      </c>
      <c r="AJ96" s="29">
        <f>IF($D96 = "SPLIT", "",COUNTIFS($D$7:$D$347,$D96,T$7:T$347,"&gt;"&amp;T96)+1)</f>
        <v>113</v>
      </c>
      <c r="AK96" s="29">
        <f>IF($D96 = "SPLIT", "",COUNTIFS($D$7:$D$347,$D96,X$7:X$347,"&lt;"&amp;X96)+1)</f>
        <v>175</v>
      </c>
      <c r="AL96" s="29">
        <f>IF($D96 = "SPLIT", "",COUNTIFS($D$7:$D$347,$D96,Z$7:Z$347,"&gt;"&amp;Z96)+1)</f>
        <v>45</v>
      </c>
      <c r="AM96" s="29">
        <f>IF($D96 = "SPLIT", "",COUNTIFS($D$7:$D$347,$D96,AB$7:AB$347,"&gt;"&amp;AB96)+1)</f>
        <v>33</v>
      </c>
      <c r="AN96" s="29">
        <f>IF($D96 = "SPLIT", "",COUNTIFS($D$7:$D$347,$D96,AD$7:AD$347,"&gt;"&amp;AD96)+1)</f>
        <v>198</v>
      </c>
      <c r="AO96" s="29">
        <f>IF($D96 = "SPLIT", "",COUNTIFS($D$7:$D$347,$D96,AF$7:AF$347,"&gt;"&amp;AF96)+1)</f>
        <v>198</v>
      </c>
    </row>
    <row r="97" spans="1:41" hidden="1" x14ac:dyDescent="0.25">
      <c r="A97" s="160"/>
      <c r="B97" s="160"/>
      <c r="C97" s="160" t="s">
        <v>172</v>
      </c>
      <c r="D97" s="160" t="s">
        <v>2</v>
      </c>
      <c r="E97" s="161">
        <v>6</v>
      </c>
      <c r="F97" s="161"/>
      <c r="G97" s="161">
        <v>1555</v>
      </c>
      <c r="H97" s="161">
        <v>103</v>
      </c>
      <c r="I97" s="161">
        <v>294</v>
      </c>
      <c r="J97" s="161">
        <v>130</v>
      </c>
      <c r="K97" s="161">
        <v>2082</v>
      </c>
      <c r="L97" s="162">
        <v>0.747</v>
      </c>
      <c r="M97" s="162">
        <v>4.9000000000000002E-2</v>
      </c>
      <c r="N97" s="162">
        <v>0.14099999999999999</v>
      </c>
      <c r="O97" s="162">
        <v>6.2E-2</v>
      </c>
      <c r="P97" s="162">
        <v>0.04</v>
      </c>
      <c r="Q97" s="162">
        <v>0.01</v>
      </c>
      <c r="S97" s="161">
        <v>318</v>
      </c>
      <c r="T97" s="161">
        <v>54</v>
      </c>
      <c r="U97" s="161">
        <v>18</v>
      </c>
      <c r="W97" s="161">
        <v>1943.4</v>
      </c>
      <c r="X97" s="161">
        <v>1940</v>
      </c>
      <c r="Y97" s="163">
        <v>82677</v>
      </c>
      <c r="Z97" s="163">
        <v>39900</v>
      </c>
      <c r="AA97" s="163">
        <v>51285.4</v>
      </c>
      <c r="AB97" s="163">
        <v>40200</v>
      </c>
      <c r="AC97" s="162">
        <v>0.186</v>
      </c>
      <c r="AD97" s="162">
        <v>0.13</v>
      </c>
      <c r="AE97" s="163">
        <v>10363.4</v>
      </c>
      <c r="AF97" s="163">
        <v>4683.8</v>
      </c>
      <c r="AH97" s="164">
        <f>IF($D97 = "SPLIT", "",COUNTIFS($D$7:$D$347,$D97,N$7:N$347,"&gt;"&amp;N97)+1)</f>
        <v>46</v>
      </c>
      <c r="AI97" s="164">
        <f>IF($D97 = "SPLIT", "",COUNTIFS($D$7:$D$347,$D97,S$7:S$347,"&gt;"&amp;S97)+1)</f>
        <v>20</v>
      </c>
      <c r="AJ97" s="164">
        <f>IF($D97 = "SPLIT", "",COUNTIFS($D$7:$D$347,$D97,T$7:T$347,"&gt;"&amp;T97)+1)</f>
        <v>18</v>
      </c>
      <c r="AK97" s="164">
        <f>IF($D97 = "SPLIT", "",COUNTIFS($D$7:$D$347,$D97,X$7:X$347,"&lt;"&amp;X97)+1)</f>
        <v>4</v>
      </c>
      <c r="AL97" s="164">
        <f>IF($D97 = "SPLIT", "",COUNTIFS($D$7:$D$347,$D97,Z$7:Z$347,"&gt;"&amp;Z97)+1)</f>
        <v>28</v>
      </c>
      <c r="AM97" s="164">
        <f>IF($D97 = "SPLIT", "",COUNTIFS($D$7:$D$347,$D97,AB$7:AB$347,"&gt;"&amp;AB97)+1)</f>
        <v>37</v>
      </c>
      <c r="AN97" s="164">
        <f>IF($D97 = "SPLIT", "",COUNTIFS($D$7:$D$347,$D97,AD$7:AD$347,"&gt;"&amp;AD97)+1)</f>
        <v>40</v>
      </c>
      <c r="AO97" s="164">
        <f>IF($D97 = "SPLIT", "",COUNTIFS($D$7:$D$347,$D97,AF$7:AF$347,"&gt;"&amp;AF97)+1)</f>
        <v>39</v>
      </c>
    </row>
    <row r="98" spans="1:41" hidden="1" x14ac:dyDescent="0.25">
      <c r="A98" s="30">
        <v>540063</v>
      </c>
      <c r="B98" s="30" t="s">
        <v>190</v>
      </c>
      <c r="C98" s="30" t="s">
        <v>191</v>
      </c>
      <c r="D98" s="30" t="s">
        <v>52</v>
      </c>
      <c r="E98" s="31">
        <v>5</v>
      </c>
      <c r="F98" s="31" t="s">
        <v>192</v>
      </c>
      <c r="G98" s="31">
        <v>515</v>
      </c>
      <c r="H98" s="31">
        <v>18</v>
      </c>
      <c r="I98" s="31">
        <v>244</v>
      </c>
      <c r="J98" s="31">
        <v>158</v>
      </c>
      <c r="K98" s="31">
        <v>935</v>
      </c>
      <c r="L98" s="32">
        <v>0.55100000000000005</v>
      </c>
      <c r="M98" s="32">
        <v>1.9E-2</v>
      </c>
      <c r="N98" s="32">
        <v>0.26100000000000001</v>
      </c>
      <c r="O98" s="32">
        <v>0.16900000000000001</v>
      </c>
      <c r="P98" s="32">
        <v>0.154</v>
      </c>
      <c r="Q98" s="32">
        <v>1E-3</v>
      </c>
      <c r="S98" s="31">
        <v>203</v>
      </c>
      <c r="T98" s="31">
        <v>50</v>
      </c>
      <c r="U98" s="31">
        <v>36</v>
      </c>
      <c r="W98" s="31">
        <v>1969.8</v>
      </c>
      <c r="X98" s="31">
        <v>1977</v>
      </c>
      <c r="Y98" s="33">
        <v>74489.399999999994</v>
      </c>
      <c r="Z98" s="33">
        <v>45440</v>
      </c>
      <c r="AA98" s="33">
        <v>57243.8</v>
      </c>
      <c r="AB98" s="33">
        <v>43300</v>
      </c>
      <c r="AC98" s="32">
        <v>0.375</v>
      </c>
      <c r="AD98" s="32">
        <v>0.28299999999999997</v>
      </c>
      <c r="AE98" s="33">
        <v>26024.799999999999</v>
      </c>
      <c r="AF98" s="33">
        <v>16573</v>
      </c>
      <c r="AH98" s="34">
        <f>IF($D98 = "SPLIT", "",COUNTIFS($D$7:$D$347,$D98,N$7:N$347,"&gt;"&amp;N98)+1)</f>
        <v>27</v>
      </c>
      <c r="AI98" s="34">
        <f>IF($D98 = "SPLIT", "",COUNTIFS($D$7:$D$347,$D98,S$7:S$347,"&gt;"&amp;S98)+1)</f>
        <v>18</v>
      </c>
      <c r="AJ98" s="34">
        <f>IF($D98 = "SPLIT", "",COUNTIFS($D$7:$D$347,$D98,T$7:T$347,"&gt;"&amp;T98)+1)</f>
        <v>12</v>
      </c>
      <c r="AK98" s="34">
        <f>IF($D98 = "SPLIT", "",COUNTIFS($D$7:$D$347,$D98,X$7:X$347,"&lt;"&amp;X98)+1)</f>
        <v>42</v>
      </c>
      <c r="AL98" s="34">
        <f>IF($D98 = "SPLIT", "",COUNTIFS($D$7:$D$347,$D98,Z$7:Z$347,"&gt;"&amp;Z98)+1)</f>
        <v>20</v>
      </c>
      <c r="AM98" s="34">
        <f>IF($D98 = "SPLIT", "",COUNTIFS($D$7:$D$347,$D98,AB$7:AB$347,"&gt;"&amp;AB98)+1)</f>
        <v>18</v>
      </c>
      <c r="AN98" s="34">
        <f>IF($D98 = "SPLIT", "",COUNTIFS($D$7:$D$347,$D98,AD$7:AD$347,"&gt;"&amp;AD98)+1)</f>
        <v>13</v>
      </c>
      <c r="AO98" s="34">
        <f>IF($D98 = "SPLIT", "",COUNTIFS($D$7:$D$347,$D98,AF$7:AF$347,"&gt;"&amp;AF98)+1)</f>
        <v>2</v>
      </c>
    </row>
    <row r="99" spans="1:41" hidden="1" x14ac:dyDescent="0.25">
      <c r="A99" s="25">
        <v>540241</v>
      </c>
      <c r="B99" s="25" t="s">
        <v>193</v>
      </c>
      <c r="C99" s="25" t="s">
        <v>191</v>
      </c>
      <c r="D99" s="25" t="s">
        <v>55</v>
      </c>
      <c r="E99" s="26">
        <v>5</v>
      </c>
      <c r="F99" s="26" t="s">
        <v>101</v>
      </c>
      <c r="G99" s="26">
        <v>27</v>
      </c>
      <c r="H99" s="26">
        <v>10</v>
      </c>
      <c r="I99" s="26">
        <v>112</v>
      </c>
      <c r="J99" s="26">
        <v>1</v>
      </c>
      <c r="K99" s="26">
        <v>150</v>
      </c>
      <c r="L99" s="35">
        <v>0.18</v>
      </c>
      <c r="M99" s="35">
        <v>6.7000000000000004E-2</v>
      </c>
      <c r="N99" s="35">
        <v>0.747</v>
      </c>
      <c r="O99" s="35">
        <v>7.0000000000000001E-3</v>
      </c>
      <c r="P99" s="35">
        <v>0</v>
      </c>
      <c r="Q99" s="35">
        <v>0</v>
      </c>
      <c r="S99" s="26">
        <v>72</v>
      </c>
      <c r="T99" s="26">
        <v>35</v>
      </c>
      <c r="U99" s="26">
        <v>32</v>
      </c>
      <c r="W99" s="26">
        <v>1974.2</v>
      </c>
      <c r="X99" s="26">
        <v>1991</v>
      </c>
      <c r="Y99" s="28">
        <v>70113.5</v>
      </c>
      <c r="Z99" s="28">
        <v>29000</v>
      </c>
      <c r="AA99" s="28">
        <v>69265.600000000006</v>
      </c>
      <c r="AB99" s="28">
        <v>29000</v>
      </c>
      <c r="AC99" s="35">
        <v>0.39400000000000002</v>
      </c>
      <c r="AD99" s="35">
        <v>0.373</v>
      </c>
      <c r="AE99" s="28">
        <v>15861</v>
      </c>
      <c r="AF99" s="28">
        <v>15625</v>
      </c>
      <c r="AH99" s="29">
        <f>IF($D99 = "SPLIT", "",COUNTIFS($D$7:$D$347,$D99,N$7:N$347,"&gt;"&amp;N99)+1)</f>
        <v>7</v>
      </c>
      <c r="AI99" s="29">
        <f>IF($D99 = "SPLIT", "",COUNTIFS($D$7:$D$347,$D99,S$7:S$347,"&gt;"&amp;S99)+1)</f>
        <v>21</v>
      </c>
      <c r="AJ99" s="29">
        <f>IF($D99 = "SPLIT", "",COUNTIFS($D$7:$D$347,$D99,T$7:T$347,"&gt;"&amp;T99)+1)</f>
        <v>3</v>
      </c>
      <c r="AK99" s="29">
        <f>IF($D99 = "SPLIT", "",COUNTIFS($D$7:$D$347,$D99,X$7:X$347,"&lt;"&amp;X99)+1)</f>
        <v>207</v>
      </c>
      <c r="AL99" s="29">
        <f>IF($D99 = "SPLIT", "",COUNTIFS($D$7:$D$347,$D99,Z$7:Z$347,"&gt;"&amp;Z99)+1)</f>
        <v>157</v>
      </c>
      <c r="AM99" s="29">
        <f>IF($D99 = "SPLIT", "",COUNTIFS($D$7:$D$347,$D99,AB$7:AB$347,"&gt;"&amp;AB99)+1)</f>
        <v>144</v>
      </c>
      <c r="AN99" s="29">
        <f>IF($D99 = "SPLIT", "",COUNTIFS($D$7:$D$347,$D99,AD$7:AD$347,"&gt;"&amp;AD99)+1)</f>
        <v>11</v>
      </c>
      <c r="AO99" s="29">
        <f>IF($D99 = "SPLIT", "",COUNTIFS($D$7:$D$347,$D99,AF$7:AF$347,"&gt;"&amp;AF99)+1)</f>
        <v>13</v>
      </c>
    </row>
    <row r="100" spans="1:41" hidden="1" x14ac:dyDescent="0.25">
      <c r="A100" s="25">
        <v>540064</v>
      </c>
      <c r="B100" s="25" t="s">
        <v>194</v>
      </c>
      <c r="C100" s="25" t="s">
        <v>191</v>
      </c>
      <c r="D100" s="25" t="s">
        <v>55</v>
      </c>
      <c r="E100" s="26">
        <v>5</v>
      </c>
      <c r="F100" s="26" t="s">
        <v>195</v>
      </c>
      <c r="G100" s="26">
        <v>6</v>
      </c>
      <c r="H100" s="26">
        <v>2</v>
      </c>
      <c r="I100" s="26">
        <v>2</v>
      </c>
      <c r="J100" s="26">
        <v>12</v>
      </c>
      <c r="K100" s="26">
        <v>22</v>
      </c>
      <c r="L100" s="35">
        <v>0.27300000000000002</v>
      </c>
      <c r="M100" s="35">
        <v>9.0999999999999998E-2</v>
      </c>
      <c r="N100" s="35">
        <v>9.0999999999999998E-2</v>
      </c>
      <c r="O100" s="35">
        <v>0.54500000000000004</v>
      </c>
      <c r="P100" s="35">
        <v>0.54500000000000004</v>
      </c>
      <c r="Q100" s="35">
        <v>0</v>
      </c>
      <c r="S100" s="26">
        <v>5</v>
      </c>
      <c r="T100" s="26">
        <v>1</v>
      </c>
      <c r="U100" s="26">
        <v>2</v>
      </c>
      <c r="W100" s="26">
        <v>1976.9</v>
      </c>
      <c r="X100" s="26">
        <v>1975.5</v>
      </c>
      <c r="Y100" s="28">
        <v>134270.9</v>
      </c>
      <c r="Z100" s="28">
        <v>29000</v>
      </c>
      <c r="AA100" s="28">
        <v>108550</v>
      </c>
      <c r="AB100" s="28">
        <v>29000</v>
      </c>
      <c r="AC100" s="35">
        <v>0.35</v>
      </c>
      <c r="AD100" s="35">
        <v>0.27500000000000002</v>
      </c>
      <c r="AE100" s="28">
        <v>23751.1</v>
      </c>
      <c r="AF100" s="28">
        <v>15515</v>
      </c>
      <c r="AH100" s="29">
        <f>IF($D100 = "SPLIT", "",COUNTIFS($D$7:$D$347,$D100,N$7:N$347,"&gt;"&amp;N100)+1)</f>
        <v>138</v>
      </c>
      <c r="AI100" s="29">
        <f>IF($D100 = "SPLIT", "",COUNTIFS($D$7:$D$347,$D100,S$7:S$347,"&gt;"&amp;S100)+1)</f>
        <v>110</v>
      </c>
      <c r="AJ100" s="29">
        <f>IF($D100 = "SPLIT", "",COUNTIFS($D$7:$D$347,$D100,T$7:T$347,"&gt;"&amp;T100)+1)</f>
        <v>84</v>
      </c>
      <c r="AK100" s="29">
        <f>IF($D100 = "SPLIT", "",COUNTIFS($D$7:$D$347,$D100,X$7:X$347,"&lt;"&amp;X100)+1)</f>
        <v>179</v>
      </c>
      <c r="AL100" s="29">
        <f>IF($D100 = "SPLIT", "",COUNTIFS($D$7:$D$347,$D100,Z$7:Z$347,"&gt;"&amp;Z100)+1)</f>
        <v>157</v>
      </c>
      <c r="AM100" s="29">
        <f>IF($D100 = "SPLIT", "",COUNTIFS($D$7:$D$347,$D100,AB$7:AB$347,"&gt;"&amp;AB100)+1)</f>
        <v>144</v>
      </c>
      <c r="AN100" s="29">
        <f>IF($D100 = "SPLIT", "",COUNTIFS($D$7:$D$347,$D100,AD$7:AD$347,"&gt;"&amp;AD100)+1)</f>
        <v>25</v>
      </c>
      <c r="AO100" s="29">
        <f>IF($D100 = "SPLIT", "",COUNTIFS($D$7:$D$347,$D100,AF$7:AF$347,"&gt;"&amp;AF100)+1)</f>
        <v>14</v>
      </c>
    </row>
    <row r="101" spans="1:41" hidden="1" x14ac:dyDescent="0.25">
      <c r="A101" s="160"/>
      <c r="B101" s="160"/>
      <c r="C101" s="160" t="s">
        <v>191</v>
      </c>
      <c r="D101" s="160" t="s">
        <v>2</v>
      </c>
      <c r="E101" s="161">
        <v>5</v>
      </c>
      <c r="F101" s="161"/>
      <c r="G101" s="161">
        <v>548</v>
      </c>
      <c r="H101" s="161">
        <v>30</v>
      </c>
      <c r="I101" s="161">
        <v>358</v>
      </c>
      <c r="J101" s="161">
        <v>171</v>
      </c>
      <c r="K101" s="161">
        <v>1107</v>
      </c>
      <c r="L101" s="162">
        <v>0.495</v>
      </c>
      <c r="M101" s="162">
        <v>2.7E-2</v>
      </c>
      <c r="N101" s="162">
        <v>0.32300000000000001</v>
      </c>
      <c r="O101" s="162">
        <v>0.154</v>
      </c>
      <c r="P101" s="162">
        <v>0.14099999999999999</v>
      </c>
      <c r="Q101" s="162">
        <v>1E-3</v>
      </c>
      <c r="S101" s="161">
        <v>280</v>
      </c>
      <c r="T101" s="161">
        <v>86</v>
      </c>
      <c r="U101" s="161">
        <v>70</v>
      </c>
      <c r="W101" s="161">
        <v>1970.2</v>
      </c>
      <c r="X101" s="161">
        <v>1977</v>
      </c>
      <c r="Y101" s="163">
        <v>75084.600000000006</v>
      </c>
      <c r="Z101" s="163">
        <v>42100</v>
      </c>
      <c r="AA101" s="163">
        <v>78412.399999999994</v>
      </c>
      <c r="AB101" s="163">
        <v>62150</v>
      </c>
      <c r="AC101" s="162">
        <v>0.379</v>
      </c>
      <c r="AD101" s="162">
        <v>0.30099999999999999</v>
      </c>
      <c r="AE101" s="163">
        <v>23287.7</v>
      </c>
      <c r="AF101" s="163">
        <v>16441.400000000001</v>
      </c>
      <c r="AH101" s="164">
        <f>IF($D101 = "SPLIT", "",COUNTIFS($D$7:$D$347,$D101,N$7:N$347,"&gt;"&amp;N101)+1)</f>
        <v>9</v>
      </c>
      <c r="AI101" s="164">
        <f>IF($D101 = "SPLIT", "",COUNTIFS($D$7:$D$347,$D101,S$7:S$347,"&gt;"&amp;S101)+1)</f>
        <v>22</v>
      </c>
      <c r="AJ101" s="164">
        <f>IF($D101 = "SPLIT", "",COUNTIFS($D$7:$D$347,$D101,T$7:T$347,"&gt;"&amp;T101)+1)</f>
        <v>10</v>
      </c>
      <c r="AK101" s="164">
        <f>IF($D101 = "SPLIT", "",COUNTIFS($D$7:$D$347,$D101,X$7:X$347,"&lt;"&amp;X101)+1)</f>
        <v>47</v>
      </c>
      <c r="AL101" s="164">
        <f>IF($D101 = "SPLIT", "",COUNTIFS($D$7:$D$347,$D101,Z$7:Z$347,"&gt;"&amp;Z101)+1)</f>
        <v>25</v>
      </c>
      <c r="AM101" s="164">
        <f>IF($D101 = "SPLIT", "",COUNTIFS($D$7:$D$347,$D101,AB$7:AB$347,"&gt;"&amp;AB101)+1)</f>
        <v>9</v>
      </c>
      <c r="AN101" s="164">
        <f>IF($D101 = "SPLIT", "",COUNTIFS($D$7:$D$347,$D101,AD$7:AD$347,"&gt;"&amp;AD101)+1)</f>
        <v>5</v>
      </c>
      <c r="AO101" s="164">
        <f>IF($D101 = "SPLIT", "",COUNTIFS($D$7:$D$347,$D101,AF$7:AF$347,"&gt;"&amp;AF101)+1)</f>
        <v>2</v>
      </c>
    </row>
    <row r="102" spans="1:41" hidden="1" x14ac:dyDescent="0.25">
      <c r="A102" s="25">
        <v>540030</v>
      </c>
      <c r="B102" s="25" t="s">
        <v>196</v>
      </c>
      <c r="C102" s="25" t="s">
        <v>197</v>
      </c>
      <c r="D102" s="25" t="s">
        <v>55</v>
      </c>
      <c r="E102" s="26">
        <v>9</v>
      </c>
      <c r="F102" s="26" t="s">
        <v>198</v>
      </c>
      <c r="G102" s="26">
        <v>3</v>
      </c>
      <c r="H102" s="26">
        <v>1</v>
      </c>
      <c r="I102" s="26">
        <v>0</v>
      </c>
      <c r="J102" s="26">
        <v>0</v>
      </c>
      <c r="K102" s="26">
        <v>4</v>
      </c>
      <c r="L102" s="35">
        <v>0.75</v>
      </c>
      <c r="M102" s="35">
        <v>0.25</v>
      </c>
      <c r="N102" s="35">
        <v>0</v>
      </c>
      <c r="O102" s="35">
        <v>0</v>
      </c>
      <c r="P102" s="35">
        <v>0</v>
      </c>
      <c r="Q102" s="35">
        <v>0</v>
      </c>
      <c r="S102" s="26">
        <v>4</v>
      </c>
      <c r="T102" s="26">
        <v>0</v>
      </c>
      <c r="U102" s="26">
        <v>1</v>
      </c>
      <c r="W102" s="26">
        <v>1878</v>
      </c>
      <c r="X102" s="26">
        <v>1870</v>
      </c>
      <c r="Y102" s="28">
        <v>1062800</v>
      </c>
      <c r="Z102" s="28">
        <v>94900</v>
      </c>
      <c r="AA102" s="28">
        <v>83733.3</v>
      </c>
      <c r="AB102" s="28">
        <v>86300</v>
      </c>
      <c r="AC102" s="35">
        <v>0.40500000000000003</v>
      </c>
      <c r="AD102" s="35">
        <v>0.45100000000000001</v>
      </c>
      <c r="AE102" s="28">
        <v>223200.6</v>
      </c>
      <c r="AF102" s="28">
        <v>43014.3</v>
      </c>
      <c r="AH102" s="29">
        <f>IF($D102 = "SPLIT", "",COUNTIFS($D$7:$D$347,$D102,N$7:N$347,"&gt;"&amp;N102)+1)</f>
        <v>195</v>
      </c>
      <c r="AI102" s="29">
        <f>IF($D102 = "SPLIT", "",COUNTIFS($D$7:$D$347,$D102,S$7:S$347,"&gt;"&amp;S102)+1)</f>
        <v>119</v>
      </c>
      <c r="AJ102" s="29">
        <f>IF($D102 = "SPLIT", "",COUNTIFS($D$7:$D$347,$D102,T$7:T$347,"&gt;"&amp;T102)+1)</f>
        <v>113</v>
      </c>
      <c r="AK102" s="29">
        <f>IF($D102 = "SPLIT", "",COUNTIFS($D$7:$D$347,$D102,X$7:X$347,"&lt;"&amp;X102)+1)</f>
        <v>8</v>
      </c>
      <c r="AL102" s="29">
        <f>IF($D102 = "SPLIT", "",COUNTIFS($D$7:$D$347,$D102,Z$7:Z$347,"&gt;"&amp;Z102)+1)</f>
        <v>15</v>
      </c>
      <c r="AM102" s="29">
        <f>IF($D102 = "SPLIT", "",COUNTIFS($D$7:$D$347,$D102,AB$7:AB$347,"&gt;"&amp;AB102)+1)</f>
        <v>12</v>
      </c>
      <c r="AN102" s="29">
        <f>IF($D102 = "SPLIT", "",COUNTIFS($D$7:$D$347,$D102,AD$7:AD$347,"&gt;"&amp;AD102)+1)</f>
        <v>7</v>
      </c>
      <c r="AO102" s="29">
        <f>IF($D102 = "SPLIT", "",COUNTIFS($D$7:$D$347,$D102,AF$7:AF$347,"&gt;"&amp;AF102)+1)</f>
        <v>3</v>
      </c>
    </row>
    <row r="103" spans="1:41" hidden="1" x14ac:dyDescent="0.25">
      <c r="A103" s="25">
        <v>540066</v>
      </c>
      <c r="B103" s="25" t="s">
        <v>199</v>
      </c>
      <c r="C103" s="25" t="s">
        <v>197</v>
      </c>
      <c r="D103" s="25" t="s">
        <v>55</v>
      </c>
      <c r="E103" s="26">
        <v>9</v>
      </c>
      <c r="F103" s="26" t="s">
        <v>200</v>
      </c>
      <c r="G103" s="26">
        <v>20</v>
      </c>
      <c r="H103" s="26">
        <v>0</v>
      </c>
      <c r="I103" s="26">
        <v>6</v>
      </c>
      <c r="J103" s="26">
        <v>1</v>
      </c>
      <c r="K103" s="26">
        <v>27</v>
      </c>
      <c r="L103" s="35">
        <v>0.74099999999999999</v>
      </c>
      <c r="M103" s="35">
        <v>0</v>
      </c>
      <c r="N103" s="35">
        <v>0.222</v>
      </c>
      <c r="O103" s="35">
        <v>3.6999999999999998E-2</v>
      </c>
      <c r="P103" s="35">
        <v>0</v>
      </c>
      <c r="Q103" s="35">
        <v>3.6999999999999998E-2</v>
      </c>
      <c r="S103" s="26">
        <v>0</v>
      </c>
      <c r="T103" s="26">
        <v>0</v>
      </c>
      <c r="U103" s="26">
        <v>0</v>
      </c>
      <c r="W103" s="26">
        <v>1938.2</v>
      </c>
      <c r="X103" s="26">
        <v>1920</v>
      </c>
      <c r="Y103" s="28">
        <v>369107.4</v>
      </c>
      <c r="Z103" s="28">
        <v>67500</v>
      </c>
      <c r="AA103" s="28">
        <v>90139.1</v>
      </c>
      <c r="AB103" s="28">
        <v>55000</v>
      </c>
      <c r="AC103" s="35">
        <v>5.3999999999999999E-2</v>
      </c>
      <c r="AD103" s="35">
        <v>0.04</v>
      </c>
      <c r="AE103" s="28">
        <v>3034.2</v>
      </c>
      <c r="AF103" s="28">
        <v>2676.3</v>
      </c>
      <c r="AH103" s="29">
        <f>IF($D103 = "SPLIT", "",COUNTIFS($D$7:$D$347,$D103,N$7:N$347,"&gt;"&amp;N103)+1)</f>
        <v>59</v>
      </c>
      <c r="AI103" s="29">
        <f>IF($D103 = "SPLIT", "",COUNTIFS($D$7:$D$347,$D103,S$7:S$347,"&gt;"&amp;S103)+1)</f>
        <v>177</v>
      </c>
      <c r="AJ103" s="29">
        <f>IF($D103 = "SPLIT", "",COUNTIFS($D$7:$D$347,$D103,T$7:T$347,"&gt;"&amp;T103)+1)</f>
        <v>113</v>
      </c>
      <c r="AK103" s="29">
        <f>IF($D103 = "SPLIT", "",COUNTIFS($D$7:$D$347,$D103,X$7:X$347,"&lt;"&amp;X103)+1)</f>
        <v>21</v>
      </c>
      <c r="AL103" s="29">
        <f>IF($D103 = "SPLIT", "",COUNTIFS($D$7:$D$347,$D103,Z$7:Z$347,"&gt;"&amp;Z103)+1)</f>
        <v>40</v>
      </c>
      <c r="AM103" s="29">
        <f>IF($D103 = "SPLIT", "",COUNTIFS($D$7:$D$347,$D103,AB$7:AB$347,"&gt;"&amp;AB103)+1)</f>
        <v>50</v>
      </c>
      <c r="AN103" s="29">
        <f>IF($D103 = "SPLIT", "",COUNTIFS($D$7:$D$347,$D103,AD$7:AD$347,"&gt;"&amp;AD103)+1)</f>
        <v>177</v>
      </c>
      <c r="AO103" s="29">
        <f>IF($D103 = "SPLIT", "",COUNTIFS($D$7:$D$347,$D103,AF$7:AF$347,"&gt;"&amp;AF103)+1)</f>
        <v>142</v>
      </c>
    </row>
    <row r="104" spans="1:41" hidden="1" x14ac:dyDescent="0.25">
      <c r="A104" s="25">
        <v>540067</v>
      </c>
      <c r="B104" s="25" t="s">
        <v>201</v>
      </c>
      <c r="C104" s="25" t="s">
        <v>197</v>
      </c>
      <c r="D104" s="25" t="s">
        <v>55</v>
      </c>
      <c r="E104" s="26">
        <v>9</v>
      </c>
      <c r="F104" s="26" t="s">
        <v>149</v>
      </c>
      <c r="G104" s="26">
        <v>31</v>
      </c>
      <c r="H104" s="26">
        <v>0</v>
      </c>
      <c r="I104" s="26">
        <v>0</v>
      </c>
      <c r="J104" s="26">
        <v>0</v>
      </c>
      <c r="K104" s="26">
        <v>31</v>
      </c>
      <c r="L104" s="35">
        <v>1</v>
      </c>
      <c r="M104" s="35">
        <v>0</v>
      </c>
      <c r="N104" s="35">
        <v>0</v>
      </c>
      <c r="O104" s="35">
        <v>0</v>
      </c>
      <c r="P104" s="35">
        <v>0</v>
      </c>
      <c r="Q104" s="35">
        <v>0</v>
      </c>
      <c r="S104" s="26">
        <v>30</v>
      </c>
      <c r="T104" s="26">
        <v>0</v>
      </c>
      <c r="U104" s="26">
        <v>0</v>
      </c>
      <c r="W104" s="26">
        <v>1848.5</v>
      </c>
      <c r="X104" s="26">
        <v>1830</v>
      </c>
      <c r="Y104" s="28">
        <v>224664.5</v>
      </c>
      <c r="Z104" s="28">
        <v>188000</v>
      </c>
      <c r="AA104" s="28">
        <v>120316.7</v>
      </c>
      <c r="AB104" s="28">
        <v>109600</v>
      </c>
      <c r="AC104" s="35">
        <v>0.65900000000000003</v>
      </c>
      <c r="AD104" s="35">
        <v>0.74099999999999999</v>
      </c>
      <c r="AE104" s="28">
        <v>159507.20000000001</v>
      </c>
      <c r="AF104" s="28">
        <v>131145.29999999999</v>
      </c>
      <c r="AH104" s="29">
        <f>IF($D104 = "SPLIT", "",COUNTIFS($D$7:$D$347,$D104,N$7:N$347,"&gt;"&amp;N104)+1)</f>
        <v>195</v>
      </c>
      <c r="AI104" s="29">
        <f>IF($D104 = "SPLIT", "",COUNTIFS($D$7:$D$347,$D104,S$7:S$347,"&gt;"&amp;S104)+1)</f>
        <v>49</v>
      </c>
      <c r="AJ104" s="29">
        <f>IF($D104 = "SPLIT", "",COUNTIFS($D$7:$D$347,$D104,T$7:T$347,"&gt;"&amp;T104)+1)</f>
        <v>113</v>
      </c>
      <c r="AK104" s="29">
        <f>IF($D104 = "SPLIT", "",COUNTIFS($D$7:$D$347,$D104,X$7:X$347,"&lt;"&amp;X104)+1)</f>
        <v>7</v>
      </c>
      <c r="AL104" s="29">
        <f>IF($D104 = "SPLIT", "",COUNTIFS($D$7:$D$347,$D104,Z$7:Z$347,"&gt;"&amp;Z104)+1)</f>
        <v>4</v>
      </c>
      <c r="AM104" s="29">
        <f>IF($D104 = "SPLIT", "",COUNTIFS($D$7:$D$347,$D104,AB$7:AB$347,"&gt;"&amp;AB104)+1)</f>
        <v>7</v>
      </c>
      <c r="AN104" s="29">
        <f>IF($D104 = "SPLIT", "",COUNTIFS($D$7:$D$347,$D104,AD$7:AD$347,"&gt;"&amp;AD104)+1)</f>
        <v>1</v>
      </c>
      <c r="AO104" s="29">
        <f>IF($D104 = "SPLIT", "",COUNTIFS($D$7:$D$347,$D104,AF$7:AF$347,"&gt;"&amp;AF104)+1)</f>
        <v>2</v>
      </c>
    </row>
    <row r="105" spans="1:41" hidden="1" x14ac:dyDescent="0.25">
      <c r="A105" s="30">
        <v>540065</v>
      </c>
      <c r="B105" s="30" t="s">
        <v>202</v>
      </c>
      <c r="C105" s="30" t="s">
        <v>197</v>
      </c>
      <c r="D105" s="30" t="s">
        <v>52</v>
      </c>
      <c r="E105" s="31">
        <v>9</v>
      </c>
      <c r="F105" s="31" t="s">
        <v>203</v>
      </c>
      <c r="G105" s="31">
        <v>308</v>
      </c>
      <c r="H105" s="31">
        <v>16</v>
      </c>
      <c r="I105" s="31">
        <v>175</v>
      </c>
      <c r="J105" s="31">
        <v>27</v>
      </c>
      <c r="K105" s="31">
        <v>526</v>
      </c>
      <c r="L105" s="32">
        <v>0.58599999999999997</v>
      </c>
      <c r="M105" s="32">
        <v>0.03</v>
      </c>
      <c r="N105" s="32">
        <v>0.33300000000000002</v>
      </c>
      <c r="O105" s="32">
        <v>5.0999999999999997E-2</v>
      </c>
      <c r="P105" s="32">
        <v>4.9000000000000002E-2</v>
      </c>
      <c r="Q105" s="32">
        <v>0</v>
      </c>
      <c r="S105" s="31">
        <v>183</v>
      </c>
      <c r="T105" s="31">
        <v>33</v>
      </c>
      <c r="U105" s="31">
        <v>5</v>
      </c>
      <c r="W105" s="31">
        <v>1958.3</v>
      </c>
      <c r="X105" s="31">
        <v>1973</v>
      </c>
      <c r="Y105" s="33">
        <v>133574.29999999999</v>
      </c>
      <c r="Z105" s="33">
        <v>93150</v>
      </c>
      <c r="AA105" s="33">
        <v>118855.3</v>
      </c>
      <c r="AB105" s="33">
        <v>93800</v>
      </c>
      <c r="AC105" s="32">
        <v>0.41799999999999998</v>
      </c>
      <c r="AD105" s="32">
        <v>0.39100000000000001</v>
      </c>
      <c r="AE105" s="33">
        <v>27125.7</v>
      </c>
      <c r="AF105" s="33">
        <v>20871.2</v>
      </c>
      <c r="AH105" s="34">
        <f>IF($D105 = "SPLIT", "",COUNTIFS($D$7:$D$347,$D105,N$7:N$347,"&gt;"&amp;N105)+1)</f>
        <v>10</v>
      </c>
      <c r="AI105" s="34">
        <f>IF($D105 = "SPLIT", "",COUNTIFS($D$7:$D$347,$D105,S$7:S$347,"&gt;"&amp;S105)+1)</f>
        <v>22</v>
      </c>
      <c r="AJ105" s="34">
        <f>IF($D105 = "SPLIT", "",COUNTIFS($D$7:$D$347,$D105,T$7:T$347,"&gt;"&amp;T105)+1)</f>
        <v>22</v>
      </c>
      <c r="AK105" s="34">
        <f>IF($D105 = "SPLIT", "",COUNTIFS($D$7:$D$347,$D105,X$7:X$347,"&lt;"&amp;X105)+1)</f>
        <v>30</v>
      </c>
      <c r="AL105" s="34">
        <f>IF($D105 = "SPLIT", "",COUNTIFS($D$7:$D$347,$D105,Z$7:Z$347,"&gt;"&amp;Z105)+1)</f>
        <v>1</v>
      </c>
      <c r="AM105" s="34">
        <f>IF($D105 = "SPLIT", "",COUNTIFS($D$7:$D$347,$D105,AB$7:AB$347,"&gt;"&amp;AB105)+1)</f>
        <v>1</v>
      </c>
      <c r="AN105" s="34">
        <f>IF($D105 = "SPLIT", "",COUNTIFS($D$7:$D$347,$D105,AD$7:AD$347,"&gt;"&amp;AD105)+1)</f>
        <v>8</v>
      </c>
      <c r="AO105" s="34">
        <f>IF($D105 = "SPLIT", "",COUNTIFS($D$7:$D$347,$D105,AF$7:AF$347,"&gt;"&amp;AF105)+1)</f>
        <v>1</v>
      </c>
    </row>
    <row r="106" spans="1:41" hidden="1" x14ac:dyDescent="0.25">
      <c r="A106" s="25">
        <v>540068</v>
      </c>
      <c r="B106" s="25" t="s">
        <v>204</v>
      </c>
      <c r="C106" s="25" t="s">
        <v>197</v>
      </c>
      <c r="D106" s="25" t="s">
        <v>55</v>
      </c>
      <c r="E106" s="26">
        <v>9</v>
      </c>
      <c r="F106" s="26" t="s">
        <v>205</v>
      </c>
      <c r="G106" s="26">
        <v>53</v>
      </c>
      <c r="H106" s="26">
        <v>0</v>
      </c>
      <c r="I106" s="26">
        <v>26</v>
      </c>
      <c r="J106" s="26">
        <v>1</v>
      </c>
      <c r="K106" s="26">
        <v>80</v>
      </c>
      <c r="L106" s="35">
        <v>0.66200000000000003</v>
      </c>
      <c r="M106" s="35">
        <v>0</v>
      </c>
      <c r="N106" s="35">
        <v>0.32500000000000001</v>
      </c>
      <c r="O106" s="35">
        <v>1.2999999999999999E-2</v>
      </c>
      <c r="P106" s="35">
        <v>1.2999999999999999E-2</v>
      </c>
      <c r="Q106" s="35">
        <v>0</v>
      </c>
      <c r="S106" s="26">
        <v>0</v>
      </c>
      <c r="T106" s="26">
        <v>0</v>
      </c>
      <c r="U106" s="26">
        <v>0</v>
      </c>
      <c r="W106" s="26">
        <v>1970.5</v>
      </c>
      <c r="X106" s="26">
        <v>1977</v>
      </c>
      <c r="Y106" s="28">
        <v>66315.5</v>
      </c>
      <c r="Z106" s="28">
        <v>63350</v>
      </c>
      <c r="AA106" s="28">
        <v>65894.600000000006</v>
      </c>
      <c r="AB106" s="28">
        <v>63000</v>
      </c>
      <c r="AC106" s="35">
        <v>5.3999999999999999E-2</v>
      </c>
      <c r="AD106" s="35">
        <v>0.04</v>
      </c>
      <c r="AE106" s="28">
        <v>2027.3</v>
      </c>
      <c r="AF106" s="28">
        <v>1656</v>
      </c>
      <c r="AH106" s="29">
        <f>IF($D106 = "SPLIT", "",COUNTIFS($D$7:$D$347,$D106,N$7:N$347,"&gt;"&amp;N106)+1)</f>
        <v>33</v>
      </c>
      <c r="AI106" s="29">
        <f>IF($D106 = "SPLIT", "",COUNTIFS($D$7:$D$347,$D106,S$7:S$347,"&gt;"&amp;S106)+1)</f>
        <v>177</v>
      </c>
      <c r="AJ106" s="29">
        <f>IF($D106 = "SPLIT", "",COUNTIFS($D$7:$D$347,$D106,T$7:T$347,"&gt;"&amp;T106)+1)</f>
        <v>113</v>
      </c>
      <c r="AK106" s="29">
        <f>IF($D106 = "SPLIT", "",COUNTIFS($D$7:$D$347,$D106,X$7:X$347,"&lt;"&amp;X106)+1)</f>
        <v>183</v>
      </c>
      <c r="AL106" s="29">
        <f>IF($D106 = "SPLIT", "",COUNTIFS($D$7:$D$347,$D106,Z$7:Z$347,"&gt;"&amp;Z106)+1)</f>
        <v>46</v>
      </c>
      <c r="AM106" s="29">
        <f>IF($D106 = "SPLIT", "",COUNTIFS($D$7:$D$347,$D106,AB$7:AB$347,"&gt;"&amp;AB106)+1)</f>
        <v>36</v>
      </c>
      <c r="AN106" s="29">
        <f>IF($D106 = "SPLIT", "",COUNTIFS($D$7:$D$347,$D106,AD$7:AD$347,"&gt;"&amp;AD106)+1)</f>
        <v>177</v>
      </c>
      <c r="AO106" s="29">
        <f>IF($D106 = "SPLIT", "",COUNTIFS($D$7:$D$347,$D106,AF$7:AF$347,"&gt;"&amp;AF106)+1)</f>
        <v>178</v>
      </c>
    </row>
    <row r="107" spans="1:41" hidden="1" x14ac:dyDescent="0.25">
      <c r="A107" s="25">
        <v>540069</v>
      </c>
      <c r="B107" s="25" t="s">
        <v>206</v>
      </c>
      <c r="C107" s="25" t="s">
        <v>197</v>
      </c>
      <c r="D107" s="25" t="s">
        <v>55</v>
      </c>
      <c r="E107" s="26">
        <v>9</v>
      </c>
      <c r="F107" s="26" t="s">
        <v>207</v>
      </c>
      <c r="G107" s="26">
        <v>56</v>
      </c>
      <c r="H107" s="26">
        <v>0</v>
      </c>
      <c r="I107" s="26">
        <v>5</v>
      </c>
      <c r="J107" s="26">
        <v>5</v>
      </c>
      <c r="K107" s="26">
        <v>66</v>
      </c>
      <c r="L107" s="35">
        <v>0.84799999999999998</v>
      </c>
      <c r="M107" s="35">
        <v>0</v>
      </c>
      <c r="N107" s="35">
        <v>7.5999999999999998E-2</v>
      </c>
      <c r="O107" s="35">
        <v>7.5999999999999998E-2</v>
      </c>
      <c r="P107" s="35">
        <v>0</v>
      </c>
      <c r="Q107" s="35">
        <v>4.4999999999999998E-2</v>
      </c>
      <c r="S107" s="26">
        <v>38</v>
      </c>
      <c r="T107" s="26">
        <v>0</v>
      </c>
      <c r="U107" s="26">
        <v>0</v>
      </c>
      <c r="W107" s="26">
        <v>1886.5</v>
      </c>
      <c r="X107" s="26">
        <v>1900</v>
      </c>
      <c r="Y107" s="28">
        <v>327899.8</v>
      </c>
      <c r="Z107" s="28">
        <v>213800</v>
      </c>
      <c r="AA107" s="28">
        <v>207173.7</v>
      </c>
      <c r="AB107" s="28">
        <v>172600</v>
      </c>
      <c r="AC107" s="35">
        <v>8.1000000000000003E-2</v>
      </c>
      <c r="AD107" s="35">
        <v>0.08</v>
      </c>
      <c r="AE107" s="28">
        <v>27457.7</v>
      </c>
      <c r="AF107" s="28">
        <v>13984</v>
      </c>
      <c r="AH107" s="29">
        <f>IF($D107 = "SPLIT", "",COUNTIFS($D$7:$D$347,$D107,N$7:N$347,"&gt;"&amp;N107)+1)</f>
        <v>149</v>
      </c>
      <c r="AI107" s="29">
        <f>IF($D107 = "SPLIT", "",COUNTIFS($D$7:$D$347,$D107,S$7:S$347,"&gt;"&amp;S107)+1)</f>
        <v>41</v>
      </c>
      <c r="AJ107" s="29">
        <f>IF($D107 = "SPLIT", "",COUNTIFS($D$7:$D$347,$D107,T$7:T$347,"&gt;"&amp;T107)+1)</f>
        <v>113</v>
      </c>
      <c r="AK107" s="29">
        <f>IF($D107 = "SPLIT", "",COUNTIFS($D$7:$D$347,$D107,X$7:X$347,"&lt;"&amp;X107)+1)</f>
        <v>10</v>
      </c>
      <c r="AL107" s="29">
        <f>IF($D107 = "SPLIT", "",COUNTIFS($D$7:$D$347,$D107,Z$7:Z$347,"&gt;"&amp;Z107)+1)</f>
        <v>3</v>
      </c>
      <c r="AM107" s="29">
        <f>IF($D107 = "SPLIT", "",COUNTIFS($D$7:$D$347,$D107,AB$7:AB$347,"&gt;"&amp;AB107)+1)</f>
        <v>3</v>
      </c>
      <c r="AN107" s="29">
        <f>IF($D107 = "SPLIT", "",COUNTIFS($D$7:$D$347,$D107,AD$7:AD$347,"&gt;"&amp;AD107)+1)</f>
        <v>139</v>
      </c>
      <c r="AO107" s="29">
        <f>IF($D107 = "SPLIT", "",COUNTIFS($D$7:$D$347,$D107,AF$7:AF$347,"&gt;"&amp;AF107)+1)</f>
        <v>18</v>
      </c>
    </row>
    <row r="108" spans="1:41" hidden="1" x14ac:dyDescent="0.25">
      <c r="A108" s="160"/>
      <c r="B108" s="160"/>
      <c r="C108" s="160" t="s">
        <v>197</v>
      </c>
      <c r="D108" s="160" t="s">
        <v>2</v>
      </c>
      <c r="E108" s="161">
        <v>9</v>
      </c>
      <c r="F108" s="161"/>
      <c r="G108" s="161">
        <v>471</v>
      </c>
      <c r="H108" s="161">
        <v>17</v>
      </c>
      <c r="I108" s="161">
        <v>212</v>
      </c>
      <c r="J108" s="161">
        <v>34</v>
      </c>
      <c r="K108" s="161">
        <v>734</v>
      </c>
      <c r="L108" s="162">
        <v>0.64200000000000002</v>
      </c>
      <c r="M108" s="162">
        <v>2.3E-2</v>
      </c>
      <c r="N108" s="162">
        <v>0.28899999999999998</v>
      </c>
      <c r="O108" s="162">
        <v>4.5999999999999999E-2</v>
      </c>
      <c r="P108" s="162">
        <v>3.6999999999999998E-2</v>
      </c>
      <c r="Q108" s="162">
        <v>5.0000000000000001E-3</v>
      </c>
      <c r="S108" s="161">
        <v>255</v>
      </c>
      <c r="T108" s="161">
        <v>33</v>
      </c>
      <c r="U108" s="161">
        <v>6</v>
      </c>
      <c r="W108" s="161">
        <v>1947.4</v>
      </c>
      <c r="X108" s="161">
        <v>1969</v>
      </c>
      <c r="Y108" s="163">
        <v>161292.1</v>
      </c>
      <c r="Z108" s="163">
        <v>97450</v>
      </c>
      <c r="AA108" s="163">
        <v>129935.6</v>
      </c>
      <c r="AB108" s="163">
        <v>101200</v>
      </c>
      <c r="AC108" s="162">
        <v>0.36499999999999999</v>
      </c>
      <c r="AD108" s="162">
        <v>0.29699999999999999</v>
      </c>
      <c r="AE108" s="163">
        <v>40367</v>
      </c>
      <c r="AF108" s="163">
        <v>20753.3</v>
      </c>
      <c r="AH108" s="164">
        <f>IF($D108 = "SPLIT", "",COUNTIFS($D$7:$D$347,$D108,N$7:N$347,"&gt;"&amp;N108)+1)</f>
        <v>12</v>
      </c>
      <c r="AI108" s="164">
        <f>IF($D108 = "SPLIT", "",COUNTIFS($D$7:$D$347,$D108,S$7:S$347,"&gt;"&amp;S108)+1)</f>
        <v>24</v>
      </c>
      <c r="AJ108" s="164">
        <f>IF($D108 = "SPLIT", "",COUNTIFS($D$7:$D$347,$D108,T$7:T$347,"&gt;"&amp;T108)+1)</f>
        <v>28</v>
      </c>
      <c r="AK108" s="164">
        <f>IF($D108 = "SPLIT", "",COUNTIFS($D$7:$D$347,$D108,X$7:X$347,"&lt;"&amp;X108)+1)</f>
        <v>29</v>
      </c>
      <c r="AL108" s="164">
        <f>IF($D108 = "SPLIT", "",COUNTIFS($D$7:$D$347,$D108,Z$7:Z$347,"&gt;"&amp;Z108)+1)</f>
        <v>1</v>
      </c>
      <c r="AM108" s="164">
        <f>IF($D108 = "SPLIT", "",COUNTIFS($D$7:$D$347,$D108,AB$7:AB$347,"&gt;"&amp;AB108)+1)</f>
        <v>1</v>
      </c>
      <c r="AN108" s="164">
        <f>IF($D108 = "SPLIT", "",COUNTIFS($D$7:$D$347,$D108,AD$7:AD$347,"&gt;"&amp;AD108)+1)</f>
        <v>6</v>
      </c>
      <c r="AO108" s="164">
        <f>IF($D108 = "SPLIT", "",COUNTIFS($D$7:$D$347,$D108,AF$7:AF$347,"&gt;"&amp;AF108)+1)</f>
        <v>1</v>
      </c>
    </row>
    <row r="109" spans="1:41" hidden="1" x14ac:dyDescent="0.25">
      <c r="A109" s="25">
        <v>540071</v>
      </c>
      <c r="B109" s="25" t="s">
        <v>208</v>
      </c>
      <c r="C109" s="25" t="s">
        <v>209</v>
      </c>
      <c r="D109" s="25" t="s">
        <v>55</v>
      </c>
      <c r="E109" s="26">
        <v>3</v>
      </c>
      <c r="F109" s="26" t="s">
        <v>126</v>
      </c>
      <c r="G109" s="26">
        <v>151</v>
      </c>
      <c r="H109" s="26">
        <v>1</v>
      </c>
      <c r="I109" s="26">
        <v>6</v>
      </c>
      <c r="J109" s="26">
        <v>2</v>
      </c>
      <c r="K109" s="26">
        <v>160</v>
      </c>
      <c r="L109" s="35">
        <v>0.94399999999999995</v>
      </c>
      <c r="M109" s="35">
        <v>6.0000000000000001E-3</v>
      </c>
      <c r="N109" s="35">
        <v>3.6999999999999998E-2</v>
      </c>
      <c r="O109" s="35">
        <v>1.2999999999999999E-2</v>
      </c>
      <c r="P109" s="35">
        <v>0</v>
      </c>
      <c r="Q109" s="35">
        <v>1.2999999999999999E-2</v>
      </c>
      <c r="S109" s="26">
        <v>32</v>
      </c>
      <c r="T109" s="26">
        <v>2</v>
      </c>
      <c r="U109" s="26">
        <v>0</v>
      </c>
      <c r="W109" s="26">
        <v>1943.2</v>
      </c>
      <c r="X109" s="26">
        <v>1940</v>
      </c>
      <c r="Y109" s="28">
        <v>87137.600000000006</v>
      </c>
      <c r="Z109" s="28">
        <v>50850</v>
      </c>
      <c r="AA109" s="28">
        <v>54875.4</v>
      </c>
      <c r="AB109" s="28">
        <v>49950</v>
      </c>
      <c r="AC109" s="35">
        <v>0.152</v>
      </c>
      <c r="AD109" s="35">
        <v>0.125</v>
      </c>
      <c r="AE109" s="28">
        <v>9209.1</v>
      </c>
      <c r="AF109" s="28">
        <v>5817.8</v>
      </c>
      <c r="AH109" s="29">
        <f>IF($D109 = "SPLIT", "",COUNTIFS($D$7:$D$347,$D109,N$7:N$347,"&gt;"&amp;N109)+1)</f>
        <v>174</v>
      </c>
      <c r="AI109" s="29">
        <f>IF($D109 = "SPLIT", "",COUNTIFS($D$7:$D$347,$D109,S$7:S$347,"&gt;"&amp;S109)+1)</f>
        <v>47</v>
      </c>
      <c r="AJ109" s="29">
        <f>IF($D109 = "SPLIT", "",COUNTIFS($D$7:$D$347,$D109,T$7:T$347,"&gt;"&amp;T109)+1)</f>
        <v>59</v>
      </c>
      <c r="AK109" s="29">
        <f>IF($D109 = "SPLIT", "",COUNTIFS($D$7:$D$347,$D109,X$7:X$347,"&lt;"&amp;X109)+1)</f>
        <v>72</v>
      </c>
      <c r="AL109" s="29">
        <f>IF($D109 = "SPLIT", "",COUNTIFS($D$7:$D$347,$D109,Z$7:Z$347,"&gt;"&amp;Z109)+1)</f>
        <v>75</v>
      </c>
      <c r="AM109" s="29">
        <f>IF($D109 = "SPLIT", "",COUNTIFS($D$7:$D$347,$D109,AB$7:AB$347,"&gt;"&amp;AB109)+1)</f>
        <v>62</v>
      </c>
      <c r="AN109" s="29">
        <f>IF($D109 = "SPLIT", "",COUNTIFS($D$7:$D$347,$D109,AD$7:AD$347,"&gt;"&amp;AD109)+1)</f>
        <v>93</v>
      </c>
      <c r="AO109" s="29">
        <f>IF($D109 = "SPLIT", "",COUNTIFS($D$7:$D$347,$D109,AF$7:AF$347,"&gt;"&amp;AF109)+1)</f>
        <v>80</v>
      </c>
    </row>
    <row r="110" spans="1:41" hidden="1" x14ac:dyDescent="0.25">
      <c r="A110" s="25">
        <v>540072</v>
      </c>
      <c r="B110" s="25" t="s">
        <v>210</v>
      </c>
      <c r="C110" s="25" t="s">
        <v>209</v>
      </c>
      <c r="D110" s="25" t="s">
        <v>55</v>
      </c>
      <c r="E110" s="26">
        <v>3</v>
      </c>
      <c r="F110" s="26" t="s">
        <v>119</v>
      </c>
      <c r="G110" s="26">
        <v>89</v>
      </c>
      <c r="H110" s="26">
        <v>9</v>
      </c>
      <c r="I110" s="26">
        <v>14</v>
      </c>
      <c r="J110" s="26">
        <v>19</v>
      </c>
      <c r="K110" s="26">
        <v>131</v>
      </c>
      <c r="L110" s="35">
        <v>0.67900000000000005</v>
      </c>
      <c r="M110" s="35">
        <v>6.9000000000000006E-2</v>
      </c>
      <c r="N110" s="35">
        <v>0.107</v>
      </c>
      <c r="O110" s="35">
        <v>0.14499999999999999</v>
      </c>
      <c r="P110" s="35">
        <v>0.122</v>
      </c>
      <c r="Q110" s="35">
        <v>0</v>
      </c>
      <c r="S110" s="26">
        <v>11</v>
      </c>
      <c r="T110" s="26">
        <v>0</v>
      </c>
      <c r="U110" s="26">
        <v>0</v>
      </c>
      <c r="W110" s="26">
        <v>1952.7</v>
      </c>
      <c r="X110" s="26">
        <v>1950</v>
      </c>
      <c r="Y110" s="28">
        <v>133929.79999999999</v>
      </c>
      <c r="Z110" s="28">
        <v>41400</v>
      </c>
      <c r="AA110" s="28">
        <v>46866.5</v>
      </c>
      <c r="AB110" s="28">
        <v>40400</v>
      </c>
      <c r="AC110" s="35">
        <v>0.123</v>
      </c>
      <c r="AD110" s="35">
        <v>0.105</v>
      </c>
      <c r="AE110" s="28">
        <v>5683.8</v>
      </c>
      <c r="AF110" s="28">
        <v>4165.7</v>
      </c>
      <c r="AH110" s="29">
        <f>IF($D110 = "SPLIT", "",COUNTIFS($D$7:$D$347,$D110,N$7:N$347,"&gt;"&amp;N110)+1)</f>
        <v>122</v>
      </c>
      <c r="AI110" s="29">
        <f>IF($D110 = "SPLIT", "",COUNTIFS($D$7:$D$347,$D110,S$7:S$347,"&gt;"&amp;S110)+1)</f>
        <v>91</v>
      </c>
      <c r="AJ110" s="29">
        <f>IF($D110 = "SPLIT", "",COUNTIFS($D$7:$D$347,$D110,T$7:T$347,"&gt;"&amp;T110)+1)</f>
        <v>113</v>
      </c>
      <c r="AK110" s="29">
        <f>IF($D110 = "SPLIT", "",COUNTIFS($D$7:$D$347,$D110,X$7:X$347,"&lt;"&amp;X110)+1)</f>
        <v>120</v>
      </c>
      <c r="AL110" s="29">
        <f>IF($D110 = "SPLIT", "",COUNTIFS($D$7:$D$347,$D110,Z$7:Z$347,"&gt;"&amp;Z110)+1)</f>
        <v>109</v>
      </c>
      <c r="AM110" s="29">
        <f>IF($D110 = "SPLIT", "",COUNTIFS($D$7:$D$347,$D110,AB$7:AB$347,"&gt;"&amp;AB110)+1)</f>
        <v>97</v>
      </c>
      <c r="AN110" s="29">
        <f>IF($D110 = "SPLIT", "",COUNTIFS($D$7:$D$347,$D110,AD$7:AD$347,"&gt;"&amp;AD110)+1)</f>
        <v>115</v>
      </c>
      <c r="AO110" s="29">
        <f>IF($D110 = "SPLIT", "",COUNTIFS($D$7:$D$347,$D110,AF$7:AF$347,"&gt;"&amp;AF110)+1)</f>
        <v>113</v>
      </c>
    </row>
    <row r="111" spans="1:41" hidden="1" x14ac:dyDescent="0.25">
      <c r="A111" s="25">
        <v>540073</v>
      </c>
      <c r="B111" s="25" t="s">
        <v>211</v>
      </c>
      <c r="C111" s="25" t="s">
        <v>209</v>
      </c>
      <c r="D111" s="25" t="s">
        <v>55</v>
      </c>
      <c r="E111" s="26">
        <v>3</v>
      </c>
      <c r="F111" s="26" t="s">
        <v>212</v>
      </c>
      <c r="G111" s="26">
        <v>1625</v>
      </c>
      <c r="H111" s="26">
        <v>19</v>
      </c>
      <c r="I111" s="26">
        <v>171</v>
      </c>
      <c r="J111" s="26">
        <v>50</v>
      </c>
      <c r="K111" s="26">
        <v>1865</v>
      </c>
      <c r="L111" s="35">
        <v>0.871</v>
      </c>
      <c r="M111" s="35">
        <v>0.01</v>
      </c>
      <c r="N111" s="35">
        <v>9.1999999999999998E-2</v>
      </c>
      <c r="O111" s="35">
        <v>2.7E-2</v>
      </c>
      <c r="P111" s="35">
        <v>0</v>
      </c>
      <c r="Q111" s="35">
        <v>2.4E-2</v>
      </c>
      <c r="S111" s="26">
        <v>275</v>
      </c>
      <c r="T111" s="26">
        <v>12</v>
      </c>
      <c r="U111" s="26">
        <v>8</v>
      </c>
      <c r="W111" s="26">
        <v>1944</v>
      </c>
      <c r="X111" s="26">
        <v>1940</v>
      </c>
      <c r="Y111" s="28">
        <v>331095</v>
      </c>
      <c r="Z111" s="28">
        <v>45000</v>
      </c>
      <c r="AA111" s="28">
        <v>84145.3</v>
      </c>
      <c r="AB111" s="28">
        <v>41400</v>
      </c>
      <c r="AC111" s="35">
        <v>0.14799999999999999</v>
      </c>
      <c r="AD111" s="35">
        <v>0.105</v>
      </c>
      <c r="AE111" s="28">
        <v>25004.5</v>
      </c>
      <c r="AF111" s="28">
        <v>4918.7</v>
      </c>
      <c r="AH111" s="29">
        <f>IF($D111 = "SPLIT", "",COUNTIFS($D$7:$D$347,$D111,N$7:N$347,"&gt;"&amp;N111)+1)</f>
        <v>137</v>
      </c>
      <c r="AI111" s="29">
        <f>IF($D111 = "SPLIT", "",COUNTIFS($D$7:$D$347,$D111,S$7:S$347,"&gt;"&amp;S111)+1)</f>
        <v>3</v>
      </c>
      <c r="AJ111" s="29">
        <f>IF($D111 = "SPLIT", "",COUNTIFS($D$7:$D$347,$D111,T$7:T$347,"&gt;"&amp;T111)+1)</f>
        <v>16</v>
      </c>
      <c r="AK111" s="29">
        <f>IF($D111 = "SPLIT", "",COUNTIFS($D$7:$D$347,$D111,X$7:X$347,"&lt;"&amp;X111)+1)</f>
        <v>72</v>
      </c>
      <c r="AL111" s="29">
        <f>IF($D111 = "SPLIT", "",COUNTIFS($D$7:$D$347,$D111,Z$7:Z$347,"&gt;"&amp;Z111)+1)</f>
        <v>92</v>
      </c>
      <c r="AM111" s="29">
        <f>IF($D111 = "SPLIT", "",COUNTIFS($D$7:$D$347,$D111,AB$7:AB$347,"&gt;"&amp;AB111)+1)</f>
        <v>92</v>
      </c>
      <c r="AN111" s="29">
        <f>IF($D111 = "SPLIT", "",COUNTIFS($D$7:$D$347,$D111,AD$7:AD$347,"&gt;"&amp;AD111)+1)</f>
        <v>115</v>
      </c>
      <c r="AO111" s="29">
        <f>IF($D111 = "SPLIT", "",COUNTIFS($D$7:$D$347,$D111,AF$7:AF$347,"&gt;"&amp;AF111)+1)</f>
        <v>94</v>
      </c>
    </row>
    <row r="112" spans="1:41" hidden="1" x14ac:dyDescent="0.25">
      <c r="A112" s="25">
        <v>540074</v>
      </c>
      <c r="B112" s="25" t="s">
        <v>213</v>
      </c>
      <c r="C112" s="25" t="s">
        <v>209</v>
      </c>
      <c r="D112" s="25" t="s">
        <v>55</v>
      </c>
      <c r="E112" s="26">
        <v>3</v>
      </c>
      <c r="F112" s="26" t="s">
        <v>119</v>
      </c>
      <c r="G112" s="26">
        <v>223</v>
      </c>
      <c r="H112" s="26">
        <v>21</v>
      </c>
      <c r="I112" s="26">
        <v>37</v>
      </c>
      <c r="J112" s="26">
        <v>15</v>
      </c>
      <c r="K112" s="26">
        <v>296</v>
      </c>
      <c r="L112" s="35">
        <v>0.753</v>
      </c>
      <c r="M112" s="35">
        <v>7.0999999999999994E-2</v>
      </c>
      <c r="N112" s="35">
        <v>0.125</v>
      </c>
      <c r="O112" s="35">
        <v>5.0999999999999997E-2</v>
      </c>
      <c r="P112" s="35">
        <v>3.6999999999999998E-2</v>
      </c>
      <c r="Q112" s="35">
        <v>7.0000000000000001E-3</v>
      </c>
      <c r="S112" s="26">
        <v>22</v>
      </c>
      <c r="T112" s="26">
        <v>2</v>
      </c>
      <c r="U112" s="26">
        <v>2</v>
      </c>
      <c r="W112" s="26">
        <v>1953.8</v>
      </c>
      <c r="X112" s="26">
        <v>1948</v>
      </c>
      <c r="Y112" s="28">
        <v>47297.4</v>
      </c>
      <c r="Z112" s="28">
        <v>36550</v>
      </c>
      <c r="AA112" s="28">
        <v>41796.199999999997</v>
      </c>
      <c r="AB112" s="28">
        <v>35900</v>
      </c>
      <c r="AC112" s="35">
        <v>0.127</v>
      </c>
      <c r="AD112" s="35">
        <v>0.10299999999999999</v>
      </c>
      <c r="AE112" s="28">
        <v>5384.5</v>
      </c>
      <c r="AF112" s="28">
        <v>3498.6</v>
      </c>
      <c r="AH112" s="29">
        <f>IF($D112 = "SPLIT", "",COUNTIFS($D$7:$D$347,$D112,N$7:N$347,"&gt;"&amp;N112)+1)</f>
        <v>108</v>
      </c>
      <c r="AI112" s="29">
        <f>IF($D112 = "SPLIT", "",COUNTIFS($D$7:$D$347,$D112,S$7:S$347,"&gt;"&amp;S112)+1)</f>
        <v>61</v>
      </c>
      <c r="AJ112" s="29">
        <f>IF($D112 = "SPLIT", "",COUNTIFS($D$7:$D$347,$D112,T$7:T$347,"&gt;"&amp;T112)+1)</f>
        <v>59</v>
      </c>
      <c r="AK112" s="29">
        <f>IF($D112 = "SPLIT", "",COUNTIFS($D$7:$D$347,$D112,X$7:X$347,"&lt;"&amp;X112)+1)</f>
        <v>113</v>
      </c>
      <c r="AL112" s="29">
        <f>IF($D112 = "SPLIT", "",COUNTIFS($D$7:$D$347,$D112,Z$7:Z$347,"&gt;"&amp;Z112)+1)</f>
        <v>125</v>
      </c>
      <c r="AM112" s="29">
        <f>IF($D112 = "SPLIT", "",COUNTIFS($D$7:$D$347,$D112,AB$7:AB$347,"&gt;"&amp;AB112)+1)</f>
        <v>113</v>
      </c>
      <c r="AN112" s="29">
        <f>IF($D112 = "SPLIT", "",COUNTIFS($D$7:$D$347,$D112,AD$7:AD$347,"&gt;"&amp;AD112)+1)</f>
        <v>119</v>
      </c>
      <c r="AO112" s="29">
        <f>IF($D112 = "SPLIT", "",COUNTIFS($D$7:$D$347,$D112,AF$7:AF$347,"&gt;"&amp;AF112)+1)</f>
        <v>126</v>
      </c>
    </row>
    <row r="113" spans="1:41" hidden="1" x14ac:dyDescent="0.25">
      <c r="A113" s="25">
        <v>540075</v>
      </c>
      <c r="B113" s="25" t="s">
        <v>214</v>
      </c>
      <c r="C113" s="25" t="s">
        <v>209</v>
      </c>
      <c r="D113" s="25" t="s">
        <v>55</v>
      </c>
      <c r="E113" s="26">
        <v>3</v>
      </c>
      <c r="F113" s="26" t="s">
        <v>215</v>
      </c>
      <c r="G113" s="26">
        <v>266</v>
      </c>
      <c r="H113" s="26">
        <v>7</v>
      </c>
      <c r="I113" s="26">
        <v>37</v>
      </c>
      <c r="J113" s="26">
        <v>6</v>
      </c>
      <c r="K113" s="26">
        <v>316</v>
      </c>
      <c r="L113" s="35">
        <v>0.84199999999999997</v>
      </c>
      <c r="M113" s="35">
        <v>2.1999999999999999E-2</v>
      </c>
      <c r="N113" s="35">
        <v>0.11700000000000001</v>
      </c>
      <c r="O113" s="35">
        <v>1.9E-2</v>
      </c>
      <c r="P113" s="35">
        <v>0</v>
      </c>
      <c r="Q113" s="35">
        <v>3.0000000000000001E-3</v>
      </c>
      <c r="S113" s="26">
        <v>184</v>
      </c>
      <c r="T113" s="26">
        <v>24</v>
      </c>
      <c r="U113" s="26">
        <v>17</v>
      </c>
      <c r="W113" s="26">
        <v>1944.8</v>
      </c>
      <c r="X113" s="26">
        <v>1940</v>
      </c>
      <c r="Y113" s="28">
        <v>58964.800000000003</v>
      </c>
      <c r="Z113" s="28">
        <v>43375</v>
      </c>
      <c r="AA113" s="28">
        <v>49981.8</v>
      </c>
      <c r="AB113" s="28">
        <v>43900</v>
      </c>
      <c r="AC113" s="35">
        <v>0.32800000000000001</v>
      </c>
      <c r="AD113" s="35">
        <v>0.29599999999999999</v>
      </c>
      <c r="AE113" s="28">
        <v>16478.3</v>
      </c>
      <c r="AF113" s="28">
        <v>12285.8</v>
      </c>
      <c r="AH113" s="29">
        <f>IF($D113 = "SPLIT", "",COUNTIFS($D$7:$D$347,$D113,N$7:N$347,"&gt;"&amp;N113)+1)</f>
        <v>115</v>
      </c>
      <c r="AI113" s="29">
        <f>IF($D113 = "SPLIT", "",COUNTIFS($D$7:$D$347,$D113,S$7:S$347,"&gt;"&amp;S113)+1)</f>
        <v>4</v>
      </c>
      <c r="AJ113" s="29">
        <f>IF($D113 = "SPLIT", "",COUNTIFS($D$7:$D$347,$D113,T$7:T$347,"&gt;"&amp;T113)+1)</f>
        <v>6</v>
      </c>
      <c r="AK113" s="29">
        <f>IF($D113 = "SPLIT", "",COUNTIFS($D$7:$D$347,$D113,X$7:X$347,"&lt;"&amp;X113)+1)</f>
        <v>72</v>
      </c>
      <c r="AL113" s="29">
        <f>IF($D113 = "SPLIT", "",COUNTIFS($D$7:$D$347,$D113,Z$7:Z$347,"&gt;"&amp;Z113)+1)</f>
        <v>100</v>
      </c>
      <c r="AM113" s="29">
        <f>IF($D113 = "SPLIT", "",COUNTIFS($D$7:$D$347,$D113,AB$7:AB$347,"&gt;"&amp;AB113)+1)</f>
        <v>85</v>
      </c>
      <c r="AN113" s="29">
        <f>IF($D113 = "SPLIT", "",COUNTIFS($D$7:$D$347,$D113,AD$7:AD$347,"&gt;"&amp;AD113)+1)</f>
        <v>17</v>
      </c>
      <c r="AO113" s="29">
        <f>IF($D113 = "SPLIT", "",COUNTIFS($D$7:$D$347,$D113,AF$7:AF$347,"&gt;"&amp;AF113)+1)</f>
        <v>25</v>
      </c>
    </row>
    <row r="114" spans="1:41" hidden="1" x14ac:dyDescent="0.25">
      <c r="A114" s="25">
        <v>540076</v>
      </c>
      <c r="B114" s="25" t="s">
        <v>216</v>
      </c>
      <c r="C114" s="25" t="s">
        <v>209</v>
      </c>
      <c r="D114" s="25" t="s">
        <v>55</v>
      </c>
      <c r="E114" s="26">
        <v>3</v>
      </c>
      <c r="F114" s="26" t="s">
        <v>119</v>
      </c>
      <c r="G114" s="26">
        <v>1017</v>
      </c>
      <c r="H114" s="26">
        <v>1</v>
      </c>
      <c r="I114" s="26">
        <v>48</v>
      </c>
      <c r="J114" s="26">
        <v>2</v>
      </c>
      <c r="K114" s="26">
        <v>1068</v>
      </c>
      <c r="L114" s="35">
        <v>0.95199999999999996</v>
      </c>
      <c r="M114" s="35">
        <v>1E-3</v>
      </c>
      <c r="N114" s="35">
        <v>4.4999999999999998E-2</v>
      </c>
      <c r="O114" s="35">
        <v>2E-3</v>
      </c>
      <c r="P114" s="35">
        <v>0</v>
      </c>
      <c r="Q114" s="35">
        <v>1E-3</v>
      </c>
      <c r="S114" s="26">
        <v>88</v>
      </c>
      <c r="T114" s="26">
        <v>5</v>
      </c>
      <c r="U114" s="26">
        <v>0</v>
      </c>
      <c r="W114" s="26">
        <v>1948.3</v>
      </c>
      <c r="X114" s="26">
        <v>1947</v>
      </c>
      <c r="Y114" s="28">
        <v>108514.7</v>
      </c>
      <c r="Z114" s="28">
        <v>53000</v>
      </c>
      <c r="AA114" s="28">
        <v>56941</v>
      </c>
      <c r="AB114" s="28">
        <v>51700</v>
      </c>
      <c r="AC114" s="35">
        <v>0.11899999999999999</v>
      </c>
      <c r="AD114" s="35">
        <v>0.04</v>
      </c>
      <c r="AE114" s="28">
        <v>6989.4</v>
      </c>
      <c r="AF114" s="28">
        <v>1980.6</v>
      </c>
      <c r="AH114" s="29">
        <f>IF($D114 = "SPLIT", "",COUNTIFS($D$7:$D$347,$D114,N$7:N$347,"&gt;"&amp;N114)+1)</f>
        <v>169</v>
      </c>
      <c r="AI114" s="29">
        <f>IF($D114 = "SPLIT", "",COUNTIFS($D$7:$D$347,$D114,S$7:S$347,"&gt;"&amp;S114)+1)</f>
        <v>18</v>
      </c>
      <c r="AJ114" s="29">
        <f>IF($D114 = "SPLIT", "",COUNTIFS($D$7:$D$347,$D114,T$7:T$347,"&gt;"&amp;T114)+1)</f>
        <v>33</v>
      </c>
      <c r="AK114" s="29">
        <f>IF($D114 = "SPLIT", "",COUNTIFS($D$7:$D$347,$D114,X$7:X$347,"&lt;"&amp;X114)+1)</f>
        <v>108</v>
      </c>
      <c r="AL114" s="29">
        <f>IF($D114 = "SPLIT", "",COUNTIFS($D$7:$D$347,$D114,Z$7:Z$347,"&gt;"&amp;Z114)+1)</f>
        <v>64</v>
      </c>
      <c r="AM114" s="29">
        <f>IF($D114 = "SPLIT", "",COUNTIFS($D$7:$D$347,$D114,AB$7:AB$347,"&gt;"&amp;AB114)+1)</f>
        <v>56</v>
      </c>
      <c r="AN114" s="29">
        <f>IF($D114 = "SPLIT", "",COUNTIFS($D$7:$D$347,$D114,AD$7:AD$347,"&gt;"&amp;AD114)+1)</f>
        <v>177</v>
      </c>
      <c r="AO114" s="29">
        <f>IF($D114 = "SPLIT", "",COUNTIFS($D$7:$D$347,$D114,AF$7:AF$347,"&gt;"&amp;AF114)+1)</f>
        <v>165</v>
      </c>
    </row>
    <row r="115" spans="1:41" hidden="1" x14ac:dyDescent="0.25">
      <c r="A115" s="25">
        <v>540077</v>
      </c>
      <c r="B115" s="25" t="s">
        <v>217</v>
      </c>
      <c r="C115" s="25" t="s">
        <v>209</v>
      </c>
      <c r="D115" s="25" t="s">
        <v>55</v>
      </c>
      <c r="E115" s="26">
        <v>3</v>
      </c>
      <c r="F115" s="26" t="s">
        <v>119</v>
      </c>
      <c r="G115" s="26">
        <v>70</v>
      </c>
      <c r="H115" s="26">
        <v>10</v>
      </c>
      <c r="I115" s="26">
        <v>10</v>
      </c>
      <c r="J115" s="26">
        <v>3</v>
      </c>
      <c r="K115" s="26">
        <v>93</v>
      </c>
      <c r="L115" s="35">
        <v>0.753</v>
      </c>
      <c r="M115" s="35">
        <v>0.108</v>
      </c>
      <c r="N115" s="35">
        <v>0.108</v>
      </c>
      <c r="O115" s="35">
        <v>3.2000000000000001E-2</v>
      </c>
      <c r="P115" s="35">
        <v>0</v>
      </c>
      <c r="Q115" s="35">
        <v>0</v>
      </c>
      <c r="S115" s="26">
        <v>15</v>
      </c>
      <c r="T115" s="26">
        <v>0</v>
      </c>
      <c r="U115" s="26">
        <v>0</v>
      </c>
      <c r="W115" s="26">
        <v>1960.5</v>
      </c>
      <c r="X115" s="26">
        <v>1956.5</v>
      </c>
      <c r="Y115" s="28">
        <v>167084.70000000001</v>
      </c>
      <c r="Z115" s="28">
        <v>47900</v>
      </c>
      <c r="AA115" s="28">
        <v>54180</v>
      </c>
      <c r="AB115" s="28">
        <v>47550</v>
      </c>
      <c r="AC115" s="35">
        <v>0.16600000000000001</v>
      </c>
      <c r="AD115" s="35">
        <v>0.13100000000000001</v>
      </c>
      <c r="AE115" s="28">
        <v>10441.799999999999</v>
      </c>
      <c r="AF115" s="28">
        <v>5286.2</v>
      </c>
      <c r="AH115" s="29">
        <f>IF($D115 = "SPLIT", "",COUNTIFS($D$7:$D$347,$D115,N$7:N$347,"&gt;"&amp;N115)+1)</f>
        <v>120</v>
      </c>
      <c r="AI115" s="29">
        <f>IF($D115 = "SPLIT", "",COUNTIFS($D$7:$D$347,$D115,S$7:S$347,"&gt;"&amp;S115)+1)</f>
        <v>76</v>
      </c>
      <c r="AJ115" s="29">
        <f>IF($D115 = "SPLIT", "",COUNTIFS($D$7:$D$347,$D115,T$7:T$347,"&gt;"&amp;T115)+1)</f>
        <v>113</v>
      </c>
      <c r="AK115" s="29">
        <f>IF($D115 = "SPLIT", "",COUNTIFS($D$7:$D$347,$D115,X$7:X$347,"&lt;"&amp;X115)+1)</f>
        <v>140</v>
      </c>
      <c r="AL115" s="29">
        <f>IF($D115 = "SPLIT", "",COUNTIFS($D$7:$D$347,$D115,Z$7:Z$347,"&gt;"&amp;Z115)+1)</f>
        <v>81</v>
      </c>
      <c r="AM115" s="29">
        <f>IF($D115 = "SPLIT", "",COUNTIFS($D$7:$D$347,$D115,AB$7:AB$347,"&gt;"&amp;AB115)+1)</f>
        <v>68</v>
      </c>
      <c r="AN115" s="29">
        <f>IF($D115 = "SPLIT", "",COUNTIFS($D$7:$D$347,$D115,AD$7:AD$347,"&gt;"&amp;AD115)+1)</f>
        <v>87</v>
      </c>
      <c r="AO115" s="29">
        <f>IF($D115 = "SPLIT", "",COUNTIFS($D$7:$D$347,$D115,AF$7:AF$347,"&gt;"&amp;AF115)+1)</f>
        <v>88</v>
      </c>
    </row>
    <row r="116" spans="1:41" hidden="1" x14ac:dyDescent="0.25">
      <c r="A116" s="25">
        <v>540078</v>
      </c>
      <c r="B116" s="25" t="s">
        <v>218</v>
      </c>
      <c r="C116" s="25" t="s">
        <v>209</v>
      </c>
      <c r="D116" s="25" t="s">
        <v>55</v>
      </c>
      <c r="E116" s="26">
        <v>3</v>
      </c>
      <c r="F116" s="26" t="s">
        <v>219</v>
      </c>
      <c r="G116" s="26">
        <v>60</v>
      </c>
      <c r="H116" s="26">
        <v>0</v>
      </c>
      <c r="I116" s="26">
        <v>13</v>
      </c>
      <c r="J116" s="26">
        <v>10</v>
      </c>
      <c r="K116" s="26">
        <v>83</v>
      </c>
      <c r="L116" s="35">
        <v>0.72299999999999998</v>
      </c>
      <c r="M116" s="35">
        <v>0</v>
      </c>
      <c r="N116" s="35">
        <v>0.157</v>
      </c>
      <c r="O116" s="35">
        <v>0.12</v>
      </c>
      <c r="P116" s="35">
        <v>9.6000000000000002E-2</v>
      </c>
      <c r="Q116" s="35">
        <v>1.2E-2</v>
      </c>
      <c r="S116" s="26">
        <v>41</v>
      </c>
      <c r="T116" s="26">
        <v>3</v>
      </c>
      <c r="U116" s="26">
        <v>11</v>
      </c>
      <c r="W116" s="26">
        <v>1952.9</v>
      </c>
      <c r="X116" s="26">
        <v>1948.5</v>
      </c>
      <c r="Y116" s="28">
        <v>66105.600000000006</v>
      </c>
      <c r="Z116" s="28">
        <v>47300</v>
      </c>
      <c r="AA116" s="28">
        <v>58714.3</v>
      </c>
      <c r="AB116" s="28">
        <v>47050</v>
      </c>
      <c r="AC116" s="35">
        <v>0.30199999999999999</v>
      </c>
      <c r="AD116" s="35">
        <v>0.253</v>
      </c>
      <c r="AE116" s="28">
        <v>15107.5</v>
      </c>
      <c r="AF116" s="28">
        <v>12799.2</v>
      </c>
      <c r="AH116" s="29">
        <f>IF($D116 = "SPLIT", "",COUNTIFS($D$7:$D$347,$D116,N$7:N$347,"&gt;"&amp;N116)+1)</f>
        <v>88</v>
      </c>
      <c r="AI116" s="29">
        <f>IF($D116 = "SPLIT", "",COUNTIFS($D$7:$D$347,$D116,S$7:S$347,"&gt;"&amp;S116)+1)</f>
        <v>38</v>
      </c>
      <c r="AJ116" s="29">
        <f>IF($D116 = "SPLIT", "",COUNTIFS($D$7:$D$347,$D116,T$7:T$347,"&gt;"&amp;T116)+1)</f>
        <v>45</v>
      </c>
      <c r="AK116" s="29">
        <f>IF($D116 = "SPLIT", "",COUNTIFS($D$7:$D$347,$D116,X$7:X$347,"&lt;"&amp;X116)+1)</f>
        <v>116</v>
      </c>
      <c r="AL116" s="29">
        <f>IF($D116 = "SPLIT", "",COUNTIFS($D$7:$D$347,$D116,Z$7:Z$347,"&gt;"&amp;Z116)+1)</f>
        <v>83</v>
      </c>
      <c r="AM116" s="29">
        <f>IF($D116 = "SPLIT", "",COUNTIFS($D$7:$D$347,$D116,AB$7:AB$347,"&gt;"&amp;AB116)+1)</f>
        <v>70</v>
      </c>
      <c r="AN116" s="29">
        <f>IF($D116 = "SPLIT", "",COUNTIFS($D$7:$D$347,$D116,AD$7:AD$347,"&gt;"&amp;AD116)+1)</f>
        <v>31</v>
      </c>
      <c r="AO116" s="29">
        <f>IF($D116 = "SPLIT", "",COUNTIFS($D$7:$D$347,$D116,AF$7:AF$347,"&gt;"&amp;AF116)+1)</f>
        <v>22</v>
      </c>
    </row>
    <row r="117" spans="1:41" hidden="1" x14ac:dyDescent="0.25">
      <c r="A117" s="25">
        <v>540279</v>
      </c>
      <c r="B117" s="25" t="s">
        <v>220</v>
      </c>
      <c r="C117" s="25" t="s">
        <v>209</v>
      </c>
      <c r="D117" s="25" t="s">
        <v>55</v>
      </c>
      <c r="E117" s="26">
        <v>3</v>
      </c>
      <c r="F117" s="26" t="s">
        <v>221</v>
      </c>
      <c r="G117" s="26">
        <v>14</v>
      </c>
      <c r="H117" s="26">
        <v>2</v>
      </c>
      <c r="I117" s="26">
        <v>4</v>
      </c>
      <c r="J117" s="26">
        <v>1</v>
      </c>
      <c r="K117" s="26">
        <v>21</v>
      </c>
      <c r="L117" s="35">
        <v>0.66700000000000004</v>
      </c>
      <c r="M117" s="35">
        <v>9.5000000000000001E-2</v>
      </c>
      <c r="N117" s="35">
        <v>0.19</v>
      </c>
      <c r="O117" s="35">
        <v>4.8000000000000001E-2</v>
      </c>
      <c r="P117" s="35">
        <v>4.8000000000000001E-2</v>
      </c>
      <c r="Q117" s="35">
        <v>0</v>
      </c>
      <c r="S117" s="26">
        <v>2</v>
      </c>
      <c r="T117" s="26">
        <v>1</v>
      </c>
      <c r="U117" s="26">
        <v>0</v>
      </c>
      <c r="W117" s="26">
        <v>1960</v>
      </c>
      <c r="X117" s="26">
        <v>1953</v>
      </c>
      <c r="Y117" s="28">
        <v>32738.1</v>
      </c>
      <c r="Z117" s="28">
        <v>25000</v>
      </c>
      <c r="AA117" s="28">
        <v>27963.200000000001</v>
      </c>
      <c r="AB117" s="28">
        <v>20600</v>
      </c>
      <c r="AC117" s="35">
        <v>0.25900000000000001</v>
      </c>
      <c r="AD117" s="35">
        <v>0.17100000000000001</v>
      </c>
      <c r="AE117" s="28">
        <v>4293.8999999999996</v>
      </c>
      <c r="AF117" s="28">
        <v>3752.8</v>
      </c>
      <c r="AH117" s="29">
        <f>IF($D117 = "SPLIT", "",COUNTIFS($D$7:$D$347,$D117,N$7:N$347,"&gt;"&amp;N117)+1)</f>
        <v>71</v>
      </c>
      <c r="AI117" s="29">
        <f>IF($D117 = "SPLIT", "",COUNTIFS($D$7:$D$347,$D117,S$7:S$347,"&gt;"&amp;S117)+1)</f>
        <v>141</v>
      </c>
      <c r="AJ117" s="29">
        <f>IF($D117 = "SPLIT", "",COUNTIFS($D$7:$D$347,$D117,T$7:T$347,"&gt;"&amp;T117)+1)</f>
        <v>84</v>
      </c>
      <c r="AK117" s="29">
        <f>IF($D117 = "SPLIT", "",COUNTIFS($D$7:$D$347,$D117,X$7:X$347,"&lt;"&amp;X117)+1)</f>
        <v>132</v>
      </c>
      <c r="AL117" s="29">
        <f>IF($D117 = "SPLIT", "",COUNTIFS($D$7:$D$347,$D117,Z$7:Z$347,"&gt;"&amp;Z117)+1)</f>
        <v>171</v>
      </c>
      <c r="AM117" s="29">
        <f>IF($D117 = "SPLIT", "",COUNTIFS($D$7:$D$347,$D117,AB$7:AB$347,"&gt;"&amp;AB117)+1)</f>
        <v>186</v>
      </c>
      <c r="AN117" s="29">
        <f>IF($D117 = "SPLIT", "",COUNTIFS($D$7:$D$347,$D117,AD$7:AD$347,"&gt;"&amp;AD117)+1)</f>
        <v>62</v>
      </c>
      <c r="AO117" s="29">
        <f>IF($D117 = "SPLIT", "",COUNTIFS($D$7:$D$347,$D117,AF$7:AF$347,"&gt;"&amp;AF117)+1)</f>
        <v>121</v>
      </c>
    </row>
    <row r="118" spans="1:41" hidden="1" x14ac:dyDescent="0.25">
      <c r="A118" s="30">
        <v>540070</v>
      </c>
      <c r="B118" s="30" t="s">
        <v>222</v>
      </c>
      <c r="C118" s="30" t="s">
        <v>209</v>
      </c>
      <c r="D118" s="30" t="s">
        <v>52</v>
      </c>
      <c r="E118" s="31">
        <v>3</v>
      </c>
      <c r="F118" s="31" t="s">
        <v>223</v>
      </c>
      <c r="G118" s="31">
        <v>5946</v>
      </c>
      <c r="H118" s="31">
        <v>169</v>
      </c>
      <c r="I118" s="31">
        <v>2343</v>
      </c>
      <c r="J118" s="31">
        <v>493</v>
      </c>
      <c r="K118" s="31">
        <v>8951</v>
      </c>
      <c r="L118" s="32">
        <v>0.66400000000000003</v>
      </c>
      <c r="M118" s="32">
        <v>1.9E-2</v>
      </c>
      <c r="N118" s="32">
        <v>0.26200000000000001</v>
      </c>
      <c r="O118" s="32">
        <v>5.5E-2</v>
      </c>
      <c r="P118" s="32">
        <v>4.3999999999999997E-2</v>
      </c>
      <c r="Q118" s="32">
        <v>5.0000000000000001E-3</v>
      </c>
      <c r="S118" s="31">
        <v>2419</v>
      </c>
      <c r="T118" s="31">
        <v>347</v>
      </c>
      <c r="U118" s="31">
        <v>164</v>
      </c>
      <c r="W118" s="31">
        <v>1968.2</v>
      </c>
      <c r="X118" s="31">
        <v>1968</v>
      </c>
      <c r="Y118" s="33">
        <v>72554.7</v>
      </c>
      <c r="Z118" s="33">
        <v>45600</v>
      </c>
      <c r="AA118" s="33">
        <v>54862</v>
      </c>
      <c r="AB118" s="33">
        <v>44300</v>
      </c>
      <c r="AC118" s="32">
        <v>0.27400000000000002</v>
      </c>
      <c r="AD118" s="32">
        <v>0.20399999999999999</v>
      </c>
      <c r="AE118" s="33">
        <v>13592.7</v>
      </c>
      <c r="AF118" s="33">
        <v>8596.6</v>
      </c>
      <c r="AH118" s="34">
        <f>IF($D118 = "SPLIT", "",COUNTIFS($D$7:$D$347,$D118,N$7:N$347,"&gt;"&amp;N118)+1)</f>
        <v>25</v>
      </c>
      <c r="AI118" s="34">
        <f>IF($D118 = "SPLIT", "",COUNTIFS($D$7:$D$347,$D118,S$7:S$347,"&gt;"&amp;S118)+1)</f>
        <v>1</v>
      </c>
      <c r="AJ118" s="34">
        <f>IF($D118 = "SPLIT", "",COUNTIFS($D$7:$D$347,$D118,T$7:T$347,"&gt;"&amp;T118)+1)</f>
        <v>1</v>
      </c>
      <c r="AK118" s="34">
        <f>IF($D118 = "SPLIT", "",COUNTIFS($D$7:$D$347,$D118,X$7:X$347,"&lt;"&amp;X118)+1)</f>
        <v>15</v>
      </c>
      <c r="AL118" s="34">
        <f>IF($D118 = "SPLIT", "",COUNTIFS($D$7:$D$347,$D118,Z$7:Z$347,"&gt;"&amp;Z118)+1)</f>
        <v>19</v>
      </c>
      <c r="AM118" s="34">
        <f>IF($D118 = "SPLIT", "",COUNTIFS($D$7:$D$347,$D118,AB$7:AB$347,"&gt;"&amp;AB118)+1)</f>
        <v>15</v>
      </c>
      <c r="AN118" s="34">
        <f>IF($D118 = "SPLIT", "",COUNTIFS($D$7:$D$347,$D118,AD$7:AD$347,"&gt;"&amp;AD118)+1)</f>
        <v>21</v>
      </c>
      <c r="AO118" s="34">
        <f>IF($D118 = "SPLIT", "",COUNTIFS($D$7:$D$347,$D118,AF$7:AF$347,"&gt;"&amp;AF118)+1)</f>
        <v>19</v>
      </c>
    </row>
    <row r="119" spans="1:41" hidden="1" x14ac:dyDescent="0.25">
      <c r="A119" s="25">
        <v>540079</v>
      </c>
      <c r="B119" s="25" t="s">
        <v>224</v>
      </c>
      <c r="C119" s="25" t="s">
        <v>209</v>
      </c>
      <c r="D119" s="25" t="s">
        <v>55</v>
      </c>
      <c r="E119" s="26">
        <v>3</v>
      </c>
      <c r="F119" s="26" t="s">
        <v>126</v>
      </c>
      <c r="G119" s="26">
        <v>109</v>
      </c>
      <c r="H119" s="26">
        <v>5</v>
      </c>
      <c r="I119" s="26">
        <v>7</v>
      </c>
      <c r="J119" s="26">
        <v>7</v>
      </c>
      <c r="K119" s="26">
        <v>128</v>
      </c>
      <c r="L119" s="35">
        <v>0.85199999999999998</v>
      </c>
      <c r="M119" s="35">
        <v>3.9E-2</v>
      </c>
      <c r="N119" s="35">
        <v>5.5E-2</v>
      </c>
      <c r="O119" s="35">
        <v>5.5E-2</v>
      </c>
      <c r="P119" s="35">
        <v>3.9E-2</v>
      </c>
      <c r="Q119" s="35">
        <v>0</v>
      </c>
      <c r="S119" s="26">
        <v>7</v>
      </c>
      <c r="T119" s="26">
        <v>0</v>
      </c>
      <c r="U119" s="26">
        <v>0</v>
      </c>
      <c r="W119" s="26">
        <v>1950</v>
      </c>
      <c r="X119" s="26">
        <v>1946</v>
      </c>
      <c r="Y119" s="28">
        <v>65989.3</v>
      </c>
      <c r="Z119" s="28">
        <v>52650</v>
      </c>
      <c r="AA119" s="28">
        <v>57284</v>
      </c>
      <c r="AB119" s="28">
        <v>51350</v>
      </c>
      <c r="AC119" s="35">
        <v>7.5999999999999998E-2</v>
      </c>
      <c r="AD119" s="35">
        <v>4.4999999999999998E-2</v>
      </c>
      <c r="AE119" s="28">
        <v>4783.2</v>
      </c>
      <c r="AF119" s="28">
        <v>3680.6</v>
      </c>
      <c r="AH119" s="29">
        <f>IF($D119 = "SPLIT", "",COUNTIFS($D$7:$D$347,$D119,N$7:N$347,"&gt;"&amp;N119)+1)</f>
        <v>165</v>
      </c>
      <c r="AI119" s="29">
        <f>IF($D119 = "SPLIT", "",COUNTIFS($D$7:$D$347,$D119,S$7:S$347,"&gt;"&amp;S119)+1)</f>
        <v>105</v>
      </c>
      <c r="AJ119" s="29">
        <f>IF($D119 = "SPLIT", "",COUNTIFS($D$7:$D$347,$D119,T$7:T$347,"&gt;"&amp;T119)+1)</f>
        <v>113</v>
      </c>
      <c r="AK119" s="29">
        <f>IF($D119 = "SPLIT", "",COUNTIFS($D$7:$D$347,$D119,X$7:X$347,"&lt;"&amp;X119)+1)</f>
        <v>101</v>
      </c>
      <c r="AL119" s="29">
        <f>IF($D119 = "SPLIT", "",COUNTIFS($D$7:$D$347,$D119,Z$7:Z$347,"&gt;"&amp;Z119)+1)</f>
        <v>66</v>
      </c>
      <c r="AM119" s="29">
        <f>IF($D119 = "SPLIT", "",COUNTIFS($D$7:$D$347,$D119,AB$7:AB$347,"&gt;"&amp;AB119)+1)</f>
        <v>58</v>
      </c>
      <c r="AN119" s="29">
        <f>IF($D119 = "SPLIT", "",COUNTIFS($D$7:$D$347,$D119,AD$7:AD$347,"&gt;"&amp;AD119)+1)</f>
        <v>173</v>
      </c>
      <c r="AO119" s="29">
        <f>IF($D119 = "SPLIT", "",COUNTIFS($D$7:$D$347,$D119,AF$7:AF$347,"&gt;"&amp;AF119)+1)</f>
        <v>122</v>
      </c>
    </row>
    <row r="120" spans="1:41" hidden="1" x14ac:dyDescent="0.25">
      <c r="A120" s="25">
        <v>540029</v>
      </c>
      <c r="B120" s="25" t="s">
        <v>118</v>
      </c>
      <c r="C120" s="25" t="s">
        <v>209</v>
      </c>
      <c r="D120" s="25" t="s">
        <v>88</v>
      </c>
      <c r="E120" s="26">
        <v>3</v>
      </c>
      <c r="F120" s="26" t="s">
        <v>119</v>
      </c>
      <c r="G120" s="26">
        <v>48</v>
      </c>
      <c r="H120" s="26">
        <v>0</v>
      </c>
      <c r="I120" s="26">
        <v>9</v>
      </c>
      <c r="J120" s="26">
        <v>2</v>
      </c>
      <c r="K120" s="26">
        <v>59</v>
      </c>
      <c r="L120" s="35">
        <v>0.81399999999999995</v>
      </c>
      <c r="M120" s="35">
        <v>0</v>
      </c>
      <c r="N120" s="35">
        <v>0.153</v>
      </c>
      <c r="O120" s="35">
        <v>3.4000000000000002E-2</v>
      </c>
      <c r="P120" s="35">
        <v>0</v>
      </c>
      <c r="Q120" s="35">
        <v>0</v>
      </c>
      <c r="S120" s="26">
        <v>5</v>
      </c>
      <c r="T120" s="26">
        <v>0</v>
      </c>
      <c r="U120" s="26">
        <v>0</v>
      </c>
      <c r="W120" s="26">
        <v>1948.8</v>
      </c>
      <c r="X120" s="26">
        <v>1943.5</v>
      </c>
      <c r="Y120" s="28">
        <v>69357.3</v>
      </c>
      <c r="Z120" s="28">
        <v>31200</v>
      </c>
      <c r="AA120" s="28">
        <v>32707</v>
      </c>
      <c r="AB120" s="28">
        <v>28000</v>
      </c>
      <c r="AC120" s="35">
        <v>0.13</v>
      </c>
      <c r="AD120" s="35">
        <v>0.115</v>
      </c>
      <c r="AE120" s="28">
        <v>5582.3</v>
      </c>
      <c r="AF120" s="28">
        <v>3442.6</v>
      </c>
      <c r="AH120" s="29" t="str">
        <f>IF($D120 = "SPLIT", "",COUNTIFS($D$7:$D$347,$D120,N$7:N$347,"&gt;"&amp;N120)+1)</f>
        <v/>
      </c>
      <c r="AI120" s="29" t="str">
        <f>IF($D120 = "SPLIT", "",COUNTIFS($D$7:$D$347,$D120,S$7:S$347,"&gt;"&amp;S120)+1)</f>
        <v/>
      </c>
      <c r="AJ120" s="29" t="str">
        <f>IF($D120 = "SPLIT", "",COUNTIFS($D$7:$D$347,$D120,T$7:T$347,"&gt;"&amp;T120)+1)</f>
        <v/>
      </c>
      <c r="AK120" s="29" t="str">
        <f>IF($D120 = "SPLIT", "",COUNTIFS($D$7:$D$347,$D120,X$7:X$347,"&lt;"&amp;X120)+1)</f>
        <v/>
      </c>
      <c r="AL120" s="29" t="str">
        <f>IF($D120 = "SPLIT", "",COUNTIFS($D$7:$D$347,$D120,Z$7:Z$347,"&gt;"&amp;Z120)+1)</f>
        <v/>
      </c>
      <c r="AM120" s="29" t="str">
        <f>IF($D120 = "SPLIT", "",COUNTIFS($D$7:$D$347,$D120,AB$7:AB$347,"&gt;"&amp;AB120)+1)</f>
        <v/>
      </c>
      <c r="AN120" s="29" t="str">
        <f>IF($D120 = "SPLIT", "",COUNTIFS($D$7:$D$347,$D120,AD$7:AD$347,"&gt;"&amp;AD120)+1)</f>
        <v/>
      </c>
      <c r="AO120" s="29" t="str">
        <f>IF($D120 = "SPLIT", "",COUNTIFS($D$7:$D$347,$D120,AF$7:AF$347,"&gt;"&amp;AF120)+1)</f>
        <v/>
      </c>
    </row>
    <row r="121" spans="1:41" hidden="1" x14ac:dyDescent="0.25">
      <c r="A121" s="25">
        <v>540081</v>
      </c>
      <c r="B121" s="25" t="s">
        <v>225</v>
      </c>
      <c r="C121" s="25" t="s">
        <v>209</v>
      </c>
      <c r="D121" s="25" t="s">
        <v>88</v>
      </c>
      <c r="E121" s="26">
        <v>3</v>
      </c>
      <c r="F121" s="26" t="s">
        <v>126</v>
      </c>
      <c r="G121" s="26">
        <v>564</v>
      </c>
      <c r="H121" s="26">
        <v>25</v>
      </c>
      <c r="I121" s="26">
        <v>43</v>
      </c>
      <c r="J121" s="26">
        <v>3</v>
      </c>
      <c r="K121" s="26">
        <v>635</v>
      </c>
      <c r="L121" s="35">
        <v>0.88800000000000001</v>
      </c>
      <c r="M121" s="35">
        <v>3.9E-2</v>
      </c>
      <c r="N121" s="35">
        <v>6.8000000000000005E-2</v>
      </c>
      <c r="O121" s="35">
        <v>5.0000000000000001E-3</v>
      </c>
      <c r="P121" s="35">
        <v>2E-3</v>
      </c>
      <c r="Q121" s="35">
        <v>0</v>
      </c>
      <c r="S121" s="26">
        <v>130</v>
      </c>
      <c r="T121" s="26">
        <v>6</v>
      </c>
      <c r="U121" s="26">
        <v>1</v>
      </c>
      <c r="W121" s="26">
        <v>1957.2</v>
      </c>
      <c r="X121" s="26">
        <v>1952</v>
      </c>
      <c r="Y121" s="28">
        <v>76539.199999999997</v>
      </c>
      <c r="Z121" s="28">
        <v>59900</v>
      </c>
      <c r="AA121" s="28">
        <v>71651.7</v>
      </c>
      <c r="AB121" s="28">
        <v>59500</v>
      </c>
      <c r="AC121" s="35">
        <v>0.14699999999999999</v>
      </c>
      <c r="AD121" s="35">
        <v>0.11799999999999999</v>
      </c>
      <c r="AE121" s="28">
        <v>9997.7999999999993</v>
      </c>
      <c r="AF121" s="28">
        <v>7122.2</v>
      </c>
      <c r="AH121" s="29" t="str">
        <f>IF($D121 = "SPLIT", "",COUNTIFS($D$7:$D$347,$D121,N$7:N$347,"&gt;"&amp;N121)+1)</f>
        <v/>
      </c>
      <c r="AI121" s="29" t="str">
        <f>IF($D121 = "SPLIT", "",COUNTIFS($D$7:$D$347,$D121,S$7:S$347,"&gt;"&amp;S121)+1)</f>
        <v/>
      </c>
      <c r="AJ121" s="29" t="str">
        <f>IF($D121 = "SPLIT", "",COUNTIFS($D$7:$D$347,$D121,T$7:T$347,"&gt;"&amp;T121)+1)</f>
        <v/>
      </c>
      <c r="AK121" s="29" t="str">
        <f>IF($D121 = "SPLIT", "",COUNTIFS($D$7:$D$347,$D121,X$7:X$347,"&lt;"&amp;X121)+1)</f>
        <v/>
      </c>
      <c r="AL121" s="29" t="str">
        <f>IF($D121 = "SPLIT", "",COUNTIFS($D$7:$D$347,$D121,Z$7:Z$347,"&gt;"&amp;Z121)+1)</f>
        <v/>
      </c>
      <c r="AM121" s="29" t="str">
        <f>IF($D121 = "SPLIT", "",COUNTIFS($D$7:$D$347,$D121,AB$7:AB$347,"&gt;"&amp;AB121)+1)</f>
        <v/>
      </c>
      <c r="AN121" s="29" t="str">
        <f>IF($D121 = "SPLIT", "",COUNTIFS($D$7:$D$347,$D121,AD$7:AD$347,"&gt;"&amp;AD121)+1)</f>
        <v/>
      </c>
      <c r="AO121" s="29" t="str">
        <f>IF($D121 = "SPLIT", "",COUNTIFS($D$7:$D$347,$D121,AF$7:AF$347,"&gt;"&amp;AF121)+1)</f>
        <v/>
      </c>
    </row>
    <row r="122" spans="1:41" hidden="1" x14ac:dyDescent="0.25">
      <c r="A122" s="25">
        <v>540082</v>
      </c>
      <c r="B122" s="25" t="s">
        <v>226</v>
      </c>
      <c r="C122" s="25" t="s">
        <v>209</v>
      </c>
      <c r="D122" s="25" t="s">
        <v>55</v>
      </c>
      <c r="E122" s="26">
        <v>3</v>
      </c>
      <c r="F122" s="26" t="s">
        <v>227</v>
      </c>
      <c r="G122" s="26">
        <v>28</v>
      </c>
      <c r="H122" s="26">
        <v>0</v>
      </c>
      <c r="I122" s="26">
        <v>3</v>
      </c>
      <c r="J122" s="26">
        <v>10</v>
      </c>
      <c r="K122" s="26">
        <v>41</v>
      </c>
      <c r="L122" s="35">
        <v>0.68300000000000005</v>
      </c>
      <c r="M122" s="35">
        <v>0</v>
      </c>
      <c r="N122" s="35">
        <v>7.2999999999999995E-2</v>
      </c>
      <c r="O122" s="35">
        <v>0.24399999999999999</v>
      </c>
      <c r="P122" s="35">
        <v>0.24399999999999999</v>
      </c>
      <c r="Q122" s="35">
        <v>0</v>
      </c>
      <c r="S122" s="26">
        <v>21</v>
      </c>
      <c r="T122" s="26">
        <v>3</v>
      </c>
      <c r="U122" s="26">
        <v>7</v>
      </c>
      <c r="W122" s="26">
        <v>1964.9</v>
      </c>
      <c r="X122" s="26">
        <v>1963</v>
      </c>
      <c r="Y122" s="28">
        <v>60678</v>
      </c>
      <c r="Z122" s="28">
        <v>55500</v>
      </c>
      <c r="AA122" s="28">
        <v>55195</v>
      </c>
      <c r="AB122" s="28">
        <v>55300</v>
      </c>
      <c r="AC122" s="35">
        <v>0.435</v>
      </c>
      <c r="AD122" s="35">
        <v>0.41</v>
      </c>
      <c r="AE122" s="28">
        <v>16283.6</v>
      </c>
      <c r="AF122" s="28">
        <v>14600</v>
      </c>
      <c r="AH122" s="29">
        <f>IF($D122 = "SPLIT", "",COUNTIFS($D$7:$D$347,$D122,N$7:N$347,"&gt;"&amp;N122)+1)</f>
        <v>152</v>
      </c>
      <c r="AI122" s="29">
        <f>IF($D122 = "SPLIT", "",COUNTIFS($D$7:$D$347,$D122,S$7:S$347,"&gt;"&amp;S122)+1)</f>
        <v>63</v>
      </c>
      <c r="AJ122" s="29">
        <f>IF($D122 = "SPLIT", "",COUNTIFS($D$7:$D$347,$D122,T$7:T$347,"&gt;"&amp;T122)+1)</f>
        <v>45</v>
      </c>
      <c r="AK122" s="29">
        <f>IF($D122 = "SPLIT", "",COUNTIFS($D$7:$D$347,$D122,X$7:X$347,"&lt;"&amp;X122)+1)</f>
        <v>152</v>
      </c>
      <c r="AL122" s="29">
        <f>IF($D122 = "SPLIT", "",COUNTIFS($D$7:$D$347,$D122,Z$7:Z$347,"&gt;"&amp;Z122)+1)</f>
        <v>58</v>
      </c>
      <c r="AM122" s="29">
        <f>IF($D122 = "SPLIT", "",COUNTIFS($D$7:$D$347,$D122,AB$7:AB$347,"&gt;"&amp;AB122)+1)</f>
        <v>48</v>
      </c>
      <c r="AN122" s="29">
        <f>IF($D122 = "SPLIT", "",COUNTIFS($D$7:$D$347,$D122,AD$7:AD$347,"&gt;"&amp;AD122)+1)</f>
        <v>9</v>
      </c>
      <c r="AO122" s="29">
        <f>IF($D122 = "SPLIT", "",COUNTIFS($D$7:$D$347,$D122,AF$7:AF$347,"&gt;"&amp;AF122)+1)</f>
        <v>16</v>
      </c>
    </row>
    <row r="123" spans="1:41" hidden="1" x14ac:dyDescent="0.25">
      <c r="A123" s="25">
        <v>540033</v>
      </c>
      <c r="B123" s="25" t="s">
        <v>125</v>
      </c>
      <c r="C123" s="25" t="s">
        <v>209</v>
      </c>
      <c r="D123" s="25" t="s">
        <v>88</v>
      </c>
      <c r="E123" s="26">
        <v>3</v>
      </c>
      <c r="F123" s="26" t="s">
        <v>126</v>
      </c>
      <c r="G123" s="26">
        <v>0</v>
      </c>
      <c r="H123" s="26">
        <v>0</v>
      </c>
      <c r="I123" s="26">
        <v>0</v>
      </c>
      <c r="J123" s="26">
        <v>0</v>
      </c>
      <c r="K123" s="26">
        <v>0</v>
      </c>
      <c r="L123" s="35" t="s">
        <v>228</v>
      </c>
      <c r="M123" s="35" t="s">
        <v>228</v>
      </c>
      <c r="N123" s="35" t="s">
        <v>228</v>
      </c>
      <c r="O123" s="35" t="s">
        <v>228</v>
      </c>
      <c r="P123" s="35" t="s">
        <v>228</v>
      </c>
      <c r="Q123" s="35" t="s">
        <v>228</v>
      </c>
      <c r="S123" s="26">
        <v>0</v>
      </c>
      <c r="T123" s="26">
        <v>0</v>
      </c>
      <c r="U123" s="26">
        <v>0</v>
      </c>
      <c r="W123" s="26">
        <v>0</v>
      </c>
      <c r="X123" s="26">
        <v>0</v>
      </c>
      <c r="Y123" s="28">
        <v>0</v>
      </c>
      <c r="Z123" s="28">
        <v>0</v>
      </c>
      <c r="AA123" s="28">
        <v>0</v>
      </c>
      <c r="AB123" s="28">
        <v>0</v>
      </c>
      <c r="AC123" s="35">
        <v>0</v>
      </c>
      <c r="AD123" s="35">
        <v>0</v>
      </c>
      <c r="AE123" s="28">
        <v>0</v>
      </c>
      <c r="AF123" s="28">
        <v>0</v>
      </c>
      <c r="AH123" s="29" t="str">
        <f>IF($D123 = "SPLIT", "",COUNTIFS($D$7:$D$347,$D123,N$7:N$347,"&gt;"&amp;N123)+1)</f>
        <v/>
      </c>
      <c r="AI123" s="29" t="str">
        <f>IF($D123 = "SPLIT", "",COUNTIFS($D$7:$D$347,$D123,S$7:S$347,"&gt;"&amp;S123)+1)</f>
        <v/>
      </c>
      <c r="AJ123" s="29" t="str">
        <f>IF($D123 = "SPLIT", "",COUNTIFS($D$7:$D$347,$D123,T$7:T$347,"&gt;"&amp;T123)+1)</f>
        <v/>
      </c>
      <c r="AK123" s="29" t="str">
        <f>IF($D123 = "SPLIT", "",COUNTIFS($D$7:$D$347,$D123,X$7:X$347,"&lt;"&amp;X123)+1)</f>
        <v/>
      </c>
      <c r="AL123" s="29" t="str">
        <f>IF($D123 = "SPLIT", "",COUNTIFS($D$7:$D$347,$D123,Z$7:Z$347,"&gt;"&amp;Z123)+1)</f>
        <v/>
      </c>
      <c r="AM123" s="29" t="str">
        <f>IF($D123 = "SPLIT", "",COUNTIFS($D$7:$D$347,$D123,AB$7:AB$347,"&gt;"&amp;AB123)+1)</f>
        <v/>
      </c>
      <c r="AN123" s="29" t="str">
        <f>IF($D123 = "SPLIT", "",COUNTIFS($D$7:$D$347,$D123,AD$7:AD$347,"&gt;"&amp;AD123)+1)</f>
        <v/>
      </c>
      <c r="AO123" s="29" t="str">
        <f>IF($D123 = "SPLIT", "",COUNTIFS($D$7:$D$347,$D123,AF$7:AF$347,"&gt;"&amp;AF123)+1)</f>
        <v/>
      </c>
    </row>
    <row r="124" spans="1:41" hidden="1" x14ac:dyDescent="0.25">
      <c r="A124" s="25">
        <v>540223</v>
      </c>
      <c r="B124" s="25" t="s">
        <v>229</v>
      </c>
      <c r="C124" s="25" t="s">
        <v>209</v>
      </c>
      <c r="D124" s="25" t="s">
        <v>55</v>
      </c>
      <c r="E124" s="26">
        <v>3</v>
      </c>
      <c r="F124" s="26" t="s">
        <v>219</v>
      </c>
      <c r="G124" s="26">
        <v>340</v>
      </c>
      <c r="H124" s="26">
        <v>2</v>
      </c>
      <c r="I124" s="26">
        <v>41</v>
      </c>
      <c r="J124" s="26">
        <v>3</v>
      </c>
      <c r="K124" s="26">
        <v>386</v>
      </c>
      <c r="L124" s="35">
        <v>0.88100000000000001</v>
      </c>
      <c r="M124" s="35">
        <v>5.0000000000000001E-3</v>
      </c>
      <c r="N124" s="35">
        <v>0.106</v>
      </c>
      <c r="O124" s="35">
        <v>8.0000000000000002E-3</v>
      </c>
      <c r="P124" s="35">
        <v>0</v>
      </c>
      <c r="Q124" s="35">
        <v>5.0000000000000001E-3</v>
      </c>
      <c r="S124" s="26">
        <v>167</v>
      </c>
      <c r="T124" s="26">
        <v>11</v>
      </c>
      <c r="U124" s="26">
        <v>2</v>
      </c>
      <c r="W124" s="26">
        <v>1951.6</v>
      </c>
      <c r="X124" s="26">
        <v>1946</v>
      </c>
      <c r="Y124" s="28">
        <v>114970.1</v>
      </c>
      <c r="Z124" s="28">
        <v>69700</v>
      </c>
      <c r="AA124" s="28">
        <v>82433.600000000006</v>
      </c>
      <c r="AB124" s="28">
        <v>67850</v>
      </c>
      <c r="AC124" s="35">
        <v>0.23400000000000001</v>
      </c>
      <c r="AD124" s="35">
        <v>0.189</v>
      </c>
      <c r="AE124" s="28">
        <v>21287.4</v>
      </c>
      <c r="AF124" s="28">
        <v>13909.5</v>
      </c>
      <c r="AH124" s="29">
        <f>IF($D124 = "SPLIT", "",COUNTIFS($D$7:$D$347,$D124,N$7:N$347,"&gt;"&amp;N124)+1)</f>
        <v>125</v>
      </c>
      <c r="AI124" s="29">
        <f>IF($D124 = "SPLIT", "",COUNTIFS($D$7:$D$347,$D124,S$7:S$347,"&gt;"&amp;S124)+1)</f>
        <v>6</v>
      </c>
      <c r="AJ124" s="29">
        <f>IF($D124 = "SPLIT", "",COUNTIFS($D$7:$D$347,$D124,T$7:T$347,"&gt;"&amp;T124)+1)</f>
        <v>20</v>
      </c>
      <c r="AK124" s="29">
        <f>IF($D124 = "SPLIT", "",COUNTIFS($D$7:$D$347,$D124,X$7:X$347,"&lt;"&amp;X124)+1)</f>
        <v>101</v>
      </c>
      <c r="AL124" s="29">
        <f>IF($D124 = "SPLIT", "",COUNTIFS($D$7:$D$347,$D124,Z$7:Z$347,"&gt;"&amp;Z124)+1)</f>
        <v>32</v>
      </c>
      <c r="AM124" s="29">
        <f>IF($D124 = "SPLIT", "",COUNTIFS($D$7:$D$347,$D124,AB$7:AB$347,"&gt;"&amp;AB124)+1)</f>
        <v>22</v>
      </c>
      <c r="AN124" s="29">
        <f>IF($D124 = "SPLIT", "",COUNTIFS($D$7:$D$347,$D124,AD$7:AD$347,"&gt;"&amp;AD124)+1)</f>
        <v>55</v>
      </c>
      <c r="AO124" s="29">
        <f>IF($D124 = "SPLIT", "",COUNTIFS($D$7:$D$347,$D124,AF$7:AF$347,"&gt;"&amp;AF124)+1)</f>
        <v>19</v>
      </c>
    </row>
    <row r="125" spans="1:41" hidden="1" x14ac:dyDescent="0.25">
      <c r="A125" s="25">
        <v>540083</v>
      </c>
      <c r="B125" s="25" t="s">
        <v>230</v>
      </c>
      <c r="C125" s="25" t="s">
        <v>209</v>
      </c>
      <c r="D125" s="25" t="s">
        <v>55</v>
      </c>
      <c r="E125" s="26">
        <v>3</v>
      </c>
      <c r="F125" s="26" t="s">
        <v>219</v>
      </c>
      <c r="G125" s="26">
        <v>623</v>
      </c>
      <c r="H125" s="26">
        <v>36</v>
      </c>
      <c r="I125" s="26">
        <v>20</v>
      </c>
      <c r="J125" s="26">
        <v>1</v>
      </c>
      <c r="K125" s="26">
        <v>680</v>
      </c>
      <c r="L125" s="35">
        <v>0.91600000000000004</v>
      </c>
      <c r="M125" s="35">
        <v>5.2999999999999999E-2</v>
      </c>
      <c r="N125" s="35">
        <v>2.9000000000000001E-2</v>
      </c>
      <c r="O125" s="35">
        <v>1E-3</v>
      </c>
      <c r="P125" s="35">
        <v>0</v>
      </c>
      <c r="Q125" s="35">
        <v>1E-3</v>
      </c>
      <c r="S125" s="26">
        <v>110</v>
      </c>
      <c r="T125" s="26">
        <v>3</v>
      </c>
      <c r="U125" s="26">
        <v>0</v>
      </c>
      <c r="W125" s="26">
        <v>1957.2</v>
      </c>
      <c r="X125" s="26">
        <v>1955</v>
      </c>
      <c r="Y125" s="28">
        <v>137015.6</v>
      </c>
      <c r="Z125" s="28">
        <v>64800</v>
      </c>
      <c r="AA125" s="28">
        <v>73159.199999999997</v>
      </c>
      <c r="AB125" s="28">
        <v>63700</v>
      </c>
      <c r="AC125" s="35">
        <v>0.10299999999999999</v>
      </c>
      <c r="AD125" s="35">
        <v>6.5000000000000002E-2</v>
      </c>
      <c r="AE125" s="28">
        <v>9235.7000000000007</v>
      </c>
      <c r="AF125" s="28">
        <v>4302.8999999999996</v>
      </c>
      <c r="AH125" s="29">
        <f>IF($D125 = "SPLIT", "",COUNTIFS($D$7:$D$347,$D125,N$7:N$347,"&gt;"&amp;N125)+1)</f>
        <v>179</v>
      </c>
      <c r="AI125" s="29">
        <f>IF($D125 = "SPLIT", "",COUNTIFS($D$7:$D$347,$D125,S$7:S$347,"&gt;"&amp;S125)+1)</f>
        <v>10</v>
      </c>
      <c r="AJ125" s="29">
        <f>IF($D125 = "SPLIT", "",COUNTIFS($D$7:$D$347,$D125,T$7:T$347,"&gt;"&amp;T125)+1)</f>
        <v>45</v>
      </c>
      <c r="AK125" s="29">
        <f>IF($D125 = "SPLIT", "",COUNTIFS($D$7:$D$347,$D125,X$7:X$347,"&lt;"&amp;X125)+1)</f>
        <v>134</v>
      </c>
      <c r="AL125" s="29">
        <f>IF($D125 = "SPLIT", "",COUNTIFS($D$7:$D$347,$D125,Z$7:Z$347,"&gt;"&amp;Z125)+1)</f>
        <v>44</v>
      </c>
      <c r="AM125" s="29">
        <f>IF($D125 = "SPLIT", "",COUNTIFS($D$7:$D$347,$D125,AB$7:AB$347,"&gt;"&amp;AB125)+1)</f>
        <v>33</v>
      </c>
      <c r="AN125" s="29">
        <f>IF($D125 = "SPLIT", "",COUNTIFS($D$7:$D$347,$D125,AD$7:AD$347,"&gt;"&amp;AD125)+1)</f>
        <v>153</v>
      </c>
      <c r="AO125" s="29">
        <f>IF($D125 = "SPLIT", "",COUNTIFS($D$7:$D$347,$D125,AF$7:AF$347,"&gt;"&amp;AF125)+1)</f>
        <v>108</v>
      </c>
    </row>
    <row r="126" spans="1:41" hidden="1" x14ac:dyDescent="0.25">
      <c r="A126" s="160"/>
      <c r="B126" s="160"/>
      <c r="C126" s="160" t="s">
        <v>209</v>
      </c>
      <c r="D126" s="160" t="s">
        <v>2</v>
      </c>
      <c r="E126" s="161">
        <v>3</v>
      </c>
      <c r="F126" s="161"/>
      <c r="G126" s="161">
        <v>11173</v>
      </c>
      <c r="H126" s="161">
        <v>307</v>
      </c>
      <c r="I126" s="161">
        <v>2806</v>
      </c>
      <c r="J126" s="161">
        <v>627</v>
      </c>
      <c r="K126" s="161">
        <v>14913</v>
      </c>
      <c r="L126" s="162">
        <v>0.749</v>
      </c>
      <c r="M126" s="162">
        <v>2.1000000000000001E-2</v>
      </c>
      <c r="N126" s="162">
        <v>0.188</v>
      </c>
      <c r="O126" s="162">
        <v>4.2000000000000003E-2</v>
      </c>
      <c r="P126" s="162">
        <v>0.03</v>
      </c>
      <c r="Q126" s="162">
        <v>7.0000000000000001E-3</v>
      </c>
      <c r="S126" s="161">
        <v>3529</v>
      </c>
      <c r="T126" s="161">
        <v>419</v>
      </c>
      <c r="U126" s="161">
        <v>212</v>
      </c>
      <c r="W126" s="161">
        <v>1960.5</v>
      </c>
      <c r="X126" s="161">
        <v>1955</v>
      </c>
      <c r="Y126" s="163">
        <v>111971.7</v>
      </c>
      <c r="Z126" s="163">
        <v>49300</v>
      </c>
      <c r="AA126" s="163">
        <v>63804.7</v>
      </c>
      <c r="AB126" s="163">
        <v>53600</v>
      </c>
      <c r="AC126" s="162">
        <v>0.23200000000000001</v>
      </c>
      <c r="AD126" s="162">
        <v>0.16300000000000001</v>
      </c>
      <c r="AE126" s="163">
        <v>14202.8</v>
      </c>
      <c r="AF126" s="163">
        <v>7437</v>
      </c>
      <c r="AH126" s="164">
        <f>IF($D126 = "SPLIT", "",COUNTIFS($D$7:$D$347,$D126,N$7:N$347,"&gt;"&amp;N126)+1)</f>
        <v>35</v>
      </c>
      <c r="AI126" s="164">
        <f>IF($D126 = "SPLIT", "",COUNTIFS($D$7:$D$347,$D126,S$7:S$347,"&gt;"&amp;S126)+1)</f>
        <v>1</v>
      </c>
      <c r="AJ126" s="164">
        <f>IF($D126 = "SPLIT", "",COUNTIFS($D$7:$D$347,$D126,T$7:T$347,"&gt;"&amp;T126)+1)</f>
        <v>1</v>
      </c>
      <c r="AK126" s="164">
        <f>IF($D126 = "SPLIT", "",COUNTIFS($D$7:$D$347,$D126,X$7:X$347,"&lt;"&amp;X126)+1)</f>
        <v>11</v>
      </c>
      <c r="AL126" s="164">
        <f>IF($D126 = "SPLIT", "",COUNTIFS($D$7:$D$347,$D126,Z$7:Z$347,"&gt;"&amp;Z126)+1)</f>
        <v>16</v>
      </c>
      <c r="AM126" s="164">
        <f>IF($D126 = "SPLIT", "",COUNTIFS($D$7:$D$347,$D126,AB$7:AB$347,"&gt;"&amp;AB126)+1)</f>
        <v>19</v>
      </c>
      <c r="AN126" s="164">
        <f>IF($D126 = "SPLIT", "",COUNTIFS($D$7:$D$347,$D126,AD$7:AD$347,"&gt;"&amp;AD126)+1)</f>
        <v>25</v>
      </c>
      <c r="AO126" s="164">
        <f>IF($D126 = "SPLIT", "",COUNTIFS($D$7:$D$347,$D126,AF$7:AF$347,"&gt;"&amp;AF126)+1)</f>
        <v>19</v>
      </c>
    </row>
    <row r="127" spans="1:41" hidden="1" x14ac:dyDescent="0.25">
      <c r="A127" s="25">
        <v>540086</v>
      </c>
      <c r="B127" s="25" t="s">
        <v>231</v>
      </c>
      <c r="C127" s="25" t="s">
        <v>232</v>
      </c>
      <c r="D127" s="25" t="s">
        <v>55</v>
      </c>
      <c r="E127" s="26">
        <v>7</v>
      </c>
      <c r="F127" s="26" t="s">
        <v>141</v>
      </c>
      <c r="G127" s="26">
        <v>18</v>
      </c>
      <c r="H127" s="26">
        <v>0</v>
      </c>
      <c r="I127" s="26">
        <v>11</v>
      </c>
      <c r="J127" s="26">
        <v>3</v>
      </c>
      <c r="K127" s="26">
        <v>32</v>
      </c>
      <c r="L127" s="35">
        <v>0.56299999999999994</v>
      </c>
      <c r="M127" s="35">
        <v>0</v>
      </c>
      <c r="N127" s="35">
        <v>0.34399999999999997</v>
      </c>
      <c r="O127" s="35">
        <v>9.4E-2</v>
      </c>
      <c r="P127" s="35">
        <v>6.3E-2</v>
      </c>
      <c r="Q127" s="35">
        <v>0</v>
      </c>
      <c r="S127" s="26">
        <v>12</v>
      </c>
      <c r="T127" s="26">
        <v>5</v>
      </c>
      <c r="U127" s="26">
        <v>0</v>
      </c>
      <c r="W127" s="26">
        <v>1952.4</v>
      </c>
      <c r="X127" s="26">
        <v>1938</v>
      </c>
      <c r="Y127" s="28">
        <v>81408.2</v>
      </c>
      <c r="Z127" s="28">
        <v>58450</v>
      </c>
      <c r="AA127" s="28">
        <v>51605.8</v>
      </c>
      <c r="AB127" s="28">
        <v>41300</v>
      </c>
      <c r="AC127" s="35">
        <v>0.249</v>
      </c>
      <c r="AD127" s="35">
        <v>0.19</v>
      </c>
      <c r="AE127" s="28">
        <v>15541.2</v>
      </c>
      <c r="AF127" s="28">
        <v>10459.5</v>
      </c>
      <c r="AH127" s="29">
        <f>IF($D127 = "SPLIT", "",COUNTIFS($D$7:$D$347,$D127,N$7:N$347,"&gt;"&amp;N127)+1)</f>
        <v>27</v>
      </c>
      <c r="AI127" s="29">
        <f>IF($D127 = "SPLIT", "",COUNTIFS($D$7:$D$347,$D127,S$7:S$347,"&gt;"&amp;S127)+1)</f>
        <v>84</v>
      </c>
      <c r="AJ127" s="29">
        <f>IF($D127 = "SPLIT", "",COUNTIFS($D$7:$D$347,$D127,T$7:T$347,"&gt;"&amp;T127)+1)</f>
        <v>33</v>
      </c>
      <c r="AK127" s="29">
        <f>IF($D127 = "SPLIT", "",COUNTIFS($D$7:$D$347,$D127,X$7:X$347,"&lt;"&amp;X127)+1)</f>
        <v>68</v>
      </c>
      <c r="AL127" s="29">
        <f>IF($D127 = "SPLIT", "",COUNTIFS($D$7:$D$347,$D127,Z$7:Z$347,"&gt;"&amp;Z127)+1)</f>
        <v>52</v>
      </c>
      <c r="AM127" s="29">
        <f>IF($D127 = "SPLIT", "",COUNTIFS($D$7:$D$347,$D127,AB$7:AB$347,"&gt;"&amp;AB127)+1)</f>
        <v>93</v>
      </c>
      <c r="AN127" s="29">
        <f>IF($D127 = "SPLIT", "",COUNTIFS($D$7:$D$347,$D127,AD$7:AD$347,"&gt;"&amp;AD127)+1)</f>
        <v>53</v>
      </c>
      <c r="AO127" s="29">
        <f>IF($D127 = "SPLIT", "",COUNTIFS($D$7:$D$347,$D127,AF$7:AF$347,"&gt;"&amp;AF127)+1)</f>
        <v>31</v>
      </c>
    </row>
    <row r="128" spans="1:41" hidden="1" x14ac:dyDescent="0.25">
      <c r="A128" s="30">
        <v>540085</v>
      </c>
      <c r="B128" s="30" t="s">
        <v>233</v>
      </c>
      <c r="C128" s="30" t="s">
        <v>232</v>
      </c>
      <c r="D128" s="30" t="s">
        <v>52</v>
      </c>
      <c r="E128" s="31">
        <v>7</v>
      </c>
      <c r="F128" s="31" t="s">
        <v>53</v>
      </c>
      <c r="G128" s="31">
        <v>449</v>
      </c>
      <c r="H128" s="31">
        <v>1</v>
      </c>
      <c r="I128" s="31">
        <v>160</v>
      </c>
      <c r="J128" s="31">
        <v>70</v>
      </c>
      <c r="K128" s="31">
        <v>680</v>
      </c>
      <c r="L128" s="32">
        <v>0.66</v>
      </c>
      <c r="M128" s="32">
        <v>1E-3</v>
      </c>
      <c r="N128" s="32">
        <v>0.23499999999999999</v>
      </c>
      <c r="O128" s="32">
        <v>0.10299999999999999</v>
      </c>
      <c r="P128" s="32">
        <v>6.6000000000000003E-2</v>
      </c>
      <c r="Q128" s="32">
        <v>7.0000000000000001E-3</v>
      </c>
      <c r="S128" s="31">
        <v>79</v>
      </c>
      <c r="T128" s="31">
        <v>14</v>
      </c>
      <c r="U128" s="31">
        <v>4</v>
      </c>
      <c r="W128" s="31">
        <v>1964.9</v>
      </c>
      <c r="X128" s="31">
        <v>1972</v>
      </c>
      <c r="Y128" s="33">
        <v>91168.5</v>
      </c>
      <c r="Z128" s="33">
        <v>48900</v>
      </c>
      <c r="AA128" s="33">
        <v>67946.100000000006</v>
      </c>
      <c r="AB128" s="33">
        <v>41750</v>
      </c>
      <c r="AC128" s="32">
        <v>0.214</v>
      </c>
      <c r="AD128" s="32">
        <v>0.14000000000000001</v>
      </c>
      <c r="AE128" s="33">
        <v>18231.400000000001</v>
      </c>
      <c r="AF128" s="33">
        <v>10454</v>
      </c>
      <c r="AH128" s="34">
        <f>IF($D128 = "SPLIT", "",COUNTIFS($D$7:$D$347,$D128,N$7:N$347,"&gt;"&amp;N128)+1)</f>
        <v>32</v>
      </c>
      <c r="AI128" s="34">
        <f>IF($D128 = "SPLIT", "",COUNTIFS($D$7:$D$347,$D128,S$7:S$347,"&gt;"&amp;S128)+1)</f>
        <v>40</v>
      </c>
      <c r="AJ128" s="34">
        <f>IF($D128 = "SPLIT", "",COUNTIFS($D$7:$D$347,$D128,T$7:T$347,"&gt;"&amp;T128)+1)</f>
        <v>37</v>
      </c>
      <c r="AK128" s="34">
        <f>IF($D128 = "SPLIT", "",COUNTIFS($D$7:$D$347,$D128,X$7:X$347,"&lt;"&amp;X128)+1)</f>
        <v>28</v>
      </c>
      <c r="AL128" s="34">
        <f>IF($D128 = "SPLIT", "",COUNTIFS($D$7:$D$347,$D128,Z$7:Z$347,"&gt;"&amp;Z128)+1)</f>
        <v>15</v>
      </c>
      <c r="AM128" s="34">
        <f>IF($D128 = "SPLIT", "",COUNTIFS($D$7:$D$347,$D128,AB$7:AB$347,"&gt;"&amp;AB128)+1)</f>
        <v>21</v>
      </c>
      <c r="AN128" s="34">
        <f>IF($D128 = "SPLIT", "",COUNTIFS($D$7:$D$347,$D128,AD$7:AD$347,"&gt;"&amp;AD128)+1)</f>
        <v>40</v>
      </c>
      <c r="AO128" s="34">
        <f>IF($D128 = "SPLIT", "",COUNTIFS($D$7:$D$347,$D128,AF$7:AF$347,"&gt;"&amp;AF128)+1)</f>
        <v>11</v>
      </c>
    </row>
    <row r="129" spans="1:41" hidden="1" x14ac:dyDescent="0.25">
      <c r="A129" s="25">
        <v>540087</v>
      </c>
      <c r="B129" s="25" t="s">
        <v>234</v>
      </c>
      <c r="C129" s="25" t="s">
        <v>232</v>
      </c>
      <c r="D129" s="25" t="s">
        <v>55</v>
      </c>
      <c r="E129" s="26">
        <v>7</v>
      </c>
      <c r="F129" s="26" t="s">
        <v>126</v>
      </c>
      <c r="G129" s="26">
        <v>295</v>
      </c>
      <c r="H129" s="26">
        <v>0</v>
      </c>
      <c r="I129" s="26">
        <v>36</v>
      </c>
      <c r="J129" s="26">
        <v>7</v>
      </c>
      <c r="K129" s="26">
        <v>338</v>
      </c>
      <c r="L129" s="35">
        <v>0.873</v>
      </c>
      <c r="M129" s="35">
        <v>0</v>
      </c>
      <c r="N129" s="35">
        <v>0.107</v>
      </c>
      <c r="O129" s="35">
        <v>2.1000000000000001E-2</v>
      </c>
      <c r="P129" s="35">
        <v>6.0000000000000001E-3</v>
      </c>
      <c r="Q129" s="35">
        <v>1.2E-2</v>
      </c>
      <c r="S129" s="26">
        <v>14</v>
      </c>
      <c r="T129" s="26">
        <v>1</v>
      </c>
      <c r="U129" s="26">
        <v>0</v>
      </c>
      <c r="W129" s="26">
        <v>1932.4</v>
      </c>
      <c r="X129" s="26">
        <v>1920</v>
      </c>
      <c r="Y129" s="28">
        <v>91672</v>
      </c>
      <c r="Z129" s="28">
        <v>43000</v>
      </c>
      <c r="AA129" s="28">
        <v>54682.6</v>
      </c>
      <c r="AB129" s="28">
        <v>38850</v>
      </c>
      <c r="AC129" s="35">
        <v>8.5000000000000006E-2</v>
      </c>
      <c r="AD129" s="35">
        <v>5.5E-2</v>
      </c>
      <c r="AE129" s="28">
        <v>6105.6</v>
      </c>
      <c r="AF129" s="28">
        <v>2056.4</v>
      </c>
      <c r="AH129" s="29">
        <f>IF($D129 = "SPLIT", "",COUNTIFS($D$7:$D$347,$D129,N$7:N$347,"&gt;"&amp;N129)+1)</f>
        <v>122</v>
      </c>
      <c r="AI129" s="29">
        <f>IF($D129 = "SPLIT", "",COUNTIFS($D$7:$D$347,$D129,S$7:S$347,"&gt;"&amp;S129)+1)</f>
        <v>77</v>
      </c>
      <c r="AJ129" s="29">
        <f>IF($D129 = "SPLIT", "",COUNTIFS($D$7:$D$347,$D129,T$7:T$347,"&gt;"&amp;T129)+1)</f>
        <v>84</v>
      </c>
      <c r="AK129" s="29">
        <f>IF($D129 = "SPLIT", "",COUNTIFS($D$7:$D$347,$D129,X$7:X$347,"&lt;"&amp;X129)+1)</f>
        <v>21</v>
      </c>
      <c r="AL129" s="29">
        <f>IF($D129 = "SPLIT", "",COUNTIFS($D$7:$D$347,$D129,Z$7:Z$347,"&gt;"&amp;Z129)+1)</f>
        <v>101</v>
      </c>
      <c r="AM129" s="29">
        <f>IF($D129 = "SPLIT", "",COUNTIFS($D$7:$D$347,$D129,AB$7:AB$347,"&gt;"&amp;AB129)+1)</f>
        <v>104</v>
      </c>
      <c r="AN129" s="29">
        <f>IF($D129 = "SPLIT", "",COUNTIFS($D$7:$D$347,$D129,AD$7:AD$347,"&gt;"&amp;AD129)+1)</f>
        <v>160</v>
      </c>
      <c r="AO129" s="29">
        <f>IF($D129 = "SPLIT", "",COUNTIFS($D$7:$D$347,$D129,AF$7:AF$347,"&gt;"&amp;AF129)+1)</f>
        <v>162</v>
      </c>
    </row>
    <row r="130" spans="1:41" hidden="1" x14ac:dyDescent="0.25">
      <c r="A130" s="160"/>
      <c r="B130" s="160"/>
      <c r="C130" s="160" t="s">
        <v>232</v>
      </c>
      <c r="D130" s="160" t="s">
        <v>2</v>
      </c>
      <c r="E130" s="161">
        <v>7</v>
      </c>
      <c r="F130" s="161"/>
      <c r="G130" s="161">
        <v>762</v>
      </c>
      <c r="H130" s="161">
        <v>1</v>
      </c>
      <c r="I130" s="161">
        <v>207</v>
      </c>
      <c r="J130" s="161">
        <v>80</v>
      </c>
      <c r="K130" s="161">
        <v>1050</v>
      </c>
      <c r="L130" s="162">
        <v>0.72599999999999998</v>
      </c>
      <c r="M130" s="162">
        <v>1E-3</v>
      </c>
      <c r="N130" s="162">
        <v>0.19700000000000001</v>
      </c>
      <c r="O130" s="162">
        <v>7.5999999999999998E-2</v>
      </c>
      <c r="P130" s="162">
        <v>4.7E-2</v>
      </c>
      <c r="Q130" s="162">
        <v>8.9999999999999993E-3</v>
      </c>
      <c r="S130" s="161">
        <v>105</v>
      </c>
      <c r="T130" s="161">
        <v>20</v>
      </c>
      <c r="U130" s="161">
        <v>4</v>
      </c>
      <c r="W130" s="161">
        <v>1953.4</v>
      </c>
      <c r="X130" s="161">
        <v>1960</v>
      </c>
      <c r="Y130" s="163">
        <v>91033.1</v>
      </c>
      <c r="Z130" s="163">
        <v>46100</v>
      </c>
      <c r="AA130" s="163">
        <v>61641.5</v>
      </c>
      <c r="AB130" s="163">
        <v>50200</v>
      </c>
      <c r="AC130" s="162">
        <v>0.16400000000000001</v>
      </c>
      <c r="AD130" s="162">
        <v>0.13</v>
      </c>
      <c r="AE130" s="163">
        <v>13088.3</v>
      </c>
      <c r="AF130" s="163">
        <v>5774</v>
      </c>
      <c r="AH130" s="164">
        <f>IF($D130 = "SPLIT", "",COUNTIFS($D$7:$D$347,$D130,N$7:N$347,"&gt;"&amp;N130)+1)</f>
        <v>34</v>
      </c>
      <c r="AI130" s="164">
        <f>IF($D130 = "SPLIT", "",COUNTIFS($D$7:$D$347,$D130,S$7:S$347,"&gt;"&amp;S130)+1)</f>
        <v>42</v>
      </c>
      <c r="AJ130" s="164">
        <f>IF($D130 = "SPLIT", "",COUNTIFS($D$7:$D$347,$D130,T$7:T$347,"&gt;"&amp;T130)+1)</f>
        <v>38</v>
      </c>
      <c r="AK130" s="164">
        <f>IF($D130 = "SPLIT", "",COUNTIFS($D$7:$D$347,$D130,X$7:X$347,"&lt;"&amp;X130)+1)</f>
        <v>16</v>
      </c>
      <c r="AL130" s="164">
        <f>IF($D130 = "SPLIT", "",COUNTIFS($D$7:$D$347,$D130,Z$7:Z$347,"&gt;"&amp;Z130)+1)</f>
        <v>19</v>
      </c>
      <c r="AM130" s="164">
        <f>IF($D130 = "SPLIT", "",COUNTIFS($D$7:$D$347,$D130,AB$7:AB$347,"&gt;"&amp;AB130)+1)</f>
        <v>24</v>
      </c>
      <c r="AN130" s="164">
        <f>IF($D130 = "SPLIT", "",COUNTIFS($D$7:$D$347,$D130,AD$7:AD$347,"&gt;"&amp;AD130)+1)</f>
        <v>40</v>
      </c>
      <c r="AO130" s="164">
        <f>IF($D130 = "SPLIT", "",COUNTIFS($D$7:$D$347,$D130,AF$7:AF$347,"&gt;"&amp;AF130)+1)</f>
        <v>33</v>
      </c>
    </row>
    <row r="131" spans="1:41" hidden="1" x14ac:dyDescent="0.25">
      <c r="A131" s="25">
        <v>540089</v>
      </c>
      <c r="B131" s="25" t="s">
        <v>235</v>
      </c>
      <c r="C131" s="25" t="s">
        <v>236</v>
      </c>
      <c r="D131" s="25" t="s">
        <v>55</v>
      </c>
      <c r="E131" s="26">
        <v>2</v>
      </c>
      <c r="F131" s="26" t="s">
        <v>237</v>
      </c>
      <c r="G131" s="26">
        <v>98</v>
      </c>
      <c r="H131" s="26">
        <v>0</v>
      </c>
      <c r="I131" s="26">
        <v>16</v>
      </c>
      <c r="J131" s="26">
        <v>1</v>
      </c>
      <c r="K131" s="26">
        <v>115</v>
      </c>
      <c r="L131" s="35">
        <v>0.85199999999999998</v>
      </c>
      <c r="M131" s="35">
        <v>0</v>
      </c>
      <c r="N131" s="35">
        <v>0.13900000000000001</v>
      </c>
      <c r="O131" s="35">
        <v>8.9999999999999993E-3</v>
      </c>
      <c r="P131" s="35">
        <v>8.9999999999999993E-3</v>
      </c>
      <c r="Q131" s="35">
        <v>0</v>
      </c>
      <c r="S131" s="26">
        <v>17</v>
      </c>
      <c r="T131" s="26">
        <v>2</v>
      </c>
      <c r="U131" s="26">
        <v>1</v>
      </c>
      <c r="W131" s="26">
        <v>1949.7</v>
      </c>
      <c r="X131" s="26">
        <v>1945</v>
      </c>
      <c r="Y131" s="28">
        <v>32784.9</v>
      </c>
      <c r="Z131" s="28">
        <v>24100</v>
      </c>
      <c r="AA131" s="28">
        <v>30014.799999999999</v>
      </c>
      <c r="AB131" s="28">
        <v>23800</v>
      </c>
      <c r="AC131" s="35">
        <v>0.249</v>
      </c>
      <c r="AD131" s="35">
        <v>0.23899999999999999</v>
      </c>
      <c r="AE131" s="28">
        <v>6524.3</v>
      </c>
      <c r="AF131" s="28">
        <v>4682.7</v>
      </c>
      <c r="AH131" s="29">
        <f>IF($D131 = "SPLIT", "",COUNTIFS($D$7:$D$347,$D131,N$7:N$347,"&gt;"&amp;N131)+1)</f>
        <v>100</v>
      </c>
      <c r="AI131" s="29">
        <f>IF($D131 = "SPLIT", "",COUNTIFS($D$7:$D$347,$D131,S$7:S$347,"&gt;"&amp;S131)+1)</f>
        <v>72</v>
      </c>
      <c r="AJ131" s="29">
        <f>IF($D131 = "SPLIT", "",COUNTIFS($D$7:$D$347,$D131,T$7:T$347,"&gt;"&amp;T131)+1)</f>
        <v>59</v>
      </c>
      <c r="AK131" s="29">
        <f>IF($D131 = "SPLIT", "",COUNTIFS($D$7:$D$347,$D131,X$7:X$347,"&lt;"&amp;X131)+1)</f>
        <v>95</v>
      </c>
      <c r="AL131" s="29">
        <f>IF($D131 = "SPLIT", "",COUNTIFS($D$7:$D$347,$D131,Z$7:Z$347,"&gt;"&amp;Z131)+1)</f>
        <v>182</v>
      </c>
      <c r="AM131" s="29">
        <f>IF($D131 = "SPLIT", "",COUNTIFS($D$7:$D$347,$D131,AB$7:AB$347,"&gt;"&amp;AB131)+1)</f>
        <v>173</v>
      </c>
      <c r="AN131" s="29">
        <f>IF($D131 = "SPLIT", "",COUNTIFS($D$7:$D$347,$D131,AD$7:AD$347,"&gt;"&amp;AD131)+1)</f>
        <v>34</v>
      </c>
      <c r="AO131" s="29">
        <f>IF($D131 = "SPLIT", "",COUNTIFS($D$7:$D$347,$D131,AF$7:AF$347,"&gt;"&amp;AF131)+1)</f>
        <v>98</v>
      </c>
    </row>
    <row r="132" spans="1:41" hidden="1" x14ac:dyDescent="0.25">
      <c r="A132" s="30">
        <v>540088</v>
      </c>
      <c r="B132" s="30" t="s">
        <v>238</v>
      </c>
      <c r="C132" s="30" t="s">
        <v>236</v>
      </c>
      <c r="D132" s="30" t="s">
        <v>52</v>
      </c>
      <c r="E132" s="31">
        <v>2</v>
      </c>
      <c r="F132" s="31" t="s">
        <v>239</v>
      </c>
      <c r="G132" s="31">
        <v>1441</v>
      </c>
      <c r="H132" s="31">
        <v>22</v>
      </c>
      <c r="I132" s="31">
        <v>879</v>
      </c>
      <c r="J132" s="31">
        <v>203</v>
      </c>
      <c r="K132" s="31">
        <v>2545</v>
      </c>
      <c r="L132" s="32">
        <v>0.56599999999999995</v>
      </c>
      <c r="M132" s="32">
        <v>8.9999999999999993E-3</v>
      </c>
      <c r="N132" s="32">
        <v>0.34499999999999997</v>
      </c>
      <c r="O132" s="32">
        <v>0.08</v>
      </c>
      <c r="P132" s="32">
        <v>0.05</v>
      </c>
      <c r="Q132" s="32">
        <v>4.0000000000000001E-3</v>
      </c>
      <c r="S132" s="31">
        <v>220</v>
      </c>
      <c r="T132" s="31">
        <v>84</v>
      </c>
      <c r="U132" s="31">
        <v>30</v>
      </c>
      <c r="W132" s="31">
        <v>1977.4</v>
      </c>
      <c r="X132" s="31">
        <v>1979</v>
      </c>
      <c r="Y132" s="33">
        <v>47382.6</v>
      </c>
      <c r="Z132" s="33">
        <v>25433</v>
      </c>
      <c r="AA132" s="33">
        <v>34305.599999999999</v>
      </c>
      <c r="AB132" s="33">
        <v>24615</v>
      </c>
      <c r="AC132" s="32">
        <v>0.314</v>
      </c>
      <c r="AD132" s="32">
        <v>0.218</v>
      </c>
      <c r="AE132" s="33">
        <v>10753.3</v>
      </c>
      <c r="AF132" s="33">
        <v>6604.6</v>
      </c>
      <c r="AH132" s="34">
        <f>IF($D132 = "SPLIT", "",COUNTIFS($D$7:$D$347,$D132,N$7:N$347,"&gt;"&amp;N132)+1)</f>
        <v>9</v>
      </c>
      <c r="AI132" s="34">
        <f>IF($D132 = "SPLIT", "",COUNTIFS($D$7:$D$347,$D132,S$7:S$347,"&gt;"&amp;S132)+1)</f>
        <v>15</v>
      </c>
      <c r="AJ132" s="34">
        <f>IF($D132 = "SPLIT", "",COUNTIFS($D$7:$D$347,$D132,T$7:T$347,"&gt;"&amp;T132)+1)</f>
        <v>10</v>
      </c>
      <c r="AK132" s="34">
        <f>IF($D132 = "SPLIT", "",COUNTIFS($D$7:$D$347,$D132,X$7:X$347,"&lt;"&amp;X132)+1)</f>
        <v>48</v>
      </c>
      <c r="AL132" s="34">
        <f>IF($D132 = "SPLIT", "",COUNTIFS($D$7:$D$347,$D132,Z$7:Z$347,"&gt;"&amp;Z132)+1)</f>
        <v>51</v>
      </c>
      <c r="AM132" s="34">
        <f>IF($D132 = "SPLIT", "",COUNTIFS($D$7:$D$347,$D132,AB$7:AB$347,"&gt;"&amp;AB132)+1)</f>
        <v>50</v>
      </c>
      <c r="AN132" s="34">
        <f>IF($D132 = "SPLIT", "",COUNTIFS($D$7:$D$347,$D132,AD$7:AD$347,"&gt;"&amp;AD132)+1)</f>
        <v>19</v>
      </c>
      <c r="AO132" s="34">
        <f>IF($D132 = "SPLIT", "",COUNTIFS($D$7:$D$347,$D132,AF$7:AF$347,"&gt;"&amp;AF132)+1)</f>
        <v>26</v>
      </c>
    </row>
    <row r="133" spans="1:41" hidden="1" x14ac:dyDescent="0.25">
      <c r="A133" s="25">
        <v>540090</v>
      </c>
      <c r="B133" s="25" t="s">
        <v>240</v>
      </c>
      <c r="C133" s="25" t="s">
        <v>236</v>
      </c>
      <c r="D133" s="25" t="s">
        <v>55</v>
      </c>
      <c r="E133" s="26">
        <v>2</v>
      </c>
      <c r="F133" s="26" t="s">
        <v>237</v>
      </c>
      <c r="G133" s="26">
        <v>38</v>
      </c>
      <c r="H133" s="26">
        <v>0</v>
      </c>
      <c r="I133" s="26">
        <v>4</v>
      </c>
      <c r="J133" s="26">
        <v>1</v>
      </c>
      <c r="K133" s="26">
        <v>43</v>
      </c>
      <c r="L133" s="35">
        <v>0.88400000000000001</v>
      </c>
      <c r="M133" s="35">
        <v>0</v>
      </c>
      <c r="N133" s="35">
        <v>9.2999999999999999E-2</v>
      </c>
      <c r="O133" s="35">
        <v>2.3E-2</v>
      </c>
      <c r="P133" s="35">
        <v>2.3E-2</v>
      </c>
      <c r="Q133" s="35">
        <v>0</v>
      </c>
      <c r="S133" s="26">
        <v>0</v>
      </c>
      <c r="T133" s="26">
        <v>0</v>
      </c>
      <c r="U133" s="26">
        <v>0</v>
      </c>
      <c r="W133" s="26">
        <v>1948.8</v>
      </c>
      <c r="X133" s="26">
        <v>1952</v>
      </c>
      <c r="Y133" s="28">
        <v>24080.2</v>
      </c>
      <c r="Z133" s="28">
        <v>17800</v>
      </c>
      <c r="AA133" s="28">
        <v>20965.400000000001</v>
      </c>
      <c r="AB133" s="28">
        <v>16800</v>
      </c>
      <c r="AC133" s="35">
        <v>0.25800000000000001</v>
      </c>
      <c r="AD133" s="35">
        <v>0.25800000000000001</v>
      </c>
      <c r="AE133" s="28">
        <v>5346</v>
      </c>
      <c r="AF133" s="28">
        <v>5346</v>
      </c>
      <c r="AH133" s="29">
        <f>IF($D133 = "SPLIT", "",COUNTIFS($D$7:$D$347,$D133,N$7:N$347,"&gt;"&amp;N133)+1)</f>
        <v>136</v>
      </c>
      <c r="AI133" s="29">
        <f>IF($D133 = "SPLIT", "",COUNTIFS($D$7:$D$347,$D133,S$7:S$347,"&gt;"&amp;S133)+1)</f>
        <v>177</v>
      </c>
      <c r="AJ133" s="29">
        <f>IF($D133 = "SPLIT", "",COUNTIFS($D$7:$D$347,$D133,T$7:T$347,"&gt;"&amp;T133)+1)</f>
        <v>113</v>
      </c>
      <c r="AK133" s="29">
        <f>IF($D133 = "SPLIT", "",COUNTIFS($D$7:$D$347,$D133,X$7:X$347,"&lt;"&amp;X133)+1)</f>
        <v>130</v>
      </c>
      <c r="AL133" s="29">
        <f>IF($D133 = "SPLIT", "",COUNTIFS($D$7:$D$347,$D133,Z$7:Z$347,"&gt;"&amp;Z133)+1)</f>
        <v>198</v>
      </c>
      <c r="AM133" s="29">
        <f>IF($D133 = "SPLIT", "",COUNTIFS($D$7:$D$347,$D133,AB$7:AB$347,"&gt;"&amp;AB133)+1)</f>
        <v>192</v>
      </c>
      <c r="AN133" s="29">
        <f>IF($D133 = "SPLIT", "",COUNTIFS($D$7:$D$347,$D133,AD$7:AD$347,"&gt;"&amp;AD133)+1)</f>
        <v>29</v>
      </c>
      <c r="AO133" s="29">
        <f>IF($D133 = "SPLIT", "",COUNTIFS($D$7:$D$347,$D133,AF$7:AF$347,"&gt;"&amp;AF133)+1)</f>
        <v>86</v>
      </c>
    </row>
    <row r="134" spans="1:41" hidden="1" x14ac:dyDescent="0.25">
      <c r="A134" s="160"/>
      <c r="B134" s="160"/>
      <c r="C134" s="160" t="s">
        <v>236</v>
      </c>
      <c r="D134" s="160" t="s">
        <v>2</v>
      </c>
      <c r="E134" s="161">
        <v>2</v>
      </c>
      <c r="F134" s="161"/>
      <c r="G134" s="161">
        <v>1577</v>
      </c>
      <c r="H134" s="161">
        <v>22</v>
      </c>
      <c r="I134" s="161">
        <v>899</v>
      </c>
      <c r="J134" s="161">
        <v>205</v>
      </c>
      <c r="K134" s="161">
        <v>2703</v>
      </c>
      <c r="L134" s="162">
        <v>0.58299999999999996</v>
      </c>
      <c r="M134" s="162">
        <v>8.0000000000000002E-3</v>
      </c>
      <c r="N134" s="162">
        <v>0.33300000000000002</v>
      </c>
      <c r="O134" s="162">
        <v>7.5999999999999998E-2</v>
      </c>
      <c r="P134" s="162">
        <v>4.7E-2</v>
      </c>
      <c r="Q134" s="162">
        <v>3.0000000000000001E-3</v>
      </c>
      <c r="S134" s="161">
        <v>237</v>
      </c>
      <c r="T134" s="161">
        <v>86</v>
      </c>
      <c r="U134" s="161">
        <v>31</v>
      </c>
      <c r="W134" s="161">
        <v>1975.6</v>
      </c>
      <c r="X134" s="161">
        <v>1978</v>
      </c>
      <c r="Y134" s="163">
        <v>46390.8</v>
      </c>
      <c r="Z134" s="163">
        <v>25200</v>
      </c>
      <c r="AA134" s="163">
        <v>40262.1</v>
      </c>
      <c r="AB134" s="163">
        <v>31600</v>
      </c>
      <c r="AC134" s="162">
        <v>0.30399999999999999</v>
      </c>
      <c r="AD134" s="162">
        <v>0.22900000000000001</v>
      </c>
      <c r="AE134" s="163">
        <v>10073.6</v>
      </c>
      <c r="AF134" s="163">
        <v>6253</v>
      </c>
      <c r="AH134" s="164">
        <f>IF($D134 = "SPLIT", "",COUNTIFS($D$7:$D$347,$D134,N$7:N$347,"&gt;"&amp;N134)+1)</f>
        <v>8</v>
      </c>
      <c r="AI134" s="164">
        <f>IF($D134 = "SPLIT", "",COUNTIFS($D$7:$D$347,$D134,S$7:S$347,"&gt;"&amp;S134)+1)</f>
        <v>25</v>
      </c>
      <c r="AJ134" s="164">
        <f>IF($D134 = "SPLIT", "",COUNTIFS($D$7:$D$347,$D134,T$7:T$347,"&gt;"&amp;T134)+1)</f>
        <v>10</v>
      </c>
      <c r="AK134" s="164">
        <f>IF($D134 = "SPLIT", "",COUNTIFS($D$7:$D$347,$D134,X$7:X$347,"&lt;"&amp;X134)+1)</f>
        <v>51</v>
      </c>
      <c r="AL134" s="164">
        <f>IF($D134 = "SPLIT", "",COUNTIFS($D$7:$D$347,$D134,Z$7:Z$347,"&gt;"&amp;Z134)+1)</f>
        <v>52</v>
      </c>
      <c r="AM134" s="164">
        <f>IF($D134 = "SPLIT", "",COUNTIFS($D$7:$D$347,$D134,AB$7:AB$347,"&gt;"&amp;AB134)+1)</f>
        <v>44</v>
      </c>
      <c r="AN134" s="164">
        <f>IF($D134 = "SPLIT", "",COUNTIFS($D$7:$D$347,$D134,AD$7:AD$347,"&gt;"&amp;AD134)+1)</f>
        <v>12</v>
      </c>
      <c r="AO134" s="164">
        <f>IF($D134 = "SPLIT", "",COUNTIFS($D$7:$D$347,$D134,AF$7:AF$347,"&gt;"&amp;AF134)+1)</f>
        <v>27</v>
      </c>
    </row>
    <row r="135" spans="1:41" hidden="1" x14ac:dyDescent="0.25">
      <c r="A135" s="25">
        <v>540092</v>
      </c>
      <c r="B135" s="25" t="s">
        <v>241</v>
      </c>
      <c r="C135" s="25" t="s">
        <v>242</v>
      </c>
      <c r="D135" s="25" t="s">
        <v>55</v>
      </c>
      <c r="E135" s="26">
        <v>2</v>
      </c>
      <c r="F135" s="26" t="s">
        <v>243</v>
      </c>
      <c r="G135" s="26">
        <v>18</v>
      </c>
      <c r="H135" s="26">
        <v>4</v>
      </c>
      <c r="I135" s="26">
        <v>43</v>
      </c>
      <c r="J135" s="26">
        <v>3</v>
      </c>
      <c r="K135" s="26">
        <v>68</v>
      </c>
      <c r="L135" s="35">
        <v>0.26500000000000001</v>
      </c>
      <c r="M135" s="35">
        <v>5.8999999999999997E-2</v>
      </c>
      <c r="N135" s="35">
        <v>0.63200000000000001</v>
      </c>
      <c r="O135" s="35">
        <v>4.3999999999999997E-2</v>
      </c>
      <c r="P135" s="35">
        <v>1.4999999999999999E-2</v>
      </c>
      <c r="Q135" s="35">
        <v>0</v>
      </c>
      <c r="S135" s="26">
        <v>10</v>
      </c>
      <c r="T135" s="26">
        <v>2</v>
      </c>
      <c r="U135" s="26">
        <v>0</v>
      </c>
      <c r="W135" s="26">
        <v>1978.8</v>
      </c>
      <c r="X135" s="26">
        <v>1986</v>
      </c>
      <c r="Y135" s="28">
        <v>793166.4</v>
      </c>
      <c r="Z135" s="28">
        <v>33500</v>
      </c>
      <c r="AA135" s="28">
        <v>120868</v>
      </c>
      <c r="AB135" s="28">
        <v>38400</v>
      </c>
      <c r="AC135" s="35">
        <v>0.17199999999999999</v>
      </c>
      <c r="AD135" s="35">
        <v>0.14599999999999999</v>
      </c>
      <c r="AE135" s="28">
        <v>20918.900000000001</v>
      </c>
      <c r="AF135" s="28">
        <v>6822.1</v>
      </c>
      <c r="AH135" s="29">
        <f>IF($D135 = "SPLIT", "",COUNTIFS($D$7:$D$347,$D135,N$7:N$347,"&gt;"&amp;N135)+1)</f>
        <v>9</v>
      </c>
      <c r="AI135" s="29">
        <f>IF($D135 = "SPLIT", "",COUNTIFS($D$7:$D$347,$D135,S$7:S$347,"&gt;"&amp;S135)+1)</f>
        <v>95</v>
      </c>
      <c r="AJ135" s="29">
        <f>IF($D135 = "SPLIT", "",COUNTIFS($D$7:$D$347,$D135,T$7:T$347,"&gt;"&amp;T135)+1)</f>
        <v>59</v>
      </c>
      <c r="AK135" s="29">
        <f>IF($D135 = "SPLIT", "",COUNTIFS($D$7:$D$347,$D135,X$7:X$347,"&lt;"&amp;X135)+1)</f>
        <v>200</v>
      </c>
      <c r="AL135" s="29">
        <f>IF($D135 = "SPLIT", "",COUNTIFS($D$7:$D$347,$D135,Z$7:Z$347,"&gt;"&amp;Z135)+1)</f>
        <v>141</v>
      </c>
      <c r="AM135" s="29">
        <f>IF($D135 = "SPLIT", "",COUNTIFS($D$7:$D$347,$D135,AB$7:AB$347,"&gt;"&amp;AB135)+1)</f>
        <v>105</v>
      </c>
      <c r="AN135" s="29">
        <f>IF($D135 = "SPLIT", "",COUNTIFS($D$7:$D$347,$D135,AD$7:AD$347,"&gt;"&amp;AD135)+1)</f>
        <v>76</v>
      </c>
      <c r="AO135" s="29">
        <f>IF($D135 = "SPLIT", "",COUNTIFS($D$7:$D$347,$D135,AF$7:AF$347,"&gt;"&amp;AF135)+1)</f>
        <v>66</v>
      </c>
    </row>
    <row r="136" spans="1:41" hidden="1" x14ac:dyDescent="0.25">
      <c r="A136" s="25">
        <v>545535</v>
      </c>
      <c r="B136" s="25" t="s">
        <v>244</v>
      </c>
      <c r="C136" s="25" t="s">
        <v>242</v>
      </c>
      <c r="D136" s="25" t="s">
        <v>55</v>
      </c>
      <c r="E136" s="26">
        <v>2</v>
      </c>
      <c r="F136" s="26" t="s">
        <v>245</v>
      </c>
      <c r="G136" s="26">
        <v>1</v>
      </c>
      <c r="H136" s="26">
        <v>0</v>
      </c>
      <c r="I136" s="26">
        <v>3</v>
      </c>
      <c r="J136" s="26">
        <v>0</v>
      </c>
      <c r="K136" s="26">
        <v>4</v>
      </c>
      <c r="L136" s="35">
        <v>0.25</v>
      </c>
      <c r="M136" s="35">
        <v>0</v>
      </c>
      <c r="N136" s="35">
        <v>0.75</v>
      </c>
      <c r="O136" s="35">
        <v>0</v>
      </c>
      <c r="P136" s="35">
        <v>0</v>
      </c>
      <c r="Q136" s="35">
        <v>0</v>
      </c>
      <c r="S136" s="26">
        <v>1</v>
      </c>
      <c r="T136" s="26">
        <v>1</v>
      </c>
      <c r="U136" s="26">
        <v>0</v>
      </c>
      <c r="W136" s="26">
        <v>1989.3</v>
      </c>
      <c r="X136" s="26">
        <v>1988</v>
      </c>
      <c r="Y136" s="28">
        <v>439531.5</v>
      </c>
      <c r="Z136" s="28">
        <v>131200</v>
      </c>
      <c r="AA136" s="28">
        <v>157600</v>
      </c>
      <c r="AB136" s="28">
        <v>157600</v>
      </c>
      <c r="AC136" s="35">
        <v>0.13300000000000001</v>
      </c>
      <c r="AD136" s="35">
        <v>0.13300000000000001</v>
      </c>
      <c r="AE136" s="28">
        <v>14952.5</v>
      </c>
      <c r="AF136" s="28">
        <v>14952.5</v>
      </c>
      <c r="AH136" s="29">
        <f>IF($D136 = "SPLIT", "",COUNTIFS($D$7:$D$347,$D136,N$7:N$347,"&gt;"&amp;N136)+1)</f>
        <v>5</v>
      </c>
      <c r="AI136" s="29">
        <f>IF($D136 = "SPLIT", "",COUNTIFS($D$7:$D$347,$D136,S$7:S$347,"&gt;"&amp;S136)+1)</f>
        <v>153</v>
      </c>
      <c r="AJ136" s="29">
        <f>IF($D136 = "SPLIT", "",COUNTIFS($D$7:$D$347,$D136,T$7:T$347,"&gt;"&amp;T136)+1)</f>
        <v>84</v>
      </c>
      <c r="AK136" s="29">
        <f>IF($D136 = "SPLIT", "",COUNTIFS($D$7:$D$347,$D136,X$7:X$347,"&lt;"&amp;X136)+1)</f>
        <v>205</v>
      </c>
      <c r="AL136" s="29">
        <f>IF($D136 = "SPLIT", "",COUNTIFS($D$7:$D$347,$D136,Z$7:Z$347,"&gt;"&amp;Z136)+1)</f>
        <v>8</v>
      </c>
      <c r="AM136" s="29">
        <f>IF($D136 = "SPLIT", "",COUNTIFS($D$7:$D$347,$D136,AB$7:AB$347,"&gt;"&amp;AB136)+1)</f>
        <v>4</v>
      </c>
      <c r="AN136" s="29">
        <f>IF($D136 = "SPLIT", "",COUNTIFS($D$7:$D$347,$D136,AD$7:AD$347,"&gt;"&amp;AD136)+1)</f>
        <v>85</v>
      </c>
      <c r="AO136" s="29">
        <f>IF($D136 = "SPLIT", "",COUNTIFS($D$7:$D$347,$D136,AF$7:AF$347,"&gt;"&amp;AF136)+1)</f>
        <v>15</v>
      </c>
    </row>
    <row r="137" spans="1:41" hidden="1" x14ac:dyDescent="0.25">
      <c r="A137" s="30">
        <v>545536</v>
      </c>
      <c r="B137" s="30" t="s">
        <v>246</v>
      </c>
      <c r="C137" s="30" t="s">
        <v>242</v>
      </c>
      <c r="D137" s="30" t="s">
        <v>52</v>
      </c>
      <c r="E137" s="31">
        <v>2</v>
      </c>
      <c r="F137" s="31" t="s">
        <v>247</v>
      </c>
      <c r="G137" s="31">
        <v>2453</v>
      </c>
      <c r="H137" s="31">
        <v>375</v>
      </c>
      <c r="I137" s="31">
        <v>2003</v>
      </c>
      <c r="J137" s="31">
        <v>381</v>
      </c>
      <c r="K137" s="31">
        <v>5212</v>
      </c>
      <c r="L137" s="32">
        <v>0.47099999999999997</v>
      </c>
      <c r="M137" s="32">
        <v>7.1999999999999995E-2</v>
      </c>
      <c r="N137" s="32">
        <v>0.38400000000000001</v>
      </c>
      <c r="O137" s="32">
        <v>7.2999999999999995E-2</v>
      </c>
      <c r="P137" s="32">
        <v>5.6000000000000001E-2</v>
      </c>
      <c r="Q137" s="32">
        <v>8.0000000000000002E-3</v>
      </c>
      <c r="S137" s="31">
        <v>736</v>
      </c>
      <c r="T137" s="31">
        <v>194</v>
      </c>
      <c r="U137" s="31">
        <v>62</v>
      </c>
      <c r="W137" s="31">
        <v>1961.5</v>
      </c>
      <c r="X137" s="31">
        <v>1970</v>
      </c>
      <c r="Y137" s="33">
        <v>51115.3</v>
      </c>
      <c r="Z137" s="33">
        <v>29200</v>
      </c>
      <c r="AA137" s="33">
        <v>35692.699999999997</v>
      </c>
      <c r="AB137" s="33">
        <v>27800</v>
      </c>
      <c r="AC137" s="32">
        <v>0.222</v>
      </c>
      <c r="AD137" s="32">
        <v>0.158</v>
      </c>
      <c r="AE137" s="33">
        <v>8303.1</v>
      </c>
      <c r="AF137" s="33">
        <v>4495.7</v>
      </c>
      <c r="AH137" s="34">
        <f>IF($D137 = "SPLIT", "",COUNTIFS($D$7:$D$347,$D137,N$7:N$347,"&gt;"&amp;N137)+1)</f>
        <v>6</v>
      </c>
      <c r="AI137" s="34">
        <f>IF($D137 = "SPLIT", "",COUNTIFS($D$7:$D$347,$D137,S$7:S$347,"&gt;"&amp;S137)+1)</f>
        <v>2</v>
      </c>
      <c r="AJ137" s="34">
        <f>IF($D137 = "SPLIT", "",COUNTIFS($D$7:$D$347,$D137,T$7:T$347,"&gt;"&amp;T137)+1)</f>
        <v>2</v>
      </c>
      <c r="AK137" s="34">
        <f>IF($D137 = "SPLIT", "",COUNTIFS($D$7:$D$347,$D137,X$7:X$347,"&lt;"&amp;X137)+1)</f>
        <v>21</v>
      </c>
      <c r="AL137" s="34">
        <f>IF($D137 = "SPLIT", "",COUNTIFS($D$7:$D$347,$D137,Z$7:Z$347,"&gt;"&amp;Z137)+1)</f>
        <v>41</v>
      </c>
      <c r="AM137" s="34">
        <f>IF($D137 = "SPLIT", "",COUNTIFS($D$7:$D$347,$D137,AB$7:AB$347,"&gt;"&amp;AB137)+1)</f>
        <v>41</v>
      </c>
      <c r="AN137" s="34">
        <f>IF($D137 = "SPLIT", "",COUNTIFS($D$7:$D$347,$D137,AD$7:AD$347,"&gt;"&amp;AD137)+1)</f>
        <v>36</v>
      </c>
      <c r="AO137" s="34">
        <f>IF($D137 = "SPLIT", "",COUNTIFS($D$7:$D$347,$D137,AF$7:AF$347,"&gt;"&amp;AF137)+1)</f>
        <v>41</v>
      </c>
    </row>
    <row r="138" spans="1:41" hidden="1" x14ac:dyDescent="0.25">
      <c r="A138" s="25">
        <v>545537</v>
      </c>
      <c r="B138" s="25" t="s">
        <v>248</v>
      </c>
      <c r="C138" s="25" t="s">
        <v>242</v>
      </c>
      <c r="D138" s="25" t="s">
        <v>55</v>
      </c>
      <c r="E138" s="26">
        <v>2</v>
      </c>
      <c r="F138" s="26" t="s">
        <v>249</v>
      </c>
      <c r="G138" s="26">
        <v>113</v>
      </c>
      <c r="H138" s="26">
        <v>5</v>
      </c>
      <c r="I138" s="26">
        <v>40</v>
      </c>
      <c r="J138" s="26">
        <v>6</v>
      </c>
      <c r="K138" s="26">
        <v>164</v>
      </c>
      <c r="L138" s="35">
        <v>0.68899999999999995</v>
      </c>
      <c r="M138" s="35">
        <v>0.03</v>
      </c>
      <c r="N138" s="35">
        <v>0.24399999999999999</v>
      </c>
      <c r="O138" s="35">
        <v>3.6999999999999998E-2</v>
      </c>
      <c r="P138" s="35">
        <v>1.7999999999999999E-2</v>
      </c>
      <c r="Q138" s="35">
        <v>1.7999999999999999E-2</v>
      </c>
      <c r="S138" s="26">
        <v>46</v>
      </c>
      <c r="T138" s="26">
        <v>8</v>
      </c>
      <c r="U138" s="26">
        <v>3</v>
      </c>
      <c r="W138" s="26">
        <v>1954.8</v>
      </c>
      <c r="X138" s="26">
        <v>1949</v>
      </c>
      <c r="Y138" s="28">
        <v>67199.7</v>
      </c>
      <c r="Z138" s="28">
        <v>51900</v>
      </c>
      <c r="AA138" s="28">
        <v>48179.7</v>
      </c>
      <c r="AB138" s="28">
        <v>43500</v>
      </c>
      <c r="AC138" s="35">
        <v>0.16800000000000001</v>
      </c>
      <c r="AD138" s="35">
        <v>0.128</v>
      </c>
      <c r="AE138" s="28">
        <v>9876.7000000000007</v>
      </c>
      <c r="AF138" s="28">
        <v>7632</v>
      </c>
      <c r="AH138" s="29">
        <f>IF($D138 = "SPLIT", "",COUNTIFS($D$7:$D$347,$D138,N$7:N$347,"&gt;"&amp;N138)+1)</f>
        <v>49</v>
      </c>
      <c r="AI138" s="29">
        <f>IF($D138 = "SPLIT", "",COUNTIFS($D$7:$D$347,$D138,S$7:S$347,"&gt;"&amp;S138)+1)</f>
        <v>32</v>
      </c>
      <c r="AJ138" s="29">
        <f>IF($D138 = "SPLIT", "",COUNTIFS($D$7:$D$347,$D138,T$7:T$347,"&gt;"&amp;T138)+1)</f>
        <v>26</v>
      </c>
      <c r="AK138" s="29">
        <f>IF($D138 = "SPLIT", "",COUNTIFS($D$7:$D$347,$D138,X$7:X$347,"&lt;"&amp;X138)+1)</f>
        <v>117</v>
      </c>
      <c r="AL138" s="29">
        <f>IF($D138 = "SPLIT", "",COUNTIFS($D$7:$D$347,$D138,Z$7:Z$347,"&gt;"&amp;Z138)+1)</f>
        <v>69</v>
      </c>
      <c r="AM138" s="29">
        <f>IF($D138 = "SPLIT", "",COUNTIFS($D$7:$D$347,$D138,AB$7:AB$347,"&gt;"&amp;AB138)+1)</f>
        <v>86</v>
      </c>
      <c r="AN138" s="29">
        <f>IF($D138 = "SPLIT", "",COUNTIFS($D$7:$D$347,$D138,AD$7:AD$347,"&gt;"&amp;AD138)+1)</f>
        <v>92</v>
      </c>
      <c r="AO138" s="29">
        <f>IF($D138 = "SPLIT", "",COUNTIFS($D$7:$D$347,$D138,AF$7:AF$347,"&gt;"&amp;AF138)+1)</f>
        <v>58</v>
      </c>
    </row>
    <row r="139" spans="1:41" hidden="1" x14ac:dyDescent="0.25">
      <c r="A139" s="25">
        <v>540095</v>
      </c>
      <c r="B139" s="25" t="s">
        <v>250</v>
      </c>
      <c r="C139" s="25" t="s">
        <v>242</v>
      </c>
      <c r="D139" s="25" t="s">
        <v>55</v>
      </c>
      <c r="E139" s="26">
        <v>2</v>
      </c>
      <c r="F139" s="26" t="s">
        <v>251</v>
      </c>
      <c r="G139" s="26">
        <v>17</v>
      </c>
      <c r="H139" s="26">
        <v>0</v>
      </c>
      <c r="I139" s="26">
        <v>13</v>
      </c>
      <c r="J139" s="26">
        <v>0</v>
      </c>
      <c r="K139" s="26">
        <v>30</v>
      </c>
      <c r="L139" s="35">
        <v>0.56699999999999995</v>
      </c>
      <c r="M139" s="35">
        <v>0</v>
      </c>
      <c r="N139" s="35">
        <v>0.433</v>
      </c>
      <c r="O139" s="35">
        <v>0</v>
      </c>
      <c r="P139" s="35">
        <v>0</v>
      </c>
      <c r="Q139" s="35">
        <v>0</v>
      </c>
      <c r="S139" s="26">
        <v>0</v>
      </c>
      <c r="T139" s="26">
        <v>0</v>
      </c>
      <c r="U139" s="26">
        <v>0</v>
      </c>
      <c r="W139" s="26">
        <v>1968.4</v>
      </c>
      <c r="X139" s="26">
        <v>1951</v>
      </c>
      <c r="Y139" s="28">
        <v>143123.29999999999</v>
      </c>
      <c r="Z139" s="28">
        <v>144100</v>
      </c>
      <c r="AA139" s="28">
        <v>143123.29999999999</v>
      </c>
      <c r="AB139" s="28">
        <v>144100</v>
      </c>
      <c r="AC139" s="35">
        <v>0.04</v>
      </c>
      <c r="AD139" s="35">
        <v>0.04</v>
      </c>
      <c r="AE139" s="28">
        <v>9924</v>
      </c>
      <c r="AF139" s="28">
        <v>9924</v>
      </c>
      <c r="AH139" s="29">
        <f>IF($D139 = "SPLIT", "",COUNTIFS($D$7:$D$347,$D139,N$7:N$347,"&gt;"&amp;N139)+1)</f>
        <v>18</v>
      </c>
      <c r="AI139" s="29">
        <f>IF($D139 = "SPLIT", "",COUNTIFS($D$7:$D$347,$D139,S$7:S$347,"&gt;"&amp;S139)+1)</f>
        <v>177</v>
      </c>
      <c r="AJ139" s="29">
        <f>IF($D139 = "SPLIT", "",COUNTIFS($D$7:$D$347,$D139,T$7:T$347,"&gt;"&amp;T139)+1)</f>
        <v>113</v>
      </c>
      <c r="AK139" s="29">
        <f>IF($D139 = "SPLIT", "",COUNTIFS($D$7:$D$347,$D139,X$7:X$347,"&lt;"&amp;X139)+1)</f>
        <v>128</v>
      </c>
      <c r="AL139" s="29">
        <f>IF($D139 = "SPLIT", "",COUNTIFS($D$7:$D$347,$D139,Z$7:Z$347,"&gt;"&amp;Z139)+1)</f>
        <v>7</v>
      </c>
      <c r="AM139" s="29">
        <f>IF($D139 = "SPLIT", "",COUNTIFS($D$7:$D$347,$D139,AB$7:AB$347,"&gt;"&amp;AB139)+1)</f>
        <v>5</v>
      </c>
      <c r="AN139" s="29">
        <f>IF($D139 = "SPLIT", "",COUNTIFS($D$7:$D$347,$D139,AD$7:AD$347,"&gt;"&amp;AD139)+1)</f>
        <v>177</v>
      </c>
      <c r="AO139" s="29">
        <f>IF($D139 = "SPLIT", "",COUNTIFS($D$7:$D$347,$D139,AF$7:AF$347,"&gt;"&amp;AF139)+1)</f>
        <v>36</v>
      </c>
    </row>
    <row r="140" spans="1:41" hidden="1" x14ac:dyDescent="0.25">
      <c r="A140" s="25">
        <v>545539</v>
      </c>
      <c r="B140" s="25" t="s">
        <v>252</v>
      </c>
      <c r="C140" s="25" t="s">
        <v>242</v>
      </c>
      <c r="D140" s="25" t="s">
        <v>55</v>
      </c>
      <c r="E140" s="26">
        <v>2</v>
      </c>
      <c r="F140" s="26" t="s">
        <v>253</v>
      </c>
      <c r="G140" s="26">
        <v>15</v>
      </c>
      <c r="H140" s="26">
        <v>0</v>
      </c>
      <c r="I140" s="26">
        <v>3</v>
      </c>
      <c r="J140" s="26">
        <v>0</v>
      </c>
      <c r="K140" s="26">
        <v>18</v>
      </c>
      <c r="L140" s="35">
        <v>0.83299999999999996</v>
      </c>
      <c r="M140" s="35">
        <v>0</v>
      </c>
      <c r="N140" s="35">
        <v>0.16700000000000001</v>
      </c>
      <c r="O140" s="35">
        <v>0</v>
      </c>
      <c r="P140" s="35">
        <v>0</v>
      </c>
      <c r="Q140" s="35">
        <v>0</v>
      </c>
      <c r="S140" s="26">
        <v>0</v>
      </c>
      <c r="T140" s="26">
        <v>0</v>
      </c>
      <c r="U140" s="26">
        <v>0</v>
      </c>
      <c r="W140" s="26">
        <v>1944.9</v>
      </c>
      <c r="X140" s="26">
        <v>1931.5</v>
      </c>
      <c r="Y140" s="28">
        <v>22588.9</v>
      </c>
      <c r="Z140" s="28">
        <v>21000</v>
      </c>
      <c r="AA140" s="28">
        <v>24407.7</v>
      </c>
      <c r="AB140" s="28">
        <v>21400</v>
      </c>
      <c r="AC140" s="35">
        <v>6.5000000000000002E-2</v>
      </c>
      <c r="AD140" s="35">
        <v>7.2999999999999995E-2</v>
      </c>
      <c r="AE140" s="28">
        <v>1112</v>
      </c>
      <c r="AF140" s="28">
        <v>1237.0999999999999</v>
      </c>
      <c r="AH140" s="29">
        <f>IF($D140 = "SPLIT", "",COUNTIFS($D$7:$D$347,$D140,N$7:N$347,"&gt;"&amp;N140)+1)</f>
        <v>81</v>
      </c>
      <c r="AI140" s="29">
        <f>IF($D140 = "SPLIT", "",COUNTIFS($D$7:$D$347,$D140,S$7:S$347,"&gt;"&amp;S140)+1)</f>
        <v>177</v>
      </c>
      <c r="AJ140" s="29">
        <f>IF($D140 = "SPLIT", "",COUNTIFS($D$7:$D$347,$D140,T$7:T$347,"&gt;"&amp;T140)+1)</f>
        <v>113</v>
      </c>
      <c r="AK140" s="29">
        <f>IF($D140 = "SPLIT", "",COUNTIFS($D$7:$D$347,$D140,X$7:X$347,"&lt;"&amp;X140)+1)</f>
        <v>57</v>
      </c>
      <c r="AL140" s="29">
        <f>IF($D140 = "SPLIT", "",COUNTIFS($D$7:$D$347,$D140,Z$7:Z$347,"&gt;"&amp;Z140)+1)</f>
        <v>190</v>
      </c>
      <c r="AM140" s="29">
        <f>IF($D140 = "SPLIT", "",COUNTIFS($D$7:$D$347,$D140,AB$7:AB$347,"&gt;"&amp;AB140)+1)</f>
        <v>183</v>
      </c>
      <c r="AN140" s="29">
        <f>IF($D140 = "SPLIT", "",COUNTIFS($D$7:$D$347,$D140,AD$7:AD$347,"&gt;"&amp;AD140)+1)</f>
        <v>142</v>
      </c>
      <c r="AO140" s="29">
        <f>IF($D140 = "SPLIT", "",COUNTIFS($D$7:$D$347,$D140,AF$7:AF$347,"&gt;"&amp;AF140)+1)</f>
        <v>185</v>
      </c>
    </row>
    <row r="141" spans="1:41" hidden="1" x14ac:dyDescent="0.25">
      <c r="A141" s="160"/>
      <c r="B141" s="160"/>
      <c r="C141" s="160" t="s">
        <v>242</v>
      </c>
      <c r="D141" s="160" t="s">
        <v>2</v>
      </c>
      <c r="E141" s="161">
        <v>2</v>
      </c>
      <c r="F141" s="161"/>
      <c r="G141" s="161">
        <v>2617</v>
      </c>
      <c r="H141" s="161">
        <v>384</v>
      </c>
      <c r="I141" s="161">
        <v>2105</v>
      </c>
      <c r="J141" s="161">
        <v>390</v>
      </c>
      <c r="K141" s="161">
        <v>5496</v>
      </c>
      <c r="L141" s="162">
        <v>0.47599999999999998</v>
      </c>
      <c r="M141" s="162">
        <v>7.0000000000000007E-2</v>
      </c>
      <c r="N141" s="162">
        <v>0.38300000000000001</v>
      </c>
      <c r="O141" s="162">
        <v>7.0999999999999994E-2</v>
      </c>
      <c r="P141" s="162">
        <v>5.3999999999999999E-2</v>
      </c>
      <c r="Q141" s="162">
        <v>8.0000000000000002E-3</v>
      </c>
      <c r="S141" s="161">
        <v>793</v>
      </c>
      <c r="T141" s="161">
        <v>205</v>
      </c>
      <c r="U141" s="161">
        <v>65</v>
      </c>
      <c r="W141" s="161">
        <v>1961.5</v>
      </c>
      <c r="X141" s="161">
        <v>1970</v>
      </c>
      <c r="Y141" s="163">
        <v>61467.9</v>
      </c>
      <c r="Z141" s="163">
        <v>29850</v>
      </c>
      <c r="AA141" s="163">
        <v>44231</v>
      </c>
      <c r="AB141" s="163">
        <v>34700</v>
      </c>
      <c r="AC141" s="162">
        <v>0.219</v>
      </c>
      <c r="AD141" s="162">
        <v>0.156</v>
      </c>
      <c r="AE141" s="163">
        <v>8481.4</v>
      </c>
      <c r="AF141" s="163">
        <v>4546.2</v>
      </c>
      <c r="AH141" s="164">
        <f>IF($D141 = "SPLIT", "",COUNTIFS($D$7:$D$347,$D141,N$7:N$347,"&gt;"&amp;N141)+1)</f>
        <v>5</v>
      </c>
      <c r="AI141" s="164">
        <f>IF($D141 = "SPLIT", "",COUNTIFS($D$7:$D$347,$D141,S$7:S$347,"&gt;"&amp;S141)+1)</f>
        <v>4</v>
      </c>
      <c r="AJ141" s="164">
        <f>IF($D141 = "SPLIT", "",COUNTIFS($D$7:$D$347,$D141,T$7:T$347,"&gt;"&amp;T141)+1)</f>
        <v>3</v>
      </c>
      <c r="AK141" s="164">
        <f>IF($D141 = "SPLIT", "",COUNTIFS($D$7:$D$347,$D141,X$7:X$347,"&lt;"&amp;X141)+1)</f>
        <v>32</v>
      </c>
      <c r="AL141" s="164">
        <f>IF($D141 = "SPLIT", "",COUNTIFS($D$7:$D$347,$D141,Z$7:Z$347,"&gt;"&amp;Z141)+1)</f>
        <v>42</v>
      </c>
      <c r="AM141" s="164">
        <f>IF($D141 = "SPLIT", "",COUNTIFS($D$7:$D$347,$D141,AB$7:AB$347,"&gt;"&amp;AB141)+1)</f>
        <v>42</v>
      </c>
      <c r="AN141" s="164">
        <f>IF($D141 = "SPLIT", "",COUNTIFS($D$7:$D$347,$D141,AD$7:AD$347,"&gt;"&amp;AD141)+1)</f>
        <v>28</v>
      </c>
      <c r="AO141" s="164">
        <f>IF($D141 = "SPLIT", "",COUNTIFS($D$7:$D$347,$D141,AF$7:AF$347,"&gt;"&amp;AF141)+1)</f>
        <v>40</v>
      </c>
    </row>
    <row r="142" spans="1:41" hidden="1" x14ac:dyDescent="0.25">
      <c r="A142" s="25">
        <v>540098</v>
      </c>
      <c r="B142" s="25" t="s">
        <v>254</v>
      </c>
      <c r="C142" s="25" t="s">
        <v>255</v>
      </c>
      <c r="D142" s="25" t="s">
        <v>55</v>
      </c>
      <c r="E142" s="26">
        <v>6</v>
      </c>
      <c r="F142" s="26" t="s">
        <v>186</v>
      </c>
      <c r="G142" s="26">
        <v>24</v>
      </c>
      <c r="H142" s="26">
        <v>0</v>
      </c>
      <c r="I142" s="26">
        <v>6</v>
      </c>
      <c r="J142" s="26">
        <v>0</v>
      </c>
      <c r="K142" s="26">
        <v>30</v>
      </c>
      <c r="L142" s="35">
        <v>0.8</v>
      </c>
      <c r="M142" s="35">
        <v>0</v>
      </c>
      <c r="N142" s="35">
        <v>0.2</v>
      </c>
      <c r="O142" s="35">
        <v>0</v>
      </c>
      <c r="P142" s="35">
        <v>0</v>
      </c>
      <c r="Q142" s="35">
        <v>0</v>
      </c>
      <c r="S142" s="26">
        <v>0</v>
      </c>
      <c r="T142" s="26">
        <v>0</v>
      </c>
      <c r="U142" s="26">
        <v>0</v>
      </c>
      <c r="W142" s="26">
        <v>1947.9</v>
      </c>
      <c r="X142" s="26">
        <v>1956</v>
      </c>
      <c r="Y142" s="28">
        <v>50950.1</v>
      </c>
      <c r="Z142" s="28">
        <v>34050</v>
      </c>
      <c r="AA142" s="28">
        <v>52220.2</v>
      </c>
      <c r="AB142" s="28">
        <v>32800</v>
      </c>
      <c r="AC142" s="35">
        <v>6.4000000000000001E-2</v>
      </c>
      <c r="AD142" s="35">
        <v>3.4000000000000002E-2</v>
      </c>
      <c r="AE142" s="28">
        <v>1850.4</v>
      </c>
      <c r="AF142" s="28">
        <v>1239.5</v>
      </c>
      <c r="AH142" s="29">
        <f>IF($D142 = "SPLIT", "",COUNTIFS($D$7:$D$347,$D142,N$7:N$347,"&gt;"&amp;N142)+1)</f>
        <v>66</v>
      </c>
      <c r="AI142" s="29">
        <f>IF($D142 = "SPLIT", "",COUNTIFS($D$7:$D$347,$D142,S$7:S$347,"&gt;"&amp;S142)+1)</f>
        <v>177</v>
      </c>
      <c r="AJ142" s="29">
        <f>IF($D142 = "SPLIT", "",COUNTIFS($D$7:$D$347,$D142,T$7:T$347,"&gt;"&amp;T142)+1)</f>
        <v>113</v>
      </c>
      <c r="AK142" s="29">
        <f>IF($D142 = "SPLIT", "",COUNTIFS($D$7:$D$347,$D142,X$7:X$347,"&lt;"&amp;X142)+1)</f>
        <v>138</v>
      </c>
      <c r="AL142" s="29">
        <f>IF($D142 = "SPLIT", "",COUNTIFS($D$7:$D$347,$D142,Z$7:Z$347,"&gt;"&amp;Z142)+1)</f>
        <v>139</v>
      </c>
      <c r="AM142" s="29">
        <f>IF($D142 = "SPLIT", "",COUNTIFS($D$7:$D$347,$D142,AB$7:AB$347,"&gt;"&amp;AB142)+1)</f>
        <v>125</v>
      </c>
      <c r="AN142" s="29">
        <f>IF($D142 = "SPLIT", "",COUNTIFS($D$7:$D$347,$D142,AD$7:AD$347,"&gt;"&amp;AD142)+1)</f>
        <v>188</v>
      </c>
      <c r="AO142" s="29">
        <f>IF($D142 = "SPLIT", "",COUNTIFS($D$7:$D$347,$D142,AF$7:AF$347,"&gt;"&amp;AF142)+1)</f>
        <v>184</v>
      </c>
    </row>
    <row r="143" spans="1:41" hidden="1" x14ac:dyDescent="0.25">
      <c r="A143" s="25">
        <v>540099</v>
      </c>
      <c r="B143" s="25" t="s">
        <v>256</v>
      </c>
      <c r="C143" s="25" t="s">
        <v>255</v>
      </c>
      <c r="D143" s="25" t="s">
        <v>55</v>
      </c>
      <c r="E143" s="26">
        <v>6</v>
      </c>
      <c r="F143" s="26" t="s">
        <v>257</v>
      </c>
      <c r="G143" s="26">
        <v>36</v>
      </c>
      <c r="H143" s="26">
        <v>0</v>
      </c>
      <c r="I143" s="26">
        <v>13</v>
      </c>
      <c r="J143" s="26">
        <v>0</v>
      </c>
      <c r="K143" s="26">
        <v>49</v>
      </c>
      <c r="L143" s="35">
        <v>0.73499999999999999</v>
      </c>
      <c r="M143" s="35">
        <v>0</v>
      </c>
      <c r="N143" s="35">
        <v>0.26500000000000001</v>
      </c>
      <c r="O143" s="35">
        <v>0</v>
      </c>
      <c r="P143" s="35">
        <v>0</v>
      </c>
      <c r="Q143" s="35">
        <v>0</v>
      </c>
      <c r="S143" s="26">
        <v>4</v>
      </c>
      <c r="T143" s="26">
        <v>2</v>
      </c>
      <c r="U143" s="26">
        <v>0</v>
      </c>
      <c r="W143" s="26">
        <v>1957.2</v>
      </c>
      <c r="X143" s="26">
        <v>1957</v>
      </c>
      <c r="Y143" s="28">
        <v>205430.6</v>
      </c>
      <c r="Z143" s="28">
        <v>80400</v>
      </c>
      <c r="AA143" s="28">
        <v>117342.1</v>
      </c>
      <c r="AB143" s="28">
        <v>64700</v>
      </c>
      <c r="AC143" s="35">
        <v>5.6000000000000001E-2</v>
      </c>
      <c r="AD143" s="35">
        <v>4.3999999999999997E-2</v>
      </c>
      <c r="AE143" s="28">
        <v>13502.3</v>
      </c>
      <c r="AF143" s="28">
        <v>3435.6</v>
      </c>
      <c r="AH143" s="29">
        <f>IF($D143 = "SPLIT", "",COUNTIFS($D$7:$D$347,$D143,N$7:N$347,"&gt;"&amp;N143)+1)</f>
        <v>46</v>
      </c>
      <c r="AI143" s="29">
        <f>IF($D143 = "SPLIT", "",COUNTIFS($D$7:$D$347,$D143,S$7:S$347,"&gt;"&amp;S143)+1)</f>
        <v>119</v>
      </c>
      <c r="AJ143" s="29">
        <f>IF($D143 = "SPLIT", "",COUNTIFS($D$7:$D$347,$D143,T$7:T$347,"&gt;"&amp;T143)+1)</f>
        <v>59</v>
      </c>
      <c r="AK143" s="29">
        <f>IF($D143 = "SPLIT", "",COUNTIFS($D$7:$D$347,$D143,X$7:X$347,"&lt;"&amp;X143)+1)</f>
        <v>141</v>
      </c>
      <c r="AL143" s="29">
        <f>IF($D143 = "SPLIT", "",COUNTIFS($D$7:$D$347,$D143,Z$7:Z$347,"&gt;"&amp;Z143)+1)</f>
        <v>24</v>
      </c>
      <c r="AM143" s="29">
        <f>IF($D143 = "SPLIT", "",COUNTIFS($D$7:$D$347,$D143,AB$7:AB$347,"&gt;"&amp;AB143)+1)</f>
        <v>32</v>
      </c>
      <c r="AN143" s="29">
        <f>IF($D143 = "SPLIT", "",COUNTIFS($D$7:$D$347,$D143,AD$7:AD$347,"&gt;"&amp;AD143)+1)</f>
        <v>174</v>
      </c>
      <c r="AO143" s="29">
        <f>IF($D143 = "SPLIT", "",COUNTIFS($D$7:$D$347,$D143,AF$7:AF$347,"&gt;"&amp;AF143)+1)</f>
        <v>129</v>
      </c>
    </row>
    <row r="144" spans="1:41" hidden="1" x14ac:dyDescent="0.25">
      <c r="A144" s="25">
        <v>540100</v>
      </c>
      <c r="B144" s="25" t="s">
        <v>258</v>
      </c>
      <c r="C144" s="25" t="s">
        <v>255</v>
      </c>
      <c r="D144" s="25" t="s">
        <v>55</v>
      </c>
      <c r="E144" s="26">
        <v>6</v>
      </c>
      <c r="F144" s="26" t="s">
        <v>186</v>
      </c>
      <c r="G144" s="26">
        <v>28</v>
      </c>
      <c r="H144" s="26">
        <v>1</v>
      </c>
      <c r="I144" s="26">
        <v>4</v>
      </c>
      <c r="J144" s="26">
        <v>0</v>
      </c>
      <c r="K144" s="26">
        <v>33</v>
      </c>
      <c r="L144" s="35">
        <v>0.84799999999999998</v>
      </c>
      <c r="M144" s="35">
        <v>0.03</v>
      </c>
      <c r="N144" s="35">
        <v>0.121</v>
      </c>
      <c r="O144" s="35">
        <v>0</v>
      </c>
      <c r="P144" s="35">
        <v>0</v>
      </c>
      <c r="Q144" s="35">
        <v>0</v>
      </c>
      <c r="S144" s="26">
        <v>4</v>
      </c>
      <c r="T144" s="26">
        <v>0</v>
      </c>
      <c r="U144" s="26">
        <v>0</v>
      </c>
      <c r="W144" s="26">
        <v>1935.2</v>
      </c>
      <c r="X144" s="26">
        <v>1925</v>
      </c>
      <c r="Y144" s="28">
        <v>94671.8</v>
      </c>
      <c r="Z144" s="28">
        <v>33900</v>
      </c>
      <c r="AA144" s="28">
        <v>41216.800000000003</v>
      </c>
      <c r="AB144" s="28">
        <v>32300</v>
      </c>
      <c r="AC144" s="35">
        <v>0.11899999999999999</v>
      </c>
      <c r="AD144" s="35">
        <v>6.6000000000000003E-2</v>
      </c>
      <c r="AE144" s="28">
        <v>13150.7</v>
      </c>
      <c r="AF144" s="28">
        <v>1814.5</v>
      </c>
      <c r="AH144" s="29">
        <f>IF($D144 = "SPLIT", "",COUNTIFS($D$7:$D$347,$D144,N$7:N$347,"&gt;"&amp;N144)+1)</f>
        <v>113</v>
      </c>
      <c r="AI144" s="29">
        <f>IF($D144 = "SPLIT", "",COUNTIFS($D$7:$D$347,$D144,S$7:S$347,"&gt;"&amp;S144)+1)</f>
        <v>119</v>
      </c>
      <c r="AJ144" s="29">
        <f>IF($D144 = "SPLIT", "",COUNTIFS($D$7:$D$347,$D144,T$7:T$347,"&gt;"&amp;T144)+1)</f>
        <v>113</v>
      </c>
      <c r="AK144" s="29">
        <f>IF($D144 = "SPLIT", "",COUNTIFS($D$7:$D$347,$D144,X$7:X$347,"&lt;"&amp;X144)+1)</f>
        <v>39</v>
      </c>
      <c r="AL144" s="29">
        <f>IF($D144 = "SPLIT", "",COUNTIFS($D$7:$D$347,$D144,Z$7:Z$347,"&gt;"&amp;Z144)+1)</f>
        <v>140</v>
      </c>
      <c r="AM144" s="29">
        <f>IF($D144 = "SPLIT", "",COUNTIFS($D$7:$D$347,$D144,AB$7:AB$347,"&gt;"&amp;AB144)+1)</f>
        <v>128</v>
      </c>
      <c r="AN144" s="29">
        <f>IF($D144 = "SPLIT", "",COUNTIFS($D$7:$D$347,$D144,AD$7:AD$347,"&gt;"&amp;AD144)+1)</f>
        <v>148</v>
      </c>
      <c r="AO144" s="29">
        <f>IF($D144 = "SPLIT", "",COUNTIFS($D$7:$D$347,$D144,AF$7:AF$347,"&gt;"&amp;AF144)+1)</f>
        <v>170</v>
      </c>
    </row>
    <row r="145" spans="1:41" hidden="1" x14ac:dyDescent="0.25">
      <c r="A145" s="25">
        <v>540101</v>
      </c>
      <c r="B145" s="25" t="s">
        <v>259</v>
      </c>
      <c r="C145" s="25" t="s">
        <v>255</v>
      </c>
      <c r="D145" s="25" t="s">
        <v>55</v>
      </c>
      <c r="E145" s="26">
        <v>6</v>
      </c>
      <c r="F145" s="26" t="s">
        <v>186</v>
      </c>
      <c r="G145" s="26">
        <v>36</v>
      </c>
      <c r="H145" s="26">
        <v>0</v>
      </c>
      <c r="I145" s="26">
        <v>15</v>
      </c>
      <c r="J145" s="26">
        <v>0</v>
      </c>
      <c r="K145" s="26">
        <v>51</v>
      </c>
      <c r="L145" s="35">
        <v>0.70599999999999996</v>
      </c>
      <c r="M145" s="35">
        <v>0</v>
      </c>
      <c r="N145" s="35">
        <v>0.29399999999999998</v>
      </c>
      <c r="O145" s="35">
        <v>0</v>
      </c>
      <c r="P145" s="35">
        <v>0</v>
      </c>
      <c r="Q145" s="35">
        <v>0</v>
      </c>
      <c r="S145" s="26">
        <v>4</v>
      </c>
      <c r="T145" s="26">
        <v>0</v>
      </c>
      <c r="U145" s="26">
        <v>0</v>
      </c>
      <c r="W145" s="26">
        <v>1951.5</v>
      </c>
      <c r="X145" s="26">
        <v>1949</v>
      </c>
      <c r="Y145" s="28">
        <v>130545.8</v>
      </c>
      <c r="Z145" s="28">
        <v>50600</v>
      </c>
      <c r="AA145" s="28">
        <v>68898.3</v>
      </c>
      <c r="AB145" s="28">
        <v>44250</v>
      </c>
      <c r="AC145" s="35">
        <v>3.4000000000000002E-2</v>
      </c>
      <c r="AD145" s="35">
        <v>0.03</v>
      </c>
      <c r="AE145" s="28">
        <v>4693</v>
      </c>
      <c r="AF145" s="28">
        <v>732</v>
      </c>
      <c r="AH145" s="29">
        <f>IF($D145 = "SPLIT", "",COUNTIFS($D$7:$D$347,$D145,N$7:N$347,"&gt;"&amp;N145)+1)</f>
        <v>38</v>
      </c>
      <c r="AI145" s="29">
        <f>IF($D145 = "SPLIT", "",COUNTIFS($D$7:$D$347,$D145,S$7:S$347,"&gt;"&amp;S145)+1)</f>
        <v>119</v>
      </c>
      <c r="AJ145" s="29">
        <f>IF($D145 = "SPLIT", "",COUNTIFS($D$7:$D$347,$D145,T$7:T$347,"&gt;"&amp;T145)+1)</f>
        <v>113</v>
      </c>
      <c r="AK145" s="29">
        <f>IF($D145 = "SPLIT", "",COUNTIFS($D$7:$D$347,$D145,X$7:X$347,"&lt;"&amp;X145)+1)</f>
        <v>117</v>
      </c>
      <c r="AL145" s="29">
        <f>IF($D145 = "SPLIT", "",COUNTIFS($D$7:$D$347,$D145,Z$7:Z$347,"&gt;"&amp;Z145)+1)</f>
        <v>76</v>
      </c>
      <c r="AM145" s="29">
        <f>IF($D145 = "SPLIT", "",COUNTIFS($D$7:$D$347,$D145,AB$7:AB$347,"&gt;"&amp;AB145)+1)</f>
        <v>83</v>
      </c>
      <c r="AN145" s="29">
        <f>IF($D145 = "SPLIT", "",COUNTIFS($D$7:$D$347,$D145,AD$7:AD$347,"&gt;"&amp;AD145)+1)</f>
        <v>190</v>
      </c>
      <c r="AO145" s="29">
        <f>IF($D145 = "SPLIT", "",COUNTIFS($D$7:$D$347,$D145,AF$7:AF$347,"&gt;"&amp;AF145)+1)</f>
        <v>192</v>
      </c>
    </row>
    <row r="146" spans="1:41" hidden="1" x14ac:dyDescent="0.25">
      <c r="A146" s="25">
        <v>540102</v>
      </c>
      <c r="B146" s="25" t="s">
        <v>260</v>
      </c>
      <c r="C146" s="25" t="s">
        <v>255</v>
      </c>
      <c r="D146" s="25" t="s">
        <v>55</v>
      </c>
      <c r="E146" s="26">
        <v>6</v>
      </c>
      <c r="F146" s="26" t="s">
        <v>113</v>
      </c>
      <c r="G146" s="26">
        <v>36</v>
      </c>
      <c r="H146" s="26">
        <v>0</v>
      </c>
      <c r="I146" s="26">
        <v>0</v>
      </c>
      <c r="J146" s="26">
        <v>0</v>
      </c>
      <c r="K146" s="26">
        <v>36</v>
      </c>
      <c r="L146" s="35">
        <v>1</v>
      </c>
      <c r="M146" s="35">
        <v>0</v>
      </c>
      <c r="N146" s="35">
        <v>0</v>
      </c>
      <c r="O146" s="35">
        <v>0</v>
      </c>
      <c r="P146" s="35">
        <v>0</v>
      </c>
      <c r="Q146" s="35">
        <v>0</v>
      </c>
      <c r="S146" s="26">
        <v>0</v>
      </c>
      <c r="T146" s="26">
        <v>0</v>
      </c>
      <c r="U146" s="26">
        <v>0</v>
      </c>
      <c r="W146" s="26">
        <v>1919.2</v>
      </c>
      <c r="X146" s="26">
        <v>1907</v>
      </c>
      <c r="Y146" s="28">
        <v>28228.1</v>
      </c>
      <c r="Z146" s="28">
        <v>24400</v>
      </c>
      <c r="AA146" s="28">
        <v>24731.599999999999</v>
      </c>
      <c r="AB146" s="28">
        <v>24400</v>
      </c>
      <c r="AC146" s="35">
        <v>0.04</v>
      </c>
      <c r="AD146" s="35">
        <v>0.04</v>
      </c>
      <c r="AE146" s="28">
        <v>1027.5</v>
      </c>
      <c r="AF146" s="28">
        <v>902</v>
      </c>
      <c r="AH146" s="29">
        <f>IF($D146 = "SPLIT", "",COUNTIFS($D$7:$D$347,$D146,N$7:N$347,"&gt;"&amp;N146)+1)</f>
        <v>195</v>
      </c>
      <c r="AI146" s="29">
        <f>IF($D146 = "SPLIT", "",COUNTIFS($D$7:$D$347,$D146,S$7:S$347,"&gt;"&amp;S146)+1)</f>
        <v>177</v>
      </c>
      <c r="AJ146" s="29">
        <f>IF($D146 = "SPLIT", "",COUNTIFS($D$7:$D$347,$D146,T$7:T$347,"&gt;"&amp;T146)+1)</f>
        <v>113</v>
      </c>
      <c r="AK146" s="29">
        <f>IF($D146 = "SPLIT", "",COUNTIFS($D$7:$D$347,$D146,X$7:X$347,"&lt;"&amp;X146)+1)</f>
        <v>14</v>
      </c>
      <c r="AL146" s="29">
        <f>IF($D146 = "SPLIT", "",COUNTIFS($D$7:$D$347,$D146,Z$7:Z$347,"&gt;"&amp;Z146)+1)</f>
        <v>178</v>
      </c>
      <c r="AM146" s="29">
        <f>IF($D146 = "SPLIT", "",COUNTIFS($D$7:$D$347,$D146,AB$7:AB$347,"&gt;"&amp;AB146)+1)</f>
        <v>169</v>
      </c>
      <c r="AN146" s="29">
        <f>IF($D146 = "SPLIT", "",COUNTIFS($D$7:$D$347,$D146,AD$7:AD$347,"&gt;"&amp;AD146)+1)</f>
        <v>177</v>
      </c>
      <c r="AO146" s="29">
        <f>IF($D146 = "SPLIT", "",COUNTIFS($D$7:$D$347,$D146,AF$7:AF$347,"&gt;"&amp;AF146)+1)</f>
        <v>190</v>
      </c>
    </row>
    <row r="147" spans="1:41" hidden="1" x14ac:dyDescent="0.25">
      <c r="A147" s="25">
        <v>540103</v>
      </c>
      <c r="B147" s="25" t="s">
        <v>261</v>
      </c>
      <c r="C147" s="25" t="s">
        <v>255</v>
      </c>
      <c r="D147" s="25" t="s">
        <v>55</v>
      </c>
      <c r="E147" s="26">
        <v>6</v>
      </c>
      <c r="F147" s="26" t="s">
        <v>262</v>
      </c>
      <c r="G147" s="26">
        <v>180</v>
      </c>
      <c r="H147" s="26">
        <v>0</v>
      </c>
      <c r="I147" s="26">
        <v>17</v>
      </c>
      <c r="J147" s="26">
        <v>4</v>
      </c>
      <c r="K147" s="26">
        <v>201</v>
      </c>
      <c r="L147" s="35">
        <v>0.89600000000000002</v>
      </c>
      <c r="M147" s="35">
        <v>0</v>
      </c>
      <c r="N147" s="35">
        <v>8.5000000000000006E-2</v>
      </c>
      <c r="O147" s="35">
        <v>0.02</v>
      </c>
      <c r="P147" s="35">
        <v>5.0000000000000001E-3</v>
      </c>
      <c r="Q147" s="35">
        <v>0.01</v>
      </c>
      <c r="S147" s="26">
        <v>20</v>
      </c>
      <c r="T147" s="26">
        <v>4</v>
      </c>
      <c r="U147" s="26">
        <v>1</v>
      </c>
      <c r="W147" s="26">
        <v>1919</v>
      </c>
      <c r="X147" s="26">
        <v>1905</v>
      </c>
      <c r="Y147" s="28">
        <v>79045.8</v>
      </c>
      <c r="Z147" s="28">
        <v>51800</v>
      </c>
      <c r="AA147" s="28">
        <v>55536.3</v>
      </c>
      <c r="AB147" s="28">
        <v>51550</v>
      </c>
      <c r="AC147" s="35">
        <v>0.11600000000000001</v>
      </c>
      <c r="AD147" s="35">
        <v>7.0000000000000007E-2</v>
      </c>
      <c r="AE147" s="28">
        <v>5622.8</v>
      </c>
      <c r="AF147" s="28">
        <v>3494</v>
      </c>
      <c r="AH147" s="29">
        <f>IF($D147 = "SPLIT", "",COUNTIFS($D$7:$D$347,$D147,N$7:N$347,"&gt;"&amp;N147)+1)</f>
        <v>143</v>
      </c>
      <c r="AI147" s="29">
        <f>IF($D147 = "SPLIT", "",COUNTIFS($D$7:$D$347,$D147,S$7:S$347,"&gt;"&amp;S147)+1)</f>
        <v>65</v>
      </c>
      <c r="AJ147" s="29">
        <f>IF($D147 = "SPLIT", "",COUNTIFS($D$7:$D$347,$D147,T$7:T$347,"&gt;"&amp;T147)+1)</f>
        <v>40</v>
      </c>
      <c r="AK147" s="29">
        <f>IF($D147 = "SPLIT", "",COUNTIFS($D$7:$D$347,$D147,X$7:X$347,"&lt;"&amp;X147)+1)</f>
        <v>13</v>
      </c>
      <c r="AL147" s="29">
        <f>IF($D147 = "SPLIT", "",COUNTIFS($D$7:$D$347,$D147,Z$7:Z$347,"&gt;"&amp;Z147)+1)</f>
        <v>71</v>
      </c>
      <c r="AM147" s="29">
        <f>IF($D147 = "SPLIT", "",COUNTIFS($D$7:$D$347,$D147,AB$7:AB$347,"&gt;"&amp;AB147)+1)</f>
        <v>57</v>
      </c>
      <c r="AN147" s="29">
        <f>IF($D147 = "SPLIT", "",COUNTIFS($D$7:$D$347,$D147,AD$7:AD$347,"&gt;"&amp;AD147)+1)</f>
        <v>145</v>
      </c>
      <c r="AO147" s="29">
        <f>IF($D147 = "SPLIT", "",COUNTIFS($D$7:$D$347,$D147,AF$7:AF$347,"&gt;"&amp;AF147)+1)</f>
        <v>127</v>
      </c>
    </row>
    <row r="148" spans="1:41" hidden="1" x14ac:dyDescent="0.25">
      <c r="A148" s="30">
        <v>540097</v>
      </c>
      <c r="B148" s="30" t="s">
        <v>263</v>
      </c>
      <c r="C148" s="30" t="s">
        <v>255</v>
      </c>
      <c r="D148" s="30" t="s">
        <v>52</v>
      </c>
      <c r="E148" s="31">
        <v>6</v>
      </c>
      <c r="F148" s="31" t="s">
        <v>178</v>
      </c>
      <c r="G148" s="31">
        <v>832</v>
      </c>
      <c r="H148" s="31">
        <v>38</v>
      </c>
      <c r="I148" s="31">
        <v>238</v>
      </c>
      <c r="J148" s="31">
        <v>52</v>
      </c>
      <c r="K148" s="31">
        <v>1160</v>
      </c>
      <c r="L148" s="32">
        <v>0.71699999999999997</v>
      </c>
      <c r="M148" s="32">
        <v>3.3000000000000002E-2</v>
      </c>
      <c r="N148" s="32">
        <v>0.20499999999999999</v>
      </c>
      <c r="O148" s="32">
        <v>4.4999999999999998E-2</v>
      </c>
      <c r="P148" s="32">
        <v>4.1000000000000002E-2</v>
      </c>
      <c r="Q148" s="32">
        <v>3.0000000000000001E-3</v>
      </c>
      <c r="S148" s="31">
        <v>250</v>
      </c>
      <c r="T148" s="31">
        <v>27</v>
      </c>
      <c r="U148" s="31">
        <v>11</v>
      </c>
      <c r="W148" s="31">
        <v>1958.7</v>
      </c>
      <c r="X148" s="31">
        <v>1965</v>
      </c>
      <c r="Y148" s="33">
        <v>74237.899999999994</v>
      </c>
      <c r="Z148" s="33">
        <v>52850</v>
      </c>
      <c r="AA148" s="33">
        <v>67976.5</v>
      </c>
      <c r="AB148" s="33">
        <v>53200</v>
      </c>
      <c r="AC148" s="32">
        <v>0.218</v>
      </c>
      <c r="AD148" s="32">
        <v>0.14099999999999999</v>
      </c>
      <c r="AE148" s="33">
        <v>12922.3</v>
      </c>
      <c r="AF148" s="33">
        <v>7036.1</v>
      </c>
      <c r="AH148" s="34">
        <f>IF($D148 = "SPLIT", "",COUNTIFS($D$7:$D$347,$D148,N$7:N$347,"&gt;"&amp;N148)+1)</f>
        <v>39</v>
      </c>
      <c r="AI148" s="34">
        <f>IF($D148 = "SPLIT", "",COUNTIFS($D$7:$D$347,$D148,S$7:S$347,"&gt;"&amp;S148)+1)</f>
        <v>11</v>
      </c>
      <c r="AJ148" s="34">
        <f>IF($D148 = "SPLIT", "",COUNTIFS($D$7:$D$347,$D148,T$7:T$347,"&gt;"&amp;T148)+1)</f>
        <v>27</v>
      </c>
      <c r="AK148" s="34">
        <f>IF($D148 = "SPLIT", "",COUNTIFS($D$7:$D$347,$D148,X$7:X$347,"&lt;"&amp;X148)+1)</f>
        <v>11</v>
      </c>
      <c r="AL148" s="34">
        <f>IF($D148 = "SPLIT", "",COUNTIFS($D$7:$D$347,$D148,Z$7:Z$347,"&gt;"&amp;Z148)+1)</f>
        <v>10</v>
      </c>
      <c r="AM148" s="34">
        <f>IF($D148 = "SPLIT", "",COUNTIFS($D$7:$D$347,$D148,AB$7:AB$347,"&gt;"&amp;AB148)+1)</f>
        <v>8</v>
      </c>
      <c r="AN148" s="34">
        <f>IF($D148 = "SPLIT", "",COUNTIFS($D$7:$D$347,$D148,AD$7:AD$347,"&gt;"&amp;AD148)+1)</f>
        <v>39</v>
      </c>
      <c r="AO148" s="34">
        <f>IF($D148 = "SPLIT", "",COUNTIFS($D$7:$D$347,$D148,AF$7:AF$347,"&gt;"&amp;AF148)+1)</f>
        <v>24</v>
      </c>
    </row>
    <row r="149" spans="1:41" hidden="1" x14ac:dyDescent="0.25">
      <c r="A149" s="25">
        <v>540104</v>
      </c>
      <c r="B149" s="25" t="s">
        <v>264</v>
      </c>
      <c r="C149" s="25" t="s">
        <v>255</v>
      </c>
      <c r="D149" s="25" t="s">
        <v>55</v>
      </c>
      <c r="E149" s="26">
        <v>6</v>
      </c>
      <c r="F149" s="26" t="s">
        <v>186</v>
      </c>
      <c r="G149" s="26">
        <v>19</v>
      </c>
      <c r="H149" s="26">
        <v>0</v>
      </c>
      <c r="I149" s="26">
        <v>4</v>
      </c>
      <c r="J149" s="26">
        <v>0</v>
      </c>
      <c r="K149" s="26">
        <v>23</v>
      </c>
      <c r="L149" s="35">
        <v>0.82599999999999996</v>
      </c>
      <c r="M149" s="35">
        <v>0</v>
      </c>
      <c r="N149" s="35">
        <v>0.17399999999999999</v>
      </c>
      <c r="O149" s="35">
        <v>0</v>
      </c>
      <c r="P149" s="35">
        <v>0</v>
      </c>
      <c r="Q149" s="35">
        <v>0</v>
      </c>
      <c r="S149" s="26">
        <v>5</v>
      </c>
      <c r="T149" s="26">
        <v>0</v>
      </c>
      <c r="U149" s="26">
        <v>0</v>
      </c>
      <c r="W149" s="26">
        <v>1935.4</v>
      </c>
      <c r="X149" s="26">
        <v>1916</v>
      </c>
      <c r="Y149" s="28">
        <v>117986.2</v>
      </c>
      <c r="Z149" s="28">
        <v>48500</v>
      </c>
      <c r="AA149" s="28">
        <v>85188.6</v>
      </c>
      <c r="AB149" s="28">
        <v>47000</v>
      </c>
      <c r="AC149" s="35">
        <v>0.18</v>
      </c>
      <c r="AD149" s="35">
        <v>0.16200000000000001</v>
      </c>
      <c r="AE149" s="28">
        <v>13592.3</v>
      </c>
      <c r="AF149" s="28">
        <v>4725.2</v>
      </c>
      <c r="AH149" s="29">
        <f>IF($D149 = "SPLIT", "",COUNTIFS($D$7:$D$347,$D149,N$7:N$347,"&gt;"&amp;N149)+1)</f>
        <v>77</v>
      </c>
      <c r="AI149" s="29">
        <f>IF($D149 = "SPLIT", "",COUNTIFS($D$7:$D$347,$D149,S$7:S$347,"&gt;"&amp;S149)+1)</f>
        <v>110</v>
      </c>
      <c r="AJ149" s="29">
        <f>IF($D149 = "SPLIT", "",COUNTIFS($D$7:$D$347,$D149,T$7:T$347,"&gt;"&amp;T149)+1)</f>
        <v>113</v>
      </c>
      <c r="AK149" s="29">
        <f>IF($D149 = "SPLIT", "",COUNTIFS($D$7:$D$347,$D149,X$7:X$347,"&lt;"&amp;X149)+1)</f>
        <v>19</v>
      </c>
      <c r="AL149" s="29">
        <f>IF($D149 = "SPLIT", "",COUNTIFS($D$7:$D$347,$D149,Z$7:Z$347,"&gt;"&amp;Z149)+1)</f>
        <v>79</v>
      </c>
      <c r="AM149" s="29">
        <f>IF($D149 = "SPLIT", "",COUNTIFS($D$7:$D$347,$D149,AB$7:AB$347,"&gt;"&amp;AB149)+1)</f>
        <v>71</v>
      </c>
      <c r="AN149" s="29">
        <f>IF($D149 = "SPLIT", "",COUNTIFS($D$7:$D$347,$D149,AD$7:AD$347,"&gt;"&amp;AD149)+1)</f>
        <v>66</v>
      </c>
      <c r="AO149" s="29">
        <f>IF($D149 = "SPLIT", "",COUNTIFS($D$7:$D$347,$D149,AF$7:AF$347,"&gt;"&amp;AF149)+1)</f>
        <v>96</v>
      </c>
    </row>
    <row r="150" spans="1:41" hidden="1" x14ac:dyDescent="0.25">
      <c r="A150" s="25">
        <v>540292</v>
      </c>
      <c r="B150" s="25" t="s">
        <v>265</v>
      </c>
      <c r="C150" s="25" t="s">
        <v>255</v>
      </c>
      <c r="D150" s="25" t="s">
        <v>55</v>
      </c>
      <c r="E150" s="26">
        <v>6</v>
      </c>
      <c r="F150" s="26" t="s">
        <v>266</v>
      </c>
      <c r="G150" s="26">
        <v>52</v>
      </c>
      <c r="H150" s="26">
        <v>0</v>
      </c>
      <c r="I150" s="26">
        <v>1</v>
      </c>
      <c r="J150" s="26">
        <v>3</v>
      </c>
      <c r="K150" s="26">
        <v>56</v>
      </c>
      <c r="L150" s="35">
        <v>0.92900000000000005</v>
      </c>
      <c r="M150" s="35">
        <v>0</v>
      </c>
      <c r="N150" s="35">
        <v>1.7999999999999999E-2</v>
      </c>
      <c r="O150" s="35">
        <v>5.3999999999999999E-2</v>
      </c>
      <c r="P150" s="35">
        <v>3.5999999999999997E-2</v>
      </c>
      <c r="Q150" s="35">
        <v>0</v>
      </c>
      <c r="S150" s="26">
        <v>33</v>
      </c>
      <c r="T150" s="26">
        <v>1</v>
      </c>
      <c r="U150" s="26">
        <v>2</v>
      </c>
      <c r="W150" s="26">
        <v>1982.1</v>
      </c>
      <c r="X150" s="26">
        <v>1984</v>
      </c>
      <c r="Y150" s="28">
        <v>93347.7</v>
      </c>
      <c r="Z150" s="28">
        <v>74250</v>
      </c>
      <c r="AA150" s="28">
        <v>93347.7</v>
      </c>
      <c r="AB150" s="28">
        <v>74250</v>
      </c>
      <c r="AC150" s="35">
        <v>0.34499999999999997</v>
      </c>
      <c r="AD150" s="35">
        <v>0.33800000000000002</v>
      </c>
      <c r="AE150" s="28">
        <v>29420.3</v>
      </c>
      <c r="AF150" s="28">
        <v>19752.400000000001</v>
      </c>
      <c r="AH150" s="29">
        <f>IF($D150 = "SPLIT", "",COUNTIFS($D$7:$D$347,$D150,N$7:N$347,"&gt;"&amp;N150)+1)</f>
        <v>187</v>
      </c>
      <c r="AI150" s="29">
        <f>IF($D150 = "SPLIT", "",COUNTIFS($D$7:$D$347,$D150,S$7:S$347,"&gt;"&amp;S150)+1)</f>
        <v>46</v>
      </c>
      <c r="AJ150" s="29">
        <f>IF($D150 = "SPLIT", "",COUNTIFS($D$7:$D$347,$D150,T$7:T$347,"&gt;"&amp;T150)+1)</f>
        <v>84</v>
      </c>
      <c r="AK150" s="29">
        <f>IF($D150 = "SPLIT", "",COUNTIFS($D$7:$D$347,$D150,X$7:X$347,"&lt;"&amp;X150)+1)</f>
        <v>197</v>
      </c>
      <c r="AL150" s="29">
        <f>IF($D150 = "SPLIT", "",COUNTIFS($D$7:$D$347,$D150,Z$7:Z$347,"&gt;"&amp;Z150)+1)</f>
        <v>29</v>
      </c>
      <c r="AM150" s="29">
        <f>IF($D150 = "SPLIT", "",COUNTIFS($D$7:$D$347,$D150,AB$7:AB$347,"&gt;"&amp;AB150)+1)</f>
        <v>16</v>
      </c>
      <c r="AN150" s="29">
        <f>IF($D150 = "SPLIT", "",COUNTIFS($D$7:$D$347,$D150,AD$7:AD$347,"&gt;"&amp;AD150)+1)</f>
        <v>13</v>
      </c>
      <c r="AO150" s="29">
        <f>IF($D150 = "SPLIT", "",COUNTIFS($D$7:$D$347,$D150,AF$7:AF$347,"&gt;"&amp;AF150)+1)</f>
        <v>10</v>
      </c>
    </row>
    <row r="151" spans="1:41" hidden="1" x14ac:dyDescent="0.25">
      <c r="A151" s="25">
        <v>540105</v>
      </c>
      <c r="B151" s="25" t="s">
        <v>267</v>
      </c>
      <c r="C151" s="25" t="s">
        <v>255</v>
      </c>
      <c r="D151" s="25" t="s">
        <v>55</v>
      </c>
      <c r="E151" s="26">
        <v>6</v>
      </c>
      <c r="F151" s="26" t="s">
        <v>186</v>
      </c>
      <c r="G151" s="26">
        <v>20</v>
      </c>
      <c r="H151" s="26">
        <v>0</v>
      </c>
      <c r="I151" s="26">
        <v>3</v>
      </c>
      <c r="J151" s="26">
        <v>0</v>
      </c>
      <c r="K151" s="26">
        <v>23</v>
      </c>
      <c r="L151" s="35">
        <v>0.87</v>
      </c>
      <c r="M151" s="35">
        <v>0</v>
      </c>
      <c r="N151" s="35">
        <v>0.13</v>
      </c>
      <c r="O151" s="35">
        <v>0</v>
      </c>
      <c r="P151" s="35">
        <v>0</v>
      </c>
      <c r="Q151" s="35">
        <v>0</v>
      </c>
      <c r="S151" s="26">
        <v>5</v>
      </c>
      <c r="T151" s="26">
        <v>0</v>
      </c>
      <c r="U151" s="26">
        <v>0</v>
      </c>
      <c r="W151" s="26">
        <v>1947.4</v>
      </c>
      <c r="X151" s="26">
        <v>1940</v>
      </c>
      <c r="Y151" s="28">
        <v>56150</v>
      </c>
      <c r="Z151" s="28">
        <v>23100</v>
      </c>
      <c r="AA151" s="28">
        <v>33663.599999999999</v>
      </c>
      <c r="AB151" s="28">
        <v>21200</v>
      </c>
      <c r="AC151" s="35">
        <v>0.19900000000000001</v>
      </c>
      <c r="AD151" s="35">
        <v>0.18099999999999999</v>
      </c>
      <c r="AE151" s="28">
        <v>7142.5</v>
      </c>
      <c r="AF151" s="28">
        <v>3515.5</v>
      </c>
      <c r="AH151" s="29">
        <f>IF($D151 = "SPLIT", "",COUNTIFS($D$7:$D$347,$D151,N$7:N$347,"&gt;"&amp;N151)+1)</f>
        <v>105</v>
      </c>
      <c r="AI151" s="29">
        <f>IF($D151 = "SPLIT", "",COUNTIFS($D$7:$D$347,$D151,S$7:S$347,"&gt;"&amp;S151)+1)</f>
        <v>110</v>
      </c>
      <c r="AJ151" s="29">
        <f>IF($D151 = "SPLIT", "",COUNTIFS($D$7:$D$347,$D151,T$7:T$347,"&gt;"&amp;T151)+1)</f>
        <v>113</v>
      </c>
      <c r="AK151" s="29">
        <f>IF($D151 = "SPLIT", "",COUNTIFS($D$7:$D$347,$D151,X$7:X$347,"&lt;"&amp;X151)+1)</f>
        <v>72</v>
      </c>
      <c r="AL151" s="29">
        <f>IF($D151 = "SPLIT", "",COUNTIFS($D$7:$D$347,$D151,Z$7:Z$347,"&gt;"&amp;Z151)+1)</f>
        <v>184</v>
      </c>
      <c r="AM151" s="29">
        <f>IF($D151 = "SPLIT", "",COUNTIFS($D$7:$D$347,$D151,AB$7:AB$347,"&gt;"&amp;AB151)+1)</f>
        <v>184</v>
      </c>
      <c r="AN151" s="29">
        <f>IF($D151 = "SPLIT", "",COUNTIFS($D$7:$D$347,$D151,AD$7:AD$347,"&gt;"&amp;AD151)+1)</f>
        <v>60</v>
      </c>
      <c r="AO151" s="29">
        <f>IF($D151 = "SPLIT", "",COUNTIFS($D$7:$D$347,$D151,AF$7:AF$347,"&gt;"&amp;AF151)+1)</f>
        <v>124</v>
      </c>
    </row>
    <row r="152" spans="1:41" hidden="1" x14ac:dyDescent="0.25">
      <c r="A152" s="25">
        <v>540106</v>
      </c>
      <c r="B152" s="25" t="s">
        <v>268</v>
      </c>
      <c r="C152" s="25" t="s">
        <v>255</v>
      </c>
      <c r="D152" s="25" t="s">
        <v>55</v>
      </c>
      <c r="E152" s="26">
        <v>6</v>
      </c>
      <c r="F152" s="26" t="s">
        <v>186</v>
      </c>
      <c r="G152" s="26">
        <v>44</v>
      </c>
      <c r="H152" s="26">
        <v>0</v>
      </c>
      <c r="I152" s="26">
        <v>1</v>
      </c>
      <c r="J152" s="26">
        <v>0</v>
      </c>
      <c r="K152" s="26">
        <v>45</v>
      </c>
      <c r="L152" s="35">
        <v>0.97799999999999998</v>
      </c>
      <c r="M152" s="35">
        <v>0</v>
      </c>
      <c r="N152" s="35">
        <v>2.1999999999999999E-2</v>
      </c>
      <c r="O152" s="35">
        <v>0</v>
      </c>
      <c r="P152" s="35">
        <v>0</v>
      </c>
      <c r="Q152" s="35">
        <v>0</v>
      </c>
      <c r="S152" s="26">
        <v>20</v>
      </c>
      <c r="T152" s="26">
        <v>1</v>
      </c>
      <c r="U152" s="26">
        <v>0</v>
      </c>
      <c r="W152" s="26">
        <v>1918.5</v>
      </c>
      <c r="X152" s="26">
        <v>1910</v>
      </c>
      <c r="Y152" s="28">
        <v>59640</v>
      </c>
      <c r="Z152" s="28">
        <v>54200</v>
      </c>
      <c r="AA152" s="28">
        <v>61166.7</v>
      </c>
      <c r="AB152" s="28">
        <v>54800</v>
      </c>
      <c r="AC152" s="35">
        <v>0.28499999999999998</v>
      </c>
      <c r="AD152" s="35">
        <v>0.22800000000000001</v>
      </c>
      <c r="AE152" s="28">
        <v>16360.4</v>
      </c>
      <c r="AF152" s="28">
        <v>11910.4</v>
      </c>
      <c r="AH152" s="29">
        <f>IF($D152 = "SPLIT", "",COUNTIFS($D$7:$D$347,$D152,N$7:N$347,"&gt;"&amp;N152)+1)</f>
        <v>183</v>
      </c>
      <c r="AI152" s="29">
        <f>IF($D152 = "SPLIT", "",COUNTIFS($D$7:$D$347,$D152,S$7:S$347,"&gt;"&amp;S152)+1)</f>
        <v>65</v>
      </c>
      <c r="AJ152" s="29">
        <f>IF($D152 = "SPLIT", "",COUNTIFS($D$7:$D$347,$D152,T$7:T$347,"&gt;"&amp;T152)+1)</f>
        <v>84</v>
      </c>
      <c r="AK152" s="29">
        <f>IF($D152 = "SPLIT", "",COUNTIFS($D$7:$D$347,$D152,X$7:X$347,"&lt;"&amp;X152)+1)</f>
        <v>15</v>
      </c>
      <c r="AL152" s="29">
        <f>IF($D152 = "SPLIT", "",COUNTIFS($D$7:$D$347,$D152,Z$7:Z$347,"&gt;"&amp;Z152)+1)</f>
        <v>62</v>
      </c>
      <c r="AM152" s="29">
        <f>IF($D152 = "SPLIT", "",COUNTIFS($D$7:$D$347,$D152,AB$7:AB$347,"&gt;"&amp;AB152)+1)</f>
        <v>51</v>
      </c>
      <c r="AN152" s="29">
        <f>IF($D152 = "SPLIT", "",COUNTIFS($D$7:$D$347,$D152,AD$7:AD$347,"&gt;"&amp;AD152)+1)</f>
        <v>39</v>
      </c>
      <c r="AO152" s="29">
        <f>IF($D152 = "SPLIT", "",COUNTIFS($D$7:$D$347,$D152,AF$7:AF$347,"&gt;"&amp;AF152)+1)</f>
        <v>26</v>
      </c>
    </row>
    <row r="153" spans="1:41" hidden="1" x14ac:dyDescent="0.25">
      <c r="A153" s="160"/>
      <c r="B153" s="160"/>
      <c r="C153" s="160" t="s">
        <v>255</v>
      </c>
      <c r="D153" s="160" t="s">
        <v>2</v>
      </c>
      <c r="E153" s="161">
        <v>6</v>
      </c>
      <c r="F153" s="161"/>
      <c r="G153" s="161">
        <v>1307</v>
      </c>
      <c r="H153" s="161">
        <v>39</v>
      </c>
      <c r="I153" s="161">
        <v>302</v>
      </c>
      <c r="J153" s="161">
        <v>59</v>
      </c>
      <c r="K153" s="161">
        <v>1707</v>
      </c>
      <c r="L153" s="162">
        <v>0.76600000000000001</v>
      </c>
      <c r="M153" s="162">
        <v>2.3E-2</v>
      </c>
      <c r="N153" s="162">
        <v>0.17699999999999999</v>
      </c>
      <c r="O153" s="162">
        <v>3.5000000000000003E-2</v>
      </c>
      <c r="P153" s="162">
        <v>2.9000000000000001E-2</v>
      </c>
      <c r="Q153" s="162">
        <v>4.0000000000000001E-3</v>
      </c>
      <c r="S153" s="161">
        <v>345</v>
      </c>
      <c r="T153" s="161">
        <v>35</v>
      </c>
      <c r="U153" s="161">
        <v>14</v>
      </c>
      <c r="W153" s="161">
        <v>1951.2</v>
      </c>
      <c r="X153" s="161">
        <v>1951.5</v>
      </c>
      <c r="Y153" s="163">
        <v>79828.5</v>
      </c>
      <c r="Z153" s="163">
        <v>51400</v>
      </c>
      <c r="AA153" s="163">
        <v>77260.3</v>
      </c>
      <c r="AB153" s="163">
        <v>61900</v>
      </c>
      <c r="AC153" s="162">
        <v>0.19500000000000001</v>
      </c>
      <c r="AD153" s="162">
        <v>0.12</v>
      </c>
      <c r="AE153" s="163">
        <v>12168.5</v>
      </c>
      <c r="AF153" s="163">
        <v>5776</v>
      </c>
      <c r="AH153" s="164">
        <f>IF($D153 = "SPLIT", "",COUNTIFS($D$7:$D$347,$D153,N$7:N$347,"&gt;"&amp;N153)+1)</f>
        <v>37</v>
      </c>
      <c r="AI153" s="164">
        <f>IF($D153 = "SPLIT", "",COUNTIFS($D$7:$D$347,$D153,S$7:S$347,"&gt;"&amp;S153)+1)</f>
        <v>16</v>
      </c>
      <c r="AJ153" s="164">
        <f>IF($D153 = "SPLIT", "",COUNTIFS($D$7:$D$347,$D153,T$7:T$347,"&gt;"&amp;T153)+1)</f>
        <v>27</v>
      </c>
      <c r="AK153" s="164">
        <f>IF($D153 = "SPLIT", "",COUNTIFS($D$7:$D$347,$D153,X$7:X$347,"&lt;"&amp;X153)+1)</f>
        <v>8</v>
      </c>
      <c r="AL153" s="164">
        <f>IF($D153 = "SPLIT", "",COUNTIFS($D$7:$D$347,$D153,Z$7:Z$347,"&gt;"&amp;Z153)+1)</f>
        <v>12</v>
      </c>
      <c r="AM153" s="164">
        <f>IF($D153 = "SPLIT", "",COUNTIFS($D$7:$D$347,$D153,AB$7:AB$347,"&gt;"&amp;AB153)+1)</f>
        <v>10</v>
      </c>
      <c r="AN153" s="164">
        <f>IF($D153 = "SPLIT", "",COUNTIFS($D$7:$D$347,$D153,AD$7:AD$347,"&gt;"&amp;AD153)+1)</f>
        <v>44</v>
      </c>
      <c r="AO153" s="164">
        <f>IF($D153 = "SPLIT", "",COUNTIFS($D$7:$D$347,$D153,AF$7:AF$347,"&gt;"&amp;AF153)+1)</f>
        <v>32</v>
      </c>
    </row>
    <row r="154" spans="1:41" hidden="1" x14ac:dyDescent="0.25">
      <c r="A154" s="25">
        <v>540108</v>
      </c>
      <c r="B154" s="25" t="s">
        <v>269</v>
      </c>
      <c r="C154" s="25" t="s">
        <v>270</v>
      </c>
      <c r="D154" s="25" t="s">
        <v>55</v>
      </c>
      <c r="E154" s="26">
        <v>10</v>
      </c>
      <c r="F154" s="26" t="s">
        <v>271</v>
      </c>
      <c r="G154" s="26">
        <v>285</v>
      </c>
      <c r="H154" s="26">
        <v>0</v>
      </c>
      <c r="I154" s="26">
        <v>34</v>
      </c>
      <c r="J154" s="26">
        <v>1</v>
      </c>
      <c r="K154" s="26">
        <v>320</v>
      </c>
      <c r="L154" s="35">
        <v>0.89100000000000001</v>
      </c>
      <c r="M154" s="35">
        <v>0</v>
      </c>
      <c r="N154" s="35">
        <v>0.106</v>
      </c>
      <c r="O154" s="35">
        <v>3.0000000000000001E-3</v>
      </c>
      <c r="P154" s="35">
        <v>0</v>
      </c>
      <c r="Q154" s="35">
        <v>0</v>
      </c>
      <c r="S154" s="26">
        <v>174</v>
      </c>
      <c r="T154" s="26">
        <v>20</v>
      </c>
      <c r="U154" s="26">
        <v>2</v>
      </c>
      <c r="W154" s="26">
        <v>1919.7</v>
      </c>
      <c r="X154" s="26">
        <v>1900</v>
      </c>
      <c r="Y154" s="28">
        <v>84584.5</v>
      </c>
      <c r="Z154" s="28">
        <v>37800</v>
      </c>
      <c r="AA154" s="28">
        <v>36963</v>
      </c>
      <c r="AB154" s="28">
        <v>34500</v>
      </c>
      <c r="AC154" s="35">
        <v>0.32400000000000001</v>
      </c>
      <c r="AD154" s="35">
        <v>0.307</v>
      </c>
      <c r="AE154" s="28">
        <v>15931</v>
      </c>
      <c r="AF154" s="28">
        <v>11498.8</v>
      </c>
      <c r="AH154" s="29">
        <f>IF($D154 = "SPLIT", "",COUNTIFS($D$7:$D$347,$D154,N$7:N$347,"&gt;"&amp;N154)+1)</f>
        <v>125</v>
      </c>
      <c r="AI154" s="29">
        <f>IF($D154 = "SPLIT", "",COUNTIFS($D$7:$D$347,$D154,S$7:S$347,"&gt;"&amp;S154)+1)</f>
        <v>5</v>
      </c>
      <c r="AJ154" s="29">
        <f>IF($D154 = "SPLIT", "",COUNTIFS($D$7:$D$347,$D154,T$7:T$347,"&gt;"&amp;T154)+1)</f>
        <v>12</v>
      </c>
      <c r="AK154" s="29">
        <f>IF($D154 = "SPLIT", "",COUNTIFS($D$7:$D$347,$D154,X$7:X$347,"&lt;"&amp;X154)+1)</f>
        <v>10</v>
      </c>
      <c r="AL154" s="29">
        <f>IF($D154 = "SPLIT", "",COUNTIFS($D$7:$D$347,$D154,Z$7:Z$347,"&gt;"&amp;Z154)+1)</f>
        <v>120</v>
      </c>
      <c r="AM154" s="29">
        <f>IF($D154 = "SPLIT", "",COUNTIFS($D$7:$D$347,$D154,AB$7:AB$347,"&gt;"&amp;AB154)+1)</f>
        <v>116</v>
      </c>
      <c r="AN154" s="29">
        <f>IF($D154 = "SPLIT", "",COUNTIFS($D$7:$D$347,$D154,AD$7:AD$347,"&gt;"&amp;AD154)+1)</f>
        <v>16</v>
      </c>
      <c r="AO154" s="29">
        <f>IF($D154 = "SPLIT", "",COUNTIFS($D$7:$D$347,$D154,AF$7:AF$347,"&gt;"&amp;AF154)+1)</f>
        <v>28</v>
      </c>
    </row>
    <row r="155" spans="1:41" hidden="1" x14ac:dyDescent="0.25">
      <c r="A155" s="25">
        <v>540287</v>
      </c>
      <c r="B155" s="25" t="s">
        <v>272</v>
      </c>
      <c r="C155" s="25" t="s">
        <v>270</v>
      </c>
      <c r="D155" s="25" t="s">
        <v>55</v>
      </c>
      <c r="E155" s="26">
        <v>10</v>
      </c>
      <c r="F155" s="26" t="s">
        <v>273</v>
      </c>
      <c r="G155" s="26">
        <v>71</v>
      </c>
      <c r="H155" s="26">
        <v>0</v>
      </c>
      <c r="I155" s="26">
        <v>2</v>
      </c>
      <c r="J155" s="26">
        <v>3</v>
      </c>
      <c r="K155" s="26">
        <v>76</v>
      </c>
      <c r="L155" s="35">
        <v>0.93400000000000005</v>
      </c>
      <c r="M155" s="35">
        <v>0</v>
      </c>
      <c r="N155" s="35">
        <v>2.5999999999999999E-2</v>
      </c>
      <c r="O155" s="35">
        <v>3.9E-2</v>
      </c>
      <c r="P155" s="35">
        <v>0</v>
      </c>
      <c r="Q155" s="35">
        <v>1.2999999999999999E-2</v>
      </c>
      <c r="S155" s="26">
        <v>3</v>
      </c>
      <c r="T155" s="26">
        <v>0</v>
      </c>
      <c r="U155" s="26">
        <v>0</v>
      </c>
      <c r="W155" s="26">
        <v>1937.1</v>
      </c>
      <c r="X155" s="26">
        <v>1925</v>
      </c>
      <c r="Y155" s="28">
        <v>170196</v>
      </c>
      <c r="Z155" s="28">
        <v>41500</v>
      </c>
      <c r="AA155" s="28">
        <v>38623.5</v>
      </c>
      <c r="AB155" s="28">
        <v>37600</v>
      </c>
      <c r="AC155" s="35">
        <v>8.6999999999999994E-2</v>
      </c>
      <c r="AD155" s="35">
        <v>4.2000000000000003E-2</v>
      </c>
      <c r="AE155" s="28">
        <v>9242.7000000000007</v>
      </c>
      <c r="AF155" s="28">
        <v>2240</v>
      </c>
      <c r="AH155" s="29">
        <f>IF($D155 = "SPLIT", "",COUNTIFS($D$7:$D$347,$D155,N$7:N$347,"&gt;"&amp;N155)+1)</f>
        <v>181</v>
      </c>
      <c r="AI155" s="29">
        <f>IF($D155 = "SPLIT", "",COUNTIFS($D$7:$D$347,$D155,S$7:S$347,"&gt;"&amp;S155)+1)</f>
        <v>130</v>
      </c>
      <c r="AJ155" s="29">
        <f>IF($D155 = "SPLIT", "",COUNTIFS($D$7:$D$347,$D155,T$7:T$347,"&gt;"&amp;T155)+1)</f>
        <v>113</v>
      </c>
      <c r="AK155" s="29">
        <f>IF($D155 = "SPLIT", "",COUNTIFS($D$7:$D$347,$D155,X$7:X$347,"&lt;"&amp;X155)+1)</f>
        <v>39</v>
      </c>
      <c r="AL155" s="29">
        <f>IF($D155 = "SPLIT", "",COUNTIFS($D$7:$D$347,$D155,Z$7:Z$347,"&gt;"&amp;Z155)+1)</f>
        <v>108</v>
      </c>
      <c r="AM155" s="29">
        <f>IF($D155 = "SPLIT", "",COUNTIFS($D$7:$D$347,$D155,AB$7:AB$347,"&gt;"&amp;AB155)+1)</f>
        <v>107</v>
      </c>
      <c r="AN155" s="29">
        <f>IF($D155 = "SPLIT", "",COUNTIFS($D$7:$D$347,$D155,AD$7:AD$347,"&gt;"&amp;AD155)+1)</f>
        <v>176</v>
      </c>
      <c r="AO155" s="29">
        <f>IF($D155 = "SPLIT", "",COUNTIFS($D$7:$D$347,$D155,AF$7:AF$347,"&gt;"&amp;AF155)+1)</f>
        <v>155</v>
      </c>
    </row>
    <row r="156" spans="1:41" hidden="1" x14ac:dyDescent="0.25">
      <c r="A156" s="25">
        <v>540109</v>
      </c>
      <c r="B156" s="25" t="s">
        <v>274</v>
      </c>
      <c r="C156" s="25" t="s">
        <v>270</v>
      </c>
      <c r="D156" s="25" t="s">
        <v>55</v>
      </c>
      <c r="E156" s="26">
        <v>10</v>
      </c>
      <c r="F156" s="26" t="s">
        <v>275</v>
      </c>
      <c r="G156" s="26">
        <v>31</v>
      </c>
      <c r="H156" s="26">
        <v>0</v>
      </c>
      <c r="I156" s="26">
        <v>9</v>
      </c>
      <c r="J156" s="26">
        <v>0</v>
      </c>
      <c r="K156" s="26">
        <v>40</v>
      </c>
      <c r="L156" s="35">
        <v>0.77500000000000002</v>
      </c>
      <c r="M156" s="35">
        <v>0</v>
      </c>
      <c r="N156" s="35">
        <v>0.22500000000000001</v>
      </c>
      <c r="O156" s="35">
        <v>0</v>
      </c>
      <c r="P156" s="35">
        <v>0</v>
      </c>
      <c r="Q156" s="35">
        <v>0</v>
      </c>
      <c r="S156" s="26">
        <v>13</v>
      </c>
      <c r="T156" s="26">
        <v>1</v>
      </c>
      <c r="U156" s="26">
        <v>0</v>
      </c>
      <c r="W156" s="26">
        <v>1955.1</v>
      </c>
      <c r="X156" s="26">
        <v>1955</v>
      </c>
      <c r="Y156" s="28">
        <v>1316118.6000000001</v>
      </c>
      <c r="Z156" s="28">
        <v>68250</v>
      </c>
      <c r="AA156" s="28">
        <v>66778.8</v>
      </c>
      <c r="AB156" s="28">
        <v>63100</v>
      </c>
      <c r="AC156" s="35">
        <v>0.192</v>
      </c>
      <c r="AD156" s="35">
        <v>0.18099999999999999</v>
      </c>
      <c r="AE156" s="28">
        <v>10813.8</v>
      </c>
      <c r="AF156" s="28">
        <v>8645.1</v>
      </c>
      <c r="AH156" s="29">
        <f>IF($D156 = "SPLIT", "",COUNTIFS($D$7:$D$347,$D156,N$7:N$347,"&gt;"&amp;N156)+1)</f>
        <v>58</v>
      </c>
      <c r="AI156" s="29">
        <f>IF($D156 = "SPLIT", "",COUNTIFS($D$7:$D$347,$D156,S$7:S$347,"&gt;"&amp;S156)+1)</f>
        <v>81</v>
      </c>
      <c r="AJ156" s="29">
        <f>IF($D156 = "SPLIT", "",COUNTIFS($D$7:$D$347,$D156,T$7:T$347,"&gt;"&amp;T156)+1)</f>
        <v>84</v>
      </c>
      <c r="AK156" s="29">
        <f>IF($D156 = "SPLIT", "",COUNTIFS($D$7:$D$347,$D156,X$7:X$347,"&lt;"&amp;X156)+1)</f>
        <v>134</v>
      </c>
      <c r="AL156" s="29">
        <f>IF($D156 = "SPLIT", "",COUNTIFS($D$7:$D$347,$D156,Z$7:Z$347,"&gt;"&amp;Z156)+1)</f>
        <v>38</v>
      </c>
      <c r="AM156" s="29">
        <f>IF($D156 = "SPLIT", "",COUNTIFS($D$7:$D$347,$D156,AB$7:AB$347,"&gt;"&amp;AB156)+1)</f>
        <v>35</v>
      </c>
      <c r="AN156" s="29">
        <f>IF($D156 = "SPLIT", "",COUNTIFS($D$7:$D$347,$D156,AD$7:AD$347,"&gt;"&amp;AD156)+1)</f>
        <v>60</v>
      </c>
      <c r="AO156" s="29">
        <f>IF($D156 = "SPLIT", "",COUNTIFS($D$7:$D$347,$D156,AF$7:AF$347,"&gt;"&amp;AF156)+1)</f>
        <v>46</v>
      </c>
    </row>
    <row r="157" spans="1:41" hidden="1" x14ac:dyDescent="0.25">
      <c r="A157" s="30">
        <v>540107</v>
      </c>
      <c r="B157" s="30" t="s">
        <v>276</v>
      </c>
      <c r="C157" s="30" t="s">
        <v>270</v>
      </c>
      <c r="D157" s="30" t="s">
        <v>52</v>
      </c>
      <c r="E157" s="31">
        <v>10</v>
      </c>
      <c r="F157" s="31" t="s">
        <v>277</v>
      </c>
      <c r="G157" s="31">
        <v>415</v>
      </c>
      <c r="H157" s="31">
        <v>16</v>
      </c>
      <c r="I157" s="31">
        <v>191</v>
      </c>
      <c r="J157" s="31">
        <v>22</v>
      </c>
      <c r="K157" s="31">
        <v>644</v>
      </c>
      <c r="L157" s="32">
        <v>0.64400000000000002</v>
      </c>
      <c r="M157" s="32">
        <v>2.5000000000000001E-2</v>
      </c>
      <c r="N157" s="32">
        <v>0.29699999999999999</v>
      </c>
      <c r="O157" s="32">
        <v>3.4000000000000002E-2</v>
      </c>
      <c r="P157" s="32">
        <v>2.5999999999999999E-2</v>
      </c>
      <c r="Q157" s="32">
        <v>0</v>
      </c>
      <c r="S157" s="31">
        <v>120</v>
      </c>
      <c r="T157" s="31">
        <v>35</v>
      </c>
      <c r="U157" s="31">
        <v>9</v>
      </c>
      <c r="W157" s="31">
        <v>1960.1</v>
      </c>
      <c r="X157" s="31">
        <v>1965</v>
      </c>
      <c r="Y157" s="33">
        <v>113671.6</v>
      </c>
      <c r="Z157" s="33">
        <v>49250</v>
      </c>
      <c r="AA157" s="33">
        <v>59369.1</v>
      </c>
      <c r="AB157" s="33">
        <v>44700</v>
      </c>
      <c r="AC157" s="32">
        <v>0.33200000000000002</v>
      </c>
      <c r="AD157" s="32">
        <v>0.30099999999999999</v>
      </c>
      <c r="AE157" s="33">
        <v>17340</v>
      </c>
      <c r="AF157" s="33">
        <v>9710.9</v>
      </c>
      <c r="AH157" s="34">
        <f>IF($D157 = "SPLIT", "",COUNTIFS($D$7:$D$347,$D157,N$7:N$347,"&gt;"&amp;N157)+1)</f>
        <v>15</v>
      </c>
      <c r="AI157" s="34">
        <f>IF($D157 = "SPLIT", "",COUNTIFS($D$7:$D$347,$D157,S$7:S$347,"&gt;"&amp;S157)+1)</f>
        <v>29</v>
      </c>
      <c r="AJ157" s="34">
        <f>IF($D157 = "SPLIT", "",COUNTIFS($D$7:$D$347,$D157,T$7:T$347,"&gt;"&amp;T157)+1)</f>
        <v>19</v>
      </c>
      <c r="AK157" s="34">
        <f>IF($D157 = "SPLIT", "",COUNTIFS($D$7:$D$347,$D157,X$7:X$347,"&lt;"&amp;X157)+1)</f>
        <v>11</v>
      </c>
      <c r="AL157" s="34">
        <f>IF($D157 = "SPLIT", "",COUNTIFS($D$7:$D$347,$D157,Z$7:Z$347,"&gt;"&amp;Z157)+1)</f>
        <v>14</v>
      </c>
      <c r="AM157" s="34">
        <f>IF($D157 = "SPLIT", "",COUNTIFS($D$7:$D$347,$D157,AB$7:AB$347,"&gt;"&amp;AB157)+1)</f>
        <v>14</v>
      </c>
      <c r="AN157" s="34">
        <f>IF($D157 = "SPLIT", "",COUNTIFS($D$7:$D$347,$D157,AD$7:AD$347,"&gt;"&amp;AD157)+1)</f>
        <v>11</v>
      </c>
      <c r="AO157" s="34">
        <f>IF($D157 = "SPLIT", "",COUNTIFS($D$7:$D$347,$D157,AF$7:AF$347,"&gt;"&amp;AF157)+1)</f>
        <v>14</v>
      </c>
    </row>
    <row r="158" spans="1:41" hidden="1" x14ac:dyDescent="0.25">
      <c r="A158" s="25">
        <v>540110</v>
      </c>
      <c r="B158" s="25" t="s">
        <v>278</v>
      </c>
      <c r="C158" s="25" t="s">
        <v>270</v>
      </c>
      <c r="D158" s="25" t="s">
        <v>55</v>
      </c>
      <c r="E158" s="26">
        <v>10</v>
      </c>
      <c r="F158" s="26" t="s">
        <v>273</v>
      </c>
      <c r="G158" s="26">
        <v>141</v>
      </c>
      <c r="H158" s="26">
        <v>0</v>
      </c>
      <c r="I158" s="26">
        <v>3</v>
      </c>
      <c r="J158" s="26">
        <v>0</v>
      </c>
      <c r="K158" s="26">
        <v>144</v>
      </c>
      <c r="L158" s="35">
        <v>0.97899999999999998</v>
      </c>
      <c r="M158" s="35">
        <v>0</v>
      </c>
      <c r="N158" s="35">
        <v>2.1000000000000001E-2</v>
      </c>
      <c r="O158" s="35">
        <v>0</v>
      </c>
      <c r="P158" s="35">
        <v>0</v>
      </c>
      <c r="Q158" s="35">
        <v>0</v>
      </c>
      <c r="S158" s="26">
        <v>19</v>
      </c>
      <c r="T158" s="26">
        <v>0</v>
      </c>
      <c r="U158" s="26">
        <v>0</v>
      </c>
      <c r="W158" s="26">
        <v>1930.7</v>
      </c>
      <c r="X158" s="26">
        <v>1920.5</v>
      </c>
      <c r="Y158" s="28">
        <v>60074.7</v>
      </c>
      <c r="Z158" s="28">
        <v>46350</v>
      </c>
      <c r="AA158" s="28">
        <v>48562.1</v>
      </c>
      <c r="AB158" s="28">
        <v>46100</v>
      </c>
      <c r="AC158" s="35">
        <v>0.19</v>
      </c>
      <c r="AD158" s="35">
        <v>0.19900000000000001</v>
      </c>
      <c r="AE158" s="28">
        <v>8600.1</v>
      </c>
      <c r="AF158" s="28">
        <v>8625.7999999999993</v>
      </c>
      <c r="AH158" s="29">
        <f>IF($D158 = "SPLIT", "",COUNTIFS($D$7:$D$347,$D158,N$7:N$347,"&gt;"&amp;N158)+1)</f>
        <v>184</v>
      </c>
      <c r="AI158" s="29">
        <f>IF($D158 = "SPLIT", "",COUNTIFS($D$7:$D$347,$D158,S$7:S$347,"&gt;"&amp;S158)+1)</f>
        <v>71</v>
      </c>
      <c r="AJ158" s="29">
        <f>IF($D158 = "SPLIT", "",COUNTIFS($D$7:$D$347,$D158,T$7:T$347,"&gt;"&amp;T158)+1)</f>
        <v>113</v>
      </c>
      <c r="AK158" s="29">
        <f>IF($D158 = "SPLIT", "",COUNTIFS($D$7:$D$347,$D158,X$7:X$347,"&lt;"&amp;X158)+1)</f>
        <v>37</v>
      </c>
      <c r="AL158" s="29">
        <f>IF($D158 = "SPLIT", "",COUNTIFS($D$7:$D$347,$D158,Z$7:Z$347,"&gt;"&amp;Z158)+1)</f>
        <v>88</v>
      </c>
      <c r="AM158" s="29">
        <f>IF($D158 = "SPLIT", "",COUNTIFS($D$7:$D$347,$D158,AB$7:AB$347,"&gt;"&amp;AB158)+1)</f>
        <v>73</v>
      </c>
      <c r="AN158" s="29">
        <f>IF($D158 = "SPLIT", "",COUNTIFS($D$7:$D$347,$D158,AD$7:AD$347,"&gt;"&amp;AD158)+1)</f>
        <v>49</v>
      </c>
      <c r="AO158" s="29">
        <f>IF($D158 = "SPLIT", "",COUNTIFS($D$7:$D$347,$D158,AF$7:AF$347,"&gt;"&amp;AF158)+1)</f>
        <v>47</v>
      </c>
    </row>
    <row r="159" spans="1:41" hidden="1" x14ac:dyDescent="0.25">
      <c r="A159" s="25">
        <v>540111</v>
      </c>
      <c r="B159" s="25" t="s">
        <v>279</v>
      </c>
      <c r="C159" s="25" t="s">
        <v>270</v>
      </c>
      <c r="D159" s="25" t="s">
        <v>55</v>
      </c>
      <c r="E159" s="26">
        <v>10</v>
      </c>
      <c r="F159" s="26" t="s">
        <v>280</v>
      </c>
      <c r="G159" s="26">
        <v>187</v>
      </c>
      <c r="H159" s="26">
        <v>6</v>
      </c>
      <c r="I159" s="26">
        <v>118</v>
      </c>
      <c r="J159" s="26">
        <v>24</v>
      </c>
      <c r="K159" s="26">
        <v>335</v>
      </c>
      <c r="L159" s="35">
        <v>0.55800000000000005</v>
      </c>
      <c r="M159" s="35">
        <v>1.7999999999999999E-2</v>
      </c>
      <c r="N159" s="35">
        <v>0.35199999999999998</v>
      </c>
      <c r="O159" s="35">
        <v>7.1999999999999995E-2</v>
      </c>
      <c r="P159" s="35">
        <v>7.1999999999999995E-2</v>
      </c>
      <c r="Q159" s="35">
        <v>0</v>
      </c>
      <c r="S159" s="26">
        <v>80</v>
      </c>
      <c r="T159" s="26">
        <v>24</v>
      </c>
      <c r="U159" s="26">
        <v>30</v>
      </c>
      <c r="W159" s="26">
        <v>1964.7</v>
      </c>
      <c r="X159" s="26">
        <v>1972</v>
      </c>
      <c r="Y159" s="28">
        <v>129527.4</v>
      </c>
      <c r="Z159" s="28">
        <v>19800</v>
      </c>
      <c r="AA159" s="28">
        <v>25254.2</v>
      </c>
      <c r="AB159" s="28">
        <v>14800</v>
      </c>
      <c r="AC159" s="35">
        <v>0.34499999999999997</v>
      </c>
      <c r="AD159" s="35">
        <v>0.26400000000000001</v>
      </c>
      <c r="AE159" s="28">
        <v>49188.4</v>
      </c>
      <c r="AF159" s="28">
        <v>6755.2</v>
      </c>
      <c r="AH159" s="29">
        <f>IF($D159 = "SPLIT", "",COUNTIFS($D$7:$D$347,$D159,N$7:N$347,"&gt;"&amp;N159)+1)</f>
        <v>25</v>
      </c>
      <c r="AI159" s="29">
        <f>IF($D159 = "SPLIT", "",COUNTIFS($D$7:$D$347,$D159,S$7:S$347,"&gt;"&amp;S159)+1)</f>
        <v>20</v>
      </c>
      <c r="AJ159" s="29">
        <f>IF($D159 = "SPLIT", "",COUNTIFS($D$7:$D$347,$D159,T$7:T$347,"&gt;"&amp;T159)+1)</f>
        <v>6</v>
      </c>
      <c r="AK159" s="29">
        <f>IF($D159 = "SPLIT", "",COUNTIFS($D$7:$D$347,$D159,X$7:X$347,"&lt;"&amp;X159)+1)</f>
        <v>169</v>
      </c>
      <c r="AL159" s="29">
        <f>IF($D159 = "SPLIT", "",COUNTIFS($D$7:$D$347,$D159,Z$7:Z$347,"&gt;"&amp;Z159)+1)</f>
        <v>194</v>
      </c>
      <c r="AM159" s="29">
        <f>IF($D159 = "SPLIT", "",COUNTIFS($D$7:$D$347,$D159,AB$7:AB$347,"&gt;"&amp;AB159)+1)</f>
        <v>199</v>
      </c>
      <c r="AN159" s="29">
        <f>IF($D159 = "SPLIT", "",COUNTIFS($D$7:$D$347,$D159,AD$7:AD$347,"&gt;"&amp;AD159)+1)</f>
        <v>28</v>
      </c>
      <c r="AO159" s="29">
        <f>IF($D159 = "SPLIT", "",COUNTIFS($D$7:$D$347,$D159,AF$7:AF$347,"&gt;"&amp;AF159)+1)</f>
        <v>68</v>
      </c>
    </row>
    <row r="160" spans="1:41" hidden="1" x14ac:dyDescent="0.25">
      <c r="A160" s="25">
        <v>540152</v>
      </c>
      <c r="B160" s="25" t="s">
        <v>281</v>
      </c>
      <c r="C160" s="25" t="s">
        <v>270</v>
      </c>
      <c r="D160" s="25" t="s">
        <v>88</v>
      </c>
      <c r="E160" s="26">
        <v>10</v>
      </c>
      <c r="F160" s="26" t="s">
        <v>282</v>
      </c>
      <c r="G160" s="26">
        <v>4</v>
      </c>
      <c r="H160" s="26">
        <v>0</v>
      </c>
      <c r="I160" s="26">
        <v>0</v>
      </c>
      <c r="J160" s="26">
        <v>0</v>
      </c>
      <c r="K160" s="26">
        <v>4</v>
      </c>
      <c r="L160" s="35">
        <v>1</v>
      </c>
      <c r="M160" s="35">
        <v>0</v>
      </c>
      <c r="N160" s="35">
        <v>0</v>
      </c>
      <c r="O160" s="35">
        <v>0</v>
      </c>
      <c r="P160" s="35">
        <v>0</v>
      </c>
      <c r="Q160" s="35">
        <v>0</v>
      </c>
      <c r="S160" s="26">
        <v>0</v>
      </c>
      <c r="T160" s="26">
        <v>0</v>
      </c>
      <c r="U160" s="26">
        <v>0</v>
      </c>
      <c r="W160" s="26">
        <v>1901</v>
      </c>
      <c r="X160" s="26">
        <v>1900</v>
      </c>
      <c r="Y160" s="28">
        <v>41000</v>
      </c>
      <c r="Z160" s="28">
        <v>39400</v>
      </c>
      <c r="AA160" s="28">
        <v>41000</v>
      </c>
      <c r="AB160" s="28">
        <v>39400</v>
      </c>
      <c r="AC160" s="35">
        <v>0.20399999999999999</v>
      </c>
      <c r="AD160" s="35">
        <v>0.189</v>
      </c>
      <c r="AE160" s="28">
        <v>7923.2</v>
      </c>
      <c r="AF160" s="28">
        <v>8684.6</v>
      </c>
      <c r="AH160" s="29" t="str">
        <f>IF($D160 = "SPLIT", "",COUNTIFS($D$7:$D$347,$D160,N$7:N$347,"&gt;"&amp;N160)+1)</f>
        <v/>
      </c>
      <c r="AI160" s="29" t="str">
        <f>IF($D160 = "SPLIT", "",COUNTIFS($D$7:$D$347,$D160,S$7:S$347,"&gt;"&amp;S160)+1)</f>
        <v/>
      </c>
      <c r="AJ160" s="29" t="str">
        <f>IF($D160 = "SPLIT", "",COUNTIFS($D$7:$D$347,$D160,T$7:T$347,"&gt;"&amp;T160)+1)</f>
        <v/>
      </c>
      <c r="AK160" s="29" t="str">
        <f>IF($D160 = "SPLIT", "",COUNTIFS($D$7:$D$347,$D160,X$7:X$347,"&lt;"&amp;X160)+1)</f>
        <v/>
      </c>
      <c r="AL160" s="29" t="str">
        <f>IF($D160 = "SPLIT", "",COUNTIFS($D$7:$D$347,$D160,Z$7:Z$347,"&gt;"&amp;Z160)+1)</f>
        <v/>
      </c>
      <c r="AM160" s="29" t="str">
        <f>IF($D160 = "SPLIT", "",COUNTIFS($D$7:$D$347,$D160,AB$7:AB$347,"&gt;"&amp;AB160)+1)</f>
        <v/>
      </c>
      <c r="AN160" s="29" t="str">
        <f>IF($D160 = "SPLIT", "",COUNTIFS($D$7:$D$347,$D160,AD$7:AD$347,"&gt;"&amp;AD160)+1)</f>
        <v/>
      </c>
      <c r="AO160" s="29" t="str">
        <f>IF($D160 = "SPLIT", "",COUNTIFS($D$7:$D$347,$D160,AF$7:AF$347,"&gt;"&amp;AF160)+1)</f>
        <v/>
      </c>
    </row>
    <row r="161" spans="1:41" hidden="1" x14ac:dyDescent="0.25">
      <c r="A161" s="160"/>
      <c r="B161" s="160"/>
      <c r="C161" s="160" t="s">
        <v>270</v>
      </c>
      <c r="D161" s="160" t="s">
        <v>2</v>
      </c>
      <c r="E161" s="161">
        <v>10</v>
      </c>
      <c r="F161" s="161"/>
      <c r="G161" s="161">
        <v>1134</v>
      </c>
      <c r="H161" s="161">
        <v>22</v>
      </c>
      <c r="I161" s="161">
        <v>357</v>
      </c>
      <c r="J161" s="161">
        <v>50</v>
      </c>
      <c r="K161" s="161">
        <v>1563</v>
      </c>
      <c r="L161" s="162">
        <v>0.72599999999999998</v>
      </c>
      <c r="M161" s="162">
        <v>1.4E-2</v>
      </c>
      <c r="N161" s="162">
        <v>0.22800000000000001</v>
      </c>
      <c r="O161" s="162">
        <v>3.2000000000000001E-2</v>
      </c>
      <c r="P161" s="162">
        <v>2.5999999999999999E-2</v>
      </c>
      <c r="Q161" s="162">
        <v>1E-3</v>
      </c>
      <c r="S161" s="161">
        <v>409</v>
      </c>
      <c r="T161" s="161">
        <v>80</v>
      </c>
      <c r="U161" s="161">
        <v>41</v>
      </c>
      <c r="W161" s="161">
        <v>1947.2</v>
      </c>
      <c r="X161" s="161">
        <v>1955</v>
      </c>
      <c r="Y161" s="163">
        <v>139512.20000000001</v>
      </c>
      <c r="Z161" s="163">
        <v>38900</v>
      </c>
      <c r="AA161" s="163">
        <v>54858.1</v>
      </c>
      <c r="AB161" s="163">
        <v>45600</v>
      </c>
      <c r="AC161" s="162">
        <v>0.309</v>
      </c>
      <c r="AD161" s="162">
        <v>0.27600000000000002</v>
      </c>
      <c r="AE161" s="163">
        <v>23017.4</v>
      </c>
      <c r="AF161" s="163">
        <v>9720</v>
      </c>
      <c r="AH161" s="164">
        <f>IF($D161 = "SPLIT", "",COUNTIFS($D$7:$D$347,$D161,N$7:N$347,"&gt;"&amp;N161)+1)</f>
        <v>26</v>
      </c>
      <c r="AI161" s="164">
        <f>IF($D161 = "SPLIT", "",COUNTIFS($D$7:$D$347,$D161,S$7:S$347,"&gt;"&amp;S161)+1)</f>
        <v>11</v>
      </c>
      <c r="AJ161" s="164">
        <f>IF($D161 = "SPLIT", "",COUNTIFS($D$7:$D$347,$D161,T$7:T$347,"&gt;"&amp;T161)+1)</f>
        <v>13</v>
      </c>
      <c r="AK161" s="164">
        <f>IF($D161 = "SPLIT", "",COUNTIFS($D$7:$D$347,$D161,X$7:X$347,"&lt;"&amp;X161)+1)</f>
        <v>11</v>
      </c>
      <c r="AL161" s="164">
        <f>IF($D161 = "SPLIT", "",COUNTIFS($D$7:$D$347,$D161,Z$7:Z$347,"&gt;"&amp;Z161)+1)</f>
        <v>32</v>
      </c>
      <c r="AM161" s="164">
        <f>IF($D161 = "SPLIT", "",COUNTIFS($D$7:$D$347,$D161,AB$7:AB$347,"&gt;"&amp;AB161)+1)</f>
        <v>30</v>
      </c>
      <c r="AN161" s="164">
        <f>IF($D161 = "SPLIT", "",COUNTIFS($D$7:$D$347,$D161,AD$7:AD$347,"&gt;"&amp;AD161)+1)</f>
        <v>7</v>
      </c>
      <c r="AO161" s="164">
        <f>IF($D161 = "SPLIT", "",COUNTIFS($D$7:$D$347,$D161,AF$7:AF$347,"&gt;"&amp;AF161)+1)</f>
        <v>11</v>
      </c>
    </row>
    <row r="162" spans="1:41" hidden="1" x14ac:dyDescent="0.25">
      <c r="A162" s="25">
        <v>540247</v>
      </c>
      <c r="B162" s="25" t="s">
        <v>283</v>
      </c>
      <c r="C162" s="25" t="s">
        <v>284</v>
      </c>
      <c r="D162" s="25" t="s">
        <v>55</v>
      </c>
      <c r="E162" s="26">
        <v>2</v>
      </c>
      <c r="F162" s="26" t="s">
        <v>176</v>
      </c>
      <c r="G162" s="26">
        <v>83</v>
      </c>
      <c r="H162" s="26">
        <v>0</v>
      </c>
      <c r="I162" s="26">
        <v>95</v>
      </c>
      <c r="J162" s="26">
        <v>31</v>
      </c>
      <c r="K162" s="26">
        <v>209</v>
      </c>
      <c r="L162" s="35">
        <v>0.39700000000000002</v>
      </c>
      <c r="M162" s="35">
        <v>0</v>
      </c>
      <c r="N162" s="35">
        <v>0.45500000000000002</v>
      </c>
      <c r="O162" s="35">
        <v>0.14799999999999999</v>
      </c>
      <c r="P162" s="35">
        <v>0.129</v>
      </c>
      <c r="Q162" s="35">
        <v>0</v>
      </c>
      <c r="S162" s="26">
        <v>70</v>
      </c>
      <c r="T162" s="26">
        <v>27</v>
      </c>
      <c r="U162" s="26">
        <v>3</v>
      </c>
      <c r="W162" s="26">
        <v>1966.6</v>
      </c>
      <c r="X162" s="26">
        <v>1978</v>
      </c>
      <c r="Y162" s="28">
        <v>43385.5</v>
      </c>
      <c r="Z162" s="28">
        <v>30000</v>
      </c>
      <c r="AA162" s="28">
        <v>43321.3</v>
      </c>
      <c r="AB162" s="28">
        <v>29300</v>
      </c>
      <c r="AC162" s="35">
        <v>0.27400000000000002</v>
      </c>
      <c r="AD162" s="35">
        <v>0.215</v>
      </c>
      <c r="AE162" s="28">
        <v>10669.7</v>
      </c>
      <c r="AF162" s="28">
        <v>6727</v>
      </c>
      <c r="AH162" s="29">
        <f>IF($D162 = "SPLIT", "",COUNTIFS($D$7:$D$347,$D162,N$7:N$347,"&gt;"&amp;N162)+1)</f>
        <v>17</v>
      </c>
      <c r="AI162" s="29">
        <f>IF($D162 = "SPLIT", "",COUNTIFS($D$7:$D$347,$D162,S$7:S$347,"&gt;"&amp;S162)+1)</f>
        <v>24</v>
      </c>
      <c r="AJ162" s="29">
        <f>IF($D162 = "SPLIT", "",COUNTIFS($D$7:$D$347,$D162,T$7:T$347,"&gt;"&amp;T162)+1)</f>
        <v>5</v>
      </c>
      <c r="AK162" s="29">
        <f>IF($D162 = "SPLIT", "",COUNTIFS($D$7:$D$347,$D162,X$7:X$347,"&lt;"&amp;X162)+1)</f>
        <v>189</v>
      </c>
      <c r="AL162" s="29">
        <f>IF($D162 = "SPLIT", "",COUNTIFS($D$7:$D$347,$D162,Z$7:Z$347,"&gt;"&amp;Z162)+1)</f>
        <v>154</v>
      </c>
      <c r="AM162" s="29">
        <f>IF($D162 = "SPLIT", "",COUNTIFS($D$7:$D$347,$D162,AB$7:AB$347,"&gt;"&amp;AB162)+1)</f>
        <v>143</v>
      </c>
      <c r="AN162" s="29">
        <f>IF($D162 = "SPLIT", "",COUNTIFS($D$7:$D$347,$D162,AD$7:AD$347,"&gt;"&amp;AD162)+1)</f>
        <v>43</v>
      </c>
      <c r="AO162" s="29">
        <f>IF($D162 = "SPLIT", "",COUNTIFS($D$7:$D$347,$D162,AF$7:AF$347,"&gt;"&amp;AF162)+1)</f>
        <v>69</v>
      </c>
    </row>
    <row r="163" spans="1:41" hidden="1" x14ac:dyDescent="0.25">
      <c r="A163" s="25">
        <v>540251</v>
      </c>
      <c r="B163" s="25" t="s">
        <v>285</v>
      </c>
      <c r="C163" s="25" t="s">
        <v>284</v>
      </c>
      <c r="D163" s="25" t="s">
        <v>55</v>
      </c>
      <c r="E163" s="26">
        <v>2</v>
      </c>
      <c r="F163" s="26" t="s">
        <v>286</v>
      </c>
      <c r="G163" s="26">
        <v>89</v>
      </c>
      <c r="H163" s="26">
        <v>0</v>
      </c>
      <c r="I163" s="26">
        <v>34</v>
      </c>
      <c r="J163" s="26">
        <v>8</v>
      </c>
      <c r="K163" s="26">
        <v>131</v>
      </c>
      <c r="L163" s="35">
        <v>0.67900000000000005</v>
      </c>
      <c r="M163" s="35">
        <v>0</v>
      </c>
      <c r="N163" s="35">
        <v>0.26</v>
      </c>
      <c r="O163" s="35">
        <v>6.0999999999999999E-2</v>
      </c>
      <c r="P163" s="35">
        <v>6.0999999999999999E-2</v>
      </c>
      <c r="Q163" s="35">
        <v>0</v>
      </c>
      <c r="S163" s="26">
        <v>104</v>
      </c>
      <c r="T163" s="26">
        <v>31</v>
      </c>
      <c r="U163" s="26">
        <v>7</v>
      </c>
      <c r="W163" s="26">
        <v>1952.5</v>
      </c>
      <c r="X163" s="26">
        <v>1950</v>
      </c>
      <c r="Y163" s="28">
        <v>28508.1</v>
      </c>
      <c r="Z163" s="28">
        <v>22400</v>
      </c>
      <c r="AA163" s="28">
        <v>23300.1</v>
      </c>
      <c r="AB163" s="28">
        <v>20600</v>
      </c>
      <c r="AC163" s="35">
        <v>0.52200000000000002</v>
      </c>
      <c r="AD163" s="35">
        <v>0.52700000000000002</v>
      </c>
      <c r="AE163" s="28">
        <v>12191.2</v>
      </c>
      <c r="AF163" s="28">
        <v>10824.4</v>
      </c>
      <c r="AH163" s="29">
        <f>IF($D163 = "SPLIT", "",COUNTIFS($D$7:$D$347,$D163,N$7:N$347,"&gt;"&amp;N163)+1)</f>
        <v>47</v>
      </c>
      <c r="AI163" s="29">
        <f>IF($D163 = "SPLIT", "",COUNTIFS($D$7:$D$347,$D163,S$7:S$347,"&gt;"&amp;S163)+1)</f>
        <v>12</v>
      </c>
      <c r="AJ163" s="29">
        <f>IF($D163 = "SPLIT", "",COUNTIFS($D$7:$D$347,$D163,T$7:T$347,"&gt;"&amp;T163)+1)</f>
        <v>4</v>
      </c>
      <c r="AK163" s="29">
        <f>IF($D163 = "SPLIT", "",COUNTIFS($D$7:$D$347,$D163,X$7:X$347,"&lt;"&amp;X163)+1)</f>
        <v>120</v>
      </c>
      <c r="AL163" s="29">
        <f>IF($D163 = "SPLIT", "",COUNTIFS($D$7:$D$347,$D163,Z$7:Z$347,"&gt;"&amp;Z163)+1)</f>
        <v>186</v>
      </c>
      <c r="AM163" s="29">
        <f>IF($D163 = "SPLIT", "",COUNTIFS($D$7:$D$347,$D163,AB$7:AB$347,"&gt;"&amp;AB163)+1)</f>
        <v>186</v>
      </c>
      <c r="AN163" s="29">
        <f>IF($D163 = "SPLIT", "",COUNTIFS($D$7:$D$347,$D163,AD$7:AD$347,"&gt;"&amp;AD163)+1)</f>
        <v>4</v>
      </c>
      <c r="AO163" s="29">
        <f>IF($D163 = "SPLIT", "",COUNTIFS($D$7:$D$347,$D163,AF$7:AF$347,"&gt;"&amp;AF163)+1)</f>
        <v>29</v>
      </c>
    </row>
    <row r="164" spans="1:41" hidden="1" x14ac:dyDescent="0.25">
      <c r="A164" s="25">
        <v>540113</v>
      </c>
      <c r="B164" s="25" t="s">
        <v>287</v>
      </c>
      <c r="C164" s="25" t="s">
        <v>284</v>
      </c>
      <c r="D164" s="25" t="s">
        <v>55</v>
      </c>
      <c r="E164" s="26">
        <v>2</v>
      </c>
      <c r="F164" s="26" t="s">
        <v>288</v>
      </c>
      <c r="G164" s="26">
        <v>25</v>
      </c>
      <c r="H164" s="26">
        <v>0</v>
      </c>
      <c r="I164" s="26">
        <v>8</v>
      </c>
      <c r="J164" s="26">
        <v>0</v>
      </c>
      <c r="K164" s="26">
        <v>33</v>
      </c>
      <c r="L164" s="35">
        <v>0.75800000000000001</v>
      </c>
      <c r="M164" s="35">
        <v>0</v>
      </c>
      <c r="N164" s="35">
        <v>0.24199999999999999</v>
      </c>
      <c r="O164" s="35">
        <v>0</v>
      </c>
      <c r="P164" s="35">
        <v>0</v>
      </c>
      <c r="Q164" s="35">
        <v>0</v>
      </c>
      <c r="S164" s="26">
        <v>11</v>
      </c>
      <c r="T164" s="26">
        <v>4</v>
      </c>
      <c r="U164" s="26">
        <v>0</v>
      </c>
      <c r="W164" s="26">
        <v>1940</v>
      </c>
      <c r="X164" s="26">
        <v>1930</v>
      </c>
      <c r="Y164" s="28">
        <v>28530.3</v>
      </c>
      <c r="Z164" s="28">
        <v>22500</v>
      </c>
      <c r="AA164" s="28">
        <v>24506.9</v>
      </c>
      <c r="AB164" s="28">
        <v>22400</v>
      </c>
      <c r="AC164" s="35">
        <v>0.36799999999999999</v>
      </c>
      <c r="AD164" s="35">
        <v>0.378</v>
      </c>
      <c r="AE164" s="28">
        <v>7821.2</v>
      </c>
      <c r="AF164" s="28">
        <v>4485.7</v>
      </c>
      <c r="AH164" s="29">
        <f>IF($D164 = "SPLIT", "",COUNTIFS($D$7:$D$347,$D164,N$7:N$347,"&gt;"&amp;N164)+1)</f>
        <v>50</v>
      </c>
      <c r="AI164" s="29">
        <f>IF($D164 = "SPLIT", "",COUNTIFS($D$7:$D$347,$D164,S$7:S$347,"&gt;"&amp;S164)+1)</f>
        <v>91</v>
      </c>
      <c r="AJ164" s="29">
        <f>IF($D164 = "SPLIT", "",COUNTIFS($D$7:$D$347,$D164,T$7:T$347,"&gt;"&amp;T164)+1)</f>
        <v>40</v>
      </c>
      <c r="AK164" s="29">
        <f>IF($D164 = "SPLIT", "",COUNTIFS($D$7:$D$347,$D164,X$7:X$347,"&lt;"&amp;X164)+1)</f>
        <v>48</v>
      </c>
      <c r="AL164" s="29">
        <f>IF($D164 = "SPLIT", "",COUNTIFS($D$7:$D$347,$D164,Z$7:Z$347,"&gt;"&amp;Z164)+1)</f>
        <v>185</v>
      </c>
      <c r="AM164" s="29">
        <f>IF($D164 = "SPLIT", "",COUNTIFS($D$7:$D$347,$D164,AB$7:AB$347,"&gt;"&amp;AB164)+1)</f>
        <v>179</v>
      </c>
      <c r="AN164" s="29">
        <f>IF($D164 = "SPLIT", "",COUNTIFS($D$7:$D$347,$D164,AD$7:AD$347,"&gt;"&amp;AD164)+1)</f>
        <v>10</v>
      </c>
      <c r="AO164" s="29">
        <f>IF($D164 = "SPLIT", "",COUNTIFS($D$7:$D$347,$D164,AF$7:AF$347,"&gt;"&amp;AF164)+1)</f>
        <v>101</v>
      </c>
    </row>
    <row r="165" spans="1:41" hidden="1" x14ac:dyDescent="0.25">
      <c r="A165" s="25">
        <v>540248</v>
      </c>
      <c r="B165" s="25" t="s">
        <v>289</v>
      </c>
      <c r="C165" s="25" t="s">
        <v>284</v>
      </c>
      <c r="D165" s="25" t="s">
        <v>55</v>
      </c>
      <c r="E165" s="26">
        <v>2</v>
      </c>
      <c r="F165" s="26" t="s">
        <v>176</v>
      </c>
      <c r="G165" s="26">
        <v>49</v>
      </c>
      <c r="H165" s="26">
        <v>6</v>
      </c>
      <c r="I165" s="26">
        <v>39</v>
      </c>
      <c r="J165" s="26">
        <v>20</v>
      </c>
      <c r="K165" s="26">
        <v>114</v>
      </c>
      <c r="L165" s="35">
        <v>0.43</v>
      </c>
      <c r="M165" s="35">
        <v>5.2999999999999999E-2</v>
      </c>
      <c r="N165" s="35">
        <v>0.34200000000000003</v>
      </c>
      <c r="O165" s="35">
        <v>0.17499999999999999</v>
      </c>
      <c r="P165" s="35">
        <v>0.17499999999999999</v>
      </c>
      <c r="Q165" s="35">
        <v>0</v>
      </c>
      <c r="S165" s="26">
        <v>43</v>
      </c>
      <c r="T165" s="26">
        <v>12</v>
      </c>
      <c r="U165" s="26">
        <v>2</v>
      </c>
      <c r="W165" s="26">
        <v>1970.8</v>
      </c>
      <c r="X165" s="26">
        <v>1977</v>
      </c>
      <c r="Y165" s="28">
        <v>38209.199999999997</v>
      </c>
      <c r="Z165" s="28">
        <v>24700</v>
      </c>
      <c r="AA165" s="28">
        <v>36725.9</v>
      </c>
      <c r="AB165" s="28">
        <v>24050</v>
      </c>
      <c r="AC165" s="35">
        <v>0.31900000000000001</v>
      </c>
      <c r="AD165" s="35">
        <v>0.29299999999999998</v>
      </c>
      <c r="AE165" s="28">
        <v>8375.2999999999993</v>
      </c>
      <c r="AF165" s="28">
        <v>7227.3</v>
      </c>
      <c r="AH165" s="29">
        <f>IF($D165 = "SPLIT", "",COUNTIFS($D$7:$D$347,$D165,N$7:N$347,"&gt;"&amp;N165)+1)</f>
        <v>29</v>
      </c>
      <c r="AI165" s="29">
        <f>IF($D165 = "SPLIT", "",COUNTIFS($D$7:$D$347,$D165,S$7:S$347,"&gt;"&amp;S165)+1)</f>
        <v>34</v>
      </c>
      <c r="AJ165" s="29">
        <f>IF($D165 = "SPLIT", "",COUNTIFS($D$7:$D$347,$D165,T$7:T$347,"&gt;"&amp;T165)+1)</f>
        <v>16</v>
      </c>
      <c r="AK165" s="29">
        <f>IF($D165 = "SPLIT", "",COUNTIFS($D$7:$D$347,$D165,X$7:X$347,"&lt;"&amp;X165)+1)</f>
        <v>183</v>
      </c>
      <c r="AL165" s="29">
        <f>IF($D165 = "SPLIT", "",COUNTIFS($D$7:$D$347,$D165,Z$7:Z$347,"&gt;"&amp;Z165)+1)</f>
        <v>175</v>
      </c>
      <c r="AM165" s="29">
        <f>IF($D165 = "SPLIT", "",COUNTIFS($D$7:$D$347,$D165,AB$7:AB$347,"&gt;"&amp;AB165)+1)</f>
        <v>170</v>
      </c>
      <c r="AN165" s="29">
        <f>IF($D165 = "SPLIT", "",COUNTIFS($D$7:$D$347,$D165,AD$7:AD$347,"&gt;"&amp;AD165)+1)</f>
        <v>18</v>
      </c>
      <c r="AO165" s="29">
        <f>IF($D165 = "SPLIT", "",COUNTIFS($D$7:$D$347,$D165,AF$7:AF$347,"&gt;"&amp;AF165)+1)</f>
        <v>63</v>
      </c>
    </row>
    <row r="166" spans="1:41" hidden="1" x14ac:dyDescent="0.25">
      <c r="A166" s="30">
        <v>540112</v>
      </c>
      <c r="B166" s="30" t="s">
        <v>290</v>
      </c>
      <c r="C166" s="30" t="s">
        <v>284</v>
      </c>
      <c r="D166" s="30" t="s">
        <v>52</v>
      </c>
      <c r="E166" s="31">
        <v>2</v>
      </c>
      <c r="F166" s="31" t="s">
        <v>291</v>
      </c>
      <c r="G166" s="31">
        <v>355</v>
      </c>
      <c r="H166" s="31">
        <v>16</v>
      </c>
      <c r="I166" s="31">
        <v>407</v>
      </c>
      <c r="J166" s="31">
        <v>149</v>
      </c>
      <c r="K166" s="31">
        <v>927</v>
      </c>
      <c r="L166" s="32">
        <v>0.38300000000000001</v>
      </c>
      <c r="M166" s="32">
        <v>1.7000000000000001E-2</v>
      </c>
      <c r="N166" s="32">
        <v>0.439</v>
      </c>
      <c r="O166" s="32">
        <v>0.161</v>
      </c>
      <c r="P166" s="32">
        <v>0.15</v>
      </c>
      <c r="Q166" s="32">
        <v>0</v>
      </c>
      <c r="S166" s="31">
        <v>370</v>
      </c>
      <c r="T166" s="31">
        <v>152</v>
      </c>
      <c r="U166" s="31">
        <v>80</v>
      </c>
      <c r="W166" s="31">
        <v>1974.5</v>
      </c>
      <c r="X166" s="31">
        <v>1983</v>
      </c>
      <c r="Y166" s="33">
        <v>51393</v>
      </c>
      <c r="Z166" s="33">
        <v>28000</v>
      </c>
      <c r="AA166" s="33">
        <v>45216.3</v>
      </c>
      <c r="AB166" s="33">
        <v>26920</v>
      </c>
      <c r="AC166" s="32">
        <v>0.47199999999999998</v>
      </c>
      <c r="AD166" s="32">
        <v>0.46899999999999997</v>
      </c>
      <c r="AE166" s="33">
        <v>18079.900000000001</v>
      </c>
      <c r="AF166" s="33">
        <v>10909</v>
      </c>
      <c r="AH166" s="34">
        <f>IF($D166 = "SPLIT", "",COUNTIFS($D$7:$D$347,$D166,N$7:N$347,"&gt;"&amp;N166)+1)</f>
        <v>1</v>
      </c>
      <c r="AI166" s="34">
        <f>IF($D166 = "SPLIT", "",COUNTIFS($D$7:$D$347,$D166,S$7:S$347,"&gt;"&amp;S166)+1)</f>
        <v>7</v>
      </c>
      <c r="AJ166" s="34">
        <f>IF($D166 = "SPLIT", "",COUNTIFS($D$7:$D$347,$D166,T$7:T$347,"&gt;"&amp;T166)+1)</f>
        <v>3</v>
      </c>
      <c r="AK166" s="34">
        <f>IF($D166 = "SPLIT", "",COUNTIFS($D$7:$D$347,$D166,X$7:X$347,"&lt;"&amp;X166)+1)</f>
        <v>51</v>
      </c>
      <c r="AL166" s="34">
        <f>IF($D166 = "SPLIT", "",COUNTIFS($D$7:$D$347,$D166,Z$7:Z$347,"&gt;"&amp;Z166)+1)</f>
        <v>44</v>
      </c>
      <c r="AM166" s="34">
        <f>IF($D166 = "SPLIT", "",COUNTIFS($D$7:$D$347,$D166,AB$7:AB$347,"&gt;"&amp;AB166)+1)</f>
        <v>43</v>
      </c>
      <c r="AN166" s="34">
        <f>IF($D166 = "SPLIT", "",COUNTIFS($D$7:$D$347,$D166,AD$7:AD$347,"&gt;"&amp;AD166)+1)</f>
        <v>2</v>
      </c>
      <c r="AO166" s="34">
        <f>IF($D166 = "SPLIT", "",COUNTIFS($D$7:$D$347,$D166,AF$7:AF$347,"&gt;"&amp;AF166)+1)</f>
        <v>10</v>
      </c>
    </row>
    <row r="167" spans="1:41" hidden="1" x14ac:dyDescent="0.25">
      <c r="A167" s="25">
        <v>540249</v>
      </c>
      <c r="B167" s="25" t="s">
        <v>292</v>
      </c>
      <c r="C167" s="25" t="s">
        <v>284</v>
      </c>
      <c r="D167" s="25" t="s">
        <v>55</v>
      </c>
      <c r="E167" s="26">
        <v>2</v>
      </c>
      <c r="F167" s="26" t="s">
        <v>293</v>
      </c>
      <c r="G167" s="26">
        <v>32</v>
      </c>
      <c r="H167" s="26">
        <v>8</v>
      </c>
      <c r="I167" s="26">
        <v>39</v>
      </c>
      <c r="J167" s="26">
        <v>1</v>
      </c>
      <c r="K167" s="26">
        <v>80</v>
      </c>
      <c r="L167" s="35">
        <v>0.4</v>
      </c>
      <c r="M167" s="35">
        <v>0.1</v>
      </c>
      <c r="N167" s="35">
        <v>0.48699999999999999</v>
      </c>
      <c r="O167" s="35">
        <v>1.2999999999999999E-2</v>
      </c>
      <c r="P167" s="35">
        <v>1.2999999999999999E-2</v>
      </c>
      <c r="Q167" s="35">
        <v>0</v>
      </c>
      <c r="S167" s="26">
        <v>14</v>
      </c>
      <c r="T167" s="26">
        <v>3</v>
      </c>
      <c r="U167" s="26">
        <v>0</v>
      </c>
      <c r="W167" s="26">
        <v>1979.8</v>
      </c>
      <c r="X167" s="26">
        <v>1980</v>
      </c>
      <c r="Y167" s="28">
        <v>64122</v>
      </c>
      <c r="Z167" s="28">
        <v>61150</v>
      </c>
      <c r="AA167" s="28">
        <v>62378</v>
      </c>
      <c r="AB167" s="28">
        <v>60400</v>
      </c>
      <c r="AC167" s="35">
        <v>0.17299999999999999</v>
      </c>
      <c r="AD167" s="35">
        <v>0.12</v>
      </c>
      <c r="AE167" s="28">
        <v>10025</v>
      </c>
      <c r="AF167" s="28">
        <v>7419.4</v>
      </c>
      <c r="AH167" s="29">
        <f>IF($D167 = "SPLIT", "",COUNTIFS($D$7:$D$347,$D167,N$7:N$347,"&gt;"&amp;N167)+1)</f>
        <v>14</v>
      </c>
      <c r="AI167" s="29">
        <f>IF($D167 = "SPLIT", "",COUNTIFS($D$7:$D$347,$D167,S$7:S$347,"&gt;"&amp;S167)+1)</f>
        <v>77</v>
      </c>
      <c r="AJ167" s="29">
        <f>IF($D167 = "SPLIT", "",COUNTIFS($D$7:$D$347,$D167,T$7:T$347,"&gt;"&amp;T167)+1)</f>
        <v>45</v>
      </c>
      <c r="AK167" s="29">
        <f>IF($D167 = "SPLIT", "",COUNTIFS($D$7:$D$347,$D167,X$7:X$347,"&lt;"&amp;X167)+1)</f>
        <v>192</v>
      </c>
      <c r="AL167" s="29">
        <f>IF($D167 = "SPLIT", "",COUNTIFS($D$7:$D$347,$D167,Z$7:Z$347,"&gt;"&amp;Z167)+1)</f>
        <v>48</v>
      </c>
      <c r="AM167" s="29">
        <f>IF($D167 = "SPLIT", "",COUNTIFS($D$7:$D$347,$D167,AB$7:AB$347,"&gt;"&amp;AB167)+1)</f>
        <v>38</v>
      </c>
      <c r="AN167" s="29">
        <f>IF($D167 = "SPLIT", "",COUNTIFS($D$7:$D$347,$D167,AD$7:AD$347,"&gt;"&amp;AD167)+1)</f>
        <v>98</v>
      </c>
      <c r="AO167" s="29">
        <f>IF($D167 = "SPLIT", "",COUNTIFS($D$7:$D$347,$D167,AF$7:AF$347,"&gt;"&amp;AF167)+1)</f>
        <v>60</v>
      </c>
    </row>
    <row r="168" spans="1:41" hidden="1" x14ac:dyDescent="0.25">
      <c r="A168" s="25">
        <v>540250</v>
      </c>
      <c r="B168" s="25" t="s">
        <v>294</v>
      </c>
      <c r="C168" s="25" t="s">
        <v>284</v>
      </c>
      <c r="D168" s="25" t="s">
        <v>55</v>
      </c>
      <c r="E168" s="26">
        <v>2</v>
      </c>
      <c r="F168" s="26" t="s">
        <v>286</v>
      </c>
      <c r="G168" s="26">
        <v>44</v>
      </c>
      <c r="H168" s="26">
        <v>1</v>
      </c>
      <c r="I168" s="26">
        <v>27</v>
      </c>
      <c r="J168" s="26">
        <v>7</v>
      </c>
      <c r="K168" s="26">
        <v>79</v>
      </c>
      <c r="L168" s="35">
        <v>0.55700000000000005</v>
      </c>
      <c r="M168" s="35">
        <v>1.2999999999999999E-2</v>
      </c>
      <c r="N168" s="35">
        <v>0.34200000000000003</v>
      </c>
      <c r="O168" s="35">
        <v>8.8999999999999996E-2</v>
      </c>
      <c r="P168" s="35">
        <v>8.8999999999999996E-2</v>
      </c>
      <c r="Q168" s="35">
        <v>0</v>
      </c>
      <c r="S168" s="26">
        <v>53</v>
      </c>
      <c r="T168" s="26">
        <v>24</v>
      </c>
      <c r="U168" s="26">
        <v>7</v>
      </c>
      <c r="W168" s="26">
        <v>1960.8</v>
      </c>
      <c r="X168" s="26">
        <v>1961.5</v>
      </c>
      <c r="Y168" s="28">
        <v>68934.100000000006</v>
      </c>
      <c r="Z168" s="28">
        <v>31700</v>
      </c>
      <c r="AA168" s="28">
        <v>42224.2</v>
      </c>
      <c r="AB168" s="28">
        <v>28500</v>
      </c>
      <c r="AC168" s="35">
        <v>0.5</v>
      </c>
      <c r="AD168" s="35">
        <v>0.52</v>
      </c>
      <c r="AE168" s="28">
        <v>19026.599999999999</v>
      </c>
      <c r="AF168" s="28">
        <v>12533.6</v>
      </c>
      <c r="AH168" s="29">
        <f>IF($D168 = "SPLIT", "",COUNTIFS($D$7:$D$347,$D168,N$7:N$347,"&gt;"&amp;N168)+1)</f>
        <v>29</v>
      </c>
      <c r="AI168" s="29">
        <f>IF($D168 = "SPLIT", "",COUNTIFS($D$7:$D$347,$D168,S$7:S$347,"&gt;"&amp;S168)+1)</f>
        <v>29</v>
      </c>
      <c r="AJ168" s="29">
        <f>IF($D168 = "SPLIT", "",COUNTIFS($D$7:$D$347,$D168,T$7:T$347,"&gt;"&amp;T168)+1)</f>
        <v>6</v>
      </c>
      <c r="AK168" s="29">
        <f>IF($D168 = "SPLIT", "",COUNTIFS($D$7:$D$347,$D168,X$7:X$347,"&lt;"&amp;X168)+1)</f>
        <v>149</v>
      </c>
      <c r="AL168" s="29">
        <f>IF($D168 = "SPLIT", "",COUNTIFS($D$7:$D$347,$D168,Z$7:Z$347,"&gt;"&amp;Z168)+1)</f>
        <v>148</v>
      </c>
      <c r="AM168" s="29">
        <f>IF($D168 = "SPLIT", "",COUNTIFS($D$7:$D$347,$D168,AB$7:AB$347,"&gt;"&amp;AB168)+1)</f>
        <v>146</v>
      </c>
      <c r="AN168" s="29">
        <f>IF($D168 = "SPLIT", "",COUNTIFS($D$7:$D$347,$D168,AD$7:AD$347,"&gt;"&amp;AD168)+1)</f>
        <v>5</v>
      </c>
      <c r="AO168" s="29">
        <f>IF($D168 = "SPLIT", "",COUNTIFS($D$7:$D$347,$D168,AF$7:AF$347,"&gt;"&amp;AF168)+1)</f>
        <v>24</v>
      </c>
    </row>
    <row r="169" spans="1:41" hidden="1" x14ac:dyDescent="0.25">
      <c r="A169" s="160"/>
      <c r="B169" s="160"/>
      <c r="C169" s="160" t="s">
        <v>284</v>
      </c>
      <c r="D169" s="160" t="s">
        <v>2</v>
      </c>
      <c r="E169" s="161">
        <v>2</v>
      </c>
      <c r="F169" s="161"/>
      <c r="G169" s="161">
        <v>677</v>
      </c>
      <c r="H169" s="161">
        <v>31</v>
      </c>
      <c r="I169" s="161">
        <v>649</v>
      </c>
      <c r="J169" s="161">
        <v>216</v>
      </c>
      <c r="K169" s="161">
        <v>1573</v>
      </c>
      <c r="L169" s="162">
        <v>0.43</v>
      </c>
      <c r="M169" s="162">
        <v>0.02</v>
      </c>
      <c r="N169" s="162">
        <v>0.41299999999999998</v>
      </c>
      <c r="O169" s="162">
        <v>0.13700000000000001</v>
      </c>
      <c r="P169" s="162">
        <v>0.128</v>
      </c>
      <c r="Q169" s="162">
        <v>0</v>
      </c>
      <c r="S169" s="161">
        <v>665</v>
      </c>
      <c r="T169" s="161">
        <v>253</v>
      </c>
      <c r="U169" s="161">
        <v>99</v>
      </c>
      <c r="W169" s="161">
        <v>1969.9</v>
      </c>
      <c r="X169" s="161">
        <v>1979</v>
      </c>
      <c r="Y169" s="163">
        <v>48516.5</v>
      </c>
      <c r="Z169" s="163">
        <v>28000</v>
      </c>
      <c r="AA169" s="163">
        <v>58993.1</v>
      </c>
      <c r="AB169" s="163">
        <v>49600</v>
      </c>
      <c r="AC169" s="162">
        <v>0.42099999999999999</v>
      </c>
      <c r="AD169" s="162">
        <v>0.38900000000000001</v>
      </c>
      <c r="AE169" s="163">
        <v>14803.9</v>
      </c>
      <c r="AF169" s="163">
        <v>10022.4</v>
      </c>
      <c r="AH169" s="164">
        <f>IF($D169 = "SPLIT", "",COUNTIFS($D$7:$D$347,$D169,N$7:N$347,"&gt;"&amp;N169)+1)</f>
        <v>2</v>
      </c>
      <c r="AI169" s="164">
        <f>IF($D169 = "SPLIT", "",COUNTIFS($D$7:$D$347,$D169,S$7:S$347,"&gt;"&amp;S169)+1)</f>
        <v>7</v>
      </c>
      <c r="AJ169" s="164">
        <f>IF($D169 = "SPLIT", "",COUNTIFS($D$7:$D$347,$D169,T$7:T$347,"&gt;"&amp;T169)+1)</f>
        <v>2</v>
      </c>
      <c r="AK169" s="164">
        <f>IF($D169 = "SPLIT", "",COUNTIFS($D$7:$D$347,$D169,X$7:X$347,"&lt;"&amp;X169)+1)</f>
        <v>52</v>
      </c>
      <c r="AL169" s="164">
        <f>IF($D169 = "SPLIT", "",COUNTIFS($D$7:$D$347,$D169,Z$7:Z$347,"&gt;"&amp;Z169)+1)</f>
        <v>44</v>
      </c>
      <c r="AM169" s="164">
        <f>IF($D169 = "SPLIT", "",COUNTIFS($D$7:$D$347,$D169,AB$7:AB$347,"&gt;"&amp;AB169)+1)</f>
        <v>25</v>
      </c>
      <c r="AN169" s="164">
        <f>IF($D169 = "SPLIT", "",COUNTIFS($D$7:$D$347,$D169,AD$7:AD$347,"&gt;"&amp;AD169)+1)</f>
        <v>3</v>
      </c>
      <c r="AO169" s="164">
        <f>IF($D169 = "SPLIT", "",COUNTIFS($D$7:$D$347,$D169,AF$7:AF$347,"&gt;"&amp;AF169)+1)</f>
        <v>9</v>
      </c>
    </row>
    <row r="170" spans="1:41" hidden="1" x14ac:dyDescent="0.25">
      <c r="A170" s="25">
        <v>540115</v>
      </c>
      <c r="B170" s="25" t="s">
        <v>295</v>
      </c>
      <c r="C170" s="25" t="s">
        <v>296</v>
      </c>
      <c r="D170" s="25" t="s">
        <v>55</v>
      </c>
      <c r="E170" s="26">
        <v>1</v>
      </c>
      <c r="F170" s="26" t="s">
        <v>297</v>
      </c>
      <c r="G170" s="26">
        <v>43</v>
      </c>
      <c r="H170" s="26">
        <v>0</v>
      </c>
      <c r="I170" s="26">
        <v>1</v>
      </c>
      <c r="J170" s="26">
        <v>6</v>
      </c>
      <c r="K170" s="26">
        <v>50</v>
      </c>
      <c r="L170" s="35">
        <v>0.86</v>
      </c>
      <c r="M170" s="35">
        <v>0</v>
      </c>
      <c r="N170" s="35">
        <v>0.02</v>
      </c>
      <c r="O170" s="35">
        <v>0.12</v>
      </c>
      <c r="P170" s="35">
        <v>0.1</v>
      </c>
      <c r="Q170" s="35">
        <v>0.02</v>
      </c>
      <c r="S170" s="26">
        <v>2</v>
      </c>
      <c r="T170" s="26">
        <v>0</v>
      </c>
      <c r="U170" s="26">
        <v>0</v>
      </c>
      <c r="W170" s="26">
        <v>1936.1</v>
      </c>
      <c r="X170" s="26">
        <v>1935</v>
      </c>
      <c r="Y170" s="28">
        <v>15163.8</v>
      </c>
      <c r="Z170" s="28">
        <v>13600</v>
      </c>
      <c r="AA170" s="28">
        <v>14571</v>
      </c>
      <c r="AB170" s="28">
        <v>13600</v>
      </c>
      <c r="AC170" s="35">
        <v>0.21</v>
      </c>
      <c r="AD170" s="35">
        <v>0.19800000000000001</v>
      </c>
      <c r="AE170" s="28">
        <v>2799.5</v>
      </c>
      <c r="AF170" s="28">
        <v>2581.1999999999998</v>
      </c>
      <c r="AH170" s="29">
        <f>IF($D170 = "SPLIT", "",COUNTIFS($D$7:$D$347,$D170,N$7:N$347,"&gt;"&amp;N170)+1)</f>
        <v>185</v>
      </c>
      <c r="AI170" s="29">
        <f>IF($D170 = "SPLIT", "",COUNTIFS($D$7:$D$347,$D170,S$7:S$347,"&gt;"&amp;S170)+1)</f>
        <v>141</v>
      </c>
      <c r="AJ170" s="29">
        <f>IF($D170 = "SPLIT", "",COUNTIFS($D$7:$D$347,$D170,T$7:T$347,"&gt;"&amp;T170)+1)</f>
        <v>113</v>
      </c>
      <c r="AK170" s="29">
        <f>IF($D170 = "SPLIT", "",COUNTIFS($D$7:$D$347,$D170,X$7:X$347,"&lt;"&amp;X170)+1)</f>
        <v>61</v>
      </c>
      <c r="AL170" s="29">
        <f>IF($D170 = "SPLIT", "",COUNTIFS($D$7:$D$347,$D170,Z$7:Z$347,"&gt;"&amp;Z170)+1)</f>
        <v>206</v>
      </c>
      <c r="AM170" s="29">
        <f>IF($D170 = "SPLIT", "",COUNTIFS($D$7:$D$347,$D170,AB$7:AB$347,"&gt;"&amp;AB170)+1)</f>
        <v>203</v>
      </c>
      <c r="AN170" s="29">
        <f>IF($D170 = "SPLIT", "",COUNTIFS($D$7:$D$347,$D170,AD$7:AD$347,"&gt;"&amp;AD170)+1)</f>
        <v>50</v>
      </c>
      <c r="AO170" s="29">
        <f>IF($D170 = "SPLIT", "",COUNTIFS($D$7:$D$347,$D170,AF$7:AF$347,"&gt;"&amp;AF170)+1)</f>
        <v>145</v>
      </c>
    </row>
    <row r="171" spans="1:41" hidden="1" x14ac:dyDescent="0.25">
      <c r="A171" s="25">
        <v>540291</v>
      </c>
      <c r="B171" s="25" t="s">
        <v>298</v>
      </c>
      <c r="C171" s="25" t="s">
        <v>296</v>
      </c>
      <c r="D171" s="25" t="s">
        <v>55</v>
      </c>
      <c r="E171" s="26">
        <v>1</v>
      </c>
      <c r="F171" s="26" t="s">
        <v>299</v>
      </c>
      <c r="G171" s="26">
        <v>33</v>
      </c>
      <c r="H171" s="26">
        <v>8</v>
      </c>
      <c r="I171" s="26">
        <v>3</v>
      </c>
      <c r="J171" s="26">
        <v>10</v>
      </c>
      <c r="K171" s="26">
        <v>54</v>
      </c>
      <c r="L171" s="35">
        <v>0.61099999999999999</v>
      </c>
      <c r="M171" s="35">
        <v>0.14799999999999999</v>
      </c>
      <c r="N171" s="35">
        <v>5.6000000000000001E-2</v>
      </c>
      <c r="O171" s="35">
        <v>0.185</v>
      </c>
      <c r="P171" s="35">
        <v>0.14799999999999999</v>
      </c>
      <c r="Q171" s="35">
        <v>3.6999999999999998E-2</v>
      </c>
      <c r="S171" s="26">
        <v>4</v>
      </c>
      <c r="T171" s="26">
        <v>0</v>
      </c>
      <c r="U171" s="26">
        <v>0</v>
      </c>
      <c r="W171" s="26">
        <v>1961.6</v>
      </c>
      <c r="X171" s="26">
        <v>1947.5</v>
      </c>
      <c r="Y171" s="28">
        <v>217120.4</v>
      </c>
      <c r="Z171" s="28">
        <v>20900</v>
      </c>
      <c r="AA171" s="28">
        <v>25322.2</v>
      </c>
      <c r="AB171" s="28">
        <v>14790</v>
      </c>
      <c r="AC171" s="35">
        <v>0.151</v>
      </c>
      <c r="AD171" s="35">
        <v>0.11</v>
      </c>
      <c r="AE171" s="28">
        <v>26314.1</v>
      </c>
      <c r="AF171" s="28">
        <v>2320</v>
      </c>
      <c r="AH171" s="29">
        <f>IF($D171 = "SPLIT", "",COUNTIFS($D$7:$D$347,$D171,N$7:N$347,"&gt;"&amp;N171)+1)</f>
        <v>164</v>
      </c>
      <c r="AI171" s="29">
        <f>IF($D171 = "SPLIT", "",COUNTIFS($D$7:$D$347,$D171,S$7:S$347,"&gt;"&amp;S171)+1)</f>
        <v>119</v>
      </c>
      <c r="AJ171" s="29">
        <f>IF($D171 = "SPLIT", "",COUNTIFS($D$7:$D$347,$D171,T$7:T$347,"&gt;"&amp;T171)+1)</f>
        <v>113</v>
      </c>
      <c r="AK171" s="29">
        <f>IF($D171 = "SPLIT", "",COUNTIFS($D$7:$D$347,$D171,X$7:X$347,"&lt;"&amp;X171)+1)</f>
        <v>110</v>
      </c>
      <c r="AL171" s="29">
        <f>IF($D171 = "SPLIT", "",COUNTIFS($D$7:$D$347,$D171,Z$7:Z$347,"&gt;"&amp;Z171)+1)</f>
        <v>191</v>
      </c>
      <c r="AM171" s="29">
        <f>IF($D171 = "SPLIT", "",COUNTIFS($D$7:$D$347,$D171,AB$7:AB$347,"&gt;"&amp;AB171)+1)</f>
        <v>200</v>
      </c>
      <c r="AN171" s="29">
        <f>IF($D171 = "SPLIT", "",COUNTIFS($D$7:$D$347,$D171,AD$7:AD$347,"&gt;"&amp;AD171)+1)</f>
        <v>106</v>
      </c>
      <c r="AO171" s="29">
        <f>IF($D171 = "SPLIT", "",COUNTIFS($D$7:$D$347,$D171,AF$7:AF$347,"&gt;"&amp;AF171)+1)</f>
        <v>151</v>
      </c>
    </row>
    <row r="172" spans="1:41" hidden="1" x14ac:dyDescent="0.25">
      <c r="A172" s="25">
        <v>540116</v>
      </c>
      <c r="B172" s="25" t="s">
        <v>300</v>
      </c>
      <c r="C172" s="25" t="s">
        <v>296</v>
      </c>
      <c r="D172" s="25" t="s">
        <v>55</v>
      </c>
      <c r="E172" s="26">
        <v>1</v>
      </c>
      <c r="F172" s="26" t="s">
        <v>301</v>
      </c>
      <c r="G172" s="26">
        <v>44</v>
      </c>
      <c r="H172" s="26">
        <v>1</v>
      </c>
      <c r="I172" s="26">
        <v>3</v>
      </c>
      <c r="J172" s="26">
        <v>11</v>
      </c>
      <c r="K172" s="26">
        <v>59</v>
      </c>
      <c r="L172" s="35">
        <v>0.746</v>
      </c>
      <c r="M172" s="35">
        <v>1.7000000000000001E-2</v>
      </c>
      <c r="N172" s="35">
        <v>5.0999999999999997E-2</v>
      </c>
      <c r="O172" s="35">
        <v>0.186</v>
      </c>
      <c r="P172" s="35">
        <v>0.10199999999999999</v>
      </c>
      <c r="Q172" s="35">
        <v>3.4000000000000002E-2</v>
      </c>
      <c r="S172" s="26">
        <v>12</v>
      </c>
      <c r="T172" s="26">
        <v>1</v>
      </c>
      <c r="U172" s="26">
        <v>4</v>
      </c>
      <c r="W172" s="26">
        <v>1935.3</v>
      </c>
      <c r="X172" s="26">
        <v>1927.5</v>
      </c>
      <c r="Y172" s="28">
        <v>21460.7</v>
      </c>
      <c r="Z172" s="28">
        <v>15800</v>
      </c>
      <c r="AA172" s="28">
        <v>17877.900000000001</v>
      </c>
      <c r="AB172" s="28">
        <v>15750</v>
      </c>
      <c r="AC172" s="35">
        <v>0.309</v>
      </c>
      <c r="AD172" s="35">
        <v>0.28999999999999998</v>
      </c>
      <c r="AE172" s="28">
        <v>5309.6</v>
      </c>
      <c r="AF172" s="28">
        <v>4416.8</v>
      </c>
      <c r="AH172" s="29">
        <f>IF($D172 = "SPLIT", "",COUNTIFS($D$7:$D$347,$D172,N$7:N$347,"&gt;"&amp;N172)+1)</f>
        <v>167</v>
      </c>
      <c r="AI172" s="29">
        <f>IF($D172 = "SPLIT", "",COUNTIFS($D$7:$D$347,$D172,S$7:S$347,"&gt;"&amp;S172)+1)</f>
        <v>84</v>
      </c>
      <c r="AJ172" s="29">
        <f>IF($D172 = "SPLIT", "",COUNTIFS($D$7:$D$347,$D172,T$7:T$347,"&gt;"&amp;T172)+1)</f>
        <v>84</v>
      </c>
      <c r="AK172" s="29">
        <f>IF($D172 = "SPLIT", "",COUNTIFS($D$7:$D$347,$D172,X$7:X$347,"&lt;"&amp;X172)+1)</f>
        <v>45</v>
      </c>
      <c r="AL172" s="29">
        <f>IF($D172 = "SPLIT", "",COUNTIFS($D$7:$D$347,$D172,Z$7:Z$347,"&gt;"&amp;Z172)+1)</f>
        <v>202</v>
      </c>
      <c r="AM172" s="29">
        <f>IF($D172 = "SPLIT", "",COUNTIFS($D$7:$D$347,$D172,AB$7:AB$347,"&gt;"&amp;AB172)+1)</f>
        <v>197</v>
      </c>
      <c r="AN172" s="29">
        <f>IF($D172 = "SPLIT", "",COUNTIFS($D$7:$D$347,$D172,AD$7:AD$347,"&gt;"&amp;AD172)+1)</f>
        <v>19</v>
      </c>
      <c r="AO172" s="29">
        <f>IF($D172 = "SPLIT", "",COUNTIFS($D$7:$D$347,$D172,AF$7:AF$347,"&gt;"&amp;AF172)+1)</f>
        <v>105</v>
      </c>
    </row>
    <row r="173" spans="1:41" hidden="1" x14ac:dyDescent="0.25">
      <c r="A173" s="25">
        <v>540117</v>
      </c>
      <c r="B173" s="25" t="s">
        <v>302</v>
      </c>
      <c r="C173" s="25" t="s">
        <v>296</v>
      </c>
      <c r="D173" s="25" t="s">
        <v>55</v>
      </c>
      <c r="E173" s="26">
        <v>1</v>
      </c>
      <c r="F173" s="26" t="s">
        <v>297</v>
      </c>
      <c r="G173" s="26">
        <v>255</v>
      </c>
      <c r="H173" s="26">
        <v>0</v>
      </c>
      <c r="I173" s="26">
        <v>5</v>
      </c>
      <c r="J173" s="26">
        <v>17</v>
      </c>
      <c r="K173" s="26">
        <v>277</v>
      </c>
      <c r="L173" s="35">
        <v>0.92100000000000004</v>
      </c>
      <c r="M173" s="35">
        <v>0</v>
      </c>
      <c r="N173" s="35">
        <v>1.7999999999999999E-2</v>
      </c>
      <c r="O173" s="35">
        <v>6.0999999999999999E-2</v>
      </c>
      <c r="P173" s="35">
        <v>2.9000000000000001E-2</v>
      </c>
      <c r="Q173" s="35">
        <v>2.1999999999999999E-2</v>
      </c>
      <c r="S173" s="26">
        <v>30</v>
      </c>
      <c r="T173" s="26">
        <v>2</v>
      </c>
      <c r="U173" s="26">
        <v>6</v>
      </c>
      <c r="W173" s="26">
        <v>1916</v>
      </c>
      <c r="X173" s="26">
        <v>1910</v>
      </c>
      <c r="Y173" s="28">
        <v>29021</v>
      </c>
      <c r="Z173" s="28">
        <v>12900</v>
      </c>
      <c r="AA173" s="28">
        <v>14077.8</v>
      </c>
      <c r="AB173" s="28">
        <v>12600</v>
      </c>
      <c r="AC173" s="35">
        <v>0.23899999999999999</v>
      </c>
      <c r="AD173" s="35">
        <v>0.189</v>
      </c>
      <c r="AE173" s="28">
        <v>3781.7</v>
      </c>
      <c r="AF173" s="28">
        <v>2329.1</v>
      </c>
      <c r="AH173" s="29">
        <f>IF($D173 = "SPLIT", "",COUNTIFS($D$7:$D$347,$D173,N$7:N$347,"&gt;"&amp;N173)+1)</f>
        <v>187</v>
      </c>
      <c r="AI173" s="29">
        <f>IF($D173 = "SPLIT", "",COUNTIFS($D$7:$D$347,$D173,S$7:S$347,"&gt;"&amp;S173)+1)</f>
        <v>49</v>
      </c>
      <c r="AJ173" s="29">
        <f>IF($D173 = "SPLIT", "",COUNTIFS($D$7:$D$347,$D173,T$7:T$347,"&gt;"&amp;T173)+1)</f>
        <v>59</v>
      </c>
      <c r="AK173" s="29">
        <f>IF($D173 = "SPLIT", "",COUNTIFS($D$7:$D$347,$D173,X$7:X$347,"&lt;"&amp;X173)+1)</f>
        <v>15</v>
      </c>
      <c r="AL173" s="29">
        <f>IF($D173 = "SPLIT", "",COUNTIFS($D$7:$D$347,$D173,Z$7:Z$347,"&gt;"&amp;Z173)+1)</f>
        <v>208</v>
      </c>
      <c r="AM173" s="29">
        <f>IF($D173 = "SPLIT", "",COUNTIFS($D$7:$D$347,$D173,AB$7:AB$347,"&gt;"&amp;AB173)+1)</f>
        <v>205</v>
      </c>
      <c r="AN173" s="29">
        <f>IF($D173 = "SPLIT", "",COUNTIFS($D$7:$D$347,$D173,AD$7:AD$347,"&gt;"&amp;AD173)+1)</f>
        <v>55</v>
      </c>
      <c r="AO173" s="29">
        <f>IF($D173 = "SPLIT", "",COUNTIFS($D$7:$D$347,$D173,AF$7:AF$347,"&gt;"&amp;AF173)+1)</f>
        <v>150</v>
      </c>
    </row>
    <row r="174" spans="1:41" hidden="1" x14ac:dyDescent="0.25">
      <c r="A174" s="25">
        <v>540118</v>
      </c>
      <c r="B174" s="25" t="s">
        <v>303</v>
      </c>
      <c r="C174" s="25" t="s">
        <v>296</v>
      </c>
      <c r="D174" s="25" t="s">
        <v>55</v>
      </c>
      <c r="E174" s="26">
        <v>1</v>
      </c>
      <c r="F174" s="26" t="s">
        <v>301</v>
      </c>
      <c r="G174" s="26">
        <v>59</v>
      </c>
      <c r="H174" s="26">
        <v>0</v>
      </c>
      <c r="I174" s="26">
        <v>3</v>
      </c>
      <c r="J174" s="26">
        <v>9</v>
      </c>
      <c r="K174" s="26">
        <v>71</v>
      </c>
      <c r="L174" s="35">
        <v>0.83099999999999996</v>
      </c>
      <c r="M174" s="35">
        <v>0</v>
      </c>
      <c r="N174" s="35">
        <v>4.2000000000000003E-2</v>
      </c>
      <c r="O174" s="35">
        <v>0.127</v>
      </c>
      <c r="P174" s="35">
        <v>7.0000000000000007E-2</v>
      </c>
      <c r="Q174" s="35">
        <v>2.8000000000000001E-2</v>
      </c>
      <c r="S174" s="26">
        <v>9</v>
      </c>
      <c r="T174" s="26">
        <v>0</v>
      </c>
      <c r="U174" s="26">
        <v>0</v>
      </c>
      <c r="W174" s="26">
        <v>1943.1</v>
      </c>
      <c r="X174" s="26">
        <v>1937.5</v>
      </c>
      <c r="Y174" s="28">
        <v>212289.4</v>
      </c>
      <c r="Z174" s="28">
        <v>21800</v>
      </c>
      <c r="AA174" s="28">
        <v>23916</v>
      </c>
      <c r="AB174" s="28">
        <v>16450</v>
      </c>
      <c r="AC174" s="35">
        <v>0.16700000000000001</v>
      </c>
      <c r="AD174" s="35">
        <v>0.112</v>
      </c>
      <c r="AE174" s="28">
        <v>9898.1</v>
      </c>
      <c r="AF174" s="28">
        <v>2752</v>
      </c>
      <c r="AH174" s="29">
        <f>IF($D174 = "SPLIT", "",COUNTIFS($D$7:$D$347,$D174,N$7:N$347,"&gt;"&amp;N174)+1)</f>
        <v>172</v>
      </c>
      <c r="AI174" s="29">
        <f>IF($D174 = "SPLIT", "",COUNTIFS($D$7:$D$347,$D174,S$7:S$347,"&gt;"&amp;S174)+1)</f>
        <v>100</v>
      </c>
      <c r="AJ174" s="29">
        <f>IF($D174 = "SPLIT", "",COUNTIFS($D$7:$D$347,$D174,T$7:T$347,"&gt;"&amp;T174)+1)</f>
        <v>113</v>
      </c>
      <c r="AK174" s="29">
        <f>IF($D174 = "SPLIT", "",COUNTIFS($D$7:$D$347,$D174,X$7:X$347,"&lt;"&amp;X174)+1)</f>
        <v>67</v>
      </c>
      <c r="AL174" s="29">
        <f>IF($D174 = "SPLIT", "",COUNTIFS($D$7:$D$347,$D174,Z$7:Z$347,"&gt;"&amp;Z174)+1)</f>
        <v>189</v>
      </c>
      <c r="AM174" s="29">
        <f>IF($D174 = "SPLIT", "",COUNTIFS($D$7:$D$347,$D174,AB$7:AB$347,"&gt;"&amp;AB174)+1)</f>
        <v>195</v>
      </c>
      <c r="AN174" s="29">
        <f>IF($D174 = "SPLIT", "",COUNTIFS($D$7:$D$347,$D174,AD$7:AD$347,"&gt;"&amp;AD174)+1)</f>
        <v>102</v>
      </c>
      <c r="AO174" s="29">
        <f>IF($D174 = "SPLIT", "",COUNTIFS($D$7:$D$347,$D174,AF$7:AF$347,"&gt;"&amp;AF174)+1)</f>
        <v>140</v>
      </c>
    </row>
    <row r="175" spans="1:41" hidden="1" x14ac:dyDescent="0.25">
      <c r="A175" s="25">
        <v>540119</v>
      </c>
      <c r="B175" s="25" t="s">
        <v>304</v>
      </c>
      <c r="C175" s="25" t="s">
        <v>296</v>
      </c>
      <c r="D175" s="25" t="s">
        <v>55</v>
      </c>
      <c r="E175" s="26">
        <v>1</v>
      </c>
      <c r="F175" s="26" t="s">
        <v>297</v>
      </c>
      <c r="G175" s="26">
        <v>74</v>
      </c>
      <c r="H175" s="26">
        <v>0</v>
      </c>
      <c r="I175" s="26">
        <v>7</v>
      </c>
      <c r="J175" s="26">
        <v>11</v>
      </c>
      <c r="K175" s="26">
        <v>92</v>
      </c>
      <c r="L175" s="35">
        <v>0.80400000000000005</v>
      </c>
      <c r="M175" s="35">
        <v>0</v>
      </c>
      <c r="N175" s="35">
        <v>7.5999999999999998E-2</v>
      </c>
      <c r="O175" s="35">
        <v>0.12</v>
      </c>
      <c r="P175" s="35">
        <v>8.6999999999999994E-2</v>
      </c>
      <c r="Q175" s="35">
        <v>0</v>
      </c>
      <c r="S175" s="26">
        <v>24</v>
      </c>
      <c r="T175" s="26">
        <v>2</v>
      </c>
      <c r="U175" s="26">
        <v>6</v>
      </c>
      <c r="W175" s="26">
        <v>1940.3</v>
      </c>
      <c r="X175" s="26">
        <v>1930</v>
      </c>
      <c r="Y175" s="28">
        <v>34313.199999999997</v>
      </c>
      <c r="Z175" s="28">
        <v>18350</v>
      </c>
      <c r="AA175" s="28">
        <v>17865.599999999999</v>
      </c>
      <c r="AB175" s="28">
        <v>17300</v>
      </c>
      <c r="AC175" s="35">
        <v>0.27</v>
      </c>
      <c r="AD175" s="35">
        <v>0.183</v>
      </c>
      <c r="AE175" s="28">
        <v>6032.4</v>
      </c>
      <c r="AF175" s="28">
        <v>3446.8</v>
      </c>
      <c r="AH175" s="29">
        <f>IF($D175 = "SPLIT", "",COUNTIFS($D$7:$D$347,$D175,N$7:N$347,"&gt;"&amp;N175)+1)</f>
        <v>149</v>
      </c>
      <c r="AI175" s="29">
        <f>IF($D175 = "SPLIT", "",COUNTIFS($D$7:$D$347,$D175,S$7:S$347,"&gt;"&amp;S175)+1)</f>
        <v>58</v>
      </c>
      <c r="AJ175" s="29">
        <f>IF($D175 = "SPLIT", "",COUNTIFS($D$7:$D$347,$D175,T$7:T$347,"&gt;"&amp;T175)+1)</f>
        <v>59</v>
      </c>
      <c r="AK175" s="29">
        <f>IF($D175 = "SPLIT", "",COUNTIFS($D$7:$D$347,$D175,X$7:X$347,"&lt;"&amp;X175)+1)</f>
        <v>48</v>
      </c>
      <c r="AL175" s="29">
        <f>IF($D175 = "SPLIT", "",COUNTIFS($D$7:$D$347,$D175,Z$7:Z$347,"&gt;"&amp;Z175)+1)</f>
        <v>196</v>
      </c>
      <c r="AM175" s="29">
        <f>IF($D175 = "SPLIT", "",COUNTIFS($D$7:$D$347,$D175,AB$7:AB$347,"&gt;"&amp;AB175)+1)</f>
        <v>190</v>
      </c>
      <c r="AN175" s="29">
        <f>IF($D175 = "SPLIT", "",COUNTIFS($D$7:$D$347,$D175,AD$7:AD$347,"&gt;"&amp;AD175)+1)</f>
        <v>58</v>
      </c>
      <c r="AO175" s="29">
        <f>IF($D175 = "SPLIT", "",COUNTIFS($D$7:$D$347,$D175,AF$7:AF$347,"&gt;"&amp;AF175)+1)</f>
        <v>128</v>
      </c>
    </row>
    <row r="176" spans="1:41" hidden="1" x14ac:dyDescent="0.25">
      <c r="A176" s="25">
        <v>540120</v>
      </c>
      <c r="B176" s="25" t="s">
        <v>305</v>
      </c>
      <c r="C176" s="25" t="s">
        <v>296</v>
      </c>
      <c r="D176" s="25" t="s">
        <v>55</v>
      </c>
      <c r="E176" s="26">
        <v>1</v>
      </c>
      <c r="F176" s="26" t="s">
        <v>297</v>
      </c>
      <c r="G176" s="26">
        <v>41</v>
      </c>
      <c r="H176" s="26">
        <v>0</v>
      </c>
      <c r="I176" s="26">
        <v>1</v>
      </c>
      <c r="J176" s="26">
        <v>9</v>
      </c>
      <c r="K176" s="26">
        <v>51</v>
      </c>
      <c r="L176" s="35">
        <v>0.80400000000000005</v>
      </c>
      <c r="M176" s="35">
        <v>0</v>
      </c>
      <c r="N176" s="35">
        <v>0.02</v>
      </c>
      <c r="O176" s="35">
        <v>0.17599999999999999</v>
      </c>
      <c r="P176" s="35">
        <v>0.13700000000000001</v>
      </c>
      <c r="Q176" s="35">
        <v>5.8999999999999997E-2</v>
      </c>
      <c r="S176" s="26">
        <v>12</v>
      </c>
      <c r="T176" s="26">
        <v>1</v>
      </c>
      <c r="U176" s="26">
        <v>5</v>
      </c>
      <c r="W176" s="26">
        <v>1937.7</v>
      </c>
      <c r="X176" s="26">
        <v>1939.5</v>
      </c>
      <c r="Y176" s="28">
        <v>50483.3</v>
      </c>
      <c r="Z176" s="28">
        <v>14600</v>
      </c>
      <c r="AA176" s="28">
        <v>15236.1</v>
      </c>
      <c r="AB176" s="28">
        <v>13750</v>
      </c>
      <c r="AC176" s="35">
        <v>0.30599999999999999</v>
      </c>
      <c r="AD176" s="35">
        <v>0.25600000000000001</v>
      </c>
      <c r="AE176" s="28">
        <v>6932.1</v>
      </c>
      <c r="AF176" s="28">
        <v>4436</v>
      </c>
      <c r="AH176" s="29">
        <f>IF($D176 = "SPLIT", "",COUNTIFS($D$7:$D$347,$D176,N$7:N$347,"&gt;"&amp;N176)+1)</f>
        <v>185</v>
      </c>
      <c r="AI176" s="29">
        <f>IF($D176 = "SPLIT", "",COUNTIFS($D$7:$D$347,$D176,S$7:S$347,"&gt;"&amp;S176)+1)</f>
        <v>84</v>
      </c>
      <c r="AJ176" s="29">
        <f>IF($D176 = "SPLIT", "",COUNTIFS($D$7:$D$347,$D176,T$7:T$347,"&gt;"&amp;T176)+1)</f>
        <v>84</v>
      </c>
      <c r="AK176" s="29">
        <f>IF($D176 = "SPLIT", "",COUNTIFS($D$7:$D$347,$D176,X$7:X$347,"&lt;"&amp;X176)+1)</f>
        <v>71</v>
      </c>
      <c r="AL176" s="29">
        <f>IF($D176 = "SPLIT", "",COUNTIFS($D$7:$D$347,$D176,Z$7:Z$347,"&gt;"&amp;Z176)+1)</f>
        <v>205</v>
      </c>
      <c r="AM176" s="29">
        <f>IF($D176 = "SPLIT", "",COUNTIFS($D$7:$D$347,$D176,AB$7:AB$347,"&gt;"&amp;AB176)+1)</f>
        <v>202</v>
      </c>
      <c r="AN176" s="29">
        <f>IF($D176 = "SPLIT", "",COUNTIFS($D$7:$D$347,$D176,AD$7:AD$347,"&gt;"&amp;AD176)+1)</f>
        <v>30</v>
      </c>
      <c r="AO176" s="29">
        <f>IF($D176 = "SPLIT", "",COUNTIFS($D$7:$D$347,$D176,AF$7:AF$347,"&gt;"&amp;AF176)+1)</f>
        <v>104</v>
      </c>
    </row>
    <row r="177" spans="1:41" hidden="1" x14ac:dyDescent="0.25">
      <c r="A177" s="30">
        <v>540114</v>
      </c>
      <c r="B177" s="30" t="s">
        <v>306</v>
      </c>
      <c r="C177" s="30" t="s">
        <v>296</v>
      </c>
      <c r="D177" s="30" t="s">
        <v>52</v>
      </c>
      <c r="E177" s="31">
        <v>1</v>
      </c>
      <c r="F177" s="31" t="s">
        <v>299</v>
      </c>
      <c r="G177" s="31">
        <v>1615</v>
      </c>
      <c r="H177" s="31">
        <v>86</v>
      </c>
      <c r="I177" s="31">
        <v>124</v>
      </c>
      <c r="J177" s="31">
        <v>583</v>
      </c>
      <c r="K177" s="31">
        <v>2408</v>
      </c>
      <c r="L177" s="32">
        <v>0.67100000000000004</v>
      </c>
      <c r="M177" s="32">
        <v>3.5999999999999997E-2</v>
      </c>
      <c r="N177" s="32">
        <v>5.0999999999999997E-2</v>
      </c>
      <c r="O177" s="32">
        <v>0.24199999999999999</v>
      </c>
      <c r="P177" s="32">
        <v>0.19700000000000001</v>
      </c>
      <c r="Q177" s="32">
        <v>0.02</v>
      </c>
      <c r="S177" s="31">
        <v>207</v>
      </c>
      <c r="T177" s="31">
        <v>14</v>
      </c>
      <c r="U177" s="31">
        <v>58</v>
      </c>
      <c r="W177" s="31">
        <v>1942.5</v>
      </c>
      <c r="X177" s="31">
        <v>1930</v>
      </c>
      <c r="Y177" s="33">
        <v>27654.9</v>
      </c>
      <c r="Z177" s="33">
        <v>14000</v>
      </c>
      <c r="AA177" s="33">
        <v>16606.2</v>
      </c>
      <c r="AB177" s="33">
        <v>13900</v>
      </c>
      <c r="AC177" s="32">
        <v>0.223</v>
      </c>
      <c r="AD177" s="32">
        <v>0.16800000000000001</v>
      </c>
      <c r="AE177" s="33">
        <v>4577.2</v>
      </c>
      <c r="AF177" s="33">
        <v>2220.8000000000002</v>
      </c>
      <c r="AH177" s="34">
        <f>IF($D177 = "SPLIT", "",COUNTIFS($D$7:$D$347,$D177,N$7:N$347,"&gt;"&amp;N177)+1)</f>
        <v>54</v>
      </c>
      <c r="AI177" s="34">
        <f>IF($D177 = "SPLIT", "",COUNTIFS($D$7:$D$347,$D177,S$7:S$347,"&gt;"&amp;S177)+1)</f>
        <v>17</v>
      </c>
      <c r="AJ177" s="34">
        <f>IF($D177 = "SPLIT", "",COUNTIFS($D$7:$D$347,$D177,T$7:T$347,"&gt;"&amp;T177)+1)</f>
        <v>37</v>
      </c>
      <c r="AK177" s="34">
        <f>IF($D177 = "SPLIT", "",COUNTIFS($D$7:$D$347,$D177,X$7:X$347,"&lt;"&amp;X177)+1)</f>
        <v>1</v>
      </c>
      <c r="AL177" s="34">
        <f>IF($D177 = "SPLIT", "",COUNTIFS($D$7:$D$347,$D177,Z$7:Z$347,"&gt;"&amp;Z177)+1)</f>
        <v>55</v>
      </c>
      <c r="AM177" s="34">
        <f>IF($D177 = "SPLIT", "",COUNTIFS($D$7:$D$347,$D177,AB$7:AB$347,"&gt;"&amp;AB177)+1)</f>
        <v>55</v>
      </c>
      <c r="AN177" s="34">
        <f>IF($D177 = "SPLIT", "",COUNTIFS($D$7:$D$347,$D177,AD$7:AD$347,"&gt;"&amp;AD177)+1)</f>
        <v>32</v>
      </c>
      <c r="AO177" s="34">
        <f>IF($D177 = "SPLIT", "",COUNTIFS($D$7:$D$347,$D177,AF$7:AF$347,"&gt;"&amp;AF177)+1)</f>
        <v>55</v>
      </c>
    </row>
    <row r="178" spans="1:41" hidden="1" x14ac:dyDescent="0.25">
      <c r="A178" s="25">
        <v>540121</v>
      </c>
      <c r="B178" s="25" t="s">
        <v>307</v>
      </c>
      <c r="C178" s="25" t="s">
        <v>296</v>
      </c>
      <c r="D178" s="25" t="s">
        <v>55</v>
      </c>
      <c r="E178" s="26">
        <v>1</v>
      </c>
      <c r="F178" s="26" t="s">
        <v>308</v>
      </c>
      <c r="G178" s="26">
        <v>111</v>
      </c>
      <c r="H178" s="26">
        <v>0</v>
      </c>
      <c r="I178" s="26">
        <v>4</v>
      </c>
      <c r="J178" s="26">
        <v>19</v>
      </c>
      <c r="K178" s="26">
        <v>134</v>
      </c>
      <c r="L178" s="35">
        <v>0.82799999999999996</v>
      </c>
      <c r="M178" s="35">
        <v>0</v>
      </c>
      <c r="N178" s="35">
        <v>0.03</v>
      </c>
      <c r="O178" s="35">
        <v>0.14199999999999999</v>
      </c>
      <c r="P178" s="35">
        <v>0.06</v>
      </c>
      <c r="Q178" s="35">
        <v>2.1999999999999999E-2</v>
      </c>
      <c r="S178" s="26">
        <v>20</v>
      </c>
      <c r="T178" s="26">
        <v>4</v>
      </c>
      <c r="U178" s="26">
        <v>7</v>
      </c>
      <c r="W178" s="26">
        <v>1932.4</v>
      </c>
      <c r="X178" s="26">
        <v>1923</v>
      </c>
      <c r="Y178" s="28">
        <v>35211.5</v>
      </c>
      <c r="Z178" s="28">
        <v>13500</v>
      </c>
      <c r="AA178" s="28">
        <v>14498.6</v>
      </c>
      <c r="AB178" s="28">
        <v>12100</v>
      </c>
      <c r="AC178" s="35">
        <v>0.21299999999999999</v>
      </c>
      <c r="AD178" s="35">
        <v>0.16900000000000001</v>
      </c>
      <c r="AE178" s="28">
        <v>6017.8</v>
      </c>
      <c r="AF178" s="28">
        <v>2748.1</v>
      </c>
      <c r="AH178" s="29">
        <f>IF($D178 = "SPLIT", "",COUNTIFS($D$7:$D$347,$D178,N$7:N$347,"&gt;"&amp;N178)+1)</f>
        <v>178</v>
      </c>
      <c r="AI178" s="29">
        <f>IF($D178 = "SPLIT", "",COUNTIFS($D$7:$D$347,$D178,S$7:S$347,"&gt;"&amp;S178)+1)</f>
        <v>65</v>
      </c>
      <c r="AJ178" s="29">
        <f>IF($D178 = "SPLIT", "",COUNTIFS($D$7:$D$347,$D178,T$7:T$347,"&gt;"&amp;T178)+1)</f>
        <v>40</v>
      </c>
      <c r="AK178" s="29">
        <f>IF($D178 = "SPLIT", "",COUNTIFS($D$7:$D$347,$D178,X$7:X$347,"&lt;"&amp;X178)+1)</f>
        <v>38</v>
      </c>
      <c r="AL178" s="29">
        <f>IF($D178 = "SPLIT", "",COUNTIFS($D$7:$D$347,$D178,Z$7:Z$347,"&gt;"&amp;Z178)+1)</f>
        <v>207</v>
      </c>
      <c r="AM178" s="29">
        <f>IF($D178 = "SPLIT", "",COUNTIFS($D$7:$D$347,$D178,AB$7:AB$347,"&gt;"&amp;AB178)+1)</f>
        <v>206</v>
      </c>
      <c r="AN178" s="29">
        <f>IF($D178 = "SPLIT", "",COUNTIFS($D$7:$D$347,$D178,AD$7:AD$347,"&gt;"&amp;AD178)+1)</f>
        <v>63</v>
      </c>
      <c r="AO178" s="29">
        <f>IF($D178 = "SPLIT", "",COUNTIFS($D$7:$D$347,$D178,AF$7:AF$347,"&gt;"&amp;AF178)+1)</f>
        <v>141</v>
      </c>
    </row>
    <row r="179" spans="1:41" hidden="1" x14ac:dyDescent="0.25">
      <c r="A179" s="25">
        <v>540122</v>
      </c>
      <c r="B179" s="25" t="s">
        <v>309</v>
      </c>
      <c r="C179" s="25" t="s">
        <v>296</v>
      </c>
      <c r="D179" s="25" t="s">
        <v>55</v>
      </c>
      <c r="E179" s="26">
        <v>1</v>
      </c>
      <c r="F179" s="26" t="s">
        <v>301</v>
      </c>
      <c r="G179" s="26">
        <v>134</v>
      </c>
      <c r="H179" s="26">
        <v>1</v>
      </c>
      <c r="I179" s="26">
        <v>6</v>
      </c>
      <c r="J179" s="26">
        <v>14</v>
      </c>
      <c r="K179" s="26">
        <v>155</v>
      </c>
      <c r="L179" s="35">
        <v>0.86499999999999999</v>
      </c>
      <c r="M179" s="35">
        <v>6.0000000000000001E-3</v>
      </c>
      <c r="N179" s="35">
        <v>3.9E-2</v>
      </c>
      <c r="O179" s="35">
        <v>0.09</v>
      </c>
      <c r="P179" s="35">
        <v>5.8000000000000003E-2</v>
      </c>
      <c r="Q179" s="35">
        <v>1.9E-2</v>
      </c>
      <c r="S179" s="26">
        <v>12</v>
      </c>
      <c r="T179" s="26">
        <v>0</v>
      </c>
      <c r="U179" s="26">
        <v>0</v>
      </c>
      <c r="W179" s="26">
        <v>1929.9</v>
      </c>
      <c r="X179" s="26">
        <v>1920</v>
      </c>
      <c r="Y179" s="28">
        <v>33909.5</v>
      </c>
      <c r="Z179" s="28">
        <v>17900</v>
      </c>
      <c r="AA179" s="28">
        <v>18852.599999999999</v>
      </c>
      <c r="AB179" s="28">
        <v>16500</v>
      </c>
      <c r="AC179" s="35">
        <v>0.17100000000000001</v>
      </c>
      <c r="AD179" s="35">
        <v>0.124</v>
      </c>
      <c r="AE179" s="28">
        <v>5018.8</v>
      </c>
      <c r="AF179" s="28">
        <v>2874</v>
      </c>
      <c r="AH179" s="29">
        <f>IF($D179 = "SPLIT", "",COUNTIFS($D$7:$D$347,$D179,N$7:N$347,"&gt;"&amp;N179)+1)</f>
        <v>173</v>
      </c>
      <c r="AI179" s="29">
        <f>IF($D179 = "SPLIT", "",COUNTIFS($D$7:$D$347,$D179,S$7:S$347,"&gt;"&amp;S179)+1)</f>
        <v>84</v>
      </c>
      <c r="AJ179" s="29">
        <f>IF($D179 = "SPLIT", "",COUNTIFS($D$7:$D$347,$D179,T$7:T$347,"&gt;"&amp;T179)+1)</f>
        <v>113</v>
      </c>
      <c r="AK179" s="29">
        <f>IF($D179 = "SPLIT", "",COUNTIFS($D$7:$D$347,$D179,X$7:X$347,"&lt;"&amp;X179)+1)</f>
        <v>21</v>
      </c>
      <c r="AL179" s="29">
        <f>IF($D179 = "SPLIT", "",COUNTIFS($D$7:$D$347,$D179,Z$7:Z$347,"&gt;"&amp;Z179)+1)</f>
        <v>197</v>
      </c>
      <c r="AM179" s="29">
        <f>IF($D179 = "SPLIT", "",COUNTIFS($D$7:$D$347,$D179,AB$7:AB$347,"&gt;"&amp;AB179)+1)</f>
        <v>194</v>
      </c>
      <c r="AN179" s="29">
        <f>IF($D179 = "SPLIT", "",COUNTIFS($D$7:$D$347,$D179,AD$7:AD$347,"&gt;"&amp;AD179)+1)</f>
        <v>94</v>
      </c>
      <c r="AO179" s="29">
        <f>IF($D179 = "SPLIT", "",COUNTIFS($D$7:$D$347,$D179,AF$7:AF$347,"&gt;"&amp;AF179)+1)</f>
        <v>139</v>
      </c>
    </row>
    <row r="180" spans="1:41" hidden="1" x14ac:dyDescent="0.25">
      <c r="A180" s="25">
        <v>540123</v>
      </c>
      <c r="B180" s="25" t="s">
        <v>310</v>
      </c>
      <c r="C180" s="25" t="s">
        <v>296</v>
      </c>
      <c r="D180" s="25" t="s">
        <v>55</v>
      </c>
      <c r="E180" s="26">
        <v>1</v>
      </c>
      <c r="F180" s="26" t="s">
        <v>311</v>
      </c>
      <c r="G180" s="26">
        <v>335</v>
      </c>
      <c r="H180" s="26">
        <v>1</v>
      </c>
      <c r="I180" s="26">
        <v>10</v>
      </c>
      <c r="J180" s="26">
        <v>19</v>
      </c>
      <c r="K180" s="26">
        <v>365</v>
      </c>
      <c r="L180" s="35">
        <v>0.91800000000000004</v>
      </c>
      <c r="M180" s="35">
        <v>3.0000000000000001E-3</v>
      </c>
      <c r="N180" s="35">
        <v>2.7E-2</v>
      </c>
      <c r="O180" s="35">
        <v>5.1999999999999998E-2</v>
      </c>
      <c r="P180" s="35">
        <v>2.1999999999999999E-2</v>
      </c>
      <c r="Q180" s="35">
        <v>1.6E-2</v>
      </c>
      <c r="S180" s="26">
        <v>42</v>
      </c>
      <c r="T180" s="26">
        <v>1</v>
      </c>
      <c r="U180" s="26">
        <v>7</v>
      </c>
      <c r="W180" s="26">
        <v>1944.9</v>
      </c>
      <c r="X180" s="26">
        <v>1946</v>
      </c>
      <c r="Y180" s="28">
        <v>103711.1</v>
      </c>
      <c r="Z180" s="28">
        <v>28800</v>
      </c>
      <c r="AA180" s="28">
        <v>35585.599999999999</v>
      </c>
      <c r="AB180" s="28">
        <v>25600</v>
      </c>
      <c r="AC180" s="35">
        <v>0.14099999999999999</v>
      </c>
      <c r="AD180" s="35">
        <v>0.112</v>
      </c>
      <c r="AE180" s="28">
        <v>6595.1</v>
      </c>
      <c r="AF180" s="28">
        <v>3257.3</v>
      </c>
      <c r="AH180" s="29">
        <f>IF($D180 = "SPLIT", "",COUNTIFS($D$7:$D$347,$D180,N$7:N$347,"&gt;"&amp;N180)+1)</f>
        <v>180</v>
      </c>
      <c r="AI180" s="29">
        <f>IF($D180 = "SPLIT", "",COUNTIFS($D$7:$D$347,$D180,S$7:S$347,"&gt;"&amp;S180)+1)</f>
        <v>36</v>
      </c>
      <c r="AJ180" s="29">
        <f>IF($D180 = "SPLIT", "",COUNTIFS($D$7:$D$347,$D180,T$7:T$347,"&gt;"&amp;T180)+1)</f>
        <v>84</v>
      </c>
      <c r="AK180" s="29">
        <f>IF($D180 = "SPLIT", "",COUNTIFS($D$7:$D$347,$D180,X$7:X$347,"&lt;"&amp;X180)+1)</f>
        <v>101</v>
      </c>
      <c r="AL180" s="29">
        <f>IF($D180 = "SPLIT", "",COUNTIFS($D$7:$D$347,$D180,Z$7:Z$347,"&gt;"&amp;Z180)+1)</f>
        <v>159</v>
      </c>
      <c r="AM180" s="29">
        <f>IF($D180 = "SPLIT", "",COUNTIFS($D$7:$D$347,$D180,AB$7:AB$347,"&gt;"&amp;AB180)+1)</f>
        <v>163</v>
      </c>
      <c r="AN180" s="29">
        <f>IF($D180 = "SPLIT", "",COUNTIFS($D$7:$D$347,$D180,AD$7:AD$347,"&gt;"&amp;AD180)+1)</f>
        <v>102</v>
      </c>
      <c r="AO180" s="29">
        <f>IF($D180 = "SPLIT", "",COUNTIFS($D$7:$D$347,$D180,AF$7:AF$347,"&gt;"&amp;AF180)+1)</f>
        <v>133</v>
      </c>
    </row>
    <row r="181" spans="1:41" hidden="1" x14ac:dyDescent="0.25">
      <c r="A181" s="160"/>
      <c r="B181" s="160"/>
      <c r="C181" s="160" t="s">
        <v>296</v>
      </c>
      <c r="D181" s="160" t="s">
        <v>2</v>
      </c>
      <c r="E181" s="161">
        <v>1</v>
      </c>
      <c r="F181" s="161"/>
      <c r="G181" s="161">
        <v>2744</v>
      </c>
      <c r="H181" s="161">
        <v>97</v>
      </c>
      <c r="I181" s="161">
        <v>167</v>
      </c>
      <c r="J181" s="161">
        <v>708</v>
      </c>
      <c r="K181" s="161">
        <v>3716</v>
      </c>
      <c r="L181" s="162">
        <v>0.73799999999999999</v>
      </c>
      <c r="M181" s="162">
        <v>2.5999999999999999E-2</v>
      </c>
      <c r="N181" s="162">
        <v>4.4999999999999998E-2</v>
      </c>
      <c r="O181" s="162">
        <v>0.191</v>
      </c>
      <c r="P181" s="162">
        <v>0.14699999999999999</v>
      </c>
      <c r="Q181" s="162">
        <v>0.02</v>
      </c>
      <c r="S181" s="161">
        <v>374</v>
      </c>
      <c r="T181" s="161">
        <v>25</v>
      </c>
      <c r="U181" s="161">
        <v>93</v>
      </c>
      <c r="W181" s="161">
        <v>1939.5</v>
      </c>
      <c r="X181" s="161">
        <v>1930</v>
      </c>
      <c r="Y181" s="163">
        <v>42253.4</v>
      </c>
      <c r="Z181" s="163">
        <v>14400</v>
      </c>
      <c r="AA181" s="163">
        <v>17917.599999999999</v>
      </c>
      <c r="AB181" s="163">
        <v>14200</v>
      </c>
      <c r="AC181" s="162">
        <v>0.215</v>
      </c>
      <c r="AD181" s="162">
        <v>0.16200000000000001</v>
      </c>
      <c r="AE181" s="163">
        <v>5352.9</v>
      </c>
      <c r="AF181" s="163">
        <v>2535.5</v>
      </c>
      <c r="AH181" s="164">
        <f>IF($D181 = "SPLIT", "",COUNTIFS($D$7:$D$347,$D181,N$7:N$347,"&gt;"&amp;N181)+1)</f>
        <v>55</v>
      </c>
      <c r="AI181" s="164">
        <f>IF($D181 = "SPLIT", "",COUNTIFS($D$7:$D$347,$D181,S$7:S$347,"&gt;"&amp;S181)+1)</f>
        <v>13</v>
      </c>
      <c r="AJ181" s="164">
        <f>IF($D181 = "SPLIT", "",COUNTIFS($D$7:$D$347,$D181,T$7:T$347,"&gt;"&amp;T181)+1)</f>
        <v>34</v>
      </c>
      <c r="AK181" s="164">
        <f>IF($D181 = "SPLIT", "",COUNTIFS($D$7:$D$347,$D181,X$7:X$347,"&lt;"&amp;X181)+1)</f>
        <v>3</v>
      </c>
      <c r="AL181" s="164">
        <f>IF($D181 = "SPLIT", "",COUNTIFS($D$7:$D$347,$D181,Z$7:Z$347,"&gt;"&amp;Z181)+1)</f>
        <v>55</v>
      </c>
      <c r="AM181" s="164">
        <f>IF($D181 = "SPLIT", "",COUNTIFS($D$7:$D$347,$D181,AB$7:AB$347,"&gt;"&amp;AB181)+1)</f>
        <v>55</v>
      </c>
      <c r="AN181" s="164">
        <f>IF($D181 = "SPLIT", "",COUNTIFS($D$7:$D$347,$D181,AD$7:AD$347,"&gt;"&amp;AD181)+1)</f>
        <v>26</v>
      </c>
      <c r="AO181" s="164">
        <f>IF($D181 = "SPLIT", "",COUNTIFS($D$7:$D$347,$D181,AF$7:AF$347,"&gt;"&amp;AF181)+1)</f>
        <v>54</v>
      </c>
    </row>
    <row r="182" spans="1:41" hidden="1" x14ac:dyDescent="0.25">
      <c r="A182" s="25">
        <v>540285</v>
      </c>
      <c r="B182" s="25" t="s">
        <v>312</v>
      </c>
      <c r="C182" s="25" t="s">
        <v>313</v>
      </c>
      <c r="D182" s="25" t="s">
        <v>55</v>
      </c>
      <c r="E182" s="26">
        <v>1</v>
      </c>
      <c r="F182" s="26" t="s">
        <v>314</v>
      </c>
      <c r="G182" s="26">
        <v>0</v>
      </c>
      <c r="H182" s="26">
        <v>0</v>
      </c>
      <c r="I182" s="26">
        <v>1</v>
      </c>
      <c r="J182" s="26">
        <v>1</v>
      </c>
      <c r="K182" s="26">
        <v>2</v>
      </c>
      <c r="L182" s="35">
        <v>0</v>
      </c>
      <c r="M182" s="35">
        <v>0</v>
      </c>
      <c r="N182" s="35">
        <v>0.5</v>
      </c>
      <c r="O182" s="35">
        <v>0.5</v>
      </c>
      <c r="P182" s="35">
        <v>0</v>
      </c>
      <c r="Q182" s="35">
        <v>0</v>
      </c>
      <c r="S182" s="26">
        <v>0</v>
      </c>
      <c r="T182" s="26">
        <v>0</v>
      </c>
      <c r="U182" s="26">
        <v>0</v>
      </c>
      <c r="W182" s="26">
        <v>0</v>
      </c>
      <c r="X182" s="26">
        <v>0</v>
      </c>
      <c r="Y182" s="28">
        <v>15500</v>
      </c>
      <c r="Z182" s="28">
        <v>15500</v>
      </c>
      <c r="AA182" s="28">
        <v>27000</v>
      </c>
      <c r="AB182" s="28">
        <v>27000</v>
      </c>
      <c r="AC182" s="35">
        <v>0</v>
      </c>
      <c r="AD182" s="35">
        <v>0</v>
      </c>
      <c r="AE182" s="28">
        <v>0</v>
      </c>
      <c r="AF182" s="28">
        <v>0</v>
      </c>
      <c r="AH182" s="29">
        <f>IF($D182 = "SPLIT", "",COUNTIFS($D$7:$D$347,$D182,N$7:N$347,"&gt;"&amp;N182)+1)</f>
        <v>12</v>
      </c>
      <c r="AI182" s="29">
        <f>IF($D182 = "SPLIT", "",COUNTIFS($D$7:$D$347,$D182,S$7:S$347,"&gt;"&amp;S182)+1)</f>
        <v>177</v>
      </c>
      <c r="AJ182" s="29">
        <f>IF($D182 = "SPLIT", "",COUNTIFS($D$7:$D$347,$D182,T$7:T$347,"&gt;"&amp;T182)+1)</f>
        <v>113</v>
      </c>
      <c r="AK182" s="29">
        <f>IF($D182 = "SPLIT", "",COUNTIFS($D$7:$D$347,$D182,X$7:X$347,"&lt;"&amp;X182)+1)</f>
        <v>1</v>
      </c>
      <c r="AL182" s="29">
        <f>IF($D182 = "SPLIT", "",COUNTIFS($D$7:$D$347,$D182,Z$7:Z$347,"&gt;"&amp;Z182)+1)</f>
        <v>203</v>
      </c>
      <c r="AM182" s="29">
        <f>IF($D182 = "SPLIT", "",COUNTIFS($D$7:$D$347,$D182,AB$7:AB$347,"&gt;"&amp;AB182)+1)</f>
        <v>154</v>
      </c>
      <c r="AN182" s="29">
        <f>IF($D182 = "SPLIT", "",COUNTIFS($D$7:$D$347,$D182,AD$7:AD$347,"&gt;"&amp;AD182)+1)</f>
        <v>198</v>
      </c>
      <c r="AO182" s="29">
        <f>IF($D182 = "SPLIT", "",COUNTIFS($D$7:$D$347,$D182,AF$7:AF$347,"&gt;"&amp;AF182)+1)</f>
        <v>198</v>
      </c>
    </row>
    <row r="183" spans="1:41" hidden="1" x14ac:dyDescent="0.25">
      <c r="A183" s="25">
        <v>540125</v>
      </c>
      <c r="B183" s="25" t="s">
        <v>315</v>
      </c>
      <c r="C183" s="25" t="s">
        <v>313</v>
      </c>
      <c r="D183" s="25" t="s">
        <v>55</v>
      </c>
      <c r="E183" s="26">
        <v>1</v>
      </c>
      <c r="F183" s="26" t="s">
        <v>316</v>
      </c>
      <c r="G183" s="26">
        <v>39</v>
      </c>
      <c r="H183" s="26">
        <v>1</v>
      </c>
      <c r="I183" s="26">
        <v>2</v>
      </c>
      <c r="J183" s="26">
        <v>4</v>
      </c>
      <c r="K183" s="26">
        <v>46</v>
      </c>
      <c r="L183" s="35">
        <v>0.84799999999999998</v>
      </c>
      <c r="M183" s="35">
        <v>2.1999999999999999E-2</v>
      </c>
      <c r="N183" s="35">
        <v>4.2999999999999997E-2</v>
      </c>
      <c r="O183" s="35">
        <v>8.6999999999999994E-2</v>
      </c>
      <c r="P183" s="35">
        <v>2.1999999999999999E-2</v>
      </c>
      <c r="Q183" s="35">
        <v>4.2999999999999997E-2</v>
      </c>
      <c r="S183" s="26">
        <v>2</v>
      </c>
      <c r="T183" s="26">
        <v>0</v>
      </c>
      <c r="U183" s="26">
        <v>1</v>
      </c>
      <c r="W183" s="26">
        <v>1921.9</v>
      </c>
      <c r="X183" s="26">
        <v>1911</v>
      </c>
      <c r="Y183" s="28">
        <v>55674.8</v>
      </c>
      <c r="Z183" s="28">
        <v>32600</v>
      </c>
      <c r="AA183" s="28">
        <v>44299.7</v>
      </c>
      <c r="AB183" s="28">
        <v>30100</v>
      </c>
      <c r="AC183" s="35">
        <v>6.3E-2</v>
      </c>
      <c r="AD183" s="35">
        <v>0.04</v>
      </c>
      <c r="AE183" s="28">
        <v>2959.8</v>
      </c>
      <c r="AF183" s="28">
        <v>1830.5</v>
      </c>
      <c r="AH183" s="29">
        <f>IF($D183 = "SPLIT", "",COUNTIFS($D$7:$D$347,$D183,N$7:N$347,"&gt;"&amp;N183)+1)</f>
        <v>171</v>
      </c>
      <c r="AI183" s="29">
        <f>IF($D183 = "SPLIT", "",COUNTIFS($D$7:$D$347,$D183,S$7:S$347,"&gt;"&amp;S183)+1)</f>
        <v>141</v>
      </c>
      <c r="AJ183" s="29">
        <f>IF($D183 = "SPLIT", "",COUNTIFS($D$7:$D$347,$D183,T$7:T$347,"&gt;"&amp;T183)+1)</f>
        <v>113</v>
      </c>
      <c r="AK183" s="29">
        <f>IF($D183 = "SPLIT", "",COUNTIFS($D$7:$D$347,$D183,X$7:X$347,"&lt;"&amp;X183)+1)</f>
        <v>17</v>
      </c>
      <c r="AL183" s="29">
        <f>IF($D183 = "SPLIT", "",COUNTIFS($D$7:$D$347,$D183,Z$7:Z$347,"&gt;"&amp;Z183)+1)</f>
        <v>146</v>
      </c>
      <c r="AM183" s="29">
        <f>IF($D183 = "SPLIT", "",COUNTIFS($D$7:$D$347,$D183,AB$7:AB$347,"&gt;"&amp;AB183)+1)</f>
        <v>139</v>
      </c>
      <c r="AN183" s="29">
        <f>IF($D183 = "SPLIT", "",COUNTIFS($D$7:$D$347,$D183,AD$7:AD$347,"&gt;"&amp;AD183)+1)</f>
        <v>177</v>
      </c>
      <c r="AO183" s="29">
        <f>IF($D183 = "SPLIT", "",COUNTIFS($D$7:$D$347,$D183,AF$7:AF$347,"&gt;"&amp;AF183)+1)</f>
        <v>169</v>
      </c>
    </row>
    <row r="184" spans="1:41" hidden="1" x14ac:dyDescent="0.25">
      <c r="A184" s="30">
        <v>540124</v>
      </c>
      <c r="B184" s="30" t="s">
        <v>317</v>
      </c>
      <c r="C184" s="30" t="s">
        <v>313</v>
      </c>
      <c r="D184" s="30" t="s">
        <v>52</v>
      </c>
      <c r="E184" s="31">
        <v>1</v>
      </c>
      <c r="F184" s="31" t="s">
        <v>297</v>
      </c>
      <c r="G184" s="31">
        <v>1383</v>
      </c>
      <c r="H184" s="31">
        <v>45</v>
      </c>
      <c r="I184" s="31">
        <v>582</v>
      </c>
      <c r="J184" s="31">
        <v>225</v>
      </c>
      <c r="K184" s="31">
        <v>2235</v>
      </c>
      <c r="L184" s="32">
        <v>0.61899999999999999</v>
      </c>
      <c r="M184" s="32">
        <v>0.02</v>
      </c>
      <c r="N184" s="32">
        <v>0.26</v>
      </c>
      <c r="O184" s="32">
        <v>0.10100000000000001</v>
      </c>
      <c r="P184" s="32">
        <v>8.8999999999999996E-2</v>
      </c>
      <c r="Q184" s="32">
        <v>8.0000000000000002E-3</v>
      </c>
      <c r="S184" s="31">
        <v>87</v>
      </c>
      <c r="T184" s="31">
        <v>22</v>
      </c>
      <c r="U184" s="31">
        <v>20</v>
      </c>
      <c r="W184" s="31">
        <v>1964.4</v>
      </c>
      <c r="X184" s="31">
        <v>1970</v>
      </c>
      <c r="Y184" s="33">
        <v>65098.1</v>
      </c>
      <c r="Z184" s="33">
        <v>27000</v>
      </c>
      <c r="AA184" s="33">
        <v>33307.599999999999</v>
      </c>
      <c r="AB184" s="33">
        <v>27000</v>
      </c>
      <c r="AC184" s="32">
        <v>0.156</v>
      </c>
      <c r="AD184" s="32">
        <v>0.111</v>
      </c>
      <c r="AE184" s="33">
        <v>10318.6</v>
      </c>
      <c r="AF184" s="33">
        <v>2534.1999999999998</v>
      </c>
      <c r="AH184" s="34">
        <f>IF($D184 = "SPLIT", "",COUNTIFS($D$7:$D$347,$D184,N$7:N$347,"&gt;"&amp;N184)+1)</f>
        <v>28</v>
      </c>
      <c r="AI184" s="34">
        <f>IF($D184 = "SPLIT", "",COUNTIFS($D$7:$D$347,$D184,S$7:S$347,"&gt;"&amp;S184)+1)</f>
        <v>37</v>
      </c>
      <c r="AJ184" s="34">
        <f>IF($D184 = "SPLIT", "",COUNTIFS($D$7:$D$347,$D184,T$7:T$347,"&gt;"&amp;T184)+1)</f>
        <v>31</v>
      </c>
      <c r="AK184" s="34">
        <f>IF($D184 = "SPLIT", "",COUNTIFS($D$7:$D$347,$D184,X$7:X$347,"&lt;"&amp;X184)+1)</f>
        <v>21</v>
      </c>
      <c r="AL184" s="34">
        <f>IF($D184 = "SPLIT", "",COUNTIFS($D$7:$D$347,$D184,Z$7:Z$347,"&gt;"&amp;Z184)+1)</f>
        <v>46</v>
      </c>
      <c r="AM184" s="34">
        <f>IF($D184 = "SPLIT", "",COUNTIFS($D$7:$D$347,$D184,AB$7:AB$347,"&gt;"&amp;AB184)+1)</f>
        <v>42</v>
      </c>
      <c r="AN184" s="34">
        <f>IF($D184 = "SPLIT", "",COUNTIFS($D$7:$D$347,$D184,AD$7:AD$347,"&gt;"&amp;AD184)+1)</f>
        <v>53</v>
      </c>
      <c r="AO184" s="34">
        <f>IF($D184 = "SPLIT", "",COUNTIFS($D$7:$D$347,$D184,AF$7:AF$347,"&gt;"&amp;AF184)+1)</f>
        <v>54</v>
      </c>
    </row>
    <row r="185" spans="1:41" hidden="1" x14ac:dyDescent="0.25">
      <c r="A185" s="25">
        <v>540127</v>
      </c>
      <c r="B185" s="25" t="s">
        <v>318</v>
      </c>
      <c r="C185" s="25" t="s">
        <v>313</v>
      </c>
      <c r="D185" s="25" t="s">
        <v>55</v>
      </c>
      <c r="E185" s="26">
        <v>1</v>
      </c>
      <c r="F185" s="26" t="s">
        <v>84</v>
      </c>
      <c r="G185" s="26">
        <v>17</v>
      </c>
      <c r="H185" s="26">
        <v>3</v>
      </c>
      <c r="I185" s="26">
        <v>6</v>
      </c>
      <c r="J185" s="26">
        <v>1</v>
      </c>
      <c r="K185" s="26">
        <v>27</v>
      </c>
      <c r="L185" s="35">
        <v>0.63</v>
      </c>
      <c r="M185" s="35">
        <v>0.111</v>
      </c>
      <c r="N185" s="35">
        <v>0.222</v>
      </c>
      <c r="O185" s="35">
        <v>3.6999999999999998E-2</v>
      </c>
      <c r="P185" s="35">
        <v>3.6999999999999998E-2</v>
      </c>
      <c r="Q185" s="35">
        <v>0</v>
      </c>
      <c r="S185" s="26">
        <v>0</v>
      </c>
      <c r="T185" s="26">
        <v>0</v>
      </c>
      <c r="U185" s="26">
        <v>0</v>
      </c>
      <c r="W185" s="26">
        <v>1949.8</v>
      </c>
      <c r="X185" s="26">
        <v>1952.5</v>
      </c>
      <c r="Y185" s="28">
        <v>17913.7</v>
      </c>
      <c r="Z185" s="28">
        <v>14850</v>
      </c>
      <c r="AA185" s="28">
        <v>17913.7</v>
      </c>
      <c r="AB185" s="28">
        <v>14850</v>
      </c>
      <c r="AC185" s="35">
        <v>7.2999999999999995E-2</v>
      </c>
      <c r="AD185" s="35">
        <v>3.4000000000000002E-2</v>
      </c>
      <c r="AE185" s="28">
        <v>766.4</v>
      </c>
      <c r="AF185" s="28">
        <v>430.3</v>
      </c>
      <c r="AH185" s="29">
        <f>IF($D185 = "SPLIT", "",COUNTIFS($D$7:$D$347,$D185,N$7:N$347,"&gt;"&amp;N185)+1)</f>
        <v>59</v>
      </c>
      <c r="AI185" s="29">
        <f>IF($D185 = "SPLIT", "",COUNTIFS($D$7:$D$347,$D185,S$7:S$347,"&gt;"&amp;S185)+1)</f>
        <v>177</v>
      </c>
      <c r="AJ185" s="29">
        <f>IF($D185 = "SPLIT", "",COUNTIFS($D$7:$D$347,$D185,T$7:T$347,"&gt;"&amp;T185)+1)</f>
        <v>113</v>
      </c>
      <c r="AK185" s="29">
        <f>IF($D185 = "SPLIT", "",COUNTIFS($D$7:$D$347,$D185,X$7:X$347,"&lt;"&amp;X185)+1)</f>
        <v>131</v>
      </c>
      <c r="AL185" s="29">
        <f>IF($D185 = "SPLIT", "",COUNTIFS($D$7:$D$347,$D185,Z$7:Z$347,"&gt;"&amp;Z185)+1)</f>
        <v>204</v>
      </c>
      <c r="AM185" s="29">
        <f>IF($D185 = "SPLIT", "",COUNTIFS($D$7:$D$347,$D185,AB$7:AB$347,"&gt;"&amp;AB185)+1)</f>
        <v>198</v>
      </c>
      <c r="AN185" s="29">
        <f>IF($D185 = "SPLIT", "",COUNTIFS($D$7:$D$347,$D185,AD$7:AD$347,"&gt;"&amp;AD185)+1)</f>
        <v>188</v>
      </c>
      <c r="AO185" s="29">
        <f>IF($D185 = "SPLIT", "",COUNTIFS($D$7:$D$347,$D185,AF$7:AF$347,"&gt;"&amp;AF185)+1)</f>
        <v>195</v>
      </c>
    </row>
    <row r="186" spans="1:41" hidden="1" x14ac:dyDescent="0.25">
      <c r="A186" s="25">
        <v>540128</v>
      </c>
      <c r="B186" s="25" t="s">
        <v>319</v>
      </c>
      <c r="C186" s="25" t="s">
        <v>313</v>
      </c>
      <c r="D186" s="25" t="s">
        <v>55</v>
      </c>
      <c r="E186" s="26">
        <v>1</v>
      </c>
      <c r="F186" s="26" t="s">
        <v>320</v>
      </c>
      <c r="G186" s="26">
        <v>124</v>
      </c>
      <c r="H186" s="26">
        <v>8</v>
      </c>
      <c r="I186" s="26">
        <v>104</v>
      </c>
      <c r="J186" s="26">
        <v>5</v>
      </c>
      <c r="K186" s="26">
        <v>241</v>
      </c>
      <c r="L186" s="35">
        <v>0.51500000000000001</v>
      </c>
      <c r="M186" s="35">
        <v>3.3000000000000002E-2</v>
      </c>
      <c r="N186" s="35">
        <v>0.432</v>
      </c>
      <c r="O186" s="35">
        <v>2.1000000000000001E-2</v>
      </c>
      <c r="P186" s="35">
        <v>8.0000000000000002E-3</v>
      </c>
      <c r="Q186" s="35">
        <v>8.0000000000000002E-3</v>
      </c>
      <c r="S186" s="26">
        <v>10</v>
      </c>
      <c r="T186" s="26">
        <v>1</v>
      </c>
      <c r="U186" s="26">
        <v>0</v>
      </c>
      <c r="W186" s="26">
        <v>1975</v>
      </c>
      <c r="X186" s="26">
        <v>1980</v>
      </c>
      <c r="Y186" s="28">
        <v>328867.59999999998</v>
      </c>
      <c r="Z186" s="28">
        <v>100600</v>
      </c>
      <c r="AA186" s="28">
        <v>72938</v>
      </c>
      <c r="AB186" s="28">
        <v>48700</v>
      </c>
      <c r="AC186" s="35">
        <v>4.2000000000000003E-2</v>
      </c>
      <c r="AD186" s="35">
        <v>1.7999999999999999E-2</v>
      </c>
      <c r="AE186" s="28">
        <v>4485.8999999999996</v>
      </c>
      <c r="AF186" s="28">
        <v>1311.3</v>
      </c>
      <c r="AH186" s="29">
        <f>IF($D186 = "SPLIT", "",COUNTIFS($D$7:$D$347,$D186,N$7:N$347,"&gt;"&amp;N186)+1)</f>
        <v>19</v>
      </c>
      <c r="AI186" s="29">
        <f>IF($D186 = "SPLIT", "",COUNTIFS($D$7:$D$347,$D186,S$7:S$347,"&gt;"&amp;S186)+1)</f>
        <v>95</v>
      </c>
      <c r="AJ186" s="29">
        <f>IF($D186 = "SPLIT", "",COUNTIFS($D$7:$D$347,$D186,T$7:T$347,"&gt;"&amp;T186)+1)</f>
        <v>84</v>
      </c>
      <c r="AK186" s="29">
        <f>IF($D186 = "SPLIT", "",COUNTIFS($D$7:$D$347,$D186,X$7:X$347,"&lt;"&amp;X186)+1)</f>
        <v>192</v>
      </c>
      <c r="AL186" s="29">
        <f>IF($D186 = "SPLIT", "",COUNTIFS($D$7:$D$347,$D186,Z$7:Z$347,"&gt;"&amp;Z186)+1)</f>
        <v>14</v>
      </c>
      <c r="AM186" s="29">
        <f>IF($D186 = "SPLIT", "",COUNTIFS($D$7:$D$347,$D186,AB$7:AB$347,"&gt;"&amp;AB186)+1)</f>
        <v>64</v>
      </c>
      <c r="AN186" s="29">
        <f>IF($D186 = "SPLIT", "",COUNTIFS($D$7:$D$347,$D186,AD$7:AD$347,"&gt;"&amp;AD186)+1)</f>
        <v>193</v>
      </c>
      <c r="AO186" s="29">
        <f>IF($D186 = "SPLIT", "",COUNTIFS($D$7:$D$347,$D186,AF$7:AF$347,"&gt;"&amp;AF186)+1)</f>
        <v>183</v>
      </c>
    </row>
    <row r="187" spans="1:41" hidden="1" x14ac:dyDescent="0.25">
      <c r="A187" s="160"/>
      <c r="B187" s="160"/>
      <c r="C187" s="160" t="s">
        <v>313</v>
      </c>
      <c r="D187" s="160" t="s">
        <v>2</v>
      </c>
      <c r="E187" s="161">
        <v>1</v>
      </c>
      <c r="F187" s="161"/>
      <c r="G187" s="161">
        <v>1563</v>
      </c>
      <c r="H187" s="161">
        <v>57</v>
      </c>
      <c r="I187" s="161">
        <v>695</v>
      </c>
      <c r="J187" s="161">
        <v>236</v>
      </c>
      <c r="K187" s="161">
        <v>2551</v>
      </c>
      <c r="L187" s="162">
        <v>0.61299999999999999</v>
      </c>
      <c r="M187" s="162">
        <v>2.1999999999999999E-2</v>
      </c>
      <c r="N187" s="162">
        <v>0.27200000000000002</v>
      </c>
      <c r="O187" s="162">
        <v>9.2999999999999999E-2</v>
      </c>
      <c r="P187" s="162">
        <v>0.08</v>
      </c>
      <c r="Q187" s="162">
        <v>8.0000000000000002E-3</v>
      </c>
      <c r="S187" s="161">
        <v>99</v>
      </c>
      <c r="T187" s="161">
        <v>23</v>
      </c>
      <c r="U187" s="161">
        <v>21</v>
      </c>
      <c r="W187" s="161">
        <v>1964.6</v>
      </c>
      <c r="X187" s="161">
        <v>1970</v>
      </c>
      <c r="Y187" s="163">
        <v>89308.9</v>
      </c>
      <c r="Z187" s="163">
        <v>27000</v>
      </c>
      <c r="AA187" s="163">
        <v>41552.9</v>
      </c>
      <c r="AB187" s="163">
        <v>30400</v>
      </c>
      <c r="AC187" s="162">
        <v>0.13700000000000001</v>
      </c>
      <c r="AD187" s="162">
        <v>9.0999999999999998E-2</v>
      </c>
      <c r="AE187" s="163">
        <v>9238</v>
      </c>
      <c r="AF187" s="163">
        <v>2327.8000000000002</v>
      </c>
      <c r="AH187" s="164">
        <f>IF($D187 = "SPLIT", "",COUNTIFS($D$7:$D$347,$D187,N$7:N$347,"&gt;"&amp;N187)+1)</f>
        <v>14</v>
      </c>
      <c r="AI187" s="164">
        <f>IF($D187 = "SPLIT", "",COUNTIFS($D$7:$D$347,$D187,S$7:S$347,"&gt;"&amp;S187)+1)</f>
        <v>45</v>
      </c>
      <c r="AJ187" s="164">
        <f>IF($D187 = "SPLIT", "",COUNTIFS($D$7:$D$347,$D187,T$7:T$347,"&gt;"&amp;T187)+1)</f>
        <v>35</v>
      </c>
      <c r="AK187" s="164">
        <f>IF($D187 = "SPLIT", "",COUNTIFS($D$7:$D$347,$D187,X$7:X$347,"&lt;"&amp;X187)+1)</f>
        <v>32</v>
      </c>
      <c r="AL187" s="164">
        <f>IF($D187 = "SPLIT", "",COUNTIFS($D$7:$D$347,$D187,Z$7:Z$347,"&gt;"&amp;Z187)+1)</f>
        <v>47</v>
      </c>
      <c r="AM187" s="164">
        <f>IF($D187 = "SPLIT", "",COUNTIFS($D$7:$D$347,$D187,AB$7:AB$347,"&gt;"&amp;AB187)+1)</f>
        <v>47</v>
      </c>
      <c r="AN187" s="164">
        <f>IF($D187 = "SPLIT", "",COUNTIFS($D$7:$D$347,$D187,AD$7:AD$347,"&gt;"&amp;AD187)+1)</f>
        <v>53</v>
      </c>
      <c r="AO187" s="164">
        <f>IF($D187 = "SPLIT", "",COUNTIFS($D$7:$D$347,$D187,AF$7:AF$347,"&gt;"&amp;AF187)+1)</f>
        <v>55</v>
      </c>
    </row>
    <row r="188" spans="1:41" hidden="1" x14ac:dyDescent="0.25">
      <c r="A188" s="25">
        <v>540130</v>
      </c>
      <c r="B188" s="25" t="s">
        <v>321</v>
      </c>
      <c r="C188" s="25" t="s">
        <v>322</v>
      </c>
      <c r="D188" s="25" t="s">
        <v>55</v>
      </c>
      <c r="E188" s="26">
        <v>8</v>
      </c>
      <c r="F188" s="26" t="s">
        <v>139</v>
      </c>
      <c r="G188" s="26">
        <v>474</v>
      </c>
      <c r="H188" s="26">
        <v>4</v>
      </c>
      <c r="I188" s="26">
        <v>5</v>
      </c>
      <c r="J188" s="26">
        <v>28</v>
      </c>
      <c r="K188" s="26">
        <v>511</v>
      </c>
      <c r="L188" s="35">
        <v>0.92800000000000005</v>
      </c>
      <c r="M188" s="35">
        <v>8.0000000000000002E-3</v>
      </c>
      <c r="N188" s="35">
        <v>0.01</v>
      </c>
      <c r="O188" s="35">
        <v>5.5E-2</v>
      </c>
      <c r="P188" s="35">
        <v>8.0000000000000002E-3</v>
      </c>
      <c r="Q188" s="35">
        <v>8.0000000000000002E-3</v>
      </c>
      <c r="S188" s="26">
        <v>101</v>
      </c>
      <c r="T188" s="26">
        <v>0</v>
      </c>
      <c r="U188" s="26">
        <v>5</v>
      </c>
      <c r="W188" s="26">
        <v>1922.9</v>
      </c>
      <c r="X188" s="26">
        <v>1913</v>
      </c>
      <c r="Y188" s="28">
        <v>116432.7</v>
      </c>
      <c r="Z188" s="28">
        <v>54500</v>
      </c>
      <c r="AA188" s="28">
        <v>55179</v>
      </c>
      <c r="AB188" s="28">
        <v>52700</v>
      </c>
      <c r="AC188" s="35">
        <v>0.13900000000000001</v>
      </c>
      <c r="AD188" s="35">
        <v>0.111</v>
      </c>
      <c r="AE188" s="28">
        <v>10091.700000000001</v>
      </c>
      <c r="AF188" s="28">
        <v>5269</v>
      </c>
      <c r="AH188" s="29">
        <f>IF($D188 = "SPLIT", "",COUNTIFS($D$7:$D$347,$D188,N$7:N$347,"&gt;"&amp;N188)+1)</f>
        <v>191</v>
      </c>
      <c r="AI188" s="29">
        <f>IF($D188 = "SPLIT", "",COUNTIFS($D$7:$D$347,$D188,S$7:S$347,"&gt;"&amp;S188)+1)</f>
        <v>13</v>
      </c>
      <c r="AJ188" s="29">
        <f>IF($D188 = "SPLIT", "",COUNTIFS($D$7:$D$347,$D188,T$7:T$347,"&gt;"&amp;T188)+1)</f>
        <v>113</v>
      </c>
      <c r="AK188" s="29">
        <f>IF($D188 = "SPLIT", "",COUNTIFS($D$7:$D$347,$D188,X$7:X$347,"&lt;"&amp;X188)+1)</f>
        <v>18</v>
      </c>
      <c r="AL188" s="29">
        <f>IF($D188 = "SPLIT", "",COUNTIFS($D$7:$D$347,$D188,Z$7:Z$347,"&gt;"&amp;Z188)+1)</f>
        <v>61</v>
      </c>
      <c r="AM188" s="29">
        <f>IF($D188 = "SPLIT", "",COUNTIFS($D$7:$D$347,$D188,AB$7:AB$347,"&gt;"&amp;AB188)+1)</f>
        <v>53</v>
      </c>
      <c r="AN188" s="29">
        <f>IF($D188 = "SPLIT", "",COUNTIFS($D$7:$D$347,$D188,AD$7:AD$347,"&gt;"&amp;AD188)+1)</f>
        <v>105</v>
      </c>
      <c r="AO188" s="29">
        <f>IF($D188 = "SPLIT", "",COUNTIFS($D$7:$D$347,$D188,AF$7:AF$347,"&gt;"&amp;AF188)+1)</f>
        <v>89</v>
      </c>
    </row>
    <row r="189" spans="1:41" hidden="1" x14ac:dyDescent="0.25">
      <c r="A189" s="30">
        <v>540129</v>
      </c>
      <c r="B189" s="30" t="s">
        <v>323</v>
      </c>
      <c r="C189" s="30" t="s">
        <v>322</v>
      </c>
      <c r="D189" s="30" t="s">
        <v>52</v>
      </c>
      <c r="E189" s="31">
        <v>8</v>
      </c>
      <c r="F189" s="31" t="s">
        <v>139</v>
      </c>
      <c r="G189" s="31">
        <v>494</v>
      </c>
      <c r="H189" s="31">
        <v>18</v>
      </c>
      <c r="I189" s="31">
        <v>95</v>
      </c>
      <c r="J189" s="31">
        <v>134</v>
      </c>
      <c r="K189" s="31">
        <v>741</v>
      </c>
      <c r="L189" s="32">
        <v>0.66700000000000004</v>
      </c>
      <c r="M189" s="32">
        <v>2.4E-2</v>
      </c>
      <c r="N189" s="32">
        <v>0.128</v>
      </c>
      <c r="O189" s="32">
        <v>0.18099999999999999</v>
      </c>
      <c r="P189" s="32">
        <v>0.13800000000000001</v>
      </c>
      <c r="Q189" s="32">
        <v>5.0000000000000001E-3</v>
      </c>
      <c r="S189" s="31">
        <v>213</v>
      </c>
      <c r="T189" s="31">
        <v>17</v>
      </c>
      <c r="U189" s="31">
        <v>21</v>
      </c>
      <c r="W189" s="31">
        <v>1959.5</v>
      </c>
      <c r="X189" s="31">
        <v>1965</v>
      </c>
      <c r="Y189" s="33">
        <v>149335.6</v>
      </c>
      <c r="Z189" s="33">
        <v>53200</v>
      </c>
      <c r="AA189" s="33">
        <v>59809.4</v>
      </c>
      <c r="AB189" s="33">
        <v>49975</v>
      </c>
      <c r="AC189" s="32">
        <v>0.23899999999999999</v>
      </c>
      <c r="AD189" s="32">
        <v>0.17199999999999999</v>
      </c>
      <c r="AE189" s="33">
        <v>13668.1</v>
      </c>
      <c r="AF189" s="33">
        <v>9240.7999999999993</v>
      </c>
      <c r="AH189" s="34">
        <f>IF($D189 = "SPLIT", "",COUNTIFS($D$7:$D$347,$D189,N$7:N$347,"&gt;"&amp;N189)+1)</f>
        <v>50</v>
      </c>
      <c r="AI189" s="34">
        <f>IF($D189 = "SPLIT", "",COUNTIFS($D$7:$D$347,$D189,S$7:S$347,"&gt;"&amp;S189)+1)</f>
        <v>16</v>
      </c>
      <c r="AJ189" s="34">
        <f>IF($D189 = "SPLIT", "",COUNTIFS($D$7:$D$347,$D189,T$7:T$347,"&gt;"&amp;T189)+1)</f>
        <v>33</v>
      </c>
      <c r="AK189" s="34">
        <f>IF($D189 = "SPLIT", "",COUNTIFS($D$7:$D$347,$D189,X$7:X$347,"&lt;"&amp;X189)+1)</f>
        <v>11</v>
      </c>
      <c r="AL189" s="34">
        <f>IF($D189 = "SPLIT", "",COUNTIFS($D$7:$D$347,$D189,Z$7:Z$347,"&gt;"&amp;Z189)+1)</f>
        <v>9</v>
      </c>
      <c r="AM189" s="34">
        <f>IF($D189 = "SPLIT", "",COUNTIFS($D$7:$D$347,$D189,AB$7:AB$347,"&gt;"&amp;AB189)+1)</f>
        <v>10</v>
      </c>
      <c r="AN189" s="34">
        <f>IF($D189 = "SPLIT", "",COUNTIFS($D$7:$D$347,$D189,AD$7:AD$347,"&gt;"&amp;AD189)+1)</f>
        <v>29</v>
      </c>
      <c r="AO189" s="34">
        <f>IF($D189 = "SPLIT", "",COUNTIFS($D$7:$D$347,$D189,AF$7:AF$347,"&gt;"&amp;AF189)+1)</f>
        <v>16</v>
      </c>
    </row>
    <row r="190" spans="1:41" hidden="1" x14ac:dyDescent="0.25">
      <c r="A190" s="25">
        <v>540131</v>
      </c>
      <c r="B190" s="25" t="s">
        <v>324</v>
      </c>
      <c r="C190" s="25" t="s">
        <v>322</v>
      </c>
      <c r="D190" s="25" t="s">
        <v>55</v>
      </c>
      <c r="E190" s="26">
        <v>8</v>
      </c>
      <c r="F190" s="26" t="s">
        <v>139</v>
      </c>
      <c r="G190" s="26">
        <v>45</v>
      </c>
      <c r="H190" s="26">
        <v>0</v>
      </c>
      <c r="I190" s="26">
        <v>3</v>
      </c>
      <c r="J190" s="26">
        <v>3</v>
      </c>
      <c r="K190" s="26">
        <v>51</v>
      </c>
      <c r="L190" s="35">
        <v>0.88200000000000001</v>
      </c>
      <c r="M190" s="35">
        <v>0</v>
      </c>
      <c r="N190" s="35">
        <v>5.8999999999999997E-2</v>
      </c>
      <c r="O190" s="35">
        <v>5.8999999999999997E-2</v>
      </c>
      <c r="P190" s="35">
        <v>0.02</v>
      </c>
      <c r="Q190" s="35">
        <v>0.02</v>
      </c>
      <c r="S190" s="26">
        <v>2</v>
      </c>
      <c r="T190" s="26">
        <v>1</v>
      </c>
      <c r="U190" s="26">
        <v>1</v>
      </c>
      <c r="W190" s="26">
        <v>1928</v>
      </c>
      <c r="X190" s="26">
        <v>1920</v>
      </c>
      <c r="Y190" s="28">
        <v>103387.1</v>
      </c>
      <c r="Z190" s="28">
        <v>32900</v>
      </c>
      <c r="AA190" s="28">
        <v>86165.4</v>
      </c>
      <c r="AB190" s="28">
        <v>31400</v>
      </c>
      <c r="AC190" s="35">
        <v>0.159</v>
      </c>
      <c r="AD190" s="35">
        <v>2E-3</v>
      </c>
      <c r="AE190" s="28">
        <v>4950.3999999999996</v>
      </c>
      <c r="AF190" s="28">
        <v>25.2</v>
      </c>
      <c r="AH190" s="29">
        <f>IF($D190 = "SPLIT", "",COUNTIFS($D$7:$D$347,$D190,N$7:N$347,"&gt;"&amp;N190)+1)</f>
        <v>162</v>
      </c>
      <c r="AI190" s="29">
        <f>IF($D190 = "SPLIT", "",COUNTIFS($D$7:$D$347,$D190,S$7:S$347,"&gt;"&amp;S190)+1)</f>
        <v>141</v>
      </c>
      <c r="AJ190" s="29">
        <f>IF($D190 = "SPLIT", "",COUNTIFS($D$7:$D$347,$D190,T$7:T$347,"&gt;"&amp;T190)+1)</f>
        <v>84</v>
      </c>
      <c r="AK190" s="29">
        <f>IF($D190 = "SPLIT", "",COUNTIFS($D$7:$D$347,$D190,X$7:X$347,"&lt;"&amp;X190)+1)</f>
        <v>21</v>
      </c>
      <c r="AL190" s="29">
        <f>IF($D190 = "SPLIT", "",COUNTIFS($D$7:$D$347,$D190,Z$7:Z$347,"&gt;"&amp;Z190)+1)</f>
        <v>145</v>
      </c>
      <c r="AM190" s="29">
        <f>IF($D190 = "SPLIT", "",COUNTIFS($D$7:$D$347,$D190,AB$7:AB$347,"&gt;"&amp;AB190)+1)</f>
        <v>132</v>
      </c>
      <c r="AN190" s="29">
        <f>IF($D190 = "SPLIT", "",COUNTIFS($D$7:$D$347,$D190,AD$7:AD$347,"&gt;"&amp;AD190)+1)</f>
        <v>197</v>
      </c>
      <c r="AO190" s="29">
        <f>IF($D190 = "SPLIT", "",COUNTIFS($D$7:$D$347,$D190,AF$7:AF$347,"&gt;"&amp;AF190)+1)</f>
        <v>197</v>
      </c>
    </row>
    <row r="191" spans="1:41" hidden="1" x14ac:dyDescent="0.25">
      <c r="A191" s="25">
        <v>540155</v>
      </c>
      <c r="B191" s="25" t="s">
        <v>325</v>
      </c>
      <c r="C191" s="25" t="s">
        <v>322</v>
      </c>
      <c r="D191" s="25" t="s">
        <v>55</v>
      </c>
      <c r="E191" s="26">
        <v>8</v>
      </c>
      <c r="F191" s="26" t="s">
        <v>139</v>
      </c>
      <c r="G191" s="26">
        <v>9</v>
      </c>
      <c r="H191" s="26">
        <v>0</v>
      </c>
      <c r="I191" s="26">
        <v>0</v>
      </c>
      <c r="J191" s="26">
        <v>0</v>
      </c>
      <c r="K191" s="26">
        <v>9</v>
      </c>
      <c r="L191" s="35">
        <v>1</v>
      </c>
      <c r="M191" s="35">
        <v>0</v>
      </c>
      <c r="N191" s="35">
        <v>0</v>
      </c>
      <c r="O191" s="35">
        <v>0</v>
      </c>
      <c r="P191" s="35">
        <v>0</v>
      </c>
      <c r="Q191" s="35">
        <v>0</v>
      </c>
      <c r="S191" s="26">
        <v>0</v>
      </c>
      <c r="T191" s="26">
        <v>0</v>
      </c>
      <c r="U191" s="26">
        <v>0</v>
      </c>
      <c r="W191" s="26">
        <v>1916.9</v>
      </c>
      <c r="X191" s="26">
        <v>1930</v>
      </c>
      <c r="Y191" s="28">
        <v>50544.4</v>
      </c>
      <c r="Z191" s="28">
        <v>50900</v>
      </c>
      <c r="AA191" s="28">
        <v>50544.4</v>
      </c>
      <c r="AB191" s="28">
        <v>50900</v>
      </c>
      <c r="AC191" s="35">
        <v>0</v>
      </c>
      <c r="AD191" s="35">
        <v>0</v>
      </c>
      <c r="AE191" s="28">
        <v>0</v>
      </c>
      <c r="AF191" s="28">
        <v>0</v>
      </c>
      <c r="AH191" s="29">
        <f>IF($D191 = "SPLIT", "",COUNTIFS($D$7:$D$347,$D191,N$7:N$347,"&gt;"&amp;N191)+1)</f>
        <v>195</v>
      </c>
      <c r="AI191" s="29">
        <f>IF($D191 = "SPLIT", "",COUNTIFS($D$7:$D$347,$D191,S$7:S$347,"&gt;"&amp;S191)+1)</f>
        <v>177</v>
      </c>
      <c r="AJ191" s="29">
        <f>IF($D191 = "SPLIT", "",COUNTIFS($D$7:$D$347,$D191,T$7:T$347,"&gt;"&amp;T191)+1)</f>
        <v>113</v>
      </c>
      <c r="AK191" s="29">
        <f>IF($D191 = "SPLIT", "",COUNTIFS($D$7:$D$347,$D191,X$7:X$347,"&lt;"&amp;X191)+1)</f>
        <v>48</v>
      </c>
      <c r="AL191" s="29">
        <f>IF($D191 = "SPLIT", "",COUNTIFS($D$7:$D$347,$D191,Z$7:Z$347,"&gt;"&amp;Z191)+1)</f>
        <v>74</v>
      </c>
      <c r="AM191" s="29">
        <f>IF($D191 = "SPLIT", "",COUNTIFS($D$7:$D$347,$D191,AB$7:AB$347,"&gt;"&amp;AB191)+1)</f>
        <v>61</v>
      </c>
      <c r="AN191" s="29">
        <f>IF($D191 = "SPLIT", "",COUNTIFS($D$7:$D$347,$D191,AD$7:AD$347,"&gt;"&amp;AD191)+1)</f>
        <v>198</v>
      </c>
      <c r="AO191" s="29">
        <f>IF($D191 = "SPLIT", "",COUNTIFS($D$7:$D$347,$D191,AF$7:AF$347,"&gt;"&amp;AF191)+1)</f>
        <v>198</v>
      </c>
    </row>
    <row r="192" spans="1:41" hidden="1" x14ac:dyDescent="0.25">
      <c r="A192" s="160"/>
      <c r="B192" s="160"/>
      <c r="C192" s="160" t="s">
        <v>322</v>
      </c>
      <c r="D192" s="160" t="s">
        <v>2</v>
      </c>
      <c r="E192" s="161">
        <v>8</v>
      </c>
      <c r="F192" s="161"/>
      <c r="G192" s="161">
        <v>1022</v>
      </c>
      <c r="H192" s="161">
        <v>22</v>
      </c>
      <c r="I192" s="161">
        <v>103</v>
      </c>
      <c r="J192" s="161">
        <v>165</v>
      </c>
      <c r="K192" s="161">
        <v>1312</v>
      </c>
      <c r="L192" s="162">
        <v>0.77900000000000003</v>
      </c>
      <c r="M192" s="162">
        <v>1.7000000000000001E-2</v>
      </c>
      <c r="N192" s="162">
        <v>7.9000000000000001E-2</v>
      </c>
      <c r="O192" s="162">
        <v>0.126</v>
      </c>
      <c r="P192" s="162">
        <v>8.2000000000000003E-2</v>
      </c>
      <c r="Q192" s="162">
        <v>7.0000000000000001E-3</v>
      </c>
      <c r="S192" s="161">
        <v>316</v>
      </c>
      <c r="T192" s="161">
        <v>18</v>
      </c>
      <c r="U192" s="161">
        <v>27</v>
      </c>
      <c r="W192" s="161">
        <v>1942.4</v>
      </c>
      <c r="X192" s="161">
        <v>1945</v>
      </c>
      <c r="Y192" s="163">
        <v>134056.70000000001</v>
      </c>
      <c r="Z192" s="163">
        <v>53100</v>
      </c>
      <c r="AA192" s="163">
        <v>64353.4</v>
      </c>
      <c r="AB192" s="163">
        <v>57000</v>
      </c>
      <c r="AC192" s="162">
        <v>0.191</v>
      </c>
      <c r="AD192" s="162">
        <v>0.13100000000000001</v>
      </c>
      <c r="AE192" s="163">
        <v>11883.3</v>
      </c>
      <c r="AF192" s="163">
        <v>6628.3</v>
      </c>
      <c r="AH192" s="164">
        <f>IF($D192 = "SPLIT", "",COUNTIFS($D$7:$D$347,$D192,N$7:N$347,"&gt;"&amp;N192)+1)</f>
        <v>52</v>
      </c>
      <c r="AI192" s="164">
        <f>IF($D192 = "SPLIT", "",COUNTIFS($D$7:$D$347,$D192,S$7:S$347,"&gt;"&amp;S192)+1)</f>
        <v>21</v>
      </c>
      <c r="AJ192" s="164">
        <f>IF($D192 = "SPLIT", "",COUNTIFS($D$7:$D$347,$D192,T$7:T$347,"&gt;"&amp;T192)+1)</f>
        <v>40</v>
      </c>
      <c r="AK192" s="164">
        <f>IF($D192 = "SPLIT", "",COUNTIFS($D$7:$D$347,$D192,X$7:X$347,"&lt;"&amp;X192)+1)</f>
        <v>6</v>
      </c>
      <c r="AL192" s="164">
        <f>IF($D192 = "SPLIT", "",COUNTIFS($D$7:$D$347,$D192,Z$7:Z$347,"&gt;"&amp;Z192)+1)</f>
        <v>10</v>
      </c>
      <c r="AM192" s="164">
        <f>IF($D192 = "SPLIT", "",COUNTIFS($D$7:$D$347,$D192,AB$7:AB$347,"&gt;"&amp;AB192)+1)</f>
        <v>12</v>
      </c>
      <c r="AN192" s="164">
        <f>IF($D192 = "SPLIT", "",COUNTIFS($D$7:$D$347,$D192,AD$7:AD$347,"&gt;"&amp;AD192)+1)</f>
        <v>39</v>
      </c>
      <c r="AO192" s="164">
        <f>IF($D192 = "SPLIT", "",COUNTIFS($D$7:$D$347,$D192,AF$7:AF$347,"&gt;"&amp;AF192)+1)</f>
        <v>23</v>
      </c>
    </row>
    <row r="193" spans="1:41" hidden="1" x14ac:dyDescent="0.25">
      <c r="A193" s="25">
        <v>540134</v>
      </c>
      <c r="B193" s="25" t="s">
        <v>326</v>
      </c>
      <c r="C193" s="25" t="s">
        <v>327</v>
      </c>
      <c r="D193" s="25" t="s">
        <v>55</v>
      </c>
      <c r="E193" s="26">
        <v>2</v>
      </c>
      <c r="F193" s="26" t="s">
        <v>328</v>
      </c>
      <c r="G193" s="26">
        <v>51</v>
      </c>
      <c r="H193" s="26">
        <v>6</v>
      </c>
      <c r="I193" s="26">
        <v>64</v>
      </c>
      <c r="J193" s="26">
        <v>10</v>
      </c>
      <c r="K193" s="26">
        <v>131</v>
      </c>
      <c r="L193" s="35">
        <v>0.38900000000000001</v>
      </c>
      <c r="M193" s="35">
        <v>4.5999999999999999E-2</v>
      </c>
      <c r="N193" s="35">
        <v>0.48899999999999999</v>
      </c>
      <c r="O193" s="35">
        <v>7.5999999999999998E-2</v>
      </c>
      <c r="P193" s="35">
        <v>4.5999999999999999E-2</v>
      </c>
      <c r="Q193" s="35">
        <v>2.3E-2</v>
      </c>
      <c r="S193" s="26">
        <v>8</v>
      </c>
      <c r="T193" s="26">
        <v>1</v>
      </c>
      <c r="U193" s="26">
        <v>2</v>
      </c>
      <c r="W193" s="26">
        <v>1972.2</v>
      </c>
      <c r="X193" s="26">
        <v>1979.5</v>
      </c>
      <c r="Y193" s="28">
        <v>54898.3</v>
      </c>
      <c r="Z193" s="28">
        <v>20200</v>
      </c>
      <c r="AA193" s="28">
        <v>29978.7</v>
      </c>
      <c r="AB193" s="28">
        <v>14650</v>
      </c>
      <c r="AC193" s="35">
        <v>0.16300000000000001</v>
      </c>
      <c r="AD193" s="35">
        <v>8.3000000000000004E-2</v>
      </c>
      <c r="AE193" s="28">
        <v>3575.9</v>
      </c>
      <c r="AF193" s="28">
        <v>2137.6</v>
      </c>
      <c r="AH193" s="29">
        <f>IF($D193 = "SPLIT", "",COUNTIFS($D$7:$D$347,$D193,N$7:N$347,"&gt;"&amp;N193)+1)</f>
        <v>13</v>
      </c>
      <c r="AI193" s="29">
        <f>IF($D193 = "SPLIT", "",COUNTIFS($D$7:$D$347,$D193,S$7:S$347,"&gt;"&amp;S193)+1)</f>
        <v>102</v>
      </c>
      <c r="AJ193" s="29">
        <f>IF($D193 = "SPLIT", "",COUNTIFS($D$7:$D$347,$D193,T$7:T$347,"&gt;"&amp;T193)+1)</f>
        <v>84</v>
      </c>
      <c r="AK193" s="29">
        <f>IF($D193 = "SPLIT", "",COUNTIFS($D$7:$D$347,$D193,X$7:X$347,"&lt;"&amp;X193)+1)</f>
        <v>191</v>
      </c>
      <c r="AL193" s="29">
        <f>IF($D193 = "SPLIT", "",COUNTIFS($D$7:$D$347,$D193,Z$7:Z$347,"&gt;"&amp;Z193)+1)</f>
        <v>192</v>
      </c>
      <c r="AM193" s="29">
        <f>IF($D193 = "SPLIT", "",COUNTIFS($D$7:$D$347,$D193,AB$7:AB$347,"&gt;"&amp;AB193)+1)</f>
        <v>201</v>
      </c>
      <c r="AN193" s="29">
        <f>IF($D193 = "SPLIT", "",COUNTIFS($D$7:$D$347,$D193,AD$7:AD$347,"&gt;"&amp;AD193)+1)</f>
        <v>136</v>
      </c>
      <c r="AO193" s="29">
        <f>IF($D193 = "SPLIT", "",COUNTIFS($D$7:$D$347,$D193,AF$7:AF$347,"&gt;"&amp;AF193)+1)</f>
        <v>159</v>
      </c>
    </row>
    <row r="194" spans="1:41" hidden="1" x14ac:dyDescent="0.25">
      <c r="A194" s="25">
        <v>540135</v>
      </c>
      <c r="B194" s="25" t="s">
        <v>329</v>
      </c>
      <c r="C194" s="25" t="s">
        <v>327</v>
      </c>
      <c r="D194" s="25" t="s">
        <v>55</v>
      </c>
      <c r="E194" s="26">
        <v>2</v>
      </c>
      <c r="F194" s="26" t="s">
        <v>330</v>
      </c>
      <c r="G194" s="26">
        <v>31</v>
      </c>
      <c r="H194" s="26">
        <v>0</v>
      </c>
      <c r="I194" s="26">
        <v>18</v>
      </c>
      <c r="J194" s="26">
        <v>29</v>
      </c>
      <c r="K194" s="26">
        <v>78</v>
      </c>
      <c r="L194" s="35">
        <v>0.39700000000000002</v>
      </c>
      <c r="M194" s="35">
        <v>0</v>
      </c>
      <c r="N194" s="35">
        <v>0.23100000000000001</v>
      </c>
      <c r="O194" s="35">
        <v>0.372</v>
      </c>
      <c r="P194" s="35">
        <v>0.14099999999999999</v>
      </c>
      <c r="Q194" s="35">
        <v>1.2999999999999999E-2</v>
      </c>
      <c r="S194" s="26">
        <v>14</v>
      </c>
      <c r="T194" s="26">
        <v>3</v>
      </c>
      <c r="U194" s="26">
        <v>8</v>
      </c>
      <c r="W194" s="26">
        <v>1967.9</v>
      </c>
      <c r="X194" s="26">
        <v>1970</v>
      </c>
      <c r="Y194" s="28">
        <v>85847.6</v>
      </c>
      <c r="Z194" s="28">
        <v>31150</v>
      </c>
      <c r="AA194" s="28">
        <v>40871.5</v>
      </c>
      <c r="AB194" s="28">
        <v>28000</v>
      </c>
      <c r="AC194" s="35">
        <v>0.16700000000000001</v>
      </c>
      <c r="AD194" s="35">
        <v>0.14899999999999999</v>
      </c>
      <c r="AE194" s="28">
        <v>9116.9</v>
      </c>
      <c r="AF194" s="28">
        <v>4720</v>
      </c>
      <c r="AH194" s="29">
        <f>IF($D194 = "SPLIT", "",COUNTIFS($D$7:$D$347,$D194,N$7:N$347,"&gt;"&amp;N194)+1)</f>
        <v>53</v>
      </c>
      <c r="AI194" s="29">
        <f>IF($D194 = "SPLIT", "",COUNTIFS($D$7:$D$347,$D194,S$7:S$347,"&gt;"&amp;S194)+1)</f>
        <v>77</v>
      </c>
      <c r="AJ194" s="29">
        <f>IF($D194 = "SPLIT", "",COUNTIFS($D$7:$D$347,$D194,T$7:T$347,"&gt;"&amp;T194)+1)</f>
        <v>45</v>
      </c>
      <c r="AK194" s="29">
        <f>IF($D194 = "SPLIT", "",COUNTIFS($D$7:$D$347,$D194,X$7:X$347,"&lt;"&amp;X194)+1)</f>
        <v>163</v>
      </c>
      <c r="AL194" s="29">
        <f>IF($D194 = "SPLIT", "",COUNTIFS($D$7:$D$347,$D194,Z$7:Z$347,"&gt;"&amp;Z194)+1)</f>
        <v>150</v>
      </c>
      <c r="AM194" s="29">
        <f>IF($D194 = "SPLIT", "",COUNTIFS($D$7:$D$347,$D194,AB$7:AB$347,"&gt;"&amp;AB194)+1)</f>
        <v>152</v>
      </c>
      <c r="AN194" s="29">
        <f>IF($D194 = "SPLIT", "",COUNTIFS($D$7:$D$347,$D194,AD$7:AD$347,"&gt;"&amp;AD194)+1)</f>
        <v>72</v>
      </c>
      <c r="AO194" s="29">
        <f>IF($D194 = "SPLIT", "",COUNTIFS($D$7:$D$347,$D194,AF$7:AF$347,"&gt;"&amp;AF194)+1)</f>
        <v>97</v>
      </c>
    </row>
    <row r="195" spans="1:41" hidden="1" x14ac:dyDescent="0.25">
      <c r="A195" s="25">
        <v>540136</v>
      </c>
      <c r="B195" s="25" t="s">
        <v>331</v>
      </c>
      <c r="C195" s="25" t="s">
        <v>327</v>
      </c>
      <c r="D195" s="25" t="s">
        <v>55</v>
      </c>
      <c r="E195" s="26">
        <v>2</v>
      </c>
      <c r="F195" s="26" t="s">
        <v>332</v>
      </c>
      <c r="G195" s="26">
        <v>28</v>
      </c>
      <c r="H195" s="26">
        <v>0</v>
      </c>
      <c r="I195" s="26">
        <v>44</v>
      </c>
      <c r="J195" s="26">
        <v>8</v>
      </c>
      <c r="K195" s="26">
        <v>80</v>
      </c>
      <c r="L195" s="35">
        <v>0.35</v>
      </c>
      <c r="M195" s="35">
        <v>0</v>
      </c>
      <c r="N195" s="35">
        <v>0.55000000000000004</v>
      </c>
      <c r="O195" s="35">
        <v>0.1</v>
      </c>
      <c r="P195" s="35">
        <v>6.3E-2</v>
      </c>
      <c r="Q195" s="35">
        <v>1.2999999999999999E-2</v>
      </c>
      <c r="S195" s="26">
        <v>16</v>
      </c>
      <c r="T195" s="26">
        <v>0</v>
      </c>
      <c r="U195" s="26">
        <v>2</v>
      </c>
      <c r="W195" s="26">
        <v>1974.3</v>
      </c>
      <c r="X195" s="26">
        <v>1984.5</v>
      </c>
      <c r="Y195" s="28">
        <v>52485.2</v>
      </c>
      <c r="Z195" s="28">
        <v>36700</v>
      </c>
      <c r="AA195" s="28">
        <v>42461.2</v>
      </c>
      <c r="AB195" s="28">
        <v>34400</v>
      </c>
      <c r="AC195" s="35">
        <v>0.159</v>
      </c>
      <c r="AD195" s="35">
        <v>0.122</v>
      </c>
      <c r="AE195" s="28">
        <v>7020.5</v>
      </c>
      <c r="AF195" s="28">
        <v>4345</v>
      </c>
      <c r="AH195" s="29">
        <f>IF($D195 = "SPLIT", "",COUNTIFS($D$7:$D$347,$D195,N$7:N$347,"&gt;"&amp;N195)+1)</f>
        <v>11</v>
      </c>
      <c r="AI195" s="29">
        <f>IF($D195 = "SPLIT", "",COUNTIFS($D$7:$D$347,$D195,S$7:S$347,"&gt;"&amp;S195)+1)</f>
        <v>75</v>
      </c>
      <c r="AJ195" s="29">
        <f>IF($D195 = "SPLIT", "",COUNTIFS($D$7:$D$347,$D195,T$7:T$347,"&gt;"&amp;T195)+1)</f>
        <v>113</v>
      </c>
      <c r="AK195" s="29">
        <f>IF($D195 = "SPLIT", "",COUNTIFS($D$7:$D$347,$D195,X$7:X$347,"&lt;"&amp;X195)+1)</f>
        <v>198</v>
      </c>
      <c r="AL195" s="29">
        <f>IF($D195 = "SPLIT", "",COUNTIFS($D$7:$D$347,$D195,Z$7:Z$347,"&gt;"&amp;Z195)+1)</f>
        <v>124</v>
      </c>
      <c r="AM195" s="29">
        <f>IF($D195 = "SPLIT", "",COUNTIFS($D$7:$D$347,$D195,AB$7:AB$347,"&gt;"&amp;AB195)+1)</f>
        <v>118</v>
      </c>
      <c r="AN195" s="29">
        <f>IF($D195 = "SPLIT", "",COUNTIFS($D$7:$D$347,$D195,AD$7:AD$347,"&gt;"&amp;AD195)+1)</f>
        <v>96</v>
      </c>
      <c r="AO195" s="29">
        <f>IF($D195 = "SPLIT", "",COUNTIFS($D$7:$D$347,$D195,AF$7:AF$347,"&gt;"&amp;AF195)+1)</f>
        <v>106</v>
      </c>
    </row>
    <row r="196" spans="1:41" hidden="1" x14ac:dyDescent="0.25">
      <c r="A196" s="25">
        <v>545538</v>
      </c>
      <c r="B196" s="25" t="s">
        <v>333</v>
      </c>
      <c r="C196" s="25" t="s">
        <v>327</v>
      </c>
      <c r="D196" s="25" t="s">
        <v>55</v>
      </c>
      <c r="E196" s="26">
        <v>2</v>
      </c>
      <c r="F196" s="26" t="s">
        <v>334</v>
      </c>
      <c r="G196" s="26">
        <v>14</v>
      </c>
      <c r="H196" s="26">
        <v>1</v>
      </c>
      <c r="I196" s="26">
        <v>21</v>
      </c>
      <c r="J196" s="26">
        <v>15</v>
      </c>
      <c r="K196" s="26">
        <v>51</v>
      </c>
      <c r="L196" s="35">
        <v>0.27500000000000002</v>
      </c>
      <c r="M196" s="35">
        <v>0.02</v>
      </c>
      <c r="N196" s="35">
        <v>0.41199999999999998</v>
      </c>
      <c r="O196" s="35">
        <v>0.29399999999999998</v>
      </c>
      <c r="P196" s="35">
        <v>0.216</v>
      </c>
      <c r="Q196" s="35">
        <v>5.8999999999999997E-2</v>
      </c>
      <c r="S196" s="26">
        <v>1</v>
      </c>
      <c r="T196" s="26">
        <v>1</v>
      </c>
      <c r="U196" s="26">
        <v>0</v>
      </c>
      <c r="W196" s="26">
        <v>1975.7</v>
      </c>
      <c r="X196" s="26">
        <v>1987.5</v>
      </c>
      <c r="Y196" s="28">
        <v>154664.29999999999</v>
      </c>
      <c r="Z196" s="28">
        <v>28000</v>
      </c>
      <c r="AA196" s="28">
        <v>30987.8</v>
      </c>
      <c r="AB196" s="28">
        <v>21900</v>
      </c>
      <c r="AC196" s="35">
        <v>0.11600000000000001</v>
      </c>
      <c r="AD196" s="35">
        <v>7.0999999999999994E-2</v>
      </c>
      <c r="AE196" s="28">
        <v>2678.2</v>
      </c>
      <c r="AF196" s="28">
        <v>2161.1999999999998</v>
      </c>
      <c r="AH196" s="29">
        <f>IF($D196 = "SPLIT", "",COUNTIFS($D$7:$D$347,$D196,N$7:N$347,"&gt;"&amp;N196)+1)</f>
        <v>20</v>
      </c>
      <c r="AI196" s="29">
        <f>IF($D196 = "SPLIT", "",COUNTIFS($D$7:$D$347,$D196,S$7:S$347,"&gt;"&amp;S196)+1)</f>
        <v>153</v>
      </c>
      <c r="AJ196" s="29">
        <f>IF($D196 = "SPLIT", "",COUNTIFS($D$7:$D$347,$D196,T$7:T$347,"&gt;"&amp;T196)+1)</f>
        <v>84</v>
      </c>
      <c r="AK196" s="29">
        <f>IF($D196 = "SPLIT", "",COUNTIFS($D$7:$D$347,$D196,X$7:X$347,"&lt;"&amp;X196)+1)</f>
        <v>203</v>
      </c>
      <c r="AL196" s="29">
        <f>IF($D196 = "SPLIT", "",COUNTIFS($D$7:$D$347,$D196,Z$7:Z$347,"&gt;"&amp;Z196)+1)</f>
        <v>163</v>
      </c>
      <c r="AM196" s="29">
        <f>IF($D196 = "SPLIT", "",COUNTIFS($D$7:$D$347,$D196,AB$7:AB$347,"&gt;"&amp;AB196)+1)</f>
        <v>181</v>
      </c>
      <c r="AN196" s="29">
        <f>IF($D196 = "SPLIT", "",COUNTIFS($D$7:$D$347,$D196,AD$7:AD$347,"&gt;"&amp;AD196)+1)</f>
        <v>143</v>
      </c>
      <c r="AO196" s="29">
        <f>IF($D196 = "SPLIT", "",COUNTIFS($D$7:$D$347,$D196,AF$7:AF$347,"&gt;"&amp;AF196)+1)</f>
        <v>157</v>
      </c>
    </row>
    <row r="197" spans="1:41" hidden="1" x14ac:dyDescent="0.25">
      <c r="A197" s="30">
        <v>540133</v>
      </c>
      <c r="B197" s="30" t="s">
        <v>335</v>
      </c>
      <c r="C197" s="30" t="s">
        <v>327</v>
      </c>
      <c r="D197" s="30" t="s">
        <v>52</v>
      </c>
      <c r="E197" s="31">
        <v>2</v>
      </c>
      <c r="F197" s="31" t="s">
        <v>336</v>
      </c>
      <c r="G197" s="31">
        <v>1109</v>
      </c>
      <c r="H197" s="31">
        <v>299</v>
      </c>
      <c r="I197" s="31">
        <v>1405</v>
      </c>
      <c r="J197" s="31">
        <v>566</v>
      </c>
      <c r="K197" s="31">
        <v>3379</v>
      </c>
      <c r="L197" s="32">
        <v>0.32800000000000001</v>
      </c>
      <c r="M197" s="32">
        <v>8.7999999999999995E-2</v>
      </c>
      <c r="N197" s="32">
        <v>0.41599999999999998</v>
      </c>
      <c r="O197" s="32">
        <v>0.16800000000000001</v>
      </c>
      <c r="P197" s="32">
        <v>0.11700000000000001</v>
      </c>
      <c r="Q197" s="32">
        <v>1.6E-2</v>
      </c>
      <c r="S197" s="31">
        <v>384</v>
      </c>
      <c r="T197" s="31">
        <v>102</v>
      </c>
      <c r="U197" s="31">
        <v>82</v>
      </c>
      <c r="W197" s="31">
        <v>1996.9</v>
      </c>
      <c r="X197" s="31">
        <v>1984</v>
      </c>
      <c r="Y197" s="33">
        <v>45887</v>
      </c>
      <c r="Z197" s="33">
        <v>24900</v>
      </c>
      <c r="AA197" s="33">
        <v>28989.5</v>
      </c>
      <c r="AB197" s="33">
        <v>23900</v>
      </c>
      <c r="AC197" s="32">
        <v>0.222</v>
      </c>
      <c r="AD197" s="32">
        <v>0.13500000000000001</v>
      </c>
      <c r="AE197" s="33">
        <v>6418.1</v>
      </c>
      <c r="AF197" s="33">
        <v>3264.5</v>
      </c>
      <c r="AH197" s="34">
        <f>IF($D197 = "SPLIT", "",COUNTIFS($D$7:$D$347,$D197,N$7:N$347,"&gt;"&amp;N197)+1)</f>
        <v>3</v>
      </c>
      <c r="AI197" s="34">
        <f>IF($D197 = "SPLIT", "",COUNTIFS($D$7:$D$347,$D197,S$7:S$347,"&gt;"&amp;S197)+1)</f>
        <v>6</v>
      </c>
      <c r="AJ197" s="34">
        <f>IF($D197 = "SPLIT", "",COUNTIFS($D$7:$D$347,$D197,T$7:T$347,"&gt;"&amp;T197)+1)</f>
        <v>7</v>
      </c>
      <c r="AK197" s="34">
        <f>IF($D197 = "SPLIT", "",COUNTIFS($D$7:$D$347,$D197,X$7:X$347,"&lt;"&amp;X197)+1)</f>
        <v>53</v>
      </c>
      <c r="AL197" s="34">
        <f>IF($D197 = "SPLIT", "",COUNTIFS($D$7:$D$347,$D197,Z$7:Z$347,"&gt;"&amp;Z197)+1)</f>
        <v>52</v>
      </c>
      <c r="AM197" s="34">
        <f>IF($D197 = "SPLIT", "",COUNTIFS($D$7:$D$347,$D197,AB$7:AB$347,"&gt;"&amp;AB197)+1)</f>
        <v>52</v>
      </c>
      <c r="AN197" s="34">
        <f>IF($D197 = "SPLIT", "",COUNTIFS($D$7:$D$347,$D197,AD$7:AD$347,"&gt;"&amp;AD197)+1)</f>
        <v>43</v>
      </c>
      <c r="AO197" s="34">
        <f>IF($D197 = "SPLIT", "",COUNTIFS($D$7:$D$347,$D197,AF$7:AF$347,"&gt;"&amp;AF197)+1)</f>
        <v>50</v>
      </c>
    </row>
    <row r="198" spans="1:41" hidden="1" x14ac:dyDescent="0.25">
      <c r="A198" s="25">
        <v>540138</v>
      </c>
      <c r="B198" s="25" t="s">
        <v>337</v>
      </c>
      <c r="C198" s="25" t="s">
        <v>327</v>
      </c>
      <c r="D198" s="25" t="s">
        <v>55</v>
      </c>
      <c r="E198" s="26">
        <v>2</v>
      </c>
      <c r="F198" s="26" t="s">
        <v>338</v>
      </c>
      <c r="G198" s="26">
        <v>32</v>
      </c>
      <c r="H198" s="26">
        <v>0</v>
      </c>
      <c r="I198" s="26">
        <v>4</v>
      </c>
      <c r="J198" s="26">
        <v>4</v>
      </c>
      <c r="K198" s="26">
        <v>40</v>
      </c>
      <c r="L198" s="35">
        <v>0.8</v>
      </c>
      <c r="M198" s="35">
        <v>0</v>
      </c>
      <c r="N198" s="35">
        <v>0.1</v>
      </c>
      <c r="O198" s="35">
        <v>0.1</v>
      </c>
      <c r="P198" s="35">
        <v>0</v>
      </c>
      <c r="Q198" s="35">
        <v>7.4999999999999997E-2</v>
      </c>
      <c r="S198" s="26">
        <v>4</v>
      </c>
      <c r="T198" s="26">
        <v>1</v>
      </c>
      <c r="U198" s="26">
        <v>2</v>
      </c>
      <c r="W198" s="26">
        <v>1947</v>
      </c>
      <c r="X198" s="26">
        <v>1946</v>
      </c>
      <c r="Y198" s="28">
        <v>186465.3</v>
      </c>
      <c r="Z198" s="28">
        <v>41600</v>
      </c>
      <c r="AA198" s="28">
        <v>41787.800000000003</v>
      </c>
      <c r="AB198" s="28">
        <v>38300</v>
      </c>
      <c r="AC198" s="35">
        <v>0.151</v>
      </c>
      <c r="AD198" s="35">
        <v>0.10299999999999999</v>
      </c>
      <c r="AE198" s="28">
        <v>74669.8</v>
      </c>
      <c r="AF198" s="28">
        <v>5023.8999999999996</v>
      </c>
      <c r="AH198" s="29">
        <f>IF($D198 = "SPLIT", "",COUNTIFS($D$7:$D$347,$D198,N$7:N$347,"&gt;"&amp;N198)+1)</f>
        <v>130</v>
      </c>
      <c r="AI198" s="29">
        <f>IF($D198 = "SPLIT", "",COUNTIFS($D$7:$D$347,$D198,S$7:S$347,"&gt;"&amp;S198)+1)</f>
        <v>119</v>
      </c>
      <c r="AJ198" s="29">
        <f>IF($D198 = "SPLIT", "",COUNTIFS($D$7:$D$347,$D198,T$7:T$347,"&gt;"&amp;T198)+1)</f>
        <v>84</v>
      </c>
      <c r="AK198" s="29">
        <f>IF($D198 = "SPLIT", "",COUNTIFS($D$7:$D$347,$D198,X$7:X$347,"&lt;"&amp;X198)+1)</f>
        <v>101</v>
      </c>
      <c r="AL198" s="29">
        <f>IF($D198 = "SPLIT", "",COUNTIFS($D$7:$D$347,$D198,Z$7:Z$347,"&gt;"&amp;Z198)+1)</f>
        <v>107</v>
      </c>
      <c r="AM198" s="29">
        <f>IF($D198 = "SPLIT", "",COUNTIFS($D$7:$D$347,$D198,AB$7:AB$347,"&gt;"&amp;AB198)+1)</f>
        <v>106</v>
      </c>
      <c r="AN198" s="29">
        <f>IF($D198 = "SPLIT", "",COUNTIFS($D$7:$D$347,$D198,AD$7:AD$347,"&gt;"&amp;AD198)+1)</f>
        <v>119</v>
      </c>
      <c r="AO198" s="29">
        <f>IF($D198 = "SPLIT", "",COUNTIFS($D$7:$D$347,$D198,AF$7:AF$347,"&gt;"&amp;AF198)+1)</f>
        <v>91</v>
      </c>
    </row>
    <row r="199" spans="1:41" hidden="1" x14ac:dyDescent="0.25">
      <c r="A199" s="160"/>
      <c r="B199" s="160"/>
      <c r="C199" s="160" t="s">
        <v>327</v>
      </c>
      <c r="D199" s="160" t="s">
        <v>2</v>
      </c>
      <c r="E199" s="161">
        <v>2</v>
      </c>
      <c r="F199" s="161"/>
      <c r="G199" s="161">
        <v>1265</v>
      </c>
      <c r="H199" s="161">
        <v>306</v>
      </c>
      <c r="I199" s="161">
        <v>1556</v>
      </c>
      <c r="J199" s="161">
        <v>632</v>
      </c>
      <c r="K199" s="161">
        <v>3759</v>
      </c>
      <c r="L199" s="162">
        <v>0.33700000000000002</v>
      </c>
      <c r="M199" s="162">
        <v>8.1000000000000003E-2</v>
      </c>
      <c r="N199" s="162">
        <v>0.41399999999999998</v>
      </c>
      <c r="O199" s="162">
        <v>0.16800000000000001</v>
      </c>
      <c r="P199" s="162">
        <v>0.114</v>
      </c>
      <c r="Q199" s="162">
        <v>1.7999999999999999E-2</v>
      </c>
      <c r="S199" s="161">
        <v>427</v>
      </c>
      <c r="T199" s="161">
        <v>108</v>
      </c>
      <c r="U199" s="161">
        <v>96</v>
      </c>
      <c r="W199" s="161">
        <v>1993.9</v>
      </c>
      <c r="X199" s="161">
        <v>1983</v>
      </c>
      <c r="Y199" s="163">
        <v>50142.400000000001</v>
      </c>
      <c r="Z199" s="163">
        <v>25600</v>
      </c>
      <c r="AA199" s="163">
        <v>37885.5</v>
      </c>
      <c r="AB199" s="163">
        <v>29150</v>
      </c>
      <c r="AC199" s="162">
        <v>0.215</v>
      </c>
      <c r="AD199" s="162">
        <v>0.13200000000000001</v>
      </c>
      <c r="AE199" s="163">
        <v>6920.2</v>
      </c>
      <c r="AF199" s="163">
        <v>3316.9</v>
      </c>
      <c r="AH199" s="164">
        <f>IF($D199 = "SPLIT", "",COUNTIFS($D$7:$D$347,$D199,N$7:N$347,"&gt;"&amp;N199)+1)</f>
        <v>1</v>
      </c>
      <c r="AI199" s="164">
        <f>IF($D199 = "SPLIT", "",COUNTIFS($D$7:$D$347,$D199,S$7:S$347,"&gt;"&amp;S199)+1)</f>
        <v>10</v>
      </c>
      <c r="AJ199" s="164">
        <f>IF($D199 = "SPLIT", "",COUNTIFS($D$7:$D$347,$D199,T$7:T$347,"&gt;"&amp;T199)+1)</f>
        <v>7</v>
      </c>
      <c r="AK199" s="164">
        <f>IF($D199 = "SPLIT", "",COUNTIFS($D$7:$D$347,$D199,X$7:X$347,"&lt;"&amp;X199)+1)</f>
        <v>53</v>
      </c>
      <c r="AL199" s="164">
        <f>IF($D199 = "SPLIT", "",COUNTIFS($D$7:$D$347,$D199,Z$7:Z$347,"&gt;"&amp;Z199)+1)</f>
        <v>51</v>
      </c>
      <c r="AM199" s="164">
        <f>IF($D199 = "SPLIT", "",COUNTIFS($D$7:$D$347,$D199,AB$7:AB$347,"&gt;"&amp;AB199)+1)</f>
        <v>51</v>
      </c>
      <c r="AN199" s="164">
        <f>IF($D199 = "SPLIT", "",COUNTIFS($D$7:$D$347,$D199,AD$7:AD$347,"&gt;"&amp;AD199)+1)</f>
        <v>38</v>
      </c>
      <c r="AO199" s="164">
        <f>IF($D199 = "SPLIT", "",COUNTIFS($D$7:$D$347,$D199,AF$7:AF$347,"&gt;"&amp;AF199)+1)</f>
        <v>50</v>
      </c>
    </row>
    <row r="200" spans="1:41" hidden="1" x14ac:dyDescent="0.25">
      <c r="A200" s="25">
        <v>540140</v>
      </c>
      <c r="B200" s="25" t="s">
        <v>339</v>
      </c>
      <c r="C200" s="25" t="s">
        <v>340</v>
      </c>
      <c r="D200" s="25" t="s">
        <v>55</v>
      </c>
      <c r="E200" s="26">
        <v>6</v>
      </c>
      <c r="F200" s="26" t="s">
        <v>341</v>
      </c>
      <c r="G200" s="26">
        <v>11</v>
      </c>
      <c r="H200" s="26">
        <v>0</v>
      </c>
      <c r="I200" s="26">
        <v>0</v>
      </c>
      <c r="J200" s="26">
        <v>4</v>
      </c>
      <c r="K200" s="26">
        <v>15</v>
      </c>
      <c r="L200" s="35">
        <v>0.73299999999999998</v>
      </c>
      <c r="M200" s="35">
        <v>0</v>
      </c>
      <c r="N200" s="35">
        <v>0</v>
      </c>
      <c r="O200" s="35">
        <v>0.26700000000000002</v>
      </c>
      <c r="P200" s="35">
        <v>0.26700000000000002</v>
      </c>
      <c r="Q200" s="35">
        <v>0</v>
      </c>
      <c r="S200" s="26">
        <v>4</v>
      </c>
      <c r="T200" s="26">
        <v>0</v>
      </c>
      <c r="U200" s="26">
        <v>0</v>
      </c>
      <c r="W200" s="26">
        <v>1946.8</v>
      </c>
      <c r="X200" s="26">
        <v>1968</v>
      </c>
      <c r="Y200" s="28">
        <v>44498</v>
      </c>
      <c r="Z200" s="28">
        <v>41700</v>
      </c>
      <c r="AA200" s="28">
        <v>37036.199999999997</v>
      </c>
      <c r="AB200" s="28">
        <v>41700</v>
      </c>
      <c r="AC200" s="35">
        <v>0.216</v>
      </c>
      <c r="AD200" s="35">
        <v>0.13400000000000001</v>
      </c>
      <c r="AE200" s="28">
        <v>10021.6</v>
      </c>
      <c r="AF200" s="28">
        <v>4496.1000000000004</v>
      </c>
      <c r="AH200" s="29">
        <f>IF($D200 = "SPLIT", "",COUNTIFS($D$7:$D$347,$D200,N$7:N$347,"&gt;"&amp;N200)+1)</f>
        <v>195</v>
      </c>
      <c r="AI200" s="29">
        <f>IF($D200 = "SPLIT", "",COUNTIFS($D$7:$D$347,$D200,S$7:S$347,"&gt;"&amp;S200)+1)</f>
        <v>119</v>
      </c>
      <c r="AJ200" s="29">
        <f>IF($D200 = "SPLIT", "",COUNTIFS($D$7:$D$347,$D200,T$7:T$347,"&gt;"&amp;T200)+1)</f>
        <v>113</v>
      </c>
      <c r="AK200" s="29">
        <f>IF($D200 = "SPLIT", "",COUNTIFS($D$7:$D$347,$D200,X$7:X$347,"&lt;"&amp;X200)+1)</f>
        <v>161</v>
      </c>
      <c r="AL200" s="29">
        <f>IF($D200 = "SPLIT", "",COUNTIFS($D$7:$D$347,$D200,Z$7:Z$347,"&gt;"&amp;Z200)+1)</f>
        <v>106</v>
      </c>
      <c r="AM200" s="29">
        <f>IF($D200 = "SPLIT", "",COUNTIFS($D$7:$D$347,$D200,AB$7:AB$347,"&gt;"&amp;AB200)+1)</f>
        <v>91</v>
      </c>
      <c r="AN200" s="29">
        <f>IF($D200 = "SPLIT", "",COUNTIFS($D$7:$D$347,$D200,AD$7:AD$347,"&gt;"&amp;AD200)+1)</f>
        <v>84</v>
      </c>
      <c r="AO200" s="29">
        <f>IF($D200 = "SPLIT", "",COUNTIFS($D$7:$D$347,$D200,AF$7:AF$347,"&gt;"&amp;AF200)+1)</f>
        <v>100</v>
      </c>
    </row>
    <row r="201" spans="1:41" hidden="1" x14ac:dyDescent="0.25">
      <c r="A201" s="25">
        <v>540272</v>
      </c>
      <c r="B201" s="25" t="s">
        <v>342</v>
      </c>
      <c r="C201" s="25" t="s">
        <v>340</v>
      </c>
      <c r="D201" s="25" t="s">
        <v>55</v>
      </c>
      <c r="E201" s="26">
        <v>6</v>
      </c>
      <c r="F201" s="26" t="s">
        <v>84</v>
      </c>
      <c r="G201" s="26">
        <v>20</v>
      </c>
      <c r="H201" s="26">
        <v>0</v>
      </c>
      <c r="I201" s="26">
        <v>5</v>
      </c>
      <c r="J201" s="26">
        <v>4</v>
      </c>
      <c r="K201" s="26">
        <v>29</v>
      </c>
      <c r="L201" s="35">
        <v>0.69</v>
      </c>
      <c r="M201" s="35">
        <v>0</v>
      </c>
      <c r="N201" s="35">
        <v>0.17199999999999999</v>
      </c>
      <c r="O201" s="35">
        <v>0.13800000000000001</v>
      </c>
      <c r="P201" s="35">
        <v>0.13800000000000001</v>
      </c>
      <c r="Q201" s="35">
        <v>0</v>
      </c>
      <c r="S201" s="26">
        <v>1</v>
      </c>
      <c r="T201" s="26">
        <v>0</v>
      </c>
      <c r="U201" s="26">
        <v>0</v>
      </c>
      <c r="W201" s="26">
        <v>1955.8</v>
      </c>
      <c r="X201" s="26">
        <v>1976</v>
      </c>
      <c r="Y201" s="28">
        <v>45323.8</v>
      </c>
      <c r="Z201" s="28">
        <v>29600</v>
      </c>
      <c r="AA201" s="28">
        <v>32219.5</v>
      </c>
      <c r="AB201" s="28">
        <v>26160</v>
      </c>
      <c r="AC201" s="35">
        <v>4.1000000000000002E-2</v>
      </c>
      <c r="AD201" s="35">
        <v>1.4999999999999999E-2</v>
      </c>
      <c r="AE201" s="28">
        <v>2091.4</v>
      </c>
      <c r="AF201" s="28">
        <v>466.9</v>
      </c>
      <c r="AH201" s="29">
        <f>IF($D201 = "SPLIT", "",COUNTIFS($D$7:$D$347,$D201,N$7:N$347,"&gt;"&amp;N201)+1)</f>
        <v>79</v>
      </c>
      <c r="AI201" s="29">
        <f>IF($D201 = "SPLIT", "",COUNTIFS($D$7:$D$347,$D201,S$7:S$347,"&gt;"&amp;S201)+1)</f>
        <v>153</v>
      </c>
      <c r="AJ201" s="29">
        <f>IF($D201 = "SPLIT", "",COUNTIFS($D$7:$D$347,$D201,T$7:T$347,"&gt;"&amp;T201)+1)</f>
        <v>113</v>
      </c>
      <c r="AK201" s="29">
        <f>IF($D201 = "SPLIT", "",COUNTIFS($D$7:$D$347,$D201,X$7:X$347,"&lt;"&amp;X201)+1)</f>
        <v>181</v>
      </c>
      <c r="AL201" s="29">
        <f>IF($D201 = "SPLIT", "",COUNTIFS($D$7:$D$347,$D201,Z$7:Z$347,"&gt;"&amp;Z201)+1)</f>
        <v>155</v>
      </c>
      <c r="AM201" s="29">
        <f>IF($D201 = "SPLIT", "",COUNTIFS($D$7:$D$347,$D201,AB$7:AB$347,"&gt;"&amp;AB201)+1)</f>
        <v>160</v>
      </c>
      <c r="AN201" s="29">
        <f>IF($D201 = "SPLIT", "",COUNTIFS($D$7:$D$347,$D201,AD$7:AD$347,"&gt;"&amp;AD201)+1)</f>
        <v>194</v>
      </c>
      <c r="AO201" s="29">
        <f>IF($D201 = "SPLIT", "",COUNTIFS($D$7:$D$347,$D201,AF$7:AF$347,"&gt;"&amp;AF201)+1)</f>
        <v>194</v>
      </c>
    </row>
    <row r="202" spans="1:41" hidden="1" x14ac:dyDescent="0.25">
      <c r="A202" s="30">
        <v>540139</v>
      </c>
      <c r="B202" s="30" t="s">
        <v>343</v>
      </c>
      <c r="C202" s="30" t="s">
        <v>340</v>
      </c>
      <c r="D202" s="30" t="s">
        <v>52</v>
      </c>
      <c r="E202" s="31">
        <v>6</v>
      </c>
      <c r="F202" s="31" t="s">
        <v>227</v>
      </c>
      <c r="G202" s="31">
        <v>562</v>
      </c>
      <c r="H202" s="31">
        <v>91</v>
      </c>
      <c r="I202" s="31">
        <v>252</v>
      </c>
      <c r="J202" s="31">
        <v>98</v>
      </c>
      <c r="K202" s="31">
        <v>1003</v>
      </c>
      <c r="L202" s="32">
        <v>0.56000000000000005</v>
      </c>
      <c r="M202" s="32">
        <v>9.0999999999999998E-2</v>
      </c>
      <c r="N202" s="32">
        <v>0.251</v>
      </c>
      <c r="O202" s="32">
        <v>9.8000000000000004E-2</v>
      </c>
      <c r="P202" s="32">
        <v>7.0000000000000007E-2</v>
      </c>
      <c r="Q202" s="32">
        <v>8.9999999999999993E-3</v>
      </c>
      <c r="S202" s="31">
        <v>119</v>
      </c>
      <c r="T202" s="31">
        <v>14</v>
      </c>
      <c r="U202" s="31">
        <v>12</v>
      </c>
      <c r="W202" s="31">
        <v>1963.7</v>
      </c>
      <c r="X202" s="31">
        <v>1974</v>
      </c>
      <c r="Y202" s="33">
        <v>149175.29999999999</v>
      </c>
      <c r="Z202" s="33">
        <v>55300</v>
      </c>
      <c r="AA202" s="33">
        <v>90211.9</v>
      </c>
      <c r="AB202" s="33">
        <v>49900</v>
      </c>
      <c r="AC202" s="32">
        <v>0.14399999999999999</v>
      </c>
      <c r="AD202" s="32">
        <v>0.08</v>
      </c>
      <c r="AE202" s="33">
        <v>35765.9</v>
      </c>
      <c r="AF202" s="33">
        <v>4097.8</v>
      </c>
      <c r="AH202" s="34">
        <f>IF($D202 = "SPLIT", "",COUNTIFS($D$7:$D$347,$D202,N$7:N$347,"&gt;"&amp;N202)+1)</f>
        <v>30</v>
      </c>
      <c r="AI202" s="34">
        <f>IF($D202 = "SPLIT", "",COUNTIFS($D$7:$D$347,$D202,S$7:S$347,"&gt;"&amp;S202)+1)</f>
        <v>30</v>
      </c>
      <c r="AJ202" s="34">
        <f>IF($D202 = "SPLIT", "",COUNTIFS($D$7:$D$347,$D202,T$7:T$347,"&gt;"&amp;T202)+1)</f>
        <v>37</v>
      </c>
      <c r="AK202" s="34">
        <f>IF($D202 = "SPLIT", "",COUNTIFS($D$7:$D$347,$D202,X$7:X$347,"&lt;"&amp;X202)+1)</f>
        <v>33</v>
      </c>
      <c r="AL202" s="34">
        <f>IF($D202 = "SPLIT", "",COUNTIFS($D$7:$D$347,$D202,Z$7:Z$347,"&gt;"&amp;Z202)+1)</f>
        <v>7</v>
      </c>
      <c r="AM202" s="34">
        <f>IF($D202 = "SPLIT", "",COUNTIFS($D$7:$D$347,$D202,AB$7:AB$347,"&gt;"&amp;AB202)+1)</f>
        <v>11</v>
      </c>
      <c r="AN202" s="34">
        <f>IF($D202 = "SPLIT", "",COUNTIFS($D$7:$D$347,$D202,AD$7:AD$347,"&gt;"&amp;AD202)+1)</f>
        <v>54</v>
      </c>
      <c r="AO202" s="34">
        <f>IF($D202 = "SPLIT", "",COUNTIFS($D$7:$D$347,$D202,AF$7:AF$347,"&gt;"&amp;AF202)+1)</f>
        <v>44</v>
      </c>
    </row>
    <row r="203" spans="1:41" hidden="1" x14ac:dyDescent="0.25">
      <c r="A203" s="25">
        <v>540141</v>
      </c>
      <c r="B203" s="25" t="s">
        <v>344</v>
      </c>
      <c r="C203" s="25" t="s">
        <v>340</v>
      </c>
      <c r="D203" s="25" t="s">
        <v>55</v>
      </c>
      <c r="E203" s="26">
        <v>6</v>
      </c>
      <c r="F203" s="26" t="s">
        <v>56</v>
      </c>
      <c r="G203" s="26">
        <v>101</v>
      </c>
      <c r="H203" s="26">
        <v>0</v>
      </c>
      <c r="I203" s="26">
        <v>39</v>
      </c>
      <c r="J203" s="26">
        <v>30</v>
      </c>
      <c r="K203" s="26">
        <v>170</v>
      </c>
      <c r="L203" s="35">
        <v>0.59399999999999997</v>
      </c>
      <c r="M203" s="35">
        <v>0</v>
      </c>
      <c r="N203" s="35">
        <v>0.22900000000000001</v>
      </c>
      <c r="O203" s="35">
        <v>0.17599999999999999</v>
      </c>
      <c r="P203" s="35">
        <v>0.14699999999999999</v>
      </c>
      <c r="Q203" s="35">
        <v>1.7999999999999999E-2</v>
      </c>
      <c r="S203" s="26">
        <v>30</v>
      </c>
      <c r="T203" s="26">
        <v>0</v>
      </c>
      <c r="U203" s="26">
        <v>0</v>
      </c>
      <c r="W203" s="26">
        <v>1958.3</v>
      </c>
      <c r="X203" s="26">
        <v>1962.5</v>
      </c>
      <c r="Y203" s="28">
        <v>261631.6</v>
      </c>
      <c r="Z203" s="28">
        <v>87650</v>
      </c>
      <c r="AA203" s="28">
        <v>75083</v>
      </c>
      <c r="AB203" s="28">
        <v>65750</v>
      </c>
      <c r="AC203" s="35">
        <v>7.9000000000000001E-2</v>
      </c>
      <c r="AD203" s="35">
        <v>5.5E-2</v>
      </c>
      <c r="AE203" s="28">
        <v>9478.9</v>
      </c>
      <c r="AF203" s="28">
        <v>4458.8</v>
      </c>
      <c r="AH203" s="29">
        <f>IF($D203 = "SPLIT", "",COUNTIFS($D$7:$D$347,$D203,N$7:N$347,"&gt;"&amp;N203)+1)</f>
        <v>54</v>
      </c>
      <c r="AI203" s="29">
        <f>IF($D203 = "SPLIT", "",COUNTIFS($D$7:$D$347,$D203,S$7:S$347,"&gt;"&amp;S203)+1)</f>
        <v>49</v>
      </c>
      <c r="AJ203" s="29">
        <f>IF($D203 = "SPLIT", "",COUNTIFS($D$7:$D$347,$D203,T$7:T$347,"&gt;"&amp;T203)+1)</f>
        <v>113</v>
      </c>
      <c r="AK203" s="29">
        <f>IF($D203 = "SPLIT", "",COUNTIFS($D$7:$D$347,$D203,X$7:X$347,"&lt;"&amp;X203)+1)</f>
        <v>151</v>
      </c>
      <c r="AL203" s="29">
        <f>IF($D203 = "SPLIT", "",COUNTIFS($D$7:$D$347,$D203,Z$7:Z$347,"&gt;"&amp;Z203)+1)</f>
        <v>21</v>
      </c>
      <c r="AM203" s="29">
        <f>IF($D203 = "SPLIT", "",COUNTIFS($D$7:$D$347,$D203,AB$7:AB$347,"&gt;"&amp;AB203)+1)</f>
        <v>27</v>
      </c>
      <c r="AN203" s="29">
        <f>IF($D203 = "SPLIT", "",COUNTIFS($D$7:$D$347,$D203,AD$7:AD$347,"&gt;"&amp;AD203)+1)</f>
        <v>160</v>
      </c>
      <c r="AO203" s="29">
        <f>IF($D203 = "SPLIT", "",COUNTIFS($D$7:$D$347,$D203,AF$7:AF$347,"&gt;"&amp;AF203)+1)</f>
        <v>103</v>
      </c>
    </row>
    <row r="204" spans="1:41" hidden="1" x14ac:dyDescent="0.25">
      <c r="A204" s="25">
        <v>540273</v>
      </c>
      <c r="B204" s="25" t="s">
        <v>345</v>
      </c>
      <c r="C204" s="25" t="s">
        <v>340</v>
      </c>
      <c r="D204" s="25" t="s">
        <v>55</v>
      </c>
      <c r="E204" s="26">
        <v>6</v>
      </c>
      <c r="F204" s="26" t="s">
        <v>151</v>
      </c>
      <c r="G204" s="26">
        <v>1</v>
      </c>
      <c r="H204" s="26">
        <v>0</v>
      </c>
      <c r="I204" s="26">
        <v>15</v>
      </c>
      <c r="J204" s="26">
        <v>1</v>
      </c>
      <c r="K204" s="26">
        <v>17</v>
      </c>
      <c r="L204" s="35">
        <v>5.8999999999999997E-2</v>
      </c>
      <c r="M204" s="35">
        <v>0</v>
      </c>
      <c r="N204" s="35">
        <v>0.88200000000000001</v>
      </c>
      <c r="O204" s="35">
        <v>5.8999999999999997E-2</v>
      </c>
      <c r="P204" s="35">
        <v>0</v>
      </c>
      <c r="Q204" s="35">
        <v>5.8999999999999997E-2</v>
      </c>
      <c r="S204" s="26">
        <v>2</v>
      </c>
      <c r="T204" s="26">
        <v>1</v>
      </c>
      <c r="U204" s="26">
        <v>1</v>
      </c>
      <c r="W204" s="26">
        <v>2002</v>
      </c>
      <c r="X204" s="26">
        <v>2006</v>
      </c>
      <c r="Y204" s="28">
        <v>358052.9</v>
      </c>
      <c r="Z204" s="28">
        <v>112000</v>
      </c>
      <c r="AA204" s="28">
        <v>112242.9</v>
      </c>
      <c r="AB204" s="28">
        <v>112000</v>
      </c>
      <c r="AC204" s="35">
        <v>0.04</v>
      </c>
      <c r="AD204" s="35">
        <v>1.4999999999999999E-2</v>
      </c>
      <c r="AE204" s="28">
        <v>61602.9</v>
      </c>
      <c r="AF204" s="28">
        <v>1680</v>
      </c>
      <c r="AH204" s="29">
        <f>IF($D204 = "SPLIT", "",COUNTIFS($D$7:$D$347,$D204,N$7:N$347,"&gt;"&amp;N204)+1)</f>
        <v>3</v>
      </c>
      <c r="AI204" s="29">
        <f>IF($D204 = "SPLIT", "",COUNTIFS($D$7:$D$347,$D204,S$7:S$347,"&gt;"&amp;S204)+1)</f>
        <v>141</v>
      </c>
      <c r="AJ204" s="29">
        <f>IF($D204 = "SPLIT", "",COUNTIFS($D$7:$D$347,$D204,T$7:T$347,"&gt;"&amp;T204)+1)</f>
        <v>84</v>
      </c>
      <c r="AK204" s="29">
        <f>IF($D204 = "SPLIT", "",COUNTIFS($D$7:$D$347,$D204,X$7:X$347,"&lt;"&amp;X204)+1)</f>
        <v>213</v>
      </c>
      <c r="AL204" s="29">
        <f>IF($D204 = "SPLIT", "",COUNTIFS($D$7:$D$347,$D204,Z$7:Z$347,"&gt;"&amp;Z204)+1)</f>
        <v>11</v>
      </c>
      <c r="AM204" s="29">
        <f>IF($D204 = "SPLIT", "",COUNTIFS($D$7:$D$347,$D204,AB$7:AB$347,"&gt;"&amp;AB204)+1)</f>
        <v>6</v>
      </c>
      <c r="AN204" s="29">
        <f>IF($D204 = "SPLIT", "",COUNTIFS($D$7:$D$347,$D204,AD$7:AD$347,"&gt;"&amp;AD204)+1)</f>
        <v>194</v>
      </c>
      <c r="AO204" s="29">
        <f>IF($D204 = "SPLIT", "",COUNTIFS($D$7:$D$347,$D204,AF$7:AF$347,"&gt;"&amp;AF204)+1)</f>
        <v>177</v>
      </c>
    </row>
    <row r="205" spans="1:41" hidden="1" x14ac:dyDescent="0.25">
      <c r="A205" s="25">
        <v>540274</v>
      </c>
      <c r="B205" s="25" t="s">
        <v>346</v>
      </c>
      <c r="C205" s="25" t="s">
        <v>340</v>
      </c>
      <c r="D205" s="25" t="s">
        <v>55</v>
      </c>
      <c r="E205" s="26">
        <v>6</v>
      </c>
      <c r="F205" s="26" t="s">
        <v>151</v>
      </c>
      <c r="G205" s="26">
        <v>10</v>
      </c>
      <c r="H205" s="26">
        <v>0</v>
      </c>
      <c r="I205" s="26">
        <v>14</v>
      </c>
      <c r="J205" s="26">
        <v>5</v>
      </c>
      <c r="K205" s="26">
        <v>29</v>
      </c>
      <c r="L205" s="35">
        <v>0.34499999999999997</v>
      </c>
      <c r="M205" s="35">
        <v>0</v>
      </c>
      <c r="N205" s="35">
        <v>0.48299999999999998</v>
      </c>
      <c r="O205" s="35">
        <v>0.17199999999999999</v>
      </c>
      <c r="P205" s="35">
        <v>0.17199999999999999</v>
      </c>
      <c r="Q205" s="35">
        <v>0</v>
      </c>
      <c r="S205" s="26">
        <v>9</v>
      </c>
      <c r="T205" s="26">
        <v>3</v>
      </c>
      <c r="U205" s="26">
        <v>4</v>
      </c>
      <c r="W205" s="26">
        <v>1978.5</v>
      </c>
      <c r="X205" s="26">
        <v>1980.5</v>
      </c>
      <c r="Y205" s="28">
        <v>107714.1</v>
      </c>
      <c r="Z205" s="28">
        <v>58700</v>
      </c>
      <c r="AA205" s="28">
        <v>48335.199999999997</v>
      </c>
      <c r="AB205" s="28">
        <v>19300</v>
      </c>
      <c r="AC205" s="35">
        <v>0.33900000000000002</v>
      </c>
      <c r="AD205" s="35">
        <v>0.27500000000000002</v>
      </c>
      <c r="AE205" s="28">
        <v>11488.8</v>
      </c>
      <c r="AF205" s="28">
        <v>7406</v>
      </c>
      <c r="AH205" s="29">
        <f>IF($D205 = "SPLIT", "",COUNTIFS($D$7:$D$347,$D205,N$7:N$347,"&gt;"&amp;N205)+1)</f>
        <v>15</v>
      </c>
      <c r="AI205" s="29">
        <f>IF($D205 = "SPLIT", "",COUNTIFS($D$7:$D$347,$D205,S$7:S$347,"&gt;"&amp;S205)+1)</f>
        <v>100</v>
      </c>
      <c r="AJ205" s="29">
        <f>IF($D205 = "SPLIT", "",COUNTIFS($D$7:$D$347,$D205,T$7:T$347,"&gt;"&amp;T205)+1)</f>
        <v>45</v>
      </c>
      <c r="AK205" s="29">
        <f>IF($D205 = "SPLIT", "",COUNTIFS($D$7:$D$347,$D205,X$7:X$347,"&lt;"&amp;X205)+1)</f>
        <v>195</v>
      </c>
      <c r="AL205" s="29">
        <f>IF($D205 = "SPLIT", "",COUNTIFS($D$7:$D$347,$D205,Z$7:Z$347,"&gt;"&amp;Z205)+1)</f>
        <v>50</v>
      </c>
      <c r="AM205" s="29">
        <f>IF($D205 = "SPLIT", "",COUNTIFS($D$7:$D$347,$D205,AB$7:AB$347,"&gt;"&amp;AB205)+1)</f>
        <v>189</v>
      </c>
      <c r="AN205" s="29">
        <f>IF($D205 = "SPLIT", "",COUNTIFS($D$7:$D$347,$D205,AD$7:AD$347,"&gt;"&amp;AD205)+1)</f>
        <v>25</v>
      </c>
      <c r="AO205" s="29">
        <f>IF($D205 = "SPLIT", "",COUNTIFS($D$7:$D$347,$D205,AF$7:AF$347,"&gt;"&amp;AF205)+1)</f>
        <v>61</v>
      </c>
    </row>
    <row r="206" spans="1:41" hidden="1" x14ac:dyDescent="0.25">
      <c r="A206" s="160"/>
      <c r="B206" s="160"/>
      <c r="C206" s="160" t="s">
        <v>340</v>
      </c>
      <c r="D206" s="160" t="s">
        <v>2</v>
      </c>
      <c r="E206" s="161">
        <v>6</v>
      </c>
      <c r="F206" s="161"/>
      <c r="G206" s="161">
        <v>705</v>
      </c>
      <c r="H206" s="161">
        <v>91</v>
      </c>
      <c r="I206" s="161">
        <v>325</v>
      </c>
      <c r="J206" s="161">
        <v>142</v>
      </c>
      <c r="K206" s="161">
        <v>1263</v>
      </c>
      <c r="L206" s="162">
        <v>0.55800000000000005</v>
      </c>
      <c r="M206" s="162">
        <v>7.1999999999999995E-2</v>
      </c>
      <c r="N206" s="162">
        <v>0.25700000000000001</v>
      </c>
      <c r="O206" s="162">
        <v>0.112</v>
      </c>
      <c r="P206" s="162">
        <v>8.5999999999999993E-2</v>
      </c>
      <c r="Q206" s="162">
        <v>0.01</v>
      </c>
      <c r="S206" s="161">
        <v>165</v>
      </c>
      <c r="T206" s="161">
        <v>18</v>
      </c>
      <c r="U206" s="161">
        <v>17</v>
      </c>
      <c r="W206" s="161">
        <v>1963.5</v>
      </c>
      <c r="X206" s="161">
        <v>1973</v>
      </c>
      <c r="Y206" s="163">
        <v>162543.70000000001</v>
      </c>
      <c r="Z206" s="163">
        <v>57800</v>
      </c>
      <c r="AA206" s="163">
        <v>102322.8</v>
      </c>
      <c r="AB206" s="163">
        <v>73400</v>
      </c>
      <c r="AC206" s="162">
        <v>0.13700000000000001</v>
      </c>
      <c r="AD206" s="162">
        <v>7.3999999999999996E-2</v>
      </c>
      <c r="AE206" s="163">
        <v>29357.599999999999</v>
      </c>
      <c r="AF206" s="163">
        <v>4221.1000000000004</v>
      </c>
      <c r="AH206" s="164">
        <f>IF($D206 = "SPLIT", "",COUNTIFS($D$7:$D$347,$D206,N$7:N$347,"&gt;"&amp;N206)+1)</f>
        <v>18</v>
      </c>
      <c r="AI206" s="164">
        <f>IF($D206 = "SPLIT", "",COUNTIFS($D$7:$D$347,$D206,S$7:S$347,"&gt;"&amp;S206)+1)</f>
        <v>34</v>
      </c>
      <c r="AJ206" s="164">
        <f>IF($D206 = "SPLIT", "",COUNTIFS($D$7:$D$347,$D206,T$7:T$347,"&gt;"&amp;T206)+1)</f>
        <v>40</v>
      </c>
      <c r="AK206" s="164">
        <f>IF($D206 = "SPLIT", "",COUNTIFS($D$7:$D$347,$D206,X$7:X$347,"&lt;"&amp;X206)+1)</f>
        <v>40</v>
      </c>
      <c r="AL206" s="164">
        <f>IF($D206 = "SPLIT", "",COUNTIFS($D$7:$D$347,$D206,Z$7:Z$347,"&gt;"&amp;Z206)+1)</f>
        <v>7</v>
      </c>
      <c r="AM206" s="164">
        <f>IF($D206 = "SPLIT", "",COUNTIFS($D$7:$D$347,$D206,AB$7:AB$347,"&gt;"&amp;AB206)+1)</f>
        <v>7</v>
      </c>
      <c r="AN206" s="164">
        <f>IF($D206 = "SPLIT", "",COUNTIFS($D$7:$D$347,$D206,AD$7:AD$347,"&gt;"&amp;AD206)+1)</f>
        <v>55</v>
      </c>
      <c r="AO206" s="164">
        <f>IF($D206 = "SPLIT", "",COUNTIFS($D$7:$D$347,$D206,AF$7:AF$347,"&gt;"&amp;AF206)+1)</f>
        <v>42</v>
      </c>
    </row>
    <row r="207" spans="1:41" hidden="1" x14ac:dyDescent="0.25">
      <c r="A207" s="25">
        <v>540041</v>
      </c>
      <c r="B207" s="25" t="s">
        <v>137</v>
      </c>
      <c r="C207" s="25" t="s">
        <v>347</v>
      </c>
      <c r="D207" s="25" t="s">
        <v>88</v>
      </c>
      <c r="E207" s="26">
        <v>1</v>
      </c>
      <c r="F207" s="26" t="s">
        <v>139</v>
      </c>
      <c r="G207" s="26">
        <v>55</v>
      </c>
      <c r="H207" s="26">
        <v>1</v>
      </c>
      <c r="I207" s="26">
        <v>5</v>
      </c>
      <c r="J207" s="26">
        <v>5</v>
      </c>
      <c r="K207" s="26">
        <v>66</v>
      </c>
      <c r="L207" s="35">
        <v>0.83299999999999996</v>
      </c>
      <c r="M207" s="35">
        <v>1.4999999999999999E-2</v>
      </c>
      <c r="N207" s="35">
        <v>7.5999999999999998E-2</v>
      </c>
      <c r="O207" s="35">
        <v>7.5999999999999998E-2</v>
      </c>
      <c r="P207" s="35">
        <v>4.4999999999999998E-2</v>
      </c>
      <c r="Q207" s="35">
        <v>0.03</v>
      </c>
      <c r="S207" s="26">
        <v>15</v>
      </c>
      <c r="T207" s="26">
        <v>0</v>
      </c>
      <c r="U207" s="26">
        <v>1</v>
      </c>
      <c r="W207" s="26">
        <v>1938.8</v>
      </c>
      <c r="X207" s="26">
        <v>1935</v>
      </c>
      <c r="Y207" s="28">
        <v>49085.5</v>
      </c>
      <c r="Z207" s="28">
        <v>40565</v>
      </c>
      <c r="AA207" s="28">
        <v>41531.300000000003</v>
      </c>
      <c r="AB207" s="28">
        <v>37200</v>
      </c>
      <c r="AC207" s="35">
        <v>0.16</v>
      </c>
      <c r="AD207" s="35">
        <v>0.11</v>
      </c>
      <c r="AE207" s="28">
        <v>6852.9</v>
      </c>
      <c r="AF207" s="28">
        <v>3517.8</v>
      </c>
      <c r="AH207" s="29" t="str">
        <f>IF($D207 = "SPLIT", "",COUNTIFS($D$7:$D$347,$D207,N$7:N$347,"&gt;"&amp;N207)+1)</f>
        <v/>
      </c>
      <c r="AI207" s="29" t="str">
        <f>IF($D207 = "SPLIT", "",COUNTIFS($D$7:$D$347,$D207,S$7:S$347,"&gt;"&amp;S207)+1)</f>
        <v/>
      </c>
      <c r="AJ207" s="29" t="str">
        <f>IF($D207 = "SPLIT", "",COUNTIFS($D$7:$D$347,$D207,T$7:T$347,"&gt;"&amp;T207)+1)</f>
        <v/>
      </c>
      <c r="AK207" s="29" t="str">
        <f>IF($D207 = "SPLIT", "",COUNTIFS($D$7:$D$347,$D207,X$7:X$347,"&lt;"&amp;X207)+1)</f>
        <v/>
      </c>
      <c r="AL207" s="29" t="str">
        <f>IF($D207 = "SPLIT", "",COUNTIFS($D$7:$D$347,$D207,Z$7:Z$347,"&gt;"&amp;Z207)+1)</f>
        <v/>
      </c>
      <c r="AM207" s="29" t="str">
        <f>IF($D207 = "SPLIT", "",COUNTIFS($D$7:$D$347,$D207,AB$7:AB$347,"&gt;"&amp;AB207)+1)</f>
        <v/>
      </c>
      <c r="AN207" s="29" t="str">
        <f>IF($D207 = "SPLIT", "",COUNTIFS($D$7:$D$347,$D207,AD$7:AD$347,"&gt;"&amp;AD207)+1)</f>
        <v/>
      </c>
      <c r="AO207" s="29" t="str">
        <f>IF($D207 = "SPLIT", "",COUNTIFS($D$7:$D$347,$D207,AF$7:AF$347,"&gt;"&amp;AF207)+1)</f>
        <v/>
      </c>
    </row>
    <row r="208" spans="1:41" hidden="1" x14ac:dyDescent="0.25">
      <c r="A208" s="30">
        <v>540278</v>
      </c>
      <c r="B208" s="30" t="s">
        <v>348</v>
      </c>
      <c r="C208" s="30" t="s">
        <v>347</v>
      </c>
      <c r="D208" s="30" t="s">
        <v>52</v>
      </c>
      <c r="E208" s="31">
        <v>1</v>
      </c>
      <c r="F208" s="31" t="s">
        <v>349</v>
      </c>
      <c r="G208" s="31">
        <v>252</v>
      </c>
      <c r="H208" s="31">
        <v>17</v>
      </c>
      <c r="I208" s="31">
        <v>108</v>
      </c>
      <c r="J208" s="31">
        <v>36</v>
      </c>
      <c r="K208" s="31">
        <v>413</v>
      </c>
      <c r="L208" s="32">
        <v>0.61</v>
      </c>
      <c r="M208" s="32">
        <v>4.1000000000000002E-2</v>
      </c>
      <c r="N208" s="32">
        <v>0.26200000000000001</v>
      </c>
      <c r="O208" s="32">
        <v>8.6999999999999994E-2</v>
      </c>
      <c r="P208" s="32">
        <v>4.5999999999999999E-2</v>
      </c>
      <c r="Q208" s="32">
        <v>1.2E-2</v>
      </c>
      <c r="S208" s="31">
        <v>43</v>
      </c>
      <c r="T208" s="31">
        <v>8</v>
      </c>
      <c r="U208" s="31">
        <v>5</v>
      </c>
      <c r="W208" s="31">
        <v>1961.2</v>
      </c>
      <c r="X208" s="31">
        <v>1969</v>
      </c>
      <c r="Y208" s="33">
        <v>82388.899999999994</v>
      </c>
      <c r="Z208" s="33">
        <v>38900</v>
      </c>
      <c r="AA208" s="33">
        <v>46978.5</v>
      </c>
      <c r="AB208" s="33">
        <v>37100</v>
      </c>
      <c r="AC208" s="32">
        <v>0.18</v>
      </c>
      <c r="AD208" s="32">
        <v>0.11799999999999999</v>
      </c>
      <c r="AE208" s="33">
        <v>7568.2</v>
      </c>
      <c r="AF208" s="33">
        <v>3516.1</v>
      </c>
      <c r="AH208" s="34">
        <f>IF($D208 = "SPLIT", "",COUNTIFS($D$7:$D$347,$D208,N$7:N$347,"&gt;"&amp;N208)+1)</f>
        <v>25</v>
      </c>
      <c r="AI208" s="34">
        <f>IF($D208 = "SPLIT", "",COUNTIFS($D$7:$D$347,$D208,S$7:S$347,"&gt;"&amp;S208)+1)</f>
        <v>49</v>
      </c>
      <c r="AJ208" s="34">
        <f>IF($D208 = "SPLIT", "",COUNTIFS($D$7:$D$347,$D208,T$7:T$347,"&gt;"&amp;T208)+1)</f>
        <v>42</v>
      </c>
      <c r="AK208" s="34">
        <f>IF($D208 = "SPLIT", "",COUNTIFS($D$7:$D$347,$D208,X$7:X$347,"&lt;"&amp;X208)+1)</f>
        <v>19</v>
      </c>
      <c r="AL208" s="34">
        <f>IF($D208 = "SPLIT", "",COUNTIFS($D$7:$D$347,$D208,Z$7:Z$347,"&gt;"&amp;Z208)+1)</f>
        <v>26</v>
      </c>
      <c r="AM208" s="34">
        <f>IF($D208 = "SPLIT", "",COUNTIFS($D$7:$D$347,$D208,AB$7:AB$347,"&gt;"&amp;AB208)+1)</f>
        <v>25</v>
      </c>
      <c r="AN208" s="34">
        <f>IF($D208 = "SPLIT", "",COUNTIFS($D$7:$D$347,$D208,AD$7:AD$347,"&gt;"&amp;AD208)+1)</f>
        <v>45</v>
      </c>
      <c r="AO208" s="34">
        <f>IF($D208 = "SPLIT", "",COUNTIFS($D$7:$D$347,$D208,AF$7:AF$347,"&gt;"&amp;AF208)+1)</f>
        <v>46</v>
      </c>
    </row>
    <row r="209" spans="1:41" hidden="1" x14ac:dyDescent="0.25">
      <c r="A209" s="25">
        <v>540143</v>
      </c>
      <c r="B209" s="25" t="s">
        <v>350</v>
      </c>
      <c r="C209" s="25" t="s">
        <v>347</v>
      </c>
      <c r="D209" s="25" t="s">
        <v>55</v>
      </c>
      <c r="E209" s="26">
        <v>1</v>
      </c>
      <c r="F209" s="26" t="s">
        <v>56</v>
      </c>
      <c r="G209" s="26">
        <v>23</v>
      </c>
      <c r="H209" s="26">
        <v>2</v>
      </c>
      <c r="I209" s="26">
        <v>6</v>
      </c>
      <c r="J209" s="26">
        <v>0</v>
      </c>
      <c r="K209" s="26">
        <v>31</v>
      </c>
      <c r="L209" s="35">
        <v>0.74199999999999999</v>
      </c>
      <c r="M209" s="35">
        <v>6.5000000000000002E-2</v>
      </c>
      <c r="N209" s="35">
        <v>0.19400000000000001</v>
      </c>
      <c r="O209" s="35">
        <v>0</v>
      </c>
      <c r="P209" s="35">
        <v>0</v>
      </c>
      <c r="Q209" s="35">
        <v>0</v>
      </c>
      <c r="S209" s="26">
        <v>4</v>
      </c>
      <c r="T209" s="26">
        <v>0</v>
      </c>
      <c r="U209" s="26">
        <v>0</v>
      </c>
      <c r="W209" s="26">
        <v>1958.9</v>
      </c>
      <c r="X209" s="26">
        <v>1959</v>
      </c>
      <c r="Y209" s="28">
        <v>63653</v>
      </c>
      <c r="Z209" s="28">
        <v>41000</v>
      </c>
      <c r="AA209" s="28">
        <v>42270.2</v>
      </c>
      <c r="AB209" s="28">
        <v>39350</v>
      </c>
      <c r="AC209" s="35">
        <v>0.151</v>
      </c>
      <c r="AD209" s="35">
        <v>8.5999999999999993E-2</v>
      </c>
      <c r="AE209" s="28">
        <v>5620.8</v>
      </c>
      <c r="AF209" s="28">
        <v>6514.7</v>
      </c>
      <c r="AH209" s="29">
        <f>IF($D209 = "SPLIT", "",COUNTIFS($D$7:$D$347,$D209,N$7:N$347,"&gt;"&amp;N209)+1)</f>
        <v>69</v>
      </c>
      <c r="AI209" s="29">
        <f>IF($D209 = "SPLIT", "",COUNTIFS($D$7:$D$347,$D209,S$7:S$347,"&gt;"&amp;S209)+1)</f>
        <v>119</v>
      </c>
      <c r="AJ209" s="29">
        <f>IF($D209 = "SPLIT", "",COUNTIFS($D$7:$D$347,$D209,T$7:T$347,"&gt;"&amp;T209)+1)</f>
        <v>113</v>
      </c>
      <c r="AK209" s="29">
        <f>IF($D209 = "SPLIT", "",COUNTIFS($D$7:$D$347,$D209,X$7:X$347,"&lt;"&amp;X209)+1)</f>
        <v>144</v>
      </c>
      <c r="AL209" s="29">
        <f>IF($D209 = "SPLIT", "",COUNTIFS($D$7:$D$347,$D209,Z$7:Z$347,"&gt;"&amp;Z209)+1)</f>
        <v>111</v>
      </c>
      <c r="AM209" s="29">
        <f>IF($D209 = "SPLIT", "",COUNTIFS($D$7:$D$347,$D209,AB$7:AB$347,"&gt;"&amp;AB209)+1)</f>
        <v>103</v>
      </c>
      <c r="AN209" s="29">
        <f>IF($D209 = "SPLIT", "",COUNTIFS($D$7:$D$347,$D209,AD$7:AD$347,"&gt;"&amp;AD209)+1)</f>
        <v>133</v>
      </c>
      <c r="AO209" s="29">
        <f>IF($D209 = "SPLIT", "",COUNTIFS($D$7:$D$347,$D209,AF$7:AF$347,"&gt;"&amp;AF209)+1)</f>
        <v>74</v>
      </c>
    </row>
    <row r="210" spans="1:41" hidden="1" x14ac:dyDescent="0.25">
      <c r="A210" s="160"/>
      <c r="B210" s="160"/>
      <c r="C210" s="160" t="s">
        <v>347</v>
      </c>
      <c r="D210" s="160" t="s">
        <v>2</v>
      </c>
      <c r="E210" s="161">
        <v>1</v>
      </c>
      <c r="F210" s="161"/>
      <c r="G210" s="161">
        <v>330</v>
      </c>
      <c r="H210" s="161">
        <v>20</v>
      </c>
      <c r="I210" s="161">
        <v>119</v>
      </c>
      <c r="J210" s="161">
        <v>41</v>
      </c>
      <c r="K210" s="161">
        <v>510</v>
      </c>
      <c r="L210" s="162">
        <v>0.64700000000000002</v>
      </c>
      <c r="M210" s="162">
        <v>3.9E-2</v>
      </c>
      <c r="N210" s="162">
        <v>0.23300000000000001</v>
      </c>
      <c r="O210" s="162">
        <v>0.08</v>
      </c>
      <c r="P210" s="162">
        <v>4.2999999999999997E-2</v>
      </c>
      <c r="Q210" s="162">
        <v>1.4E-2</v>
      </c>
      <c r="S210" s="161">
        <v>62</v>
      </c>
      <c r="T210" s="161">
        <v>8</v>
      </c>
      <c r="U210" s="161">
        <v>6</v>
      </c>
      <c r="W210" s="161">
        <v>1958</v>
      </c>
      <c r="X210" s="161">
        <v>1960.5</v>
      </c>
      <c r="Y210" s="163">
        <v>76940.2</v>
      </c>
      <c r="Z210" s="163">
        <v>39100</v>
      </c>
      <c r="AA210" s="163">
        <v>52461.599999999999</v>
      </c>
      <c r="AB210" s="163">
        <v>42700</v>
      </c>
      <c r="AC210" s="162">
        <v>0.17199999999999999</v>
      </c>
      <c r="AD210" s="162">
        <v>0.111</v>
      </c>
      <c r="AE210" s="163">
        <v>7203</v>
      </c>
      <c r="AF210" s="163">
        <v>3517.8</v>
      </c>
      <c r="AH210" s="164">
        <f>IF($D210 = "SPLIT", "",COUNTIFS($D$7:$D$347,$D210,N$7:N$347,"&gt;"&amp;N210)+1)</f>
        <v>25</v>
      </c>
      <c r="AI210" s="164">
        <f>IF($D210 = "SPLIT", "",COUNTIFS($D$7:$D$347,$D210,S$7:S$347,"&gt;"&amp;S210)+1)</f>
        <v>51</v>
      </c>
      <c r="AJ210" s="164">
        <f>IF($D210 = "SPLIT", "",COUNTIFS($D$7:$D$347,$D210,T$7:T$347,"&gt;"&amp;T210)+1)</f>
        <v>48</v>
      </c>
      <c r="AK210" s="164">
        <f>IF($D210 = "SPLIT", "",COUNTIFS($D$7:$D$347,$D210,X$7:X$347,"&lt;"&amp;X210)+1)</f>
        <v>20</v>
      </c>
      <c r="AL210" s="164">
        <f>IF($D210 = "SPLIT", "",COUNTIFS($D$7:$D$347,$D210,Z$7:Z$347,"&gt;"&amp;Z210)+1)</f>
        <v>31</v>
      </c>
      <c r="AM210" s="164">
        <f>IF($D210 = "SPLIT", "",COUNTIFS($D$7:$D$347,$D210,AB$7:AB$347,"&gt;"&amp;AB210)+1)</f>
        <v>34</v>
      </c>
      <c r="AN210" s="164">
        <f>IF($D210 = "SPLIT", "",COUNTIFS($D$7:$D$347,$D210,AD$7:AD$347,"&gt;"&amp;AD210)+1)</f>
        <v>51</v>
      </c>
      <c r="AO210" s="164">
        <f>IF($D210 = "SPLIT", "",COUNTIFS($D$7:$D$347,$D210,AF$7:AF$347,"&gt;"&amp;AF210)+1)</f>
        <v>47</v>
      </c>
    </row>
    <row r="211" spans="1:41" hidden="1" x14ac:dyDescent="0.25">
      <c r="A211" s="25">
        <v>540005</v>
      </c>
      <c r="B211" s="25" t="s">
        <v>351</v>
      </c>
      <c r="C211" s="25" t="s">
        <v>352</v>
      </c>
      <c r="D211" s="25" t="s">
        <v>55</v>
      </c>
      <c r="E211" s="26">
        <v>9</v>
      </c>
      <c r="F211" s="26" t="s">
        <v>291</v>
      </c>
      <c r="G211" s="26">
        <v>113</v>
      </c>
      <c r="H211" s="26">
        <v>1</v>
      </c>
      <c r="I211" s="26">
        <v>16</v>
      </c>
      <c r="J211" s="26">
        <v>0</v>
      </c>
      <c r="K211" s="26">
        <v>130</v>
      </c>
      <c r="L211" s="35">
        <v>0.86899999999999999</v>
      </c>
      <c r="M211" s="35">
        <v>8.0000000000000002E-3</v>
      </c>
      <c r="N211" s="35">
        <v>0.123</v>
      </c>
      <c r="O211" s="35">
        <v>0</v>
      </c>
      <c r="P211" s="35">
        <v>0</v>
      </c>
      <c r="Q211" s="35">
        <v>0</v>
      </c>
      <c r="S211" s="26">
        <v>43</v>
      </c>
      <c r="T211" s="26">
        <v>2</v>
      </c>
      <c r="U211" s="26">
        <v>0</v>
      </c>
      <c r="W211" s="26">
        <v>1941.7</v>
      </c>
      <c r="X211" s="26">
        <v>1940</v>
      </c>
      <c r="Y211" s="28">
        <v>272813.09999999998</v>
      </c>
      <c r="Z211" s="28">
        <v>111850</v>
      </c>
      <c r="AA211" s="28">
        <v>112900</v>
      </c>
      <c r="AB211" s="28">
        <v>92200</v>
      </c>
      <c r="AC211" s="35">
        <v>0.11700000000000001</v>
      </c>
      <c r="AD211" s="35">
        <v>0.104</v>
      </c>
      <c r="AE211" s="28">
        <v>23000.3</v>
      </c>
      <c r="AF211" s="28">
        <v>9472.1</v>
      </c>
      <c r="AH211" s="29">
        <f>IF($D211 = "SPLIT", "",COUNTIFS($D$7:$D$347,$D211,N$7:N$347,"&gt;"&amp;N211)+1)</f>
        <v>112</v>
      </c>
      <c r="AI211" s="29">
        <f>IF($D211 = "SPLIT", "",COUNTIFS($D$7:$D$347,$D211,S$7:S$347,"&gt;"&amp;S211)+1)</f>
        <v>34</v>
      </c>
      <c r="AJ211" s="29">
        <f>IF($D211 = "SPLIT", "",COUNTIFS($D$7:$D$347,$D211,T$7:T$347,"&gt;"&amp;T211)+1)</f>
        <v>59</v>
      </c>
      <c r="AK211" s="29">
        <f>IF($D211 = "SPLIT", "",COUNTIFS($D$7:$D$347,$D211,X$7:X$347,"&lt;"&amp;X211)+1)</f>
        <v>72</v>
      </c>
      <c r="AL211" s="29">
        <f>IF($D211 = "SPLIT", "",COUNTIFS($D$7:$D$347,$D211,Z$7:Z$347,"&gt;"&amp;Z211)+1)</f>
        <v>12</v>
      </c>
      <c r="AM211" s="29">
        <f>IF($D211 = "SPLIT", "",COUNTIFS($D$7:$D$347,$D211,AB$7:AB$347,"&gt;"&amp;AB211)+1)</f>
        <v>11</v>
      </c>
      <c r="AN211" s="29">
        <f>IF($D211 = "SPLIT", "",COUNTIFS($D$7:$D$347,$D211,AD$7:AD$347,"&gt;"&amp;AD211)+1)</f>
        <v>117</v>
      </c>
      <c r="AO211" s="29">
        <f>IF($D211 = "SPLIT", "",COUNTIFS($D$7:$D$347,$D211,AF$7:AF$347,"&gt;"&amp;AF211)+1)</f>
        <v>39</v>
      </c>
    </row>
    <row r="212" spans="1:41" hidden="1" x14ac:dyDescent="0.25">
      <c r="A212" s="30">
        <v>540144</v>
      </c>
      <c r="B212" s="30" t="s">
        <v>353</v>
      </c>
      <c r="C212" s="30" t="s">
        <v>352</v>
      </c>
      <c r="D212" s="30" t="s">
        <v>52</v>
      </c>
      <c r="E212" s="31">
        <v>9</v>
      </c>
      <c r="F212" s="31" t="s">
        <v>53</v>
      </c>
      <c r="G212" s="31">
        <v>314</v>
      </c>
      <c r="H212" s="31">
        <v>14</v>
      </c>
      <c r="I212" s="31">
        <v>147</v>
      </c>
      <c r="J212" s="31">
        <v>10</v>
      </c>
      <c r="K212" s="31">
        <v>485</v>
      </c>
      <c r="L212" s="32">
        <v>0.64700000000000002</v>
      </c>
      <c r="M212" s="32">
        <v>2.9000000000000001E-2</v>
      </c>
      <c r="N212" s="32">
        <v>0.30299999999999999</v>
      </c>
      <c r="O212" s="32">
        <v>2.1000000000000001E-2</v>
      </c>
      <c r="P212" s="32">
        <v>1.6E-2</v>
      </c>
      <c r="Q212" s="32">
        <v>0</v>
      </c>
      <c r="S212" s="31">
        <v>166</v>
      </c>
      <c r="T212" s="31">
        <v>44</v>
      </c>
      <c r="U212" s="31">
        <v>4</v>
      </c>
      <c r="W212" s="31">
        <v>1971.1</v>
      </c>
      <c r="X212" s="31">
        <v>1975.5</v>
      </c>
      <c r="Y212" s="33">
        <v>151733</v>
      </c>
      <c r="Z212" s="33">
        <v>69800</v>
      </c>
      <c r="AA212" s="33">
        <v>81082.899999999994</v>
      </c>
      <c r="AB212" s="33">
        <v>65300</v>
      </c>
      <c r="AC212" s="32">
        <v>0.40699999999999997</v>
      </c>
      <c r="AD212" s="32">
        <v>0.39800000000000002</v>
      </c>
      <c r="AE212" s="33">
        <v>29096.3</v>
      </c>
      <c r="AF212" s="33">
        <v>16257.8</v>
      </c>
      <c r="AH212" s="34">
        <f>IF($D212 = "SPLIT", "",COUNTIFS($D$7:$D$347,$D212,N$7:N$347,"&gt;"&amp;N212)+1)</f>
        <v>13</v>
      </c>
      <c r="AI212" s="34">
        <f>IF($D212 = "SPLIT", "",COUNTIFS($D$7:$D$347,$D212,S$7:S$347,"&gt;"&amp;S212)+1)</f>
        <v>23</v>
      </c>
      <c r="AJ212" s="34">
        <f>IF($D212 = "SPLIT", "",COUNTIFS($D$7:$D$347,$D212,T$7:T$347,"&gt;"&amp;T212)+1)</f>
        <v>14</v>
      </c>
      <c r="AK212" s="34">
        <f>IF($D212 = "SPLIT", "",COUNTIFS($D$7:$D$347,$D212,X$7:X$347,"&lt;"&amp;X212)+1)</f>
        <v>39</v>
      </c>
      <c r="AL212" s="34">
        <f>IF($D212 = "SPLIT", "",COUNTIFS($D$7:$D$347,$D212,Z$7:Z$347,"&gt;"&amp;Z212)+1)</f>
        <v>2</v>
      </c>
      <c r="AM212" s="34">
        <f>IF($D212 = "SPLIT", "",COUNTIFS($D$7:$D$347,$D212,AB$7:AB$347,"&gt;"&amp;AB212)+1)</f>
        <v>2</v>
      </c>
      <c r="AN212" s="34">
        <f>IF($D212 = "SPLIT", "",COUNTIFS($D$7:$D$347,$D212,AD$7:AD$347,"&gt;"&amp;AD212)+1)</f>
        <v>7</v>
      </c>
      <c r="AO212" s="34">
        <f>IF($D212 = "SPLIT", "",COUNTIFS($D$7:$D$347,$D212,AF$7:AF$347,"&gt;"&amp;AF212)+1)</f>
        <v>3</v>
      </c>
    </row>
    <row r="213" spans="1:41" hidden="1" x14ac:dyDescent="0.25">
      <c r="A213" s="25">
        <v>540252</v>
      </c>
      <c r="B213" s="25" t="s">
        <v>354</v>
      </c>
      <c r="C213" s="25" t="s">
        <v>352</v>
      </c>
      <c r="D213" s="25" t="s">
        <v>55</v>
      </c>
      <c r="E213" s="26">
        <v>9</v>
      </c>
      <c r="F213" s="26" t="s">
        <v>355</v>
      </c>
      <c r="G213" s="26">
        <v>27</v>
      </c>
      <c r="H213" s="26">
        <v>0</v>
      </c>
      <c r="I213" s="26">
        <v>3</v>
      </c>
      <c r="J213" s="26">
        <v>0</v>
      </c>
      <c r="K213" s="26">
        <v>30</v>
      </c>
      <c r="L213" s="35">
        <v>0.9</v>
      </c>
      <c r="M213" s="35">
        <v>0</v>
      </c>
      <c r="N213" s="35">
        <v>0.1</v>
      </c>
      <c r="O213" s="35">
        <v>0</v>
      </c>
      <c r="P213" s="35">
        <v>0</v>
      </c>
      <c r="Q213" s="35">
        <v>0</v>
      </c>
      <c r="S213" s="26">
        <v>0</v>
      </c>
      <c r="T213" s="26">
        <v>0</v>
      </c>
      <c r="U213" s="26">
        <v>0</v>
      </c>
      <c r="W213" s="26">
        <v>1946.9</v>
      </c>
      <c r="X213" s="26">
        <v>1941</v>
      </c>
      <c r="Y213" s="28">
        <v>92346.7</v>
      </c>
      <c r="Z213" s="28">
        <v>65550</v>
      </c>
      <c r="AA213" s="28">
        <v>70818.8</v>
      </c>
      <c r="AB213" s="28">
        <v>65550</v>
      </c>
      <c r="AC213" s="35">
        <v>7.9000000000000001E-2</v>
      </c>
      <c r="AD213" s="35">
        <v>5.7000000000000002E-2</v>
      </c>
      <c r="AE213" s="28">
        <v>3262.9</v>
      </c>
      <c r="AF213" s="28">
        <v>3082.8</v>
      </c>
      <c r="AH213" s="29">
        <f>IF($D213 = "SPLIT", "",COUNTIFS($D$7:$D$347,$D213,N$7:N$347,"&gt;"&amp;N213)+1)</f>
        <v>130</v>
      </c>
      <c r="AI213" s="29">
        <f>IF($D213 = "SPLIT", "",COUNTIFS($D$7:$D$347,$D213,S$7:S$347,"&gt;"&amp;S213)+1)</f>
        <v>177</v>
      </c>
      <c r="AJ213" s="29">
        <f>IF($D213 = "SPLIT", "",COUNTIFS($D$7:$D$347,$D213,T$7:T$347,"&gt;"&amp;T213)+1)</f>
        <v>113</v>
      </c>
      <c r="AK213" s="29">
        <f>IF($D213 = "SPLIT", "",COUNTIFS($D$7:$D$347,$D213,X$7:X$347,"&lt;"&amp;X213)+1)</f>
        <v>90</v>
      </c>
      <c r="AL213" s="29">
        <f>IF($D213 = "SPLIT", "",COUNTIFS($D$7:$D$347,$D213,Z$7:Z$347,"&gt;"&amp;Z213)+1)</f>
        <v>43</v>
      </c>
      <c r="AM213" s="29">
        <f>IF($D213 = "SPLIT", "",COUNTIFS($D$7:$D$347,$D213,AB$7:AB$347,"&gt;"&amp;AB213)+1)</f>
        <v>29</v>
      </c>
      <c r="AN213" s="29">
        <f>IF($D213 = "SPLIT", "",COUNTIFS($D$7:$D$347,$D213,AD$7:AD$347,"&gt;"&amp;AD213)+1)</f>
        <v>158</v>
      </c>
      <c r="AO213" s="29">
        <f>IF($D213 = "SPLIT", "",COUNTIFS($D$7:$D$347,$D213,AF$7:AF$347,"&gt;"&amp;AF213)+1)</f>
        <v>136</v>
      </c>
    </row>
    <row r="214" spans="1:41" hidden="1" x14ac:dyDescent="0.25">
      <c r="A214" s="160"/>
      <c r="B214" s="160"/>
      <c r="C214" s="160" t="s">
        <v>352</v>
      </c>
      <c r="D214" s="160" t="s">
        <v>2</v>
      </c>
      <c r="E214" s="161">
        <v>9</v>
      </c>
      <c r="F214" s="161"/>
      <c r="G214" s="161">
        <v>454</v>
      </c>
      <c r="H214" s="161">
        <v>15</v>
      </c>
      <c r="I214" s="161">
        <v>166</v>
      </c>
      <c r="J214" s="161">
        <v>10</v>
      </c>
      <c r="K214" s="161">
        <v>645</v>
      </c>
      <c r="L214" s="162">
        <v>0.70399999999999996</v>
      </c>
      <c r="M214" s="162">
        <v>2.3E-2</v>
      </c>
      <c r="N214" s="162">
        <v>0.25700000000000001</v>
      </c>
      <c r="O214" s="162">
        <v>1.6E-2</v>
      </c>
      <c r="P214" s="162">
        <v>1.2E-2</v>
      </c>
      <c r="Q214" s="162">
        <v>0</v>
      </c>
      <c r="S214" s="161">
        <v>209</v>
      </c>
      <c r="T214" s="161">
        <v>46</v>
      </c>
      <c r="U214" s="161">
        <v>4</v>
      </c>
      <c r="W214" s="161">
        <v>1963.8</v>
      </c>
      <c r="X214" s="161">
        <v>1968</v>
      </c>
      <c r="Y214" s="163">
        <v>173374.6</v>
      </c>
      <c r="Z214" s="163">
        <v>78500</v>
      </c>
      <c r="AA214" s="163">
        <v>93488.2</v>
      </c>
      <c r="AB214" s="163">
        <v>80400</v>
      </c>
      <c r="AC214" s="162">
        <v>0.32600000000000001</v>
      </c>
      <c r="AD214" s="162">
        <v>0.219</v>
      </c>
      <c r="AE214" s="163">
        <v>27110.6</v>
      </c>
      <c r="AF214" s="163">
        <v>14155.1</v>
      </c>
      <c r="AH214" s="164">
        <f>IF($D214 = "SPLIT", "",COUNTIFS($D$7:$D$347,$D214,N$7:N$347,"&gt;"&amp;N214)+1)</f>
        <v>18</v>
      </c>
      <c r="AI214" s="164">
        <f>IF($D214 = "SPLIT", "",COUNTIFS($D$7:$D$347,$D214,S$7:S$347,"&gt;"&amp;S214)+1)</f>
        <v>27</v>
      </c>
      <c r="AJ214" s="164">
        <f>IF($D214 = "SPLIT", "",COUNTIFS($D$7:$D$347,$D214,T$7:T$347,"&gt;"&amp;T214)+1)</f>
        <v>24</v>
      </c>
      <c r="AK214" s="164">
        <f>IF($D214 = "SPLIT", "",COUNTIFS($D$7:$D$347,$D214,X$7:X$347,"&lt;"&amp;X214)+1)</f>
        <v>28</v>
      </c>
      <c r="AL214" s="164">
        <f>IF($D214 = "SPLIT", "",COUNTIFS($D$7:$D$347,$D214,Z$7:Z$347,"&gt;"&amp;Z214)+1)</f>
        <v>2</v>
      </c>
      <c r="AM214" s="164">
        <f>IF($D214 = "SPLIT", "",COUNTIFS($D$7:$D$347,$D214,AB$7:AB$347,"&gt;"&amp;AB214)+1)</f>
        <v>4</v>
      </c>
      <c r="AN214" s="164">
        <f>IF($D214 = "SPLIT", "",COUNTIFS($D$7:$D$347,$D214,AD$7:AD$347,"&gt;"&amp;AD214)+1)</f>
        <v>13</v>
      </c>
      <c r="AO214" s="164">
        <f>IF($D214 = "SPLIT", "",COUNTIFS($D$7:$D$347,$D214,AF$7:AF$347,"&gt;"&amp;AF214)+1)</f>
        <v>4</v>
      </c>
    </row>
    <row r="215" spans="1:41" hidden="1" x14ac:dyDescent="0.25">
      <c r="A215" s="30">
        <v>540146</v>
      </c>
      <c r="B215" s="30" t="s">
        <v>356</v>
      </c>
      <c r="C215" s="30" t="s">
        <v>357</v>
      </c>
      <c r="D215" s="30" t="s">
        <v>52</v>
      </c>
      <c r="E215" s="31">
        <v>4</v>
      </c>
      <c r="F215" s="31" t="s">
        <v>358</v>
      </c>
      <c r="G215" s="31">
        <v>486</v>
      </c>
      <c r="H215" s="31">
        <v>4</v>
      </c>
      <c r="I215" s="31">
        <v>150</v>
      </c>
      <c r="J215" s="31">
        <v>54</v>
      </c>
      <c r="K215" s="31">
        <v>694</v>
      </c>
      <c r="L215" s="32">
        <v>0.7</v>
      </c>
      <c r="M215" s="32">
        <v>6.0000000000000001E-3</v>
      </c>
      <c r="N215" s="32">
        <v>0.216</v>
      </c>
      <c r="O215" s="32">
        <v>7.8E-2</v>
      </c>
      <c r="P215" s="32">
        <v>5.8999999999999997E-2</v>
      </c>
      <c r="Q215" s="32">
        <v>4.0000000000000001E-3</v>
      </c>
      <c r="S215" s="31">
        <v>62</v>
      </c>
      <c r="T215" s="31">
        <v>5</v>
      </c>
      <c r="U215" s="31">
        <v>9</v>
      </c>
      <c r="W215" s="31">
        <v>1966.8</v>
      </c>
      <c r="X215" s="31">
        <v>1970</v>
      </c>
      <c r="Y215" s="33">
        <v>44378.8</v>
      </c>
      <c r="Z215" s="33">
        <v>27850</v>
      </c>
      <c r="AA215" s="33">
        <v>33792.5</v>
      </c>
      <c r="AB215" s="33">
        <v>26380</v>
      </c>
      <c r="AC215" s="32">
        <v>0.28100000000000003</v>
      </c>
      <c r="AD215" s="32">
        <v>0.23</v>
      </c>
      <c r="AE215" s="33">
        <v>10032</v>
      </c>
      <c r="AF215" s="33">
        <v>5760</v>
      </c>
      <c r="AH215" s="34">
        <f>IF($D215 = "SPLIT", "",COUNTIFS($D$7:$D$347,$D215,N$7:N$347,"&gt;"&amp;N215)+1)</f>
        <v>37</v>
      </c>
      <c r="AI215" s="34">
        <f>IF($D215 = "SPLIT", "",COUNTIFS($D$7:$D$347,$D215,S$7:S$347,"&gt;"&amp;S215)+1)</f>
        <v>46</v>
      </c>
      <c r="AJ215" s="34">
        <f>IF($D215 = "SPLIT", "",COUNTIFS($D$7:$D$347,$D215,T$7:T$347,"&gt;"&amp;T215)+1)</f>
        <v>48</v>
      </c>
      <c r="AK215" s="34">
        <f>IF($D215 = "SPLIT", "",COUNTIFS($D$7:$D$347,$D215,X$7:X$347,"&lt;"&amp;X215)+1)</f>
        <v>21</v>
      </c>
      <c r="AL215" s="34">
        <f>IF($D215 = "SPLIT", "",COUNTIFS($D$7:$D$347,$D215,Z$7:Z$347,"&gt;"&amp;Z215)+1)</f>
        <v>45</v>
      </c>
      <c r="AM215" s="34">
        <f>IF($D215 = "SPLIT", "",COUNTIFS($D$7:$D$347,$D215,AB$7:AB$347,"&gt;"&amp;AB215)+1)</f>
        <v>45</v>
      </c>
      <c r="AN215" s="34">
        <f>IF($D215 = "SPLIT", "",COUNTIFS($D$7:$D$347,$D215,AD$7:AD$347,"&gt;"&amp;AD215)+1)</f>
        <v>16</v>
      </c>
      <c r="AO215" s="34">
        <f>IF($D215 = "SPLIT", "",COUNTIFS($D$7:$D$347,$D215,AF$7:AF$347,"&gt;"&amp;AF215)+1)</f>
        <v>32</v>
      </c>
    </row>
    <row r="216" spans="1:41" hidden="1" x14ac:dyDescent="0.25">
      <c r="A216" s="25">
        <v>540147</v>
      </c>
      <c r="B216" s="25" t="s">
        <v>359</v>
      </c>
      <c r="C216" s="25" t="s">
        <v>357</v>
      </c>
      <c r="D216" s="25" t="s">
        <v>55</v>
      </c>
      <c r="E216" s="26">
        <v>4</v>
      </c>
      <c r="F216" s="26" t="s">
        <v>139</v>
      </c>
      <c r="G216" s="26">
        <v>260</v>
      </c>
      <c r="H216" s="26">
        <v>2</v>
      </c>
      <c r="I216" s="26">
        <v>19</v>
      </c>
      <c r="J216" s="26">
        <v>25</v>
      </c>
      <c r="K216" s="26">
        <v>306</v>
      </c>
      <c r="L216" s="35">
        <v>0.85</v>
      </c>
      <c r="M216" s="35">
        <v>7.0000000000000001E-3</v>
      </c>
      <c r="N216" s="35">
        <v>6.2E-2</v>
      </c>
      <c r="O216" s="35">
        <v>8.2000000000000003E-2</v>
      </c>
      <c r="P216" s="35">
        <v>6.2E-2</v>
      </c>
      <c r="Q216" s="35">
        <v>7.0000000000000001E-3</v>
      </c>
      <c r="S216" s="26">
        <v>12</v>
      </c>
      <c r="T216" s="26">
        <v>2</v>
      </c>
      <c r="U216" s="26">
        <v>2</v>
      </c>
      <c r="W216" s="26">
        <v>1945.4</v>
      </c>
      <c r="X216" s="26">
        <v>1948</v>
      </c>
      <c r="Y216" s="28">
        <v>40457</v>
      </c>
      <c r="Z216" s="28">
        <v>19750</v>
      </c>
      <c r="AA216" s="28">
        <v>28463.4</v>
      </c>
      <c r="AB216" s="28">
        <v>20300</v>
      </c>
      <c r="AC216" s="35">
        <v>0.128</v>
      </c>
      <c r="AD216" s="35">
        <v>0.11</v>
      </c>
      <c r="AE216" s="28">
        <v>3095.9</v>
      </c>
      <c r="AF216" s="28">
        <v>1770</v>
      </c>
      <c r="AH216" s="29">
        <f>IF($D216 = "SPLIT", "",COUNTIFS($D$7:$D$347,$D216,N$7:N$347,"&gt;"&amp;N216)+1)</f>
        <v>161</v>
      </c>
      <c r="AI216" s="29">
        <f>IF($D216 = "SPLIT", "",COUNTIFS($D$7:$D$347,$D216,S$7:S$347,"&gt;"&amp;S216)+1)</f>
        <v>84</v>
      </c>
      <c r="AJ216" s="29">
        <f>IF($D216 = "SPLIT", "",COUNTIFS($D$7:$D$347,$D216,T$7:T$347,"&gt;"&amp;T216)+1)</f>
        <v>59</v>
      </c>
      <c r="AK216" s="29">
        <f>IF($D216 = "SPLIT", "",COUNTIFS($D$7:$D$347,$D216,X$7:X$347,"&lt;"&amp;X216)+1)</f>
        <v>113</v>
      </c>
      <c r="AL216" s="29">
        <f>IF($D216 = "SPLIT", "",COUNTIFS($D$7:$D$347,$D216,Z$7:Z$347,"&gt;"&amp;Z216)+1)</f>
        <v>195</v>
      </c>
      <c r="AM216" s="29">
        <f>IF($D216 = "SPLIT", "",COUNTIFS($D$7:$D$347,$D216,AB$7:AB$347,"&gt;"&amp;AB216)+1)</f>
        <v>188</v>
      </c>
      <c r="AN216" s="29">
        <f>IF($D216 = "SPLIT", "",COUNTIFS($D$7:$D$347,$D216,AD$7:AD$347,"&gt;"&amp;AD216)+1)</f>
        <v>106</v>
      </c>
      <c r="AO216" s="29">
        <f>IF($D216 = "SPLIT", "",COUNTIFS($D$7:$D$347,$D216,AF$7:AF$347,"&gt;"&amp;AF216)+1)</f>
        <v>173</v>
      </c>
    </row>
    <row r="217" spans="1:41" hidden="1" x14ac:dyDescent="0.25">
      <c r="A217" s="25">
        <v>540148</v>
      </c>
      <c r="B217" s="25" t="s">
        <v>360</v>
      </c>
      <c r="C217" s="25" t="s">
        <v>357</v>
      </c>
      <c r="D217" s="25" t="s">
        <v>55</v>
      </c>
      <c r="E217" s="26">
        <v>4</v>
      </c>
      <c r="F217" s="26" t="s">
        <v>149</v>
      </c>
      <c r="G217" s="26">
        <v>21</v>
      </c>
      <c r="H217" s="26">
        <v>0</v>
      </c>
      <c r="I217" s="26">
        <v>14</v>
      </c>
      <c r="J217" s="26">
        <v>1</v>
      </c>
      <c r="K217" s="26">
        <v>36</v>
      </c>
      <c r="L217" s="35">
        <v>0.58299999999999996</v>
      </c>
      <c r="M217" s="35">
        <v>0</v>
      </c>
      <c r="N217" s="35">
        <v>0.38900000000000001</v>
      </c>
      <c r="O217" s="35">
        <v>2.8000000000000001E-2</v>
      </c>
      <c r="P217" s="35">
        <v>2.8000000000000001E-2</v>
      </c>
      <c r="Q217" s="35">
        <v>0</v>
      </c>
      <c r="S217" s="26">
        <v>3</v>
      </c>
      <c r="T217" s="26">
        <v>2</v>
      </c>
      <c r="U217" s="26">
        <v>0</v>
      </c>
      <c r="W217" s="26">
        <v>1975.7</v>
      </c>
      <c r="X217" s="26">
        <v>1975.5</v>
      </c>
      <c r="Y217" s="28">
        <v>368406.7</v>
      </c>
      <c r="Z217" s="28">
        <v>70550</v>
      </c>
      <c r="AA217" s="28">
        <v>65075.7</v>
      </c>
      <c r="AB217" s="28">
        <v>60300</v>
      </c>
      <c r="AC217" s="35">
        <v>0.24299999999999999</v>
      </c>
      <c r="AD217" s="35">
        <v>0.22</v>
      </c>
      <c r="AE217" s="28">
        <v>56235.7</v>
      </c>
      <c r="AF217" s="28">
        <v>30419</v>
      </c>
      <c r="AH217" s="29">
        <f>IF($D217 = "SPLIT", "",COUNTIFS($D$7:$D$347,$D217,N$7:N$347,"&gt;"&amp;N217)+1)</f>
        <v>22</v>
      </c>
      <c r="AI217" s="29">
        <f>IF($D217 = "SPLIT", "",COUNTIFS($D$7:$D$347,$D217,S$7:S$347,"&gt;"&amp;S217)+1)</f>
        <v>130</v>
      </c>
      <c r="AJ217" s="29">
        <f>IF($D217 = "SPLIT", "",COUNTIFS($D$7:$D$347,$D217,T$7:T$347,"&gt;"&amp;T217)+1)</f>
        <v>59</v>
      </c>
      <c r="AK217" s="29">
        <f>IF($D217 = "SPLIT", "",COUNTIFS($D$7:$D$347,$D217,X$7:X$347,"&lt;"&amp;X217)+1)</f>
        <v>179</v>
      </c>
      <c r="AL217" s="29">
        <f>IF($D217 = "SPLIT", "",COUNTIFS($D$7:$D$347,$D217,Z$7:Z$347,"&gt;"&amp;Z217)+1)</f>
        <v>30</v>
      </c>
      <c r="AM217" s="29">
        <f>IF($D217 = "SPLIT", "",COUNTIFS($D$7:$D$347,$D217,AB$7:AB$347,"&gt;"&amp;AB217)+1)</f>
        <v>39</v>
      </c>
      <c r="AN217" s="29">
        <f>IF($D217 = "SPLIT", "",COUNTIFS($D$7:$D$347,$D217,AD$7:AD$347,"&gt;"&amp;AD217)+1)</f>
        <v>42</v>
      </c>
      <c r="AO217" s="29">
        <f>IF($D217 = "SPLIT", "",COUNTIFS($D$7:$D$347,$D217,AF$7:AF$347,"&gt;"&amp;AF217)+1)</f>
        <v>6</v>
      </c>
    </row>
    <row r="218" spans="1:41" hidden="1" x14ac:dyDescent="0.25">
      <c r="A218" s="160"/>
      <c r="B218" s="160"/>
      <c r="C218" s="160" t="s">
        <v>357</v>
      </c>
      <c r="D218" s="160" t="s">
        <v>2</v>
      </c>
      <c r="E218" s="161">
        <v>4</v>
      </c>
      <c r="F218" s="161"/>
      <c r="G218" s="161">
        <v>767</v>
      </c>
      <c r="H218" s="161">
        <v>6</v>
      </c>
      <c r="I218" s="161">
        <v>183</v>
      </c>
      <c r="J218" s="161">
        <v>80</v>
      </c>
      <c r="K218" s="161">
        <v>1036</v>
      </c>
      <c r="L218" s="162">
        <v>0.74</v>
      </c>
      <c r="M218" s="162">
        <v>6.0000000000000001E-3</v>
      </c>
      <c r="N218" s="162">
        <v>0.17699999999999999</v>
      </c>
      <c r="O218" s="162">
        <v>7.6999999999999999E-2</v>
      </c>
      <c r="P218" s="162">
        <v>5.8999999999999997E-2</v>
      </c>
      <c r="Q218" s="162">
        <v>5.0000000000000001E-3</v>
      </c>
      <c r="S218" s="161">
        <v>77</v>
      </c>
      <c r="T218" s="161">
        <v>9</v>
      </c>
      <c r="U218" s="161">
        <v>11</v>
      </c>
      <c r="W218" s="161">
        <v>1960.7</v>
      </c>
      <c r="X218" s="161">
        <v>1962</v>
      </c>
      <c r="Y218" s="163">
        <v>54480.1</v>
      </c>
      <c r="Z218" s="163">
        <v>25850</v>
      </c>
      <c r="AA218" s="163">
        <v>37955.9</v>
      </c>
      <c r="AB218" s="163">
        <v>30200</v>
      </c>
      <c r="AC218" s="162">
        <v>0.20300000000000001</v>
      </c>
      <c r="AD218" s="162">
        <v>0.13</v>
      </c>
      <c r="AE218" s="163">
        <v>6909.4</v>
      </c>
      <c r="AF218" s="163">
        <v>3109.8</v>
      </c>
      <c r="AH218" s="164">
        <f>IF($D218 = "SPLIT", "",COUNTIFS($D$7:$D$347,$D218,N$7:N$347,"&gt;"&amp;N218)+1)</f>
        <v>37</v>
      </c>
      <c r="AI218" s="164">
        <f>IF($D218 = "SPLIT", "",COUNTIFS($D$7:$D$347,$D218,S$7:S$347,"&gt;"&amp;S218)+1)</f>
        <v>48</v>
      </c>
      <c r="AJ218" s="164">
        <f>IF($D218 = "SPLIT", "",COUNTIFS($D$7:$D$347,$D218,T$7:T$347,"&gt;"&amp;T218)+1)</f>
        <v>46</v>
      </c>
      <c r="AK218" s="164">
        <f>IF($D218 = "SPLIT", "",COUNTIFS($D$7:$D$347,$D218,X$7:X$347,"&lt;"&amp;X218)+1)</f>
        <v>22</v>
      </c>
      <c r="AL218" s="164">
        <f>IF($D218 = "SPLIT", "",COUNTIFS($D$7:$D$347,$D218,Z$7:Z$347,"&gt;"&amp;Z218)+1)</f>
        <v>50</v>
      </c>
      <c r="AM218" s="164">
        <f>IF($D218 = "SPLIT", "",COUNTIFS($D$7:$D$347,$D218,AB$7:AB$347,"&gt;"&amp;AB218)+1)</f>
        <v>48</v>
      </c>
      <c r="AN218" s="164">
        <f>IF($D218 = "SPLIT", "",COUNTIFS($D$7:$D$347,$D218,AD$7:AD$347,"&gt;"&amp;AD218)+1)</f>
        <v>40</v>
      </c>
      <c r="AO218" s="164">
        <f>IF($D218 = "SPLIT", "",COUNTIFS($D$7:$D$347,$D218,AF$7:AF$347,"&gt;"&amp;AF218)+1)</f>
        <v>51</v>
      </c>
    </row>
    <row r="219" spans="1:41" hidden="1" x14ac:dyDescent="0.25">
      <c r="A219" s="30">
        <v>540149</v>
      </c>
      <c r="B219" s="30" t="s">
        <v>361</v>
      </c>
      <c r="C219" s="30" t="s">
        <v>362</v>
      </c>
      <c r="D219" s="30" t="s">
        <v>52</v>
      </c>
      <c r="E219" s="31">
        <v>10</v>
      </c>
      <c r="F219" s="31" t="s">
        <v>363</v>
      </c>
      <c r="G219" s="31">
        <v>238</v>
      </c>
      <c r="H219" s="31">
        <v>11</v>
      </c>
      <c r="I219" s="31">
        <v>96</v>
      </c>
      <c r="J219" s="31">
        <v>28</v>
      </c>
      <c r="K219" s="31">
        <v>373</v>
      </c>
      <c r="L219" s="32">
        <v>0.63800000000000001</v>
      </c>
      <c r="M219" s="32">
        <v>2.9000000000000001E-2</v>
      </c>
      <c r="N219" s="32">
        <v>0.25700000000000001</v>
      </c>
      <c r="O219" s="32">
        <v>7.4999999999999997E-2</v>
      </c>
      <c r="P219" s="32">
        <v>7.0000000000000007E-2</v>
      </c>
      <c r="Q219" s="32">
        <v>3.0000000000000001E-3</v>
      </c>
      <c r="S219" s="31">
        <v>9</v>
      </c>
      <c r="T219" s="31">
        <v>2</v>
      </c>
      <c r="U219" s="31">
        <v>0</v>
      </c>
      <c r="W219" s="31">
        <v>1958.9</v>
      </c>
      <c r="X219" s="31">
        <v>1964</v>
      </c>
      <c r="Y219" s="33">
        <v>44422.9</v>
      </c>
      <c r="Z219" s="33">
        <v>28170</v>
      </c>
      <c r="AA219" s="33">
        <v>42424.5</v>
      </c>
      <c r="AB219" s="33">
        <v>26450</v>
      </c>
      <c r="AC219" s="32">
        <v>0.129</v>
      </c>
      <c r="AD219" s="32">
        <v>5.3999999999999999E-2</v>
      </c>
      <c r="AE219" s="33">
        <v>5028.5</v>
      </c>
      <c r="AF219" s="33">
        <v>2559.1999999999998</v>
      </c>
      <c r="AH219" s="34">
        <f>IF($D219 = "SPLIT", "",COUNTIFS($D$7:$D$347,$D219,N$7:N$347,"&gt;"&amp;N219)+1)</f>
        <v>29</v>
      </c>
      <c r="AI219" s="34">
        <f>IF($D219 = "SPLIT", "",COUNTIFS($D$7:$D$347,$D219,S$7:S$347,"&gt;"&amp;S219)+1)</f>
        <v>55</v>
      </c>
      <c r="AJ219" s="34">
        <f>IF($D219 = "SPLIT", "",COUNTIFS($D$7:$D$347,$D219,T$7:T$347,"&gt;"&amp;T219)+1)</f>
        <v>55</v>
      </c>
      <c r="AK219" s="34">
        <f>IF($D219 = "SPLIT", "",COUNTIFS($D$7:$D$347,$D219,X$7:X$347,"&lt;"&amp;X219)+1)</f>
        <v>8</v>
      </c>
      <c r="AL219" s="34">
        <f>IF($D219 = "SPLIT", "",COUNTIFS($D$7:$D$347,$D219,Z$7:Z$347,"&gt;"&amp;Z219)+1)</f>
        <v>43</v>
      </c>
      <c r="AM219" s="34">
        <f>IF($D219 = "SPLIT", "",COUNTIFS($D$7:$D$347,$D219,AB$7:AB$347,"&gt;"&amp;AB219)+1)</f>
        <v>44</v>
      </c>
      <c r="AN219" s="34">
        <f>IF($D219 = "SPLIT", "",COUNTIFS($D$7:$D$347,$D219,AD$7:AD$347,"&gt;"&amp;AD219)+1)</f>
        <v>55</v>
      </c>
      <c r="AO219" s="34">
        <f>IF($D219 = "SPLIT", "",COUNTIFS($D$7:$D$347,$D219,AF$7:AF$347,"&gt;"&amp;AF219)+1)</f>
        <v>53</v>
      </c>
    </row>
    <row r="220" spans="1:41" hidden="1" x14ac:dyDescent="0.25">
      <c r="A220" s="25">
        <v>540150</v>
      </c>
      <c r="B220" s="25" t="s">
        <v>364</v>
      </c>
      <c r="C220" s="25" t="s">
        <v>362</v>
      </c>
      <c r="D220" s="25" t="s">
        <v>55</v>
      </c>
      <c r="E220" s="26">
        <v>10</v>
      </c>
      <c r="F220" s="26" t="s">
        <v>365</v>
      </c>
      <c r="G220" s="26">
        <v>112</v>
      </c>
      <c r="H220" s="26">
        <v>1</v>
      </c>
      <c r="I220" s="26">
        <v>14</v>
      </c>
      <c r="J220" s="26">
        <v>4</v>
      </c>
      <c r="K220" s="26">
        <v>131</v>
      </c>
      <c r="L220" s="35">
        <v>0.85499999999999998</v>
      </c>
      <c r="M220" s="35">
        <v>8.0000000000000002E-3</v>
      </c>
      <c r="N220" s="35">
        <v>0.107</v>
      </c>
      <c r="O220" s="35">
        <v>3.1E-2</v>
      </c>
      <c r="P220" s="35">
        <v>2.3E-2</v>
      </c>
      <c r="Q220" s="35">
        <v>0</v>
      </c>
      <c r="S220" s="26">
        <v>3</v>
      </c>
      <c r="T220" s="26">
        <v>2</v>
      </c>
      <c r="U220" s="26">
        <v>0</v>
      </c>
      <c r="W220" s="26">
        <v>1939.1</v>
      </c>
      <c r="X220" s="26">
        <v>1930</v>
      </c>
      <c r="Y220" s="28">
        <v>49736.3</v>
      </c>
      <c r="Z220" s="28">
        <v>44200</v>
      </c>
      <c r="AA220" s="28">
        <v>48069.4</v>
      </c>
      <c r="AB220" s="28">
        <v>44400</v>
      </c>
      <c r="AC220" s="35">
        <v>0.08</v>
      </c>
      <c r="AD220" s="35">
        <v>5.3999999999999999E-2</v>
      </c>
      <c r="AE220" s="28">
        <v>3204.8</v>
      </c>
      <c r="AF220" s="28">
        <v>2521.8000000000002</v>
      </c>
      <c r="AH220" s="29">
        <f>IF($D220 = "SPLIT", "",COUNTIFS($D$7:$D$347,$D220,N$7:N$347,"&gt;"&amp;N220)+1)</f>
        <v>122</v>
      </c>
      <c r="AI220" s="29">
        <f>IF($D220 = "SPLIT", "",COUNTIFS($D$7:$D$347,$D220,S$7:S$347,"&gt;"&amp;S220)+1)</f>
        <v>130</v>
      </c>
      <c r="AJ220" s="29">
        <f>IF($D220 = "SPLIT", "",COUNTIFS($D$7:$D$347,$D220,T$7:T$347,"&gt;"&amp;T220)+1)</f>
        <v>59</v>
      </c>
      <c r="AK220" s="29">
        <f>IF($D220 = "SPLIT", "",COUNTIFS($D$7:$D$347,$D220,X$7:X$347,"&lt;"&amp;X220)+1)</f>
        <v>48</v>
      </c>
      <c r="AL220" s="29">
        <f>IF($D220 = "SPLIT", "",COUNTIFS($D$7:$D$347,$D220,Z$7:Z$347,"&gt;"&amp;Z220)+1)</f>
        <v>96</v>
      </c>
      <c r="AM220" s="29">
        <f>IF($D220 = "SPLIT", "",COUNTIFS($D$7:$D$347,$D220,AB$7:AB$347,"&gt;"&amp;AB220)+1)</f>
        <v>82</v>
      </c>
      <c r="AN220" s="29">
        <f>IF($D220 = "SPLIT", "",COUNTIFS($D$7:$D$347,$D220,AD$7:AD$347,"&gt;"&amp;AD220)+1)</f>
        <v>162</v>
      </c>
      <c r="AO220" s="29">
        <f>IF($D220 = "SPLIT", "",COUNTIFS($D$7:$D$347,$D220,AF$7:AF$347,"&gt;"&amp;AF220)+1)</f>
        <v>147</v>
      </c>
    </row>
    <row r="221" spans="1:41" hidden="1" x14ac:dyDescent="0.25">
      <c r="A221" s="25">
        <v>540151</v>
      </c>
      <c r="B221" s="25" t="s">
        <v>366</v>
      </c>
      <c r="C221" s="25" t="s">
        <v>362</v>
      </c>
      <c r="D221" s="25" t="s">
        <v>55</v>
      </c>
      <c r="E221" s="26">
        <v>10</v>
      </c>
      <c r="F221" s="26" t="s">
        <v>82</v>
      </c>
      <c r="G221" s="26">
        <v>79</v>
      </c>
      <c r="H221" s="26">
        <v>0</v>
      </c>
      <c r="I221" s="26">
        <v>7</v>
      </c>
      <c r="J221" s="26">
        <v>3</v>
      </c>
      <c r="K221" s="26">
        <v>89</v>
      </c>
      <c r="L221" s="35">
        <v>0.88800000000000001</v>
      </c>
      <c r="M221" s="35">
        <v>0</v>
      </c>
      <c r="N221" s="35">
        <v>7.9000000000000001E-2</v>
      </c>
      <c r="O221" s="35">
        <v>3.4000000000000002E-2</v>
      </c>
      <c r="P221" s="35">
        <v>3.4000000000000002E-2</v>
      </c>
      <c r="Q221" s="35">
        <v>0</v>
      </c>
      <c r="S221" s="26">
        <v>1</v>
      </c>
      <c r="T221" s="26">
        <v>0</v>
      </c>
      <c r="U221" s="26">
        <v>0</v>
      </c>
      <c r="W221" s="26">
        <v>1934.3</v>
      </c>
      <c r="X221" s="26">
        <v>1930</v>
      </c>
      <c r="Y221" s="28">
        <v>50734.7</v>
      </c>
      <c r="Z221" s="28">
        <v>44800</v>
      </c>
      <c r="AA221" s="28">
        <v>43004.9</v>
      </c>
      <c r="AB221" s="28">
        <v>44200</v>
      </c>
      <c r="AC221" s="35">
        <v>5.2999999999999999E-2</v>
      </c>
      <c r="AD221" s="35">
        <v>0.04</v>
      </c>
      <c r="AE221" s="28">
        <v>2430.6999999999998</v>
      </c>
      <c r="AF221" s="28">
        <v>2046</v>
      </c>
      <c r="AH221" s="29">
        <f>IF($D221 = "SPLIT", "",COUNTIFS($D$7:$D$347,$D221,N$7:N$347,"&gt;"&amp;N221)+1)</f>
        <v>145</v>
      </c>
      <c r="AI221" s="29">
        <f>IF($D221 = "SPLIT", "",COUNTIFS($D$7:$D$347,$D221,S$7:S$347,"&gt;"&amp;S221)+1)</f>
        <v>153</v>
      </c>
      <c r="AJ221" s="29">
        <f>IF($D221 = "SPLIT", "",COUNTIFS($D$7:$D$347,$D221,T$7:T$347,"&gt;"&amp;T221)+1)</f>
        <v>113</v>
      </c>
      <c r="AK221" s="29">
        <f>IF($D221 = "SPLIT", "",COUNTIFS($D$7:$D$347,$D221,X$7:X$347,"&lt;"&amp;X221)+1)</f>
        <v>48</v>
      </c>
      <c r="AL221" s="29">
        <f>IF($D221 = "SPLIT", "",COUNTIFS($D$7:$D$347,$D221,Z$7:Z$347,"&gt;"&amp;Z221)+1)</f>
        <v>94</v>
      </c>
      <c r="AM221" s="29">
        <f>IF($D221 = "SPLIT", "",COUNTIFS($D$7:$D$347,$D221,AB$7:AB$347,"&gt;"&amp;AB221)+1)</f>
        <v>84</v>
      </c>
      <c r="AN221" s="29">
        <f>IF($D221 = "SPLIT", "",COUNTIFS($D$7:$D$347,$D221,AD$7:AD$347,"&gt;"&amp;AD221)+1)</f>
        <v>177</v>
      </c>
      <c r="AO221" s="29">
        <f>IF($D221 = "SPLIT", "",COUNTIFS($D$7:$D$347,$D221,AF$7:AF$347,"&gt;"&amp;AF221)+1)</f>
        <v>163</v>
      </c>
    </row>
    <row r="222" spans="1:41" hidden="1" x14ac:dyDescent="0.25">
      <c r="A222" s="25">
        <v>540094</v>
      </c>
      <c r="B222" s="25" t="s">
        <v>367</v>
      </c>
      <c r="C222" s="25" t="s">
        <v>362</v>
      </c>
      <c r="D222" s="25" t="s">
        <v>55</v>
      </c>
      <c r="E222" s="26">
        <v>10</v>
      </c>
      <c r="F222" s="26" t="s">
        <v>368</v>
      </c>
      <c r="G222" s="26">
        <v>12</v>
      </c>
      <c r="H222" s="26">
        <v>0</v>
      </c>
      <c r="I222" s="26">
        <v>0</v>
      </c>
      <c r="J222" s="26">
        <v>0</v>
      </c>
      <c r="K222" s="26">
        <v>12</v>
      </c>
      <c r="L222" s="35">
        <v>1</v>
      </c>
      <c r="M222" s="35">
        <v>0</v>
      </c>
      <c r="N222" s="35">
        <v>0</v>
      </c>
      <c r="O222" s="35">
        <v>0</v>
      </c>
      <c r="P222" s="35">
        <v>0</v>
      </c>
      <c r="Q222" s="35">
        <v>0</v>
      </c>
      <c r="S222" s="26">
        <v>0</v>
      </c>
      <c r="T222" s="26">
        <v>0</v>
      </c>
      <c r="U222" s="26">
        <v>0</v>
      </c>
      <c r="W222" s="26">
        <v>1969.7</v>
      </c>
      <c r="X222" s="26">
        <v>1975</v>
      </c>
      <c r="Y222" s="28">
        <v>81881.7</v>
      </c>
      <c r="Z222" s="28">
        <v>44650</v>
      </c>
      <c r="AA222" s="28">
        <v>51518</v>
      </c>
      <c r="AB222" s="28">
        <v>44650</v>
      </c>
      <c r="AC222" s="35">
        <v>0</v>
      </c>
      <c r="AD222" s="35">
        <v>0</v>
      </c>
      <c r="AE222" s="28">
        <v>0</v>
      </c>
      <c r="AF222" s="28">
        <v>0</v>
      </c>
      <c r="AH222" s="29">
        <f>IF($D222 = "SPLIT", "",COUNTIFS($D$7:$D$347,$D222,N$7:N$347,"&gt;"&amp;N222)+1)</f>
        <v>195</v>
      </c>
      <c r="AI222" s="29">
        <f>IF($D222 = "SPLIT", "",COUNTIFS($D$7:$D$347,$D222,S$7:S$347,"&gt;"&amp;S222)+1)</f>
        <v>177</v>
      </c>
      <c r="AJ222" s="29">
        <f>IF($D222 = "SPLIT", "",COUNTIFS($D$7:$D$347,$D222,T$7:T$347,"&gt;"&amp;T222)+1)</f>
        <v>113</v>
      </c>
      <c r="AK222" s="29">
        <f>IF($D222 = "SPLIT", "",COUNTIFS($D$7:$D$347,$D222,X$7:X$347,"&lt;"&amp;X222)+1)</f>
        <v>175</v>
      </c>
      <c r="AL222" s="29">
        <f>IF($D222 = "SPLIT", "",COUNTIFS($D$7:$D$347,$D222,Z$7:Z$347,"&gt;"&amp;Z222)+1)</f>
        <v>95</v>
      </c>
      <c r="AM222" s="29">
        <f>IF($D222 = "SPLIT", "",COUNTIFS($D$7:$D$347,$D222,AB$7:AB$347,"&gt;"&amp;AB222)+1)</f>
        <v>79</v>
      </c>
      <c r="AN222" s="29">
        <f>IF($D222 = "SPLIT", "",COUNTIFS($D$7:$D$347,$D222,AD$7:AD$347,"&gt;"&amp;AD222)+1)</f>
        <v>198</v>
      </c>
      <c r="AO222" s="29">
        <f>IF($D222 = "SPLIT", "",COUNTIFS($D$7:$D$347,$D222,AF$7:AF$347,"&gt;"&amp;AF222)+1)</f>
        <v>198</v>
      </c>
    </row>
    <row r="223" spans="1:41" hidden="1" x14ac:dyDescent="0.25">
      <c r="A223" s="25">
        <v>540152</v>
      </c>
      <c r="B223" s="25" t="s">
        <v>281</v>
      </c>
      <c r="C223" s="25" t="s">
        <v>362</v>
      </c>
      <c r="D223" s="25" t="s">
        <v>88</v>
      </c>
      <c r="E223" s="26">
        <v>10</v>
      </c>
      <c r="F223" s="26" t="s">
        <v>282</v>
      </c>
      <c r="G223" s="26">
        <v>2681</v>
      </c>
      <c r="H223" s="26">
        <v>10</v>
      </c>
      <c r="I223" s="26">
        <v>126</v>
      </c>
      <c r="J223" s="26">
        <v>15</v>
      </c>
      <c r="K223" s="26">
        <v>2832</v>
      </c>
      <c r="L223" s="35">
        <v>0.94699999999999995</v>
      </c>
      <c r="M223" s="35">
        <v>4.0000000000000001E-3</v>
      </c>
      <c r="N223" s="35">
        <v>4.3999999999999997E-2</v>
      </c>
      <c r="O223" s="35">
        <v>5.0000000000000001E-3</v>
      </c>
      <c r="P223" s="35">
        <v>3.0000000000000001E-3</v>
      </c>
      <c r="Q223" s="35">
        <v>1E-3</v>
      </c>
      <c r="S223" s="26">
        <v>923</v>
      </c>
      <c r="T223" s="26">
        <v>50</v>
      </c>
      <c r="U223" s="26">
        <v>7</v>
      </c>
      <c r="W223" s="26">
        <v>1922.6</v>
      </c>
      <c r="X223" s="26">
        <v>1920</v>
      </c>
      <c r="Y223" s="28">
        <v>129266.7</v>
      </c>
      <c r="Z223" s="28">
        <v>40600</v>
      </c>
      <c r="AA223" s="28">
        <v>52570.6</v>
      </c>
      <c r="AB223" s="28">
        <v>35900</v>
      </c>
      <c r="AC223" s="35">
        <v>0.224</v>
      </c>
      <c r="AD223" s="35">
        <v>0.20200000000000001</v>
      </c>
      <c r="AE223" s="28">
        <v>14744.9</v>
      </c>
      <c r="AF223" s="28">
        <v>7659.9</v>
      </c>
      <c r="AH223" s="29" t="str">
        <f>IF($D223 = "SPLIT", "",COUNTIFS($D$7:$D$347,$D223,N$7:N$347,"&gt;"&amp;N223)+1)</f>
        <v/>
      </c>
      <c r="AI223" s="29" t="str">
        <f>IF($D223 = "SPLIT", "",COUNTIFS($D$7:$D$347,$D223,S$7:S$347,"&gt;"&amp;S223)+1)</f>
        <v/>
      </c>
      <c r="AJ223" s="29" t="str">
        <f>IF($D223 = "SPLIT", "",COUNTIFS($D$7:$D$347,$D223,T$7:T$347,"&gt;"&amp;T223)+1)</f>
        <v/>
      </c>
      <c r="AK223" s="29" t="str">
        <f>IF($D223 = "SPLIT", "",COUNTIFS($D$7:$D$347,$D223,X$7:X$347,"&lt;"&amp;X223)+1)</f>
        <v/>
      </c>
      <c r="AL223" s="29" t="str">
        <f>IF($D223 = "SPLIT", "",COUNTIFS($D$7:$D$347,$D223,Z$7:Z$347,"&gt;"&amp;Z223)+1)</f>
        <v/>
      </c>
      <c r="AM223" s="29" t="str">
        <f>IF($D223 = "SPLIT", "",COUNTIFS($D$7:$D$347,$D223,AB$7:AB$347,"&gt;"&amp;AB223)+1)</f>
        <v/>
      </c>
      <c r="AN223" s="29" t="str">
        <f>IF($D223 = "SPLIT", "",COUNTIFS($D$7:$D$347,$D223,AD$7:AD$347,"&gt;"&amp;AD223)+1)</f>
        <v/>
      </c>
      <c r="AO223" s="29" t="str">
        <f>IF($D223 = "SPLIT", "",COUNTIFS($D$7:$D$347,$D223,AF$7:AF$347,"&gt;"&amp;AF223)+1)</f>
        <v/>
      </c>
    </row>
    <row r="224" spans="1:41" hidden="1" x14ac:dyDescent="0.25">
      <c r="A224" s="160"/>
      <c r="B224" s="160"/>
      <c r="C224" s="160" t="s">
        <v>362</v>
      </c>
      <c r="D224" s="160" t="s">
        <v>2</v>
      </c>
      <c r="E224" s="161">
        <v>10</v>
      </c>
      <c r="F224" s="161"/>
      <c r="G224" s="161">
        <v>3122</v>
      </c>
      <c r="H224" s="161">
        <v>22</v>
      </c>
      <c r="I224" s="161">
        <v>243</v>
      </c>
      <c r="J224" s="161">
        <v>50</v>
      </c>
      <c r="K224" s="161">
        <v>3437</v>
      </c>
      <c r="L224" s="162">
        <v>0.90800000000000003</v>
      </c>
      <c r="M224" s="162">
        <v>6.0000000000000001E-3</v>
      </c>
      <c r="N224" s="162">
        <v>7.0999999999999994E-2</v>
      </c>
      <c r="O224" s="162">
        <v>1.4999999999999999E-2</v>
      </c>
      <c r="P224" s="162">
        <v>1.2E-2</v>
      </c>
      <c r="Q224" s="162">
        <v>1E-3</v>
      </c>
      <c r="S224" s="161">
        <v>936</v>
      </c>
      <c r="T224" s="161">
        <v>54</v>
      </c>
      <c r="U224" s="161">
        <v>7</v>
      </c>
      <c r="W224" s="161">
        <v>1926.9</v>
      </c>
      <c r="X224" s="161">
        <v>1920</v>
      </c>
      <c r="Y224" s="163">
        <v>114828.8</v>
      </c>
      <c r="Z224" s="163">
        <v>39900</v>
      </c>
      <c r="AA224" s="163">
        <v>48216.7</v>
      </c>
      <c r="AB224" s="163">
        <v>39700</v>
      </c>
      <c r="AC224" s="162">
        <v>0.218</v>
      </c>
      <c r="AD224" s="162">
        <v>0.2</v>
      </c>
      <c r="AE224" s="163">
        <v>14194.7</v>
      </c>
      <c r="AF224" s="163">
        <v>7301.1</v>
      </c>
      <c r="AH224" s="164">
        <f>IF($D224 = "SPLIT", "",COUNTIFS($D$7:$D$347,$D224,N$7:N$347,"&gt;"&amp;N224)+1)</f>
        <v>54</v>
      </c>
      <c r="AI224" s="164">
        <f>IF($D224 = "SPLIT", "",COUNTIFS($D$7:$D$347,$D224,S$7:S$347,"&gt;"&amp;S224)+1)</f>
        <v>2</v>
      </c>
      <c r="AJ224" s="164">
        <f>IF($D224 = "SPLIT", "",COUNTIFS($D$7:$D$347,$D224,T$7:T$347,"&gt;"&amp;T224)+1)</f>
        <v>18</v>
      </c>
      <c r="AK224" s="164">
        <f>IF($D224 = "SPLIT", "",COUNTIFS($D$7:$D$347,$D224,X$7:X$347,"&lt;"&amp;X224)+1)</f>
        <v>1</v>
      </c>
      <c r="AL224" s="164">
        <f>IF($D224 = "SPLIT", "",COUNTIFS($D$7:$D$347,$D224,Z$7:Z$347,"&gt;"&amp;Z224)+1)</f>
        <v>28</v>
      </c>
      <c r="AM224" s="164">
        <f>IF($D224 = "SPLIT", "",COUNTIFS($D$7:$D$347,$D224,AB$7:AB$347,"&gt;"&amp;AB224)+1)</f>
        <v>38</v>
      </c>
      <c r="AN224" s="164">
        <f>IF($D224 = "SPLIT", "",COUNTIFS($D$7:$D$347,$D224,AD$7:AD$347,"&gt;"&amp;AD224)+1)</f>
        <v>18</v>
      </c>
      <c r="AO224" s="164">
        <f>IF($D224 = "SPLIT", "",COUNTIFS($D$7:$D$347,$D224,AF$7:AF$347,"&gt;"&amp;AF224)+1)</f>
        <v>20</v>
      </c>
    </row>
    <row r="225" spans="1:41" hidden="1" x14ac:dyDescent="0.25">
      <c r="A225" s="25">
        <v>540154</v>
      </c>
      <c r="B225" s="25" t="s">
        <v>369</v>
      </c>
      <c r="C225" s="25" t="s">
        <v>370</v>
      </c>
      <c r="D225" s="25" t="s">
        <v>55</v>
      </c>
      <c r="E225" s="26">
        <v>8</v>
      </c>
      <c r="F225" s="26" t="s">
        <v>371</v>
      </c>
      <c r="G225" s="26">
        <v>8</v>
      </c>
      <c r="H225" s="26">
        <v>0</v>
      </c>
      <c r="I225" s="26">
        <v>4</v>
      </c>
      <c r="J225" s="26">
        <v>2</v>
      </c>
      <c r="K225" s="26">
        <v>14</v>
      </c>
      <c r="L225" s="35">
        <v>0.57099999999999995</v>
      </c>
      <c r="M225" s="35">
        <v>0</v>
      </c>
      <c r="N225" s="35">
        <v>0.28599999999999998</v>
      </c>
      <c r="O225" s="35">
        <v>0.14299999999999999</v>
      </c>
      <c r="P225" s="35">
        <v>0</v>
      </c>
      <c r="Q225" s="35">
        <v>0.14299999999999999</v>
      </c>
      <c r="S225" s="26">
        <v>5</v>
      </c>
      <c r="T225" s="26">
        <v>1</v>
      </c>
      <c r="U225" s="26">
        <v>0</v>
      </c>
      <c r="W225" s="26">
        <v>1972.2</v>
      </c>
      <c r="X225" s="26">
        <v>1973.5</v>
      </c>
      <c r="Y225" s="28">
        <v>236250</v>
      </c>
      <c r="Z225" s="28">
        <v>171950</v>
      </c>
      <c r="AA225" s="28">
        <v>80975</v>
      </c>
      <c r="AB225" s="28">
        <v>81200</v>
      </c>
      <c r="AC225" s="35">
        <v>7.0000000000000007E-2</v>
      </c>
      <c r="AD225" s="35">
        <v>6.6000000000000003E-2</v>
      </c>
      <c r="AE225" s="28">
        <v>14254.6</v>
      </c>
      <c r="AF225" s="28">
        <v>8775.4</v>
      </c>
      <c r="AH225" s="29">
        <f>IF($D225 = "SPLIT", "",COUNTIFS($D$7:$D$347,$D225,N$7:N$347,"&gt;"&amp;N225)+1)</f>
        <v>40</v>
      </c>
      <c r="AI225" s="29">
        <f>IF($D225 = "SPLIT", "",COUNTIFS($D$7:$D$347,$D225,S$7:S$347,"&gt;"&amp;S225)+1)</f>
        <v>110</v>
      </c>
      <c r="AJ225" s="29">
        <f>IF($D225 = "SPLIT", "",COUNTIFS($D$7:$D$347,$D225,T$7:T$347,"&gt;"&amp;T225)+1)</f>
        <v>84</v>
      </c>
      <c r="AK225" s="29">
        <f>IF($D225 = "SPLIT", "",COUNTIFS($D$7:$D$347,$D225,X$7:X$347,"&lt;"&amp;X225)+1)</f>
        <v>172</v>
      </c>
      <c r="AL225" s="29">
        <f>IF($D225 = "SPLIT", "",COUNTIFS($D$7:$D$347,$D225,Z$7:Z$347,"&gt;"&amp;Z225)+1)</f>
        <v>6</v>
      </c>
      <c r="AM225" s="29">
        <f>IF($D225 = "SPLIT", "",COUNTIFS($D$7:$D$347,$D225,AB$7:AB$347,"&gt;"&amp;AB225)+1)</f>
        <v>13</v>
      </c>
      <c r="AN225" s="29">
        <f>IF($D225 = "SPLIT", "",COUNTIFS($D$7:$D$347,$D225,AD$7:AD$347,"&gt;"&amp;AD225)+1)</f>
        <v>148</v>
      </c>
      <c r="AO225" s="29">
        <f>IF($D225 = "SPLIT", "",COUNTIFS($D$7:$D$347,$D225,AF$7:AF$347,"&gt;"&amp;AF225)+1)</f>
        <v>44</v>
      </c>
    </row>
    <row r="226" spans="1:41" hidden="1" x14ac:dyDescent="0.25">
      <c r="A226" s="30">
        <v>540153</v>
      </c>
      <c r="B226" s="30" t="s">
        <v>372</v>
      </c>
      <c r="C226" s="30" t="s">
        <v>370</v>
      </c>
      <c r="D226" s="30" t="s">
        <v>52</v>
      </c>
      <c r="E226" s="31">
        <v>8</v>
      </c>
      <c r="F226" s="31" t="s">
        <v>53</v>
      </c>
      <c r="G226" s="31">
        <v>444</v>
      </c>
      <c r="H226" s="31">
        <v>39</v>
      </c>
      <c r="I226" s="31">
        <v>140</v>
      </c>
      <c r="J226" s="31">
        <v>91</v>
      </c>
      <c r="K226" s="31">
        <v>714</v>
      </c>
      <c r="L226" s="32">
        <v>0.622</v>
      </c>
      <c r="M226" s="32">
        <v>5.5E-2</v>
      </c>
      <c r="N226" s="32">
        <v>0.19600000000000001</v>
      </c>
      <c r="O226" s="32">
        <v>0.127</v>
      </c>
      <c r="P226" s="32">
        <v>7.3999999999999996E-2</v>
      </c>
      <c r="Q226" s="32">
        <v>3.9E-2</v>
      </c>
      <c r="S226" s="31">
        <v>96</v>
      </c>
      <c r="T226" s="31">
        <v>7</v>
      </c>
      <c r="U226" s="31">
        <v>9</v>
      </c>
      <c r="W226" s="31">
        <v>1957.5</v>
      </c>
      <c r="X226" s="31">
        <v>1970</v>
      </c>
      <c r="Y226" s="33">
        <v>93397.6</v>
      </c>
      <c r="Z226" s="33">
        <v>62350</v>
      </c>
      <c r="AA226" s="33">
        <v>68978.399999999994</v>
      </c>
      <c r="AB226" s="33">
        <v>60100</v>
      </c>
      <c r="AC226" s="32">
        <v>0.17699999999999999</v>
      </c>
      <c r="AD226" s="32">
        <v>0.11799999999999999</v>
      </c>
      <c r="AE226" s="33">
        <v>11219.1</v>
      </c>
      <c r="AF226" s="33">
        <v>6428.8</v>
      </c>
      <c r="AH226" s="34">
        <f>IF($D226 = "SPLIT", "",COUNTIFS($D$7:$D$347,$D226,N$7:N$347,"&gt;"&amp;N226)+1)</f>
        <v>41</v>
      </c>
      <c r="AI226" s="34">
        <f>IF($D226 = "SPLIT", "",COUNTIFS($D$7:$D$347,$D226,S$7:S$347,"&gt;"&amp;S226)+1)</f>
        <v>35</v>
      </c>
      <c r="AJ226" s="34">
        <f>IF($D226 = "SPLIT", "",COUNTIFS($D$7:$D$347,$D226,T$7:T$347,"&gt;"&amp;T226)+1)</f>
        <v>43</v>
      </c>
      <c r="AK226" s="34">
        <f>IF($D226 = "SPLIT", "",COUNTIFS($D$7:$D$347,$D226,X$7:X$347,"&lt;"&amp;X226)+1)</f>
        <v>21</v>
      </c>
      <c r="AL226" s="34">
        <f>IF($D226 = "SPLIT", "",COUNTIFS($D$7:$D$347,$D226,Z$7:Z$347,"&gt;"&amp;Z226)+1)</f>
        <v>3</v>
      </c>
      <c r="AM226" s="34">
        <f>IF($D226 = "SPLIT", "",COUNTIFS($D$7:$D$347,$D226,AB$7:AB$347,"&gt;"&amp;AB226)+1)</f>
        <v>3</v>
      </c>
      <c r="AN226" s="34">
        <f>IF($D226 = "SPLIT", "",COUNTIFS($D$7:$D$347,$D226,AD$7:AD$347,"&gt;"&amp;AD226)+1)</f>
        <v>45</v>
      </c>
      <c r="AO226" s="34">
        <f>IF($D226 = "SPLIT", "",COUNTIFS($D$7:$D$347,$D226,AF$7:AF$347,"&gt;"&amp;AF226)+1)</f>
        <v>27</v>
      </c>
    </row>
    <row r="227" spans="1:41" hidden="1" x14ac:dyDescent="0.25">
      <c r="A227" s="160"/>
      <c r="B227" s="160"/>
      <c r="C227" s="160" t="s">
        <v>370</v>
      </c>
      <c r="D227" s="160" t="s">
        <v>2</v>
      </c>
      <c r="E227" s="161">
        <v>8</v>
      </c>
      <c r="F227" s="161"/>
      <c r="G227" s="161">
        <v>452</v>
      </c>
      <c r="H227" s="161">
        <v>39</v>
      </c>
      <c r="I227" s="161">
        <v>144</v>
      </c>
      <c r="J227" s="161">
        <v>93</v>
      </c>
      <c r="K227" s="161">
        <v>728</v>
      </c>
      <c r="L227" s="162">
        <v>0.621</v>
      </c>
      <c r="M227" s="162">
        <v>5.3999999999999999E-2</v>
      </c>
      <c r="N227" s="162">
        <v>0.19800000000000001</v>
      </c>
      <c r="O227" s="162">
        <v>0.128</v>
      </c>
      <c r="P227" s="162">
        <v>7.2999999999999995E-2</v>
      </c>
      <c r="Q227" s="162">
        <v>4.1000000000000002E-2</v>
      </c>
      <c r="S227" s="161">
        <v>101</v>
      </c>
      <c r="T227" s="161">
        <v>8</v>
      </c>
      <c r="U227" s="161">
        <v>9</v>
      </c>
      <c r="W227" s="161">
        <v>1957.8</v>
      </c>
      <c r="X227" s="161">
        <v>1970</v>
      </c>
      <c r="Y227" s="163">
        <v>96144.7</v>
      </c>
      <c r="Z227" s="163">
        <v>63050</v>
      </c>
      <c r="AA227" s="163">
        <v>84302.399999999994</v>
      </c>
      <c r="AB227" s="163">
        <v>75800</v>
      </c>
      <c r="AC227" s="162">
        <v>0.17299999999999999</v>
      </c>
      <c r="AD227" s="162">
        <v>0.114</v>
      </c>
      <c r="AE227" s="163">
        <v>11332.8</v>
      </c>
      <c r="AF227" s="163">
        <v>6428.8</v>
      </c>
      <c r="AH227" s="164">
        <f>IF($D227 = "SPLIT", "",COUNTIFS($D$7:$D$347,$D227,N$7:N$347,"&gt;"&amp;N227)+1)</f>
        <v>32</v>
      </c>
      <c r="AI227" s="164">
        <f>IF($D227 = "SPLIT", "",COUNTIFS($D$7:$D$347,$D227,S$7:S$347,"&gt;"&amp;S227)+1)</f>
        <v>44</v>
      </c>
      <c r="AJ227" s="164">
        <f>IF($D227 = "SPLIT", "",COUNTIFS($D$7:$D$347,$D227,T$7:T$347,"&gt;"&amp;T227)+1)</f>
        <v>48</v>
      </c>
      <c r="AK227" s="164">
        <f>IF($D227 = "SPLIT", "",COUNTIFS($D$7:$D$347,$D227,X$7:X$347,"&lt;"&amp;X227)+1)</f>
        <v>32</v>
      </c>
      <c r="AL227" s="164">
        <f>IF($D227 = "SPLIT", "",COUNTIFS($D$7:$D$347,$D227,Z$7:Z$347,"&gt;"&amp;Z227)+1)</f>
        <v>4</v>
      </c>
      <c r="AM227" s="164">
        <f>IF($D227 = "SPLIT", "",COUNTIFS($D$7:$D$347,$D227,AB$7:AB$347,"&gt;"&amp;AB227)+1)</f>
        <v>5</v>
      </c>
      <c r="AN227" s="164">
        <f>IF($D227 = "SPLIT", "",COUNTIFS($D$7:$D$347,$D227,AD$7:AD$347,"&gt;"&amp;AD227)+1)</f>
        <v>49</v>
      </c>
      <c r="AO227" s="164">
        <f>IF($D227 = "SPLIT", "",COUNTIFS($D$7:$D$347,$D227,AF$7:AF$347,"&gt;"&amp;AF227)+1)</f>
        <v>25</v>
      </c>
    </row>
    <row r="228" spans="1:41" hidden="1" x14ac:dyDescent="0.25">
      <c r="A228" s="25">
        <v>540253</v>
      </c>
      <c r="B228" s="25" t="s">
        <v>373</v>
      </c>
      <c r="C228" s="25" t="s">
        <v>374</v>
      </c>
      <c r="D228" s="25" t="s">
        <v>55</v>
      </c>
      <c r="E228" s="26">
        <v>5</v>
      </c>
      <c r="F228" s="26" t="s">
        <v>375</v>
      </c>
      <c r="G228" s="26">
        <v>12</v>
      </c>
      <c r="H228" s="26">
        <v>1</v>
      </c>
      <c r="I228" s="26">
        <v>2</v>
      </c>
      <c r="J228" s="26">
        <v>1</v>
      </c>
      <c r="K228" s="26">
        <v>16</v>
      </c>
      <c r="L228" s="35">
        <v>0.75</v>
      </c>
      <c r="M228" s="35">
        <v>6.3E-2</v>
      </c>
      <c r="N228" s="35">
        <v>0.125</v>
      </c>
      <c r="O228" s="35">
        <v>6.3E-2</v>
      </c>
      <c r="P228" s="35">
        <v>0</v>
      </c>
      <c r="Q228" s="35">
        <v>6.3E-2</v>
      </c>
      <c r="S228" s="26">
        <v>5</v>
      </c>
      <c r="T228" s="26">
        <v>1</v>
      </c>
      <c r="U228" s="26">
        <v>0</v>
      </c>
      <c r="W228" s="26">
        <v>1974.5</v>
      </c>
      <c r="X228" s="26">
        <v>1970</v>
      </c>
      <c r="Y228" s="28">
        <v>131151.29999999999</v>
      </c>
      <c r="Z228" s="28">
        <v>67350</v>
      </c>
      <c r="AA228" s="28">
        <v>96577.8</v>
      </c>
      <c r="AB228" s="28">
        <v>68600</v>
      </c>
      <c r="AC228" s="35">
        <v>0.128</v>
      </c>
      <c r="AD228" s="35">
        <v>0.10199999999999999</v>
      </c>
      <c r="AE228" s="28">
        <v>10551.5</v>
      </c>
      <c r="AF228" s="28">
        <v>8219.7999999999993</v>
      </c>
      <c r="AH228" s="29">
        <f>IF($D228 = "SPLIT", "",COUNTIFS($D$7:$D$347,$D228,N$7:N$347,"&gt;"&amp;N228)+1)</f>
        <v>108</v>
      </c>
      <c r="AI228" s="29">
        <f>IF($D228 = "SPLIT", "",COUNTIFS($D$7:$D$347,$D228,S$7:S$347,"&gt;"&amp;S228)+1)</f>
        <v>110</v>
      </c>
      <c r="AJ228" s="29">
        <f>IF($D228 = "SPLIT", "",COUNTIFS($D$7:$D$347,$D228,T$7:T$347,"&gt;"&amp;T228)+1)</f>
        <v>84</v>
      </c>
      <c r="AK228" s="29">
        <f>IF($D228 = "SPLIT", "",COUNTIFS($D$7:$D$347,$D228,X$7:X$347,"&lt;"&amp;X228)+1)</f>
        <v>163</v>
      </c>
      <c r="AL228" s="29">
        <f>IF($D228 = "SPLIT", "",COUNTIFS($D$7:$D$347,$D228,Z$7:Z$347,"&gt;"&amp;Z228)+1)</f>
        <v>41</v>
      </c>
      <c r="AM228" s="29">
        <f>IF($D228 = "SPLIT", "",COUNTIFS($D$7:$D$347,$D228,AB$7:AB$347,"&gt;"&amp;AB228)+1)</f>
        <v>20</v>
      </c>
      <c r="AN228" s="29">
        <f>IF($D228 = "SPLIT", "",COUNTIFS($D$7:$D$347,$D228,AD$7:AD$347,"&gt;"&amp;AD228)+1)</f>
        <v>122</v>
      </c>
      <c r="AO228" s="29">
        <f>IF($D228 = "SPLIT", "",COUNTIFS($D$7:$D$347,$D228,AF$7:AF$347,"&gt;"&amp;AF228)+1)</f>
        <v>49</v>
      </c>
    </row>
    <row r="229" spans="1:41" hidden="1" x14ac:dyDescent="0.25">
      <c r="A229" s="30">
        <v>540225</v>
      </c>
      <c r="B229" s="30" t="s">
        <v>376</v>
      </c>
      <c r="C229" s="30" t="s">
        <v>374</v>
      </c>
      <c r="D229" s="30" t="s">
        <v>52</v>
      </c>
      <c r="E229" s="31">
        <v>5</v>
      </c>
      <c r="F229" s="31" t="s">
        <v>375</v>
      </c>
      <c r="G229" s="31">
        <v>144</v>
      </c>
      <c r="H229" s="31">
        <v>25</v>
      </c>
      <c r="I229" s="31">
        <v>87</v>
      </c>
      <c r="J229" s="31">
        <v>20</v>
      </c>
      <c r="K229" s="31">
        <v>276</v>
      </c>
      <c r="L229" s="32">
        <v>0.52200000000000002</v>
      </c>
      <c r="M229" s="32">
        <v>9.0999999999999998E-2</v>
      </c>
      <c r="N229" s="32">
        <v>0.315</v>
      </c>
      <c r="O229" s="32">
        <v>7.1999999999999995E-2</v>
      </c>
      <c r="P229" s="32">
        <v>3.3000000000000002E-2</v>
      </c>
      <c r="Q229" s="32">
        <v>4.0000000000000001E-3</v>
      </c>
      <c r="S229" s="31">
        <v>105</v>
      </c>
      <c r="T229" s="31">
        <v>37</v>
      </c>
      <c r="U229" s="31">
        <v>47</v>
      </c>
      <c r="W229" s="31">
        <v>1974</v>
      </c>
      <c r="X229" s="31">
        <v>1988.5</v>
      </c>
      <c r="Y229" s="33">
        <v>83125.5</v>
      </c>
      <c r="Z229" s="33">
        <v>32075</v>
      </c>
      <c r="AA229" s="33">
        <v>54716.9</v>
      </c>
      <c r="AB229" s="33">
        <v>26195</v>
      </c>
      <c r="AC229" s="32">
        <v>0.44</v>
      </c>
      <c r="AD229" s="32">
        <v>0.41099999999999998</v>
      </c>
      <c r="AE229" s="33">
        <v>19305.400000000001</v>
      </c>
      <c r="AF229" s="33">
        <v>10400.5</v>
      </c>
      <c r="AH229" s="34">
        <f>IF($D229 = "SPLIT", "",COUNTIFS($D$7:$D$347,$D229,N$7:N$347,"&gt;"&amp;N229)+1)</f>
        <v>11</v>
      </c>
      <c r="AI229" s="34">
        <f>IF($D229 = "SPLIT", "",COUNTIFS($D$7:$D$347,$D229,S$7:S$347,"&gt;"&amp;S229)+1)</f>
        <v>33</v>
      </c>
      <c r="AJ229" s="34">
        <f>IF($D229 = "SPLIT", "",COUNTIFS($D$7:$D$347,$D229,T$7:T$347,"&gt;"&amp;T229)+1)</f>
        <v>18</v>
      </c>
      <c r="AK229" s="34">
        <f>IF($D229 = "SPLIT", "",COUNTIFS($D$7:$D$347,$D229,X$7:X$347,"&lt;"&amp;X229)+1)</f>
        <v>55</v>
      </c>
      <c r="AL229" s="34">
        <f>IF($D229 = "SPLIT", "",COUNTIFS($D$7:$D$347,$D229,Z$7:Z$347,"&gt;"&amp;Z229)+1)</f>
        <v>37</v>
      </c>
      <c r="AM229" s="34">
        <f>IF($D229 = "SPLIT", "",COUNTIFS($D$7:$D$347,$D229,AB$7:AB$347,"&gt;"&amp;AB229)+1)</f>
        <v>46</v>
      </c>
      <c r="AN229" s="34">
        <f>IF($D229 = "SPLIT", "",COUNTIFS($D$7:$D$347,$D229,AD$7:AD$347,"&gt;"&amp;AD229)+1)</f>
        <v>5</v>
      </c>
      <c r="AO229" s="34">
        <f>IF($D229 = "SPLIT", "",COUNTIFS($D$7:$D$347,$D229,AF$7:AF$347,"&gt;"&amp;AF229)+1)</f>
        <v>12</v>
      </c>
    </row>
    <row r="230" spans="1:41" hidden="1" x14ac:dyDescent="0.25">
      <c r="A230" s="25">
        <v>540156</v>
      </c>
      <c r="B230" s="25" t="s">
        <v>377</v>
      </c>
      <c r="C230" s="25" t="s">
        <v>374</v>
      </c>
      <c r="D230" s="25" t="s">
        <v>55</v>
      </c>
      <c r="E230" s="26">
        <v>5</v>
      </c>
      <c r="F230" s="26" t="s">
        <v>375</v>
      </c>
      <c r="G230" s="26">
        <v>124</v>
      </c>
      <c r="H230" s="26">
        <v>2</v>
      </c>
      <c r="I230" s="26">
        <v>16</v>
      </c>
      <c r="J230" s="26">
        <v>9</v>
      </c>
      <c r="K230" s="26">
        <v>151</v>
      </c>
      <c r="L230" s="35">
        <v>0.82099999999999995</v>
      </c>
      <c r="M230" s="35">
        <v>1.2999999999999999E-2</v>
      </c>
      <c r="N230" s="35">
        <v>0.106</v>
      </c>
      <c r="O230" s="35">
        <v>0.06</v>
      </c>
      <c r="P230" s="35">
        <v>0</v>
      </c>
      <c r="Q230" s="35">
        <v>5.2999999999999999E-2</v>
      </c>
      <c r="S230" s="26">
        <v>45</v>
      </c>
      <c r="T230" s="26">
        <v>5</v>
      </c>
      <c r="U230" s="26">
        <v>10</v>
      </c>
      <c r="W230" s="26">
        <v>1939.6</v>
      </c>
      <c r="X230" s="26">
        <v>1945</v>
      </c>
      <c r="Y230" s="28">
        <v>101501.9</v>
      </c>
      <c r="Z230" s="28">
        <v>70200</v>
      </c>
      <c r="AA230" s="28">
        <v>59575.7</v>
      </c>
      <c r="AB230" s="28">
        <v>56300</v>
      </c>
      <c r="AC230" s="35">
        <v>0.2</v>
      </c>
      <c r="AD230" s="35">
        <v>0.109</v>
      </c>
      <c r="AE230" s="28">
        <v>10408.1</v>
      </c>
      <c r="AF230" s="28">
        <v>7972.4</v>
      </c>
      <c r="AH230" s="29">
        <f>IF($D230 = "SPLIT", "",COUNTIFS($D$7:$D$347,$D230,N$7:N$347,"&gt;"&amp;N230)+1)</f>
        <v>125</v>
      </c>
      <c r="AI230" s="29">
        <f>IF($D230 = "SPLIT", "",COUNTIFS($D$7:$D$347,$D230,S$7:S$347,"&gt;"&amp;S230)+1)</f>
        <v>33</v>
      </c>
      <c r="AJ230" s="29">
        <f>IF($D230 = "SPLIT", "",COUNTIFS($D$7:$D$347,$D230,T$7:T$347,"&gt;"&amp;T230)+1)</f>
        <v>33</v>
      </c>
      <c r="AK230" s="29">
        <f>IF($D230 = "SPLIT", "",COUNTIFS($D$7:$D$347,$D230,X$7:X$347,"&lt;"&amp;X230)+1)</f>
        <v>95</v>
      </c>
      <c r="AL230" s="29">
        <f>IF($D230 = "SPLIT", "",COUNTIFS($D$7:$D$347,$D230,Z$7:Z$347,"&gt;"&amp;Z230)+1)</f>
        <v>31</v>
      </c>
      <c r="AM230" s="29">
        <f>IF($D230 = "SPLIT", "",COUNTIFS($D$7:$D$347,$D230,AB$7:AB$347,"&gt;"&amp;AB230)+1)</f>
        <v>47</v>
      </c>
      <c r="AN230" s="29">
        <f>IF($D230 = "SPLIT", "",COUNTIFS($D$7:$D$347,$D230,AD$7:AD$347,"&gt;"&amp;AD230)+1)</f>
        <v>111</v>
      </c>
      <c r="AO230" s="29">
        <f>IF($D230 = "SPLIT", "",COUNTIFS($D$7:$D$347,$D230,AF$7:AF$347,"&gt;"&amp;AF230)+1)</f>
        <v>55</v>
      </c>
    </row>
    <row r="231" spans="1:41" hidden="1" x14ac:dyDescent="0.25">
      <c r="A231" s="160"/>
      <c r="B231" s="160"/>
      <c r="C231" s="160" t="s">
        <v>374</v>
      </c>
      <c r="D231" s="160" t="s">
        <v>2</v>
      </c>
      <c r="E231" s="161">
        <v>5</v>
      </c>
      <c r="F231" s="161"/>
      <c r="G231" s="161">
        <v>280</v>
      </c>
      <c r="H231" s="161">
        <v>28</v>
      </c>
      <c r="I231" s="161">
        <v>105</v>
      </c>
      <c r="J231" s="161">
        <v>30</v>
      </c>
      <c r="K231" s="161">
        <v>443</v>
      </c>
      <c r="L231" s="162">
        <v>0.63200000000000001</v>
      </c>
      <c r="M231" s="162">
        <v>6.3E-2</v>
      </c>
      <c r="N231" s="162">
        <v>0.23699999999999999</v>
      </c>
      <c r="O231" s="162">
        <v>6.8000000000000005E-2</v>
      </c>
      <c r="P231" s="162">
        <v>0.02</v>
      </c>
      <c r="Q231" s="162">
        <v>2.3E-2</v>
      </c>
      <c r="S231" s="161">
        <v>155</v>
      </c>
      <c r="T231" s="161">
        <v>43</v>
      </c>
      <c r="U231" s="161">
        <v>57</v>
      </c>
      <c r="W231" s="161">
        <v>1961.1</v>
      </c>
      <c r="X231" s="161">
        <v>1971</v>
      </c>
      <c r="Y231" s="163">
        <v>91123.8</v>
      </c>
      <c r="Z231" s="163">
        <v>45300</v>
      </c>
      <c r="AA231" s="163">
        <v>72882</v>
      </c>
      <c r="AB231" s="163">
        <v>54000</v>
      </c>
      <c r="AC231" s="162">
        <v>0.33500000000000002</v>
      </c>
      <c r="AD231" s="162">
        <v>0.20100000000000001</v>
      </c>
      <c r="AE231" s="163">
        <v>15525.9</v>
      </c>
      <c r="AF231" s="163">
        <v>9767.7999999999993</v>
      </c>
      <c r="AH231" s="164">
        <f>IF($D231 = "SPLIT", "",COUNTIFS($D$7:$D$347,$D231,N$7:N$347,"&gt;"&amp;N231)+1)</f>
        <v>22</v>
      </c>
      <c r="AI231" s="164">
        <f>IF($D231 = "SPLIT", "",COUNTIFS($D$7:$D$347,$D231,S$7:S$347,"&gt;"&amp;S231)+1)</f>
        <v>36</v>
      </c>
      <c r="AJ231" s="164">
        <f>IF($D231 = "SPLIT", "",COUNTIFS($D$7:$D$347,$D231,T$7:T$347,"&gt;"&amp;T231)+1)</f>
        <v>26</v>
      </c>
      <c r="AK231" s="164">
        <f>IF($D231 = "SPLIT", "",COUNTIFS($D$7:$D$347,$D231,X$7:X$347,"&lt;"&amp;X231)+1)</f>
        <v>37</v>
      </c>
      <c r="AL231" s="164">
        <f>IF($D231 = "SPLIT", "",COUNTIFS($D$7:$D$347,$D231,Z$7:Z$347,"&gt;"&amp;Z231)+1)</f>
        <v>20</v>
      </c>
      <c r="AM231" s="164">
        <f>IF($D231 = "SPLIT", "",COUNTIFS($D$7:$D$347,$D231,AB$7:AB$347,"&gt;"&amp;AB231)+1)</f>
        <v>17</v>
      </c>
      <c r="AN231" s="164">
        <f>IF($D231 = "SPLIT", "",COUNTIFS($D$7:$D$347,$D231,AD$7:AD$347,"&gt;"&amp;AD231)+1)</f>
        <v>17</v>
      </c>
      <c r="AO231" s="164">
        <f>IF($D231 = "SPLIT", "",COUNTIFS($D$7:$D$347,$D231,AF$7:AF$347,"&gt;"&amp;AF231)+1)</f>
        <v>10</v>
      </c>
    </row>
    <row r="232" spans="1:41" hidden="1" x14ac:dyDescent="0.25">
      <c r="A232" s="25">
        <v>540158</v>
      </c>
      <c r="B232" s="25" t="s">
        <v>378</v>
      </c>
      <c r="C232" s="25" t="s">
        <v>379</v>
      </c>
      <c r="D232" s="25" t="s">
        <v>55</v>
      </c>
      <c r="E232" s="26">
        <v>4</v>
      </c>
      <c r="F232" s="26" t="s">
        <v>149</v>
      </c>
      <c r="G232" s="26">
        <v>18</v>
      </c>
      <c r="H232" s="26">
        <v>4</v>
      </c>
      <c r="I232" s="26">
        <v>3</v>
      </c>
      <c r="J232" s="26">
        <v>2</v>
      </c>
      <c r="K232" s="26">
        <v>27</v>
      </c>
      <c r="L232" s="35">
        <v>0.66700000000000004</v>
      </c>
      <c r="M232" s="35">
        <v>0.14799999999999999</v>
      </c>
      <c r="N232" s="35">
        <v>0.111</v>
      </c>
      <c r="O232" s="35">
        <v>7.3999999999999996E-2</v>
      </c>
      <c r="P232" s="35">
        <v>0</v>
      </c>
      <c r="Q232" s="35">
        <v>7.3999999999999996E-2</v>
      </c>
      <c r="S232" s="26">
        <v>0</v>
      </c>
      <c r="T232" s="26">
        <v>0</v>
      </c>
      <c r="U232" s="26">
        <v>0</v>
      </c>
      <c r="W232" s="26">
        <v>1942.2</v>
      </c>
      <c r="X232" s="26">
        <v>1940</v>
      </c>
      <c r="Y232" s="28">
        <v>33014.400000000001</v>
      </c>
      <c r="Z232" s="28">
        <v>25000</v>
      </c>
      <c r="AA232" s="28">
        <v>28063.5</v>
      </c>
      <c r="AB232" s="28">
        <v>25000</v>
      </c>
      <c r="AC232" s="35">
        <v>9.7000000000000003E-2</v>
      </c>
      <c r="AD232" s="35">
        <v>8.2000000000000003E-2</v>
      </c>
      <c r="AE232" s="28">
        <v>2356.6</v>
      </c>
      <c r="AF232" s="28">
        <v>1832.6</v>
      </c>
      <c r="AH232" s="29">
        <f>IF($D232 = "SPLIT", "",COUNTIFS($D$7:$D$347,$D232,N$7:N$347,"&gt;"&amp;N232)+1)</f>
        <v>117</v>
      </c>
      <c r="AI232" s="29">
        <f>IF($D232 = "SPLIT", "",COUNTIFS($D$7:$D$347,$D232,S$7:S$347,"&gt;"&amp;S232)+1)</f>
        <v>177</v>
      </c>
      <c r="AJ232" s="29">
        <f>IF($D232 = "SPLIT", "",COUNTIFS($D$7:$D$347,$D232,T$7:T$347,"&gt;"&amp;T232)+1)</f>
        <v>113</v>
      </c>
      <c r="AK232" s="29">
        <f>IF($D232 = "SPLIT", "",COUNTIFS($D$7:$D$347,$D232,X$7:X$347,"&lt;"&amp;X232)+1)</f>
        <v>72</v>
      </c>
      <c r="AL232" s="29">
        <f>IF($D232 = "SPLIT", "",COUNTIFS($D$7:$D$347,$D232,Z$7:Z$347,"&gt;"&amp;Z232)+1)</f>
        <v>171</v>
      </c>
      <c r="AM232" s="29">
        <f>IF($D232 = "SPLIT", "",COUNTIFS($D$7:$D$347,$D232,AB$7:AB$347,"&gt;"&amp;AB232)+1)</f>
        <v>167</v>
      </c>
      <c r="AN232" s="29">
        <f>IF($D232 = "SPLIT", "",COUNTIFS($D$7:$D$347,$D232,AD$7:AD$347,"&gt;"&amp;AD232)+1)</f>
        <v>137</v>
      </c>
      <c r="AO232" s="29">
        <f>IF($D232 = "SPLIT", "",COUNTIFS($D$7:$D$347,$D232,AF$7:AF$347,"&gt;"&amp;AF232)+1)</f>
        <v>168</v>
      </c>
    </row>
    <row r="233" spans="1:41" hidden="1" x14ac:dyDescent="0.25">
      <c r="A233" s="25">
        <v>540159</v>
      </c>
      <c r="B233" s="25" t="s">
        <v>380</v>
      </c>
      <c r="C233" s="25" t="s">
        <v>379</v>
      </c>
      <c r="D233" s="25" t="s">
        <v>55</v>
      </c>
      <c r="E233" s="26">
        <v>4</v>
      </c>
      <c r="F233" s="26" t="s">
        <v>381</v>
      </c>
      <c r="G233" s="26">
        <v>333</v>
      </c>
      <c r="H233" s="26">
        <v>2</v>
      </c>
      <c r="I233" s="26">
        <v>41</v>
      </c>
      <c r="J233" s="26">
        <v>5</v>
      </c>
      <c r="K233" s="26">
        <v>381</v>
      </c>
      <c r="L233" s="35">
        <v>0.874</v>
      </c>
      <c r="M233" s="35">
        <v>5.0000000000000001E-3</v>
      </c>
      <c r="N233" s="35">
        <v>0.108</v>
      </c>
      <c r="O233" s="35">
        <v>1.2999999999999999E-2</v>
      </c>
      <c r="P233" s="35">
        <v>5.0000000000000001E-3</v>
      </c>
      <c r="Q233" s="35">
        <v>3.0000000000000001E-3</v>
      </c>
      <c r="S233" s="26">
        <v>94</v>
      </c>
      <c r="T233" s="26">
        <v>21</v>
      </c>
      <c r="U233" s="26">
        <v>1</v>
      </c>
      <c r="W233" s="26">
        <v>1942.9</v>
      </c>
      <c r="X233" s="26">
        <v>1940</v>
      </c>
      <c r="Y233" s="28">
        <v>90766.399999999994</v>
      </c>
      <c r="Z233" s="28">
        <v>30500</v>
      </c>
      <c r="AA233" s="28">
        <v>35097.300000000003</v>
      </c>
      <c r="AB233" s="28">
        <v>26760</v>
      </c>
      <c r="AC233" s="35">
        <v>0.20499999999999999</v>
      </c>
      <c r="AD233" s="35">
        <v>0.153</v>
      </c>
      <c r="AE233" s="28">
        <v>10587.8</v>
      </c>
      <c r="AF233" s="28">
        <v>5646.3</v>
      </c>
      <c r="AH233" s="29">
        <f>IF($D233 = "SPLIT", "",COUNTIFS($D$7:$D$347,$D233,N$7:N$347,"&gt;"&amp;N233)+1)</f>
        <v>120</v>
      </c>
      <c r="AI233" s="29">
        <f>IF($D233 = "SPLIT", "",COUNTIFS($D$7:$D$347,$D233,S$7:S$347,"&gt;"&amp;S233)+1)</f>
        <v>17</v>
      </c>
      <c r="AJ233" s="29">
        <f>IF($D233 = "SPLIT", "",COUNTIFS($D$7:$D$347,$D233,T$7:T$347,"&gt;"&amp;T233)+1)</f>
        <v>10</v>
      </c>
      <c r="AK233" s="29">
        <f>IF($D233 = "SPLIT", "",COUNTIFS($D$7:$D$347,$D233,X$7:X$347,"&lt;"&amp;X233)+1)</f>
        <v>72</v>
      </c>
      <c r="AL233" s="29">
        <f>IF($D233 = "SPLIT", "",COUNTIFS($D$7:$D$347,$D233,Z$7:Z$347,"&gt;"&amp;Z233)+1)</f>
        <v>152</v>
      </c>
      <c r="AM233" s="29">
        <f>IF($D233 = "SPLIT", "",COUNTIFS($D$7:$D$347,$D233,AB$7:AB$347,"&gt;"&amp;AB233)+1)</f>
        <v>156</v>
      </c>
      <c r="AN233" s="29">
        <f>IF($D233 = "SPLIT", "",COUNTIFS($D$7:$D$347,$D233,AD$7:AD$347,"&gt;"&amp;AD233)+1)</f>
        <v>70</v>
      </c>
      <c r="AO233" s="29">
        <f>IF($D233 = "SPLIT", "",COUNTIFS($D$7:$D$347,$D233,AF$7:AF$347,"&gt;"&amp;AF233)+1)</f>
        <v>81</v>
      </c>
    </row>
    <row r="234" spans="1:41" hidden="1" x14ac:dyDescent="0.25">
      <c r="A234" s="30">
        <v>540283</v>
      </c>
      <c r="B234" s="30" t="s">
        <v>382</v>
      </c>
      <c r="C234" s="30" t="s">
        <v>379</v>
      </c>
      <c r="D234" s="30" t="s">
        <v>52</v>
      </c>
      <c r="E234" s="31">
        <v>4</v>
      </c>
      <c r="F234" s="31" t="s">
        <v>381</v>
      </c>
      <c r="G234" s="31">
        <v>342</v>
      </c>
      <c r="H234" s="31">
        <v>25</v>
      </c>
      <c r="I234" s="31">
        <v>145</v>
      </c>
      <c r="J234" s="31">
        <v>28</v>
      </c>
      <c r="K234" s="31">
        <v>540</v>
      </c>
      <c r="L234" s="32">
        <v>0.63300000000000001</v>
      </c>
      <c r="M234" s="32">
        <v>4.5999999999999999E-2</v>
      </c>
      <c r="N234" s="32">
        <v>0.26900000000000002</v>
      </c>
      <c r="O234" s="32">
        <v>5.1999999999999998E-2</v>
      </c>
      <c r="P234" s="32">
        <v>2.8000000000000001E-2</v>
      </c>
      <c r="Q234" s="32">
        <v>7.0000000000000001E-3</v>
      </c>
      <c r="S234" s="31">
        <v>77</v>
      </c>
      <c r="T234" s="31">
        <v>28</v>
      </c>
      <c r="U234" s="31">
        <v>5</v>
      </c>
      <c r="W234" s="31">
        <v>1967.5</v>
      </c>
      <c r="X234" s="31">
        <v>1975</v>
      </c>
      <c r="Y234" s="33">
        <v>50662.3</v>
      </c>
      <c r="Z234" s="33">
        <v>34950</v>
      </c>
      <c r="AA234" s="33">
        <v>46003.9</v>
      </c>
      <c r="AB234" s="33">
        <v>32800</v>
      </c>
      <c r="AC234" s="32">
        <v>0.23</v>
      </c>
      <c r="AD234" s="32">
        <v>0.17100000000000001</v>
      </c>
      <c r="AE234" s="33">
        <v>10309.299999999999</v>
      </c>
      <c r="AF234" s="33">
        <v>5447.5</v>
      </c>
      <c r="AH234" s="34">
        <f>IF($D234 = "SPLIT", "",COUNTIFS($D$7:$D$347,$D234,N$7:N$347,"&gt;"&amp;N234)+1)</f>
        <v>22</v>
      </c>
      <c r="AI234" s="34">
        <f>IF($D234 = "SPLIT", "",COUNTIFS($D$7:$D$347,$D234,S$7:S$347,"&gt;"&amp;S234)+1)</f>
        <v>41</v>
      </c>
      <c r="AJ234" s="34">
        <f>IF($D234 = "SPLIT", "",COUNTIFS($D$7:$D$347,$D234,T$7:T$347,"&gt;"&amp;T234)+1)</f>
        <v>25</v>
      </c>
      <c r="AK234" s="34">
        <f>IF($D234 = "SPLIT", "",COUNTIFS($D$7:$D$347,$D234,X$7:X$347,"&lt;"&amp;X234)+1)</f>
        <v>34</v>
      </c>
      <c r="AL234" s="34">
        <f>IF($D234 = "SPLIT", "",COUNTIFS($D$7:$D$347,$D234,Z$7:Z$347,"&gt;"&amp;Z234)+1)</f>
        <v>31</v>
      </c>
      <c r="AM234" s="34">
        <f>IF($D234 = "SPLIT", "",COUNTIFS($D$7:$D$347,$D234,AB$7:AB$347,"&gt;"&amp;AB234)+1)</f>
        <v>34</v>
      </c>
      <c r="AN234" s="34">
        <f>IF($D234 = "SPLIT", "",COUNTIFS($D$7:$D$347,$D234,AD$7:AD$347,"&gt;"&amp;AD234)+1)</f>
        <v>31</v>
      </c>
      <c r="AO234" s="34">
        <f>IF($D234 = "SPLIT", "",COUNTIFS($D$7:$D$347,$D234,AF$7:AF$347,"&gt;"&amp;AF234)+1)</f>
        <v>35</v>
      </c>
    </row>
    <row r="235" spans="1:41" hidden="1" x14ac:dyDescent="0.25">
      <c r="A235" s="160"/>
      <c r="B235" s="160"/>
      <c r="C235" s="160" t="s">
        <v>379</v>
      </c>
      <c r="D235" s="160" t="s">
        <v>2</v>
      </c>
      <c r="E235" s="161">
        <v>4</v>
      </c>
      <c r="F235" s="161"/>
      <c r="G235" s="161">
        <v>693</v>
      </c>
      <c r="H235" s="161">
        <v>31</v>
      </c>
      <c r="I235" s="161">
        <v>189</v>
      </c>
      <c r="J235" s="161">
        <v>35</v>
      </c>
      <c r="K235" s="161">
        <v>948</v>
      </c>
      <c r="L235" s="162">
        <v>0.73099999999999998</v>
      </c>
      <c r="M235" s="162">
        <v>3.3000000000000002E-2</v>
      </c>
      <c r="N235" s="162">
        <v>0.19900000000000001</v>
      </c>
      <c r="O235" s="162">
        <v>3.6999999999999998E-2</v>
      </c>
      <c r="P235" s="162">
        <v>1.7999999999999999E-2</v>
      </c>
      <c r="Q235" s="162">
        <v>7.0000000000000001E-3</v>
      </c>
      <c r="S235" s="161">
        <v>171</v>
      </c>
      <c r="T235" s="161">
        <v>49</v>
      </c>
      <c r="U235" s="161">
        <v>6</v>
      </c>
      <c r="W235" s="161">
        <v>1956.7</v>
      </c>
      <c r="X235" s="161">
        <v>1960</v>
      </c>
      <c r="Y235" s="163">
        <v>66277.5</v>
      </c>
      <c r="Z235" s="163">
        <v>32250</v>
      </c>
      <c r="AA235" s="163">
        <v>45204</v>
      </c>
      <c r="AB235" s="163">
        <v>34100</v>
      </c>
      <c r="AC235" s="162">
        <v>0.21299999999999999</v>
      </c>
      <c r="AD235" s="162">
        <v>0.154</v>
      </c>
      <c r="AE235" s="163">
        <v>10327.6</v>
      </c>
      <c r="AF235" s="163">
        <v>5430.4</v>
      </c>
      <c r="AH235" s="164">
        <f>IF($D235 = "SPLIT", "",COUNTIFS($D$7:$D$347,$D235,N$7:N$347,"&gt;"&amp;N235)+1)</f>
        <v>31</v>
      </c>
      <c r="AI235" s="164">
        <f>IF($D235 = "SPLIT", "",COUNTIFS($D$7:$D$347,$D235,S$7:S$347,"&gt;"&amp;S235)+1)</f>
        <v>31</v>
      </c>
      <c r="AJ235" s="164">
        <f>IF($D235 = "SPLIT", "",COUNTIFS($D$7:$D$347,$D235,T$7:T$347,"&gt;"&amp;T235)+1)</f>
        <v>20</v>
      </c>
      <c r="AK235" s="164">
        <f>IF($D235 = "SPLIT", "",COUNTIFS($D$7:$D$347,$D235,X$7:X$347,"&lt;"&amp;X235)+1)</f>
        <v>16</v>
      </c>
      <c r="AL235" s="164">
        <f>IF($D235 = "SPLIT", "",COUNTIFS($D$7:$D$347,$D235,Z$7:Z$347,"&gt;"&amp;Z235)+1)</f>
        <v>38</v>
      </c>
      <c r="AM235" s="164">
        <f>IF($D235 = "SPLIT", "",COUNTIFS($D$7:$D$347,$D235,AB$7:AB$347,"&gt;"&amp;AB235)+1)</f>
        <v>43</v>
      </c>
      <c r="AN235" s="164">
        <f>IF($D235 = "SPLIT", "",COUNTIFS($D$7:$D$347,$D235,AD$7:AD$347,"&gt;"&amp;AD235)+1)</f>
        <v>30</v>
      </c>
      <c r="AO235" s="164">
        <f>IF($D235 = "SPLIT", "",COUNTIFS($D$7:$D$347,$D235,AF$7:AF$347,"&gt;"&amp;AF235)+1)</f>
        <v>34</v>
      </c>
    </row>
    <row r="236" spans="1:41" hidden="1" x14ac:dyDescent="0.25">
      <c r="A236" s="25">
        <v>540161</v>
      </c>
      <c r="B236" s="25" t="s">
        <v>383</v>
      </c>
      <c r="C236" s="25" t="s">
        <v>384</v>
      </c>
      <c r="D236" s="25" t="s">
        <v>55</v>
      </c>
      <c r="E236" s="26">
        <v>6</v>
      </c>
      <c r="F236" s="26" t="s">
        <v>134</v>
      </c>
      <c r="G236" s="26">
        <v>25</v>
      </c>
      <c r="H236" s="26">
        <v>0</v>
      </c>
      <c r="I236" s="26">
        <v>24</v>
      </c>
      <c r="J236" s="26">
        <v>3</v>
      </c>
      <c r="K236" s="26">
        <v>52</v>
      </c>
      <c r="L236" s="35">
        <v>0.48099999999999998</v>
      </c>
      <c r="M236" s="35">
        <v>0</v>
      </c>
      <c r="N236" s="35">
        <v>0.46200000000000002</v>
      </c>
      <c r="O236" s="35">
        <v>5.8000000000000003E-2</v>
      </c>
      <c r="P236" s="35">
        <v>5.8000000000000003E-2</v>
      </c>
      <c r="Q236" s="35">
        <v>0</v>
      </c>
      <c r="S236" s="26">
        <v>24</v>
      </c>
      <c r="T236" s="26">
        <v>2</v>
      </c>
      <c r="U236" s="26">
        <v>2</v>
      </c>
      <c r="W236" s="26">
        <v>1968.5</v>
      </c>
      <c r="X236" s="26">
        <v>1986</v>
      </c>
      <c r="Y236" s="28">
        <v>37799</v>
      </c>
      <c r="Z236" s="28">
        <v>28040</v>
      </c>
      <c r="AA236" s="28">
        <v>27511.4</v>
      </c>
      <c r="AB236" s="28">
        <v>22490</v>
      </c>
      <c r="AC236" s="35">
        <v>0.32800000000000001</v>
      </c>
      <c r="AD236" s="35">
        <v>0.221</v>
      </c>
      <c r="AE236" s="28">
        <v>9085.2000000000007</v>
      </c>
      <c r="AF236" s="28">
        <v>9461.9</v>
      </c>
      <c r="AH236" s="29">
        <f>IF($D236 = "SPLIT", "",COUNTIFS($D$7:$D$347,$D236,N$7:N$347,"&gt;"&amp;N236)+1)</f>
        <v>16</v>
      </c>
      <c r="AI236" s="29">
        <f>IF($D236 = "SPLIT", "",COUNTIFS($D$7:$D$347,$D236,S$7:S$347,"&gt;"&amp;S236)+1)</f>
        <v>58</v>
      </c>
      <c r="AJ236" s="29">
        <f>IF($D236 = "SPLIT", "",COUNTIFS($D$7:$D$347,$D236,T$7:T$347,"&gt;"&amp;T236)+1)</f>
        <v>59</v>
      </c>
      <c r="AK236" s="29">
        <f>IF($D236 = "SPLIT", "",COUNTIFS($D$7:$D$347,$D236,X$7:X$347,"&lt;"&amp;X236)+1)</f>
        <v>200</v>
      </c>
      <c r="AL236" s="29">
        <f>IF($D236 = "SPLIT", "",COUNTIFS($D$7:$D$347,$D236,Z$7:Z$347,"&gt;"&amp;Z236)+1)</f>
        <v>162</v>
      </c>
      <c r="AM236" s="29">
        <f>IF($D236 = "SPLIT", "",COUNTIFS($D$7:$D$347,$D236,AB$7:AB$347,"&gt;"&amp;AB236)+1)</f>
        <v>178</v>
      </c>
      <c r="AN236" s="29">
        <f>IF($D236 = "SPLIT", "",COUNTIFS($D$7:$D$347,$D236,AD$7:AD$347,"&gt;"&amp;AD236)+1)</f>
        <v>41</v>
      </c>
      <c r="AO236" s="29">
        <f>IF($D236 = "SPLIT", "",COUNTIFS($D$7:$D$347,$D236,AF$7:AF$347,"&gt;"&amp;AF236)+1)</f>
        <v>40</v>
      </c>
    </row>
    <row r="237" spans="1:41" hidden="1" x14ac:dyDescent="0.25">
      <c r="A237" s="25">
        <v>540162</v>
      </c>
      <c r="B237" s="25" t="s">
        <v>385</v>
      </c>
      <c r="C237" s="25" t="s">
        <v>384</v>
      </c>
      <c r="D237" s="25" t="s">
        <v>55</v>
      </c>
      <c r="E237" s="26">
        <v>6</v>
      </c>
      <c r="F237" s="26" t="s">
        <v>134</v>
      </c>
      <c r="G237" s="26">
        <v>23</v>
      </c>
      <c r="H237" s="26">
        <v>0</v>
      </c>
      <c r="I237" s="26">
        <v>5</v>
      </c>
      <c r="J237" s="26">
        <v>2</v>
      </c>
      <c r="K237" s="26">
        <v>30</v>
      </c>
      <c r="L237" s="35">
        <v>0.76700000000000002</v>
      </c>
      <c r="M237" s="35">
        <v>0</v>
      </c>
      <c r="N237" s="35">
        <v>0.16700000000000001</v>
      </c>
      <c r="O237" s="35">
        <v>6.7000000000000004E-2</v>
      </c>
      <c r="P237" s="35">
        <v>3.3000000000000002E-2</v>
      </c>
      <c r="Q237" s="35">
        <v>0</v>
      </c>
      <c r="S237" s="26">
        <v>13</v>
      </c>
      <c r="T237" s="26">
        <v>2</v>
      </c>
      <c r="U237" s="26">
        <v>0</v>
      </c>
      <c r="W237" s="26">
        <v>1949</v>
      </c>
      <c r="X237" s="26">
        <v>1955</v>
      </c>
      <c r="Y237" s="28">
        <v>125623.3</v>
      </c>
      <c r="Z237" s="28">
        <v>87350</v>
      </c>
      <c r="AA237" s="28">
        <v>77725</v>
      </c>
      <c r="AB237" s="28">
        <v>61150</v>
      </c>
      <c r="AC237" s="35">
        <v>0.18099999999999999</v>
      </c>
      <c r="AD237" s="35">
        <v>0.16300000000000001</v>
      </c>
      <c r="AE237" s="28">
        <v>17059.3</v>
      </c>
      <c r="AF237" s="28">
        <v>8796.2000000000007</v>
      </c>
      <c r="AH237" s="29">
        <f>IF($D237 = "SPLIT", "",COUNTIFS($D$7:$D$347,$D237,N$7:N$347,"&gt;"&amp;N237)+1)</f>
        <v>81</v>
      </c>
      <c r="AI237" s="29">
        <f>IF($D237 = "SPLIT", "",COUNTIFS($D$7:$D$347,$D237,S$7:S$347,"&gt;"&amp;S237)+1)</f>
        <v>81</v>
      </c>
      <c r="AJ237" s="29">
        <f>IF($D237 = "SPLIT", "",COUNTIFS($D$7:$D$347,$D237,T$7:T$347,"&gt;"&amp;T237)+1)</f>
        <v>59</v>
      </c>
      <c r="AK237" s="29">
        <f>IF($D237 = "SPLIT", "",COUNTIFS($D$7:$D$347,$D237,X$7:X$347,"&lt;"&amp;X237)+1)</f>
        <v>134</v>
      </c>
      <c r="AL237" s="29">
        <f>IF($D237 = "SPLIT", "",COUNTIFS($D$7:$D$347,$D237,Z$7:Z$347,"&gt;"&amp;Z237)+1)</f>
        <v>22</v>
      </c>
      <c r="AM237" s="29">
        <f>IF($D237 = "SPLIT", "",COUNTIFS($D$7:$D$347,$D237,AB$7:AB$347,"&gt;"&amp;AB237)+1)</f>
        <v>37</v>
      </c>
      <c r="AN237" s="29">
        <f>IF($D237 = "SPLIT", "",COUNTIFS($D$7:$D$347,$D237,AD$7:AD$347,"&gt;"&amp;AD237)+1)</f>
        <v>65</v>
      </c>
      <c r="AO237" s="29">
        <f>IF($D237 = "SPLIT", "",COUNTIFS($D$7:$D$347,$D237,AF$7:AF$347,"&gt;"&amp;AF237)+1)</f>
        <v>43</v>
      </c>
    </row>
    <row r="238" spans="1:41" hidden="1" x14ac:dyDescent="0.25">
      <c r="A238" s="25">
        <v>540254</v>
      </c>
      <c r="B238" s="25" t="s">
        <v>386</v>
      </c>
      <c r="C238" s="25" t="s">
        <v>384</v>
      </c>
      <c r="D238" s="25" t="s">
        <v>55</v>
      </c>
      <c r="E238" s="26">
        <v>6</v>
      </c>
      <c r="F238" s="26" t="s">
        <v>387</v>
      </c>
      <c r="G238" s="26">
        <v>1</v>
      </c>
      <c r="H238" s="26">
        <v>0</v>
      </c>
      <c r="I238" s="26">
        <v>0</v>
      </c>
      <c r="J238" s="26">
        <v>0</v>
      </c>
      <c r="K238" s="26">
        <v>1</v>
      </c>
      <c r="L238" s="35">
        <v>1</v>
      </c>
      <c r="M238" s="35">
        <v>0</v>
      </c>
      <c r="N238" s="35">
        <v>0</v>
      </c>
      <c r="O238" s="35">
        <v>0</v>
      </c>
      <c r="P238" s="35">
        <v>0</v>
      </c>
      <c r="Q238" s="35">
        <v>0</v>
      </c>
      <c r="S238" s="26">
        <v>0</v>
      </c>
      <c r="T238" s="26">
        <v>0</v>
      </c>
      <c r="U238" s="26">
        <v>0</v>
      </c>
      <c r="W238" s="26">
        <v>1940</v>
      </c>
      <c r="X238" s="26">
        <v>1940</v>
      </c>
      <c r="Y238" s="28">
        <v>30600</v>
      </c>
      <c r="Z238" s="28">
        <v>30600</v>
      </c>
      <c r="AA238" s="28">
        <v>30600</v>
      </c>
      <c r="AB238" s="28">
        <v>30600</v>
      </c>
      <c r="AC238" s="35">
        <v>0</v>
      </c>
      <c r="AD238" s="35">
        <v>0</v>
      </c>
      <c r="AE238" s="28">
        <v>0</v>
      </c>
      <c r="AF238" s="28">
        <v>0</v>
      </c>
      <c r="AH238" s="29">
        <f>IF($D238 = "SPLIT", "",COUNTIFS($D$7:$D$347,$D238,N$7:N$347,"&gt;"&amp;N238)+1)</f>
        <v>195</v>
      </c>
      <c r="AI238" s="29">
        <f>IF($D238 = "SPLIT", "",COUNTIFS($D$7:$D$347,$D238,S$7:S$347,"&gt;"&amp;S238)+1)</f>
        <v>177</v>
      </c>
      <c r="AJ238" s="29">
        <f>IF($D238 = "SPLIT", "",COUNTIFS($D$7:$D$347,$D238,T$7:T$347,"&gt;"&amp;T238)+1)</f>
        <v>113</v>
      </c>
      <c r="AK238" s="29">
        <f>IF($D238 = "SPLIT", "",COUNTIFS($D$7:$D$347,$D238,X$7:X$347,"&lt;"&amp;X238)+1)</f>
        <v>72</v>
      </c>
      <c r="AL238" s="29">
        <f>IF($D238 = "SPLIT", "",COUNTIFS($D$7:$D$347,$D238,Z$7:Z$347,"&gt;"&amp;Z238)+1)</f>
        <v>151</v>
      </c>
      <c r="AM238" s="29">
        <f>IF($D238 = "SPLIT", "",COUNTIFS($D$7:$D$347,$D238,AB$7:AB$347,"&gt;"&amp;AB238)+1)</f>
        <v>137</v>
      </c>
      <c r="AN238" s="29">
        <f>IF($D238 = "SPLIT", "",COUNTIFS($D$7:$D$347,$D238,AD$7:AD$347,"&gt;"&amp;AD238)+1)</f>
        <v>198</v>
      </c>
      <c r="AO238" s="29">
        <f>IF($D238 = "SPLIT", "",COUNTIFS($D$7:$D$347,$D238,AF$7:AF$347,"&gt;"&amp;AF238)+1)</f>
        <v>198</v>
      </c>
    </row>
    <row r="239" spans="1:41" hidden="1" x14ac:dyDescent="0.25">
      <c r="A239" s="25">
        <v>540270</v>
      </c>
      <c r="B239" s="25" t="s">
        <v>388</v>
      </c>
      <c r="C239" s="25" t="s">
        <v>384</v>
      </c>
      <c r="D239" s="25" t="s">
        <v>55</v>
      </c>
      <c r="E239" s="26">
        <v>6</v>
      </c>
      <c r="F239" s="26" t="s">
        <v>387</v>
      </c>
      <c r="G239" s="26">
        <v>0</v>
      </c>
      <c r="H239" s="26">
        <v>0</v>
      </c>
      <c r="I239" s="26">
        <v>0</v>
      </c>
      <c r="J239" s="26">
        <v>0</v>
      </c>
      <c r="K239" s="26">
        <v>0</v>
      </c>
      <c r="L239" s="35" t="s">
        <v>228</v>
      </c>
      <c r="M239" s="35" t="s">
        <v>228</v>
      </c>
      <c r="N239" s="35" t="s">
        <v>228</v>
      </c>
      <c r="O239" s="35" t="s">
        <v>228</v>
      </c>
      <c r="P239" s="35" t="s">
        <v>228</v>
      </c>
      <c r="Q239" s="35" t="s">
        <v>228</v>
      </c>
      <c r="S239" s="26">
        <v>0</v>
      </c>
      <c r="T239" s="26">
        <v>0</v>
      </c>
      <c r="U239" s="26">
        <v>0</v>
      </c>
      <c r="W239" s="26">
        <v>0</v>
      </c>
      <c r="X239" s="26">
        <v>0</v>
      </c>
      <c r="Y239" s="28">
        <v>0</v>
      </c>
      <c r="Z239" s="28">
        <v>0</v>
      </c>
      <c r="AA239" s="28">
        <v>0</v>
      </c>
      <c r="AB239" s="28">
        <v>0</v>
      </c>
      <c r="AC239" s="35">
        <v>0</v>
      </c>
      <c r="AD239" s="35">
        <v>0</v>
      </c>
      <c r="AE239" s="28">
        <v>0</v>
      </c>
      <c r="AF239" s="28">
        <v>0</v>
      </c>
      <c r="AH239" s="29">
        <f>IF($D239 = "SPLIT", "",COUNTIFS($D$7:$D$347,$D239,N$7:N$347,"&gt;"&amp;N239)+1)</f>
        <v>1</v>
      </c>
      <c r="AI239" s="29">
        <f>IF($D239 = "SPLIT", "",COUNTIFS($D$7:$D$347,$D239,S$7:S$347,"&gt;"&amp;S239)+1)</f>
        <v>177</v>
      </c>
      <c r="AJ239" s="29">
        <f>IF($D239 = "SPLIT", "",COUNTIFS($D$7:$D$347,$D239,T$7:T$347,"&gt;"&amp;T239)+1)</f>
        <v>113</v>
      </c>
      <c r="AK239" s="29">
        <f>IF($D239 = "SPLIT", "",COUNTIFS($D$7:$D$347,$D239,X$7:X$347,"&lt;"&amp;X239)+1)</f>
        <v>1</v>
      </c>
      <c r="AL239" s="29">
        <f>IF($D239 = "SPLIT", "",COUNTIFS($D$7:$D$347,$D239,Z$7:Z$347,"&gt;"&amp;Z239)+1)</f>
        <v>210</v>
      </c>
      <c r="AM239" s="29">
        <f>IF($D239 = "SPLIT", "",COUNTIFS($D$7:$D$347,$D239,AB$7:AB$347,"&gt;"&amp;AB239)+1)</f>
        <v>208</v>
      </c>
      <c r="AN239" s="29">
        <f>IF($D239 = "SPLIT", "",COUNTIFS($D$7:$D$347,$D239,AD$7:AD$347,"&gt;"&amp;AD239)+1)</f>
        <v>198</v>
      </c>
      <c r="AO239" s="29">
        <f>IF($D239 = "SPLIT", "",COUNTIFS($D$7:$D$347,$D239,AF$7:AF$347,"&gt;"&amp;AF239)+1)</f>
        <v>198</v>
      </c>
    </row>
    <row r="240" spans="1:41" hidden="1" x14ac:dyDescent="0.25">
      <c r="A240" s="25">
        <v>540268</v>
      </c>
      <c r="B240" s="25" t="s">
        <v>389</v>
      </c>
      <c r="C240" s="25" t="s">
        <v>384</v>
      </c>
      <c r="D240" s="25" t="s">
        <v>55</v>
      </c>
      <c r="E240" s="26">
        <v>6</v>
      </c>
      <c r="F240" s="26" t="s">
        <v>134</v>
      </c>
      <c r="G240" s="26">
        <v>16</v>
      </c>
      <c r="H240" s="26">
        <v>2</v>
      </c>
      <c r="I240" s="26">
        <v>3</v>
      </c>
      <c r="J240" s="26">
        <v>0</v>
      </c>
      <c r="K240" s="26">
        <v>21</v>
      </c>
      <c r="L240" s="35">
        <v>0.76200000000000001</v>
      </c>
      <c r="M240" s="35">
        <v>9.5000000000000001E-2</v>
      </c>
      <c r="N240" s="35">
        <v>0.14299999999999999</v>
      </c>
      <c r="O240" s="35">
        <v>0</v>
      </c>
      <c r="P240" s="35">
        <v>0</v>
      </c>
      <c r="Q240" s="35">
        <v>0</v>
      </c>
      <c r="S240" s="26">
        <v>3</v>
      </c>
      <c r="T240" s="26">
        <v>1</v>
      </c>
      <c r="U240" s="26">
        <v>0</v>
      </c>
      <c r="W240" s="26">
        <v>2387.6</v>
      </c>
      <c r="X240" s="26">
        <v>1904</v>
      </c>
      <c r="Y240" s="28">
        <v>34811.4</v>
      </c>
      <c r="Z240" s="28">
        <v>28700</v>
      </c>
      <c r="AA240" s="28">
        <v>31407.8</v>
      </c>
      <c r="AB240" s="28">
        <v>26625</v>
      </c>
      <c r="AC240" s="35">
        <v>0.216</v>
      </c>
      <c r="AD240" s="35">
        <v>0.21</v>
      </c>
      <c r="AE240" s="28">
        <v>6791.1</v>
      </c>
      <c r="AF240" s="28">
        <v>6545.3</v>
      </c>
      <c r="AH240" s="29">
        <f>IF($D240 = "SPLIT", "",COUNTIFS($D$7:$D$347,$D240,N$7:N$347,"&gt;"&amp;N240)+1)</f>
        <v>97</v>
      </c>
      <c r="AI240" s="29">
        <f>IF($D240 = "SPLIT", "",COUNTIFS($D$7:$D$347,$D240,S$7:S$347,"&gt;"&amp;S240)+1)</f>
        <v>130</v>
      </c>
      <c r="AJ240" s="29">
        <f>IF($D240 = "SPLIT", "",COUNTIFS($D$7:$D$347,$D240,T$7:T$347,"&gt;"&amp;T240)+1)</f>
        <v>84</v>
      </c>
      <c r="AK240" s="29">
        <f>IF($D240 = "SPLIT", "",COUNTIFS($D$7:$D$347,$D240,X$7:X$347,"&lt;"&amp;X240)+1)</f>
        <v>12</v>
      </c>
      <c r="AL240" s="29">
        <f>IF($D240 = "SPLIT", "",COUNTIFS($D$7:$D$347,$D240,Z$7:Z$347,"&gt;"&amp;Z240)+1)</f>
        <v>160</v>
      </c>
      <c r="AM240" s="29">
        <f>IF($D240 = "SPLIT", "",COUNTIFS($D$7:$D$347,$D240,AB$7:AB$347,"&gt;"&amp;AB240)+1)</f>
        <v>157</v>
      </c>
      <c r="AN240" s="29">
        <f>IF($D240 = "SPLIT", "",COUNTIFS($D$7:$D$347,$D240,AD$7:AD$347,"&gt;"&amp;AD240)+1)</f>
        <v>44</v>
      </c>
      <c r="AO240" s="29">
        <f>IF($D240 = "SPLIT", "",COUNTIFS($D$7:$D$347,$D240,AF$7:AF$347,"&gt;"&amp;AF240)+1)</f>
        <v>73</v>
      </c>
    </row>
    <row r="241" spans="1:41" hidden="1" x14ac:dyDescent="0.25">
      <c r="A241" s="30">
        <v>540160</v>
      </c>
      <c r="B241" s="30" t="s">
        <v>390</v>
      </c>
      <c r="C241" s="30" t="s">
        <v>384</v>
      </c>
      <c r="D241" s="30" t="s">
        <v>52</v>
      </c>
      <c r="E241" s="31">
        <v>6</v>
      </c>
      <c r="F241" s="31" t="s">
        <v>391</v>
      </c>
      <c r="G241" s="31">
        <v>295</v>
      </c>
      <c r="H241" s="31">
        <v>27</v>
      </c>
      <c r="I241" s="31">
        <v>131</v>
      </c>
      <c r="J241" s="31">
        <v>39</v>
      </c>
      <c r="K241" s="31">
        <v>492</v>
      </c>
      <c r="L241" s="32">
        <v>0.6</v>
      </c>
      <c r="M241" s="32">
        <v>5.5E-2</v>
      </c>
      <c r="N241" s="32">
        <v>0.26600000000000001</v>
      </c>
      <c r="O241" s="32">
        <v>7.9000000000000001E-2</v>
      </c>
      <c r="P241" s="32">
        <v>0.03</v>
      </c>
      <c r="Q241" s="32">
        <v>0.03</v>
      </c>
      <c r="S241" s="31">
        <v>156</v>
      </c>
      <c r="T241" s="31">
        <v>38</v>
      </c>
      <c r="U241" s="31">
        <v>31</v>
      </c>
      <c r="W241" s="31">
        <v>1965.4</v>
      </c>
      <c r="X241" s="31">
        <v>1975</v>
      </c>
      <c r="Y241" s="33">
        <v>691898</v>
      </c>
      <c r="Z241" s="33">
        <v>49600</v>
      </c>
      <c r="AA241" s="33">
        <v>60203.9</v>
      </c>
      <c r="AB241" s="33">
        <v>46600</v>
      </c>
      <c r="AC241" s="32">
        <v>0.246</v>
      </c>
      <c r="AD241" s="32">
        <v>0.17199999999999999</v>
      </c>
      <c r="AE241" s="33">
        <v>83466.7</v>
      </c>
      <c r="AF241" s="33">
        <v>8710</v>
      </c>
      <c r="AH241" s="34">
        <f>IF($D241 = "SPLIT", "",COUNTIFS($D$7:$D$347,$D241,N$7:N$347,"&gt;"&amp;N241)+1)</f>
        <v>24</v>
      </c>
      <c r="AI241" s="34">
        <f>IF($D241 = "SPLIT", "",COUNTIFS($D$7:$D$347,$D241,S$7:S$347,"&gt;"&amp;S241)+1)</f>
        <v>25</v>
      </c>
      <c r="AJ241" s="34">
        <f>IF($D241 = "SPLIT", "",COUNTIFS($D$7:$D$347,$D241,T$7:T$347,"&gt;"&amp;T241)+1)</f>
        <v>17</v>
      </c>
      <c r="AK241" s="34">
        <f>IF($D241 = "SPLIT", "",COUNTIFS($D$7:$D$347,$D241,X$7:X$347,"&lt;"&amp;X241)+1)</f>
        <v>34</v>
      </c>
      <c r="AL241" s="34">
        <f>IF($D241 = "SPLIT", "",COUNTIFS($D$7:$D$347,$D241,Z$7:Z$347,"&gt;"&amp;Z241)+1)</f>
        <v>12</v>
      </c>
      <c r="AM241" s="34">
        <f>IF($D241 = "SPLIT", "",COUNTIFS($D$7:$D$347,$D241,AB$7:AB$347,"&gt;"&amp;AB241)+1)</f>
        <v>12</v>
      </c>
      <c r="AN241" s="34">
        <f>IF($D241 = "SPLIT", "",COUNTIFS($D$7:$D$347,$D241,AD$7:AD$347,"&gt;"&amp;AD241)+1)</f>
        <v>29</v>
      </c>
      <c r="AO241" s="34">
        <f>IF($D241 = "SPLIT", "",COUNTIFS($D$7:$D$347,$D241,AF$7:AF$347,"&gt;"&amp;AF241)+1)</f>
        <v>18</v>
      </c>
    </row>
    <row r="242" spans="1:41" hidden="1" x14ac:dyDescent="0.25">
      <c r="A242" s="25">
        <v>540269</v>
      </c>
      <c r="B242" s="25" t="s">
        <v>392</v>
      </c>
      <c r="C242" s="25" t="s">
        <v>384</v>
      </c>
      <c r="D242" s="25" t="s">
        <v>55</v>
      </c>
      <c r="E242" s="26">
        <v>6</v>
      </c>
      <c r="F242" s="26" t="s">
        <v>134</v>
      </c>
      <c r="G242" s="26">
        <v>0</v>
      </c>
      <c r="H242" s="26">
        <v>0</v>
      </c>
      <c r="I242" s="26">
        <v>0</v>
      </c>
      <c r="J242" s="26">
        <v>0</v>
      </c>
      <c r="K242" s="26">
        <v>0</v>
      </c>
      <c r="L242" s="35" t="s">
        <v>228</v>
      </c>
      <c r="M242" s="35" t="s">
        <v>228</v>
      </c>
      <c r="N242" s="35" t="s">
        <v>228</v>
      </c>
      <c r="O242" s="35" t="s">
        <v>228</v>
      </c>
      <c r="P242" s="35" t="s">
        <v>228</v>
      </c>
      <c r="Q242" s="35" t="s">
        <v>228</v>
      </c>
      <c r="S242" s="26">
        <v>0</v>
      </c>
      <c r="T242" s="26">
        <v>0</v>
      </c>
      <c r="U242" s="26">
        <v>0</v>
      </c>
      <c r="W242" s="26">
        <v>0</v>
      </c>
      <c r="X242" s="26">
        <v>0</v>
      </c>
      <c r="Y242" s="28">
        <v>0</v>
      </c>
      <c r="Z242" s="28">
        <v>0</v>
      </c>
      <c r="AA242" s="28">
        <v>0</v>
      </c>
      <c r="AB242" s="28">
        <v>0</v>
      </c>
      <c r="AC242" s="35">
        <v>0</v>
      </c>
      <c r="AD242" s="35">
        <v>0</v>
      </c>
      <c r="AE242" s="28">
        <v>0</v>
      </c>
      <c r="AF242" s="28">
        <v>0</v>
      </c>
      <c r="AH242" s="29">
        <f>IF($D242 = "SPLIT", "",COUNTIFS($D$7:$D$347,$D242,N$7:N$347,"&gt;"&amp;N242)+1)</f>
        <v>1</v>
      </c>
      <c r="AI242" s="29">
        <f>IF($D242 = "SPLIT", "",COUNTIFS($D$7:$D$347,$D242,S$7:S$347,"&gt;"&amp;S242)+1)</f>
        <v>177</v>
      </c>
      <c r="AJ242" s="29">
        <f>IF($D242 = "SPLIT", "",COUNTIFS($D$7:$D$347,$D242,T$7:T$347,"&gt;"&amp;T242)+1)</f>
        <v>113</v>
      </c>
      <c r="AK242" s="29">
        <f>IF($D242 = "SPLIT", "",COUNTIFS($D$7:$D$347,$D242,X$7:X$347,"&lt;"&amp;X242)+1)</f>
        <v>1</v>
      </c>
      <c r="AL242" s="29">
        <f>IF($D242 = "SPLIT", "",COUNTIFS($D$7:$D$347,$D242,Z$7:Z$347,"&gt;"&amp;Z242)+1)</f>
        <v>210</v>
      </c>
      <c r="AM242" s="29">
        <f>IF($D242 = "SPLIT", "",COUNTIFS($D$7:$D$347,$D242,AB$7:AB$347,"&gt;"&amp;AB242)+1)</f>
        <v>208</v>
      </c>
      <c r="AN242" s="29">
        <f>IF($D242 = "SPLIT", "",COUNTIFS($D$7:$D$347,$D242,AD$7:AD$347,"&gt;"&amp;AD242)+1)</f>
        <v>198</v>
      </c>
      <c r="AO242" s="29">
        <f>IF($D242 = "SPLIT", "",COUNTIFS($D$7:$D$347,$D242,AF$7:AF$347,"&gt;"&amp;AF242)+1)</f>
        <v>198</v>
      </c>
    </row>
    <row r="243" spans="1:41" hidden="1" x14ac:dyDescent="0.25">
      <c r="A243" s="25">
        <v>540163</v>
      </c>
      <c r="B243" s="25" t="s">
        <v>393</v>
      </c>
      <c r="C243" s="25" t="s">
        <v>384</v>
      </c>
      <c r="D243" s="25" t="s">
        <v>55</v>
      </c>
      <c r="E243" s="26">
        <v>6</v>
      </c>
      <c r="F243" s="26" t="s">
        <v>56</v>
      </c>
      <c r="G243" s="26">
        <v>57</v>
      </c>
      <c r="H243" s="26">
        <v>49</v>
      </c>
      <c r="I243" s="26">
        <v>19</v>
      </c>
      <c r="J243" s="26">
        <v>0</v>
      </c>
      <c r="K243" s="26">
        <v>125</v>
      </c>
      <c r="L243" s="35">
        <v>0.45600000000000002</v>
      </c>
      <c r="M243" s="35">
        <v>0.39200000000000002</v>
      </c>
      <c r="N243" s="35">
        <v>0.152</v>
      </c>
      <c r="O243" s="35">
        <v>0</v>
      </c>
      <c r="P243" s="35">
        <v>0</v>
      </c>
      <c r="Q243" s="35">
        <v>0</v>
      </c>
      <c r="S243" s="26">
        <v>71</v>
      </c>
      <c r="T243" s="26">
        <v>18</v>
      </c>
      <c r="U243" s="26">
        <v>35</v>
      </c>
      <c r="W243" s="26">
        <v>1933.8</v>
      </c>
      <c r="X243" s="26">
        <v>1925</v>
      </c>
      <c r="Y243" s="28">
        <v>58308.4</v>
      </c>
      <c r="Z243" s="28">
        <v>42000</v>
      </c>
      <c r="AA243" s="28">
        <v>41238.800000000003</v>
      </c>
      <c r="AB243" s="28">
        <v>39700</v>
      </c>
      <c r="AC243" s="35">
        <v>0.379</v>
      </c>
      <c r="AD243" s="35">
        <v>0.313</v>
      </c>
      <c r="AE243" s="28">
        <v>19776.8</v>
      </c>
      <c r="AF243" s="28">
        <v>13479</v>
      </c>
      <c r="AH243" s="29">
        <f>IF($D243 = "SPLIT", "",COUNTIFS($D$7:$D$347,$D243,N$7:N$347,"&gt;"&amp;N243)+1)</f>
        <v>90</v>
      </c>
      <c r="AI243" s="29">
        <f>IF($D243 = "SPLIT", "",COUNTIFS($D$7:$D$347,$D243,S$7:S$347,"&gt;"&amp;S243)+1)</f>
        <v>23</v>
      </c>
      <c r="AJ243" s="29">
        <f>IF($D243 = "SPLIT", "",COUNTIFS($D$7:$D$347,$D243,T$7:T$347,"&gt;"&amp;T243)+1)</f>
        <v>14</v>
      </c>
      <c r="AK243" s="29">
        <f>IF($D243 = "SPLIT", "",COUNTIFS($D$7:$D$347,$D243,X$7:X$347,"&lt;"&amp;X243)+1)</f>
        <v>39</v>
      </c>
      <c r="AL243" s="29">
        <f>IF($D243 = "SPLIT", "",COUNTIFS($D$7:$D$347,$D243,Z$7:Z$347,"&gt;"&amp;Z243)+1)</f>
        <v>104</v>
      </c>
      <c r="AM243" s="29">
        <f>IF($D243 = "SPLIT", "",COUNTIFS($D$7:$D$347,$D243,AB$7:AB$347,"&gt;"&amp;AB243)+1)</f>
        <v>100</v>
      </c>
      <c r="AN243" s="29">
        <f>IF($D243 = "SPLIT", "",COUNTIFS($D$7:$D$347,$D243,AD$7:AD$347,"&gt;"&amp;AD243)+1)</f>
        <v>15</v>
      </c>
      <c r="AO243" s="29">
        <f>IF($D243 = "SPLIT", "",COUNTIFS($D$7:$D$347,$D243,AF$7:AF$347,"&gt;"&amp;AF243)+1)</f>
        <v>20</v>
      </c>
    </row>
    <row r="244" spans="1:41" hidden="1" x14ac:dyDescent="0.25">
      <c r="A244" s="25">
        <v>540257</v>
      </c>
      <c r="B244" s="25" t="s">
        <v>394</v>
      </c>
      <c r="C244" s="25" t="s">
        <v>384</v>
      </c>
      <c r="D244" s="25" t="s">
        <v>55</v>
      </c>
      <c r="E244" s="26">
        <v>6</v>
      </c>
      <c r="F244" s="26" t="s">
        <v>134</v>
      </c>
      <c r="G244" s="26">
        <v>24</v>
      </c>
      <c r="H244" s="26">
        <v>0</v>
      </c>
      <c r="I244" s="26">
        <v>1</v>
      </c>
      <c r="J244" s="26">
        <v>3</v>
      </c>
      <c r="K244" s="26">
        <v>28</v>
      </c>
      <c r="L244" s="35">
        <v>0.85699999999999998</v>
      </c>
      <c r="M244" s="35">
        <v>0</v>
      </c>
      <c r="N244" s="35">
        <v>3.5999999999999997E-2</v>
      </c>
      <c r="O244" s="35">
        <v>0.107</v>
      </c>
      <c r="P244" s="35">
        <v>0.107</v>
      </c>
      <c r="Q244" s="35">
        <v>0</v>
      </c>
      <c r="S244" s="26">
        <v>1</v>
      </c>
      <c r="T244" s="26">
        <v>0</v>
      </c>
      <c r="U244" s="26">
        <v>0</v>
      </c>
      <c r="W244" s="26">
        <v>1935.2</v>
      </c>
      <c r="X244" s="26">
        <v>1927.5</v>
      </c>
      <c r="Y244" s="28">
        <v>57510.7</v>
      </c>
      <c r="Z244" s="28">
        <v>42000</v>
      </c>
      <c r="AA244" s="28">
        <v>42525</v>
      </c>
      <c r="AB244" s="28">
        <v>40050</v>
      </c>
      <c r="AC244" s="35">
        <v>0.04</v>
      </c>
      <c r="AD244" s="35">
        <v>0.04</v>
      </c>
      <c r="AE244" s="28">
        <v>4906.3</v>
      </c>
      <c r="AF244" s="28">
        <v>971.9</v>
      </c>
      <c r="AH244" s="29">
        <f>IF($D244 = "SPLIT", "",COUNTIFS($D$7:$D$347,$D244,N$7:N$347,"&gt;"&amp;N244)+1)</f>
        <v>175</v>
      </c>
      <c r="AI244" s="29">
        <f>IF($D244 = "SPLIT", "",COUNTIFS($D$7:$D$347,$D244,S$7:S$347,"&gt;"&amp;S244)+1)</f>
        <v>153</v>
      </c>
      <c r="AJ244" s="29">
        <f>IF($D244 = "SPLIT", "",COUNTIFS($D$7:$D$347,$D244,T$7:T$347,"&gt;"&amp;T244)+1)</f>
        <v>113</v>
      </c>
      <c r="AK244" s="29">
        <f>IF($D244 = "SPLIT", "",COUNTIFS($D$7:$D$347,$D244,X$7:X$347,"&lt;"&amp;X244)+1)</f>
        <v>45</v>
      </c>
      <c r="AL244" s="29">
        <f>IF($D244 = "SPLIT", "",COUNTIFS($D$7:$D$347,$D244,Z$7:Z$347,"&gt;"&amp;Z244)+1)</f>
        <v>104</v>
      </c>
      <c r="AM244" s="29">
        <f>IF($D244 = "SPLIT", "",COUNTIFS($D$7:$D$347,$D244,AB$7:AB$347,"&gt;"&amp;AB244)+1)</f>
        <v>99</v>
      </c>
      <c r="AN244" s="29">
        <f>IF($D244 = "SPLIT", "",COUNTIFS($D$7:$D$347,$D244,AD$7:AD$347,"&gt;"&amp;AD244)+1)</f>
        <v>177</v>
      </c>
      <c r="AO244" s="29">
        <f>IF($D244 = "SPLIT", "",COUNTIFS($D$7:$D$347,$D244,AF$7:AF$347,"&gt;"&amp;AF244)+1)</f>
        <v>188</v>
      </c>
    </row>
    <row r="245" spans="1:41" hidden="1" x14ac:dyDescent="0.25">
      <c r="A245" s="160"/>
      <c r="B245" s="160"/>
      <c r="C245" s="160" t="s">
        <v>384</v>
      </c>
      <c r="D245" s="160" t="s">
        <v>2</v>
      </c>
      <c r="E245" s="161">
        <v>6</v>
      </c>
      <c r="F245" s="161"/>
      <c r="G245" s="161">
        <v>441</v>
      </c>
      <c r="H245" s="161">
        <v>78</v>
      </c>
      <c r="I245" s="161">
        <v>183</v>
      </c>
      <c r="J245" s="161">
        <v>47</v>
      </c>
      <c r="K245" s="161">
        <v>749</v>
      </c>
      <c r="L245" s="162">
        <v>0.58899999999999997</v>
      </c>
      <c r="M245" s="162">
        <v>0.104</v>
      </c>
      <c r="N245" s="162">
        <v>0.24399999999999999</v>
      </c>
      <c r="O245" s="162">
        <v>6.3E-2</v>
      </c>
      <c r="P245" s="162">
        <v>2.9000000000000001E-2</v>
      </c>
      <c r="Q245" s="162">
        <v>0.02</v>
      </c>
      <c r="S245" s="161">
        <v>268</v>
      </c>
      <c r="T245" s="161">
        <v>61</v>
      </c>
      <c r="U245" s="161">
        <v>68</v>
      </c>
      <c r="W245" s="161">
        <v>1974.2</v>
      </c>
      <c r="X245" s="161">
        <v>1970</v>
      </c>
      <c r="Y245" s="163">
        <v>475044.8</v>
      </c>
      <c r="Z245" s="163">
        <v>44800</v>
      </c>
      <c r="AA245" s="163">
        <v>66709.899999999994</v>
      </c>
      <c r="AB245" s="163">
        <v>52900</v>
      </c>
      <c r="AC245" s="162">
        <v>0.27300000000000002</v>
      </c>
      <c r="AD245" s="162">
        <v>0.192</v>
      </c>
      <c r="AE245" s="163">
        <v>56627.1</v>
      </c>
      <c r="AF245" s="163">
        <v>9015.1</v>
      </c>
      <c r="AH245" s="164">
        <f>IF($D245 = "SPLIT", "",COUNTIFS($D$7:$D$347,$D245,N$7:N$347,"&gt;"&amp;N245)+1)</f>
        <v>21</v>
      </c>
      <c r="AI245" s="164">
        <f>IF($D245 = "SPLIT", "",COUNTIFS($D$7:$D$347,$D245,S$7:S$347,"&gt;"&amp;S245)+1)</f>
        <v>23</v>
      </c>
      <c r="AJ245" s="164">
        <f>IF($D245 = "SPLIT", "",COUNTIFS($D$7:$D$347,$D245,T$7:T$347,"&gt;"&amp;T245)+1)</f>
        <v>16</v>
      </c>
      <c r="AK245" s="164">
        <f>IF($D245 = "SPLIT", "",COUNTIFS($D$7:$D$347,$D245,X$7:X$347,"&lt;"&amp;X245)+1)</f>
        <v>32</v>
      </c>
      <c r="AL245" s="164">
        <f>IF($D245 = "SPLIT", "",COUNTIFS($D$7:$D$347,$D245,Z$7:Z$347,"&gt;"&amp;Z245)+1)</f>
        <v>21</v>
      </c>
      <c r="AM245" s="164">
        <f>IF($D245 = "SPLIT", "",COUNTIFS($D$7:$D$347,$D245,AB$7:AB$347,"&gt;"&amp;AB245)+1)</f>
        <v>20</v>
      </c>
      <c r="AN245" s="164">
        <f>IF($D245 = "SPLIT", "",COUNTIFS($D$7:$D$347,$D245,AD$7:AD$347,"&gt;"&amp;AD245)+1)</f>
        <v>20</v>
      </c>
      <c r="AO245" s="164">
        <f>IF($D245 = "SPLIT", "",COUNTIFS($D$7:$D$347,$D245,AF$7:AF$347,"&gt;"&amp;AF245)+1)</f>
        <v>13</v>
      </c>
    </row>
    <row r="246" spans="1:41" hidden="1" x14ac:dyDescent="0.25">
      <c r="A246" s="25">
        <v>540165</v>
      </c>
      <c r="B246" s="25" t="s">
        <v>395</v>
      </c>
      <c r="C246" s="25" t="s">
        <v>396</v>
      </c>
      <c r="D246" s="25" t="s">
        <v>55</v>
      </c>
      <c r="E246" s="26">
        <v>3</v>
      </c>
      <c r="F246" s="26" t="s">
        <v>397</v>
      </c>
      <c r="G246" s="26">
        <v>65</v>
      </c>
      <c r="H246" s="26">
        <v>9</v>
      </c>
      <c r="I246" s="26">
        <v>22</v>
      </c>
      <c r="J246" s="26">
        <v>4</v>
      </c>
      <c r="K246" s="26">
        <v>100</v>
      </c>
      <c r="L246" s="35">
        <v>0.65</v>
      </c>
      <c r="M246" s="35">
        <v>0.09</v>
      </c>
      <c r="N246" s="35">
        <v>0.22</v>
      </c>
      <c r="O246" s="35">
        <v>0.04</v>
      </c>
      <c r="P246" s="35">
        <v>0.02</v>
      </c>
      <c r="Q246" s="35">
        <v>0</v>
      </c>
      <c r="S246" s="26">
        <v>31</v>
      </c>
      <c r="T246" s="26">
        <v>9</v>
      </c>
      <c r="U246" s="26">
        <v>3</v>
      </c>
      <c r="W246" s="26">
        <v>1958.9</v>
      </c>
      <c r="X246" s="26">
        <v>1958</v>
      </c>
      <c r="Y246" s="28">
        <v>42221.2</v>
      </c>
      <c r="Z246" s="28">
        <v>36050</v>
      </c>
      <c r="AA246" s="28">
        <v>40199.1</v>
      </c>
      <c r="AB246" s="28">
        <v>35600</v>
      </c>
      <c r="AC246" s="35">
        <v>0.248</v>
      </c>
      <c r="AD246" s="35">
        <v>0.23699999999999999</v>
      </c>
      <c r="AE246" s="28">
        <v>9080.2999999999993</v>
      </c>
      <c r="AF246" s="28">
        <v>7941.5</v>
      </c>
      <c r="AH246" s="29">
        <f>IF($D246 = "SPLIT", "",COUNTIFS($D$7:$D$347,$D246,N$7:N$347,"&gt;"&amp;N246)+1)</f>
        <v>61</v>
      </c>
      <c r="AI246" s="29">
        <f>IF($D246 = "SPLIT", "",COUNTIFS($D$7:$D$347,$D246,S$7:S$347,"&gt;"&amp;S246)+1)</f>
        <v>48</v>
      </c>
      <c r="AJ246" s="29">
        <f>IF($D246 = "SPLIT", "",COUNTIFS($D$7:$D$347,$D246,T$7:T$347,"&gt;"&amp;T246)+1)</f>
        <v>23</v>
      </c>
      <c r="AK246" s="29">
        <f>IF($D246 = "SPLIT", "",COUNTIFS($D$7:$D$347,$D246,X$7:X$347,"&lt;"&amp;X246)+1)</f>
        <v>143</v>
      </c>
      <c r="AL246" s="29">
        <f>IF($D246 = "SPLIT", "",COUNTIFS($D$7:$D$347,$D246,Z$7:Z$347,"&gt;"&amp;Z246)+1)</f>
        <v>130</v>
      </c>
      <c r="AM246" s="29">
        <f>IF($D246 = "SPLIT", "",COUNTIFS($D$7:$D$347,$D246,AB$7:AB$347,"&gt;"&amp;AB246)+1)</f>
        <v>114</v>
      </c>
      <c r="AN246" s="29">
        <f>IF($D246 = "SPLIT", "",COUNTIFS($D$7:$D$347,$D246,AD$7:AD$347,"&gt;"&amp;AD246)+1)</f>
        <v>36</v>
      </c>
      <c r="AO246" s="29">
        <f>IF($D246 = "SPLIT", "",COUNTIFS($D$7:$D$347,$D246,AF$7:AF$347,"&gt;"&amp;AF246)+1)</f>
        <v>56</v>
      </c>
    </row>
    <row r="247" spans="1:41" hidden="1" x14ac:dyDescent="0.25">
      <c r="A247" s="25">
        <v>540166</v>
      </c>
      <c r="B247" s="25" t="s">
        <v>398</v>
      </c>
      <c r="C247" s="25" t="s">
        <v>396</v>
      </c>
      <c r="D247" s="25" t="s">
        <v>55</v>
      </c>
      <c r="E247" s="26">
        <v>3</v>
      </c>
      <c r="F247" s="26" t="s">
        <v>397</v>
      </c>
      <c r="G247" s="26">
        <v>155</v>
      </c>
      <c r="H247" s="26">
        <v>12</v>
      </c>
      <c r="I247" s="26">
        <v>105</v>
      </c>
      <c r="J247" s="26">
        <v>29</v>
      </c>
      <c r="K247" s="26">
        <v>301</v>
      </c>
      <c r="L247" s="35">
        <v>0.51500000000000001</v>
      </c>
      <c r="M247" s="35">
        <v>0.04</v>
      </c>
      <c r="N247" s="35">
        <v>0.34899999999999998</v>
      </c>
      <c r="O247" s="35">
        <v>9.6000000000000002E-2</v>
      </c>
      <c r="P247" s="35">
        <v>8.5999999999999993E-2</v>
      </c>
      <c r="Q247" s="35">
        <v>0</v>
      </c>
      <c r="S247" s="26">
        <v>34</v>
      </c>
      <c r="T247" s="26">
        <v>3</v>
      </c>
      <c r="U247" s="26">
        <v>1</v>
      </c>
      <c r="W247" s="26">
        <v>1965.9</v>
      </c>
      <c r="X247" s="26">
        <v>1975</v>
      </c>
      <c r="Y247" s="28">
        <v>125827</v>
      </c>
      <c r="Z247" s="28">
        <v>49100</v>
      </c>
      <c r="AA247" s="28">
        <v>60203.199999999997</v>
      </c>
      <c r="AB247" s="28">
        <v>47200</v>
      </c>
      <c r="AC247" s="35">
        <v>0.14399999999999999</v>
      </c>
      <c r="AD247" s="35">
        <v>0.10299999999999999</v>
      </c>
      <c r="AE247" s="28">
        <v>8146</v>
      </c>
      <c r="AF247" s="28">
        <v>4817.3</v>
      </c>
      <c r="AH247" s="29">
        <f>IF($D247 = "SPLIT", "",COUNTIFS($D$7:$D$347,$D247,N$7:N$347,"&gt;"&amp;N247)+1)</f>
        <v>26</v>
      </c>
      <c r="AI247" s="29">
        <f>IF($D247 = "SPLIT", "",COUNTIFS($D$7:$D$347,$D247,S$7:S$347,"&gt;"&amp;S247)+1)</f>
        <v>44</v>
      </c>
      <c r="AJ247" s="29">
        <f>IF($D247 = "SPLIT", "",COUNTIFS($D$7:$D$347,$D247,T$7:T$347,"&gt;"&amp;T247)+1)</f>
        <v>45</v>
      </c>
      <c r="AK247" s="29">
        <f>IF($D247 = "SPLIT", "",COUNTIFS($D$7:$D$347,$D247,X$7:X$347,"&lt;"&amp;X247)+1)</f>
        <v>175</v>
      </c>
      <c r="AL247" s="29">
        <f>IF($D247 = "SPLIT", "",COUNTIFS($D$7:$D$347,$D247,Z$7:Z$347,"&gt;"&amp;Z247)+1)</f>
        <v>78</v>
      </c>
      <c r="AM247" s="29">
        <f>IF($D247 = "SPLIT", "",COUNTIFS($D$7:$D$347,$D247,AB$7:AB$347,"&gt;"&amp;AB247)+1)</f>
        <v>69</v>
      </c>
      <c r="AN247" s="29">
        <f>IF($D247 = "SPLIT", "",COUNTIFS($D$7:$D$347,$D247,AD$7:AD$347,"&gt;"&amp;AD247)+1)</f>
        <v>119</v>
      </c>
      <c r="AO247" s="29">
        <f>IF($D247 = "SPLIT", "",COUNTIFS($D$7:$D$347,$D247,AF$7:AF$347,"&gt;"&amp;AF247)+1)</f>
        <v>95</v>
      </c>
    </row>
    <row r="248" spans="1:41" hidden="1" x14ac:dyDescent="0.25">
      <c r="A248" s="25">
        <v>540222</v>
      </c>
      <c r="B248" s="25" t="s">
        <v>399</v>
      </c>
      <c r="C248" s="25" t="s">
        <v>396</v>
      </c>
      <c r="D248" s="25" t="s">
        <v>55</v>
      </c>
      <c r="E248" s="26">
        <v>3</v>
      </c>
      <c r="F248" s="26" t="s">
        <v>400</v>
      </c>
      <c r="G248" s="26">
        <v>1</v>
      </c>
      <c r="H248" s="26">
        <v>0</v>
      </c>
      <c r="I248" s="26">
        <v>6</v>
      </c>
      <c r="J248" s="26">
        <v>0</v>
      </c>
      <c r="K248" s="26">
        <v>7</v>
      </c>
      <c r="L248" s="35">
        <v>0.14299999999999999</v>
      </c>
      <c r="M248" s="35">
        <v>0</v>
      </c>
      <c r="N248" s="35">
        <v>0.85699999999999998</v>
      </c>
      <c r="O248" s="35">
        <v>0</v>
      </c>
      <c r="P248" s="35">
        <v>0</v>
      </c>
      <c r="Q248" s="35">
        <v>0</v>
      </c>
      <c r="S248" s="26">
        <v>0</v>
      </c>
      <c r="T248" s="26">
        <v>0</v>
      </c>
      <c r="U248" s="26">
        <v>0</v>
      </c>
      <c r="W248" s="26">
        <v>1984.7</v>
      </c>
      <c r="X248" s="26">
        <v>1985</v>
      </c>
      <c r="Y248" s="28">
        <v>1983500</v>
      </c>
      <c r="Z248" s="28">
        <v>94000</v>
      </c>
      <c r="AA248" s="28">
        <v>75480</v>
      </c>
      <c r="AB248" s="28">
        <v>65500</v>
      </c>
      <c r="AC248" s="35">
        <v>0</v>
      </c>
      <c r="AD248" s="35">
        <v>0</v>
      </c>
      <c r="AE248" s="28">
        <v>0</v>
      </c>
      <c r="AF248" s="28">
        <v>0</v>
      </c>
      <c r="AH248" s="29">
        <f>IF($D248 = "SPLIT", "",COUNTIFS($D$7:$D$347,$D248,N$7:N$347,"&gt;"&amp;N248)+1)</f>
        <v>4</v>
      </c>
      <c r="AI248" s="29">
        <f>IF($D248 = "SPLIT", "",COUNTIFS($D$7:$D$347,$D248,S$7:S$347,"&gt;"&amp;S248)+1)</f>
        <v>177</v>
      </c>
      <c r="AJ248" s="29">
        <f>IF($D248 = "SPLIT", "",COUNTIFS($D$7:$D$347,$D248,T$7:T$347,"&gt;"&amp;T248)+1)</f>
        <v>113</v>
      </c>
      <c r="AK248" s="29">
        <f>IF($D248 = "SPLIT", "",COUNTIFS($D$7:$D$347,$D248,X$7:X$347,"&lt;"&amp;X248)+1)</f>
        <v>199</v>
      </c>
      <c r="AL248" s="29">
        <f>IF($D248 = "SPLIT", "",COUNTIFS($D$7:$D$347,$D248,Z$7:Z$347,"&gt;"&amp;Z248)+1)</f>
        <v>17</v>
      </c>
      <c r="AM248" s="29">
        <f>IF($D248 = "SPLIT", "",COUNTIFS($D$7:$D$347,$D248,AB$7:AB$347,"&gt;"&amp;AB248)+1)</f>
        <v>30</v>
      </c>
      <c r="AN248" s="29">
        <f>IF($D248 = "SPLIT", "",COUNTIFS($D$7:$D$347,$D248,AD$7:AD$347,"&gt;"&amp;AD248)+1)</f>
        <v>198</v>
      </c>
      <c r="AO248" s="29">
        <f>IF($D248 = "SPLIT", "",COUNTIFS($D$7:$D$347,$D248,AF$7:AF$347,"&gt;"&amp;AF248)+1)</f>
        <v>198</v>
      </c>
    </row>
    <row r="249" spans="1:41" hidden="1" x14ac:dyDescent="0.25">
      <c r="A249" s="25">
        <v>540167</v>
      </c>
      <c r="B249" s="25" t="s">
        <v>401</v>
      </c>
      <c r="C249" s="25" t="s">
        <v>396</v>
      </c>
      <c r="D249" s="25" t="s">
        <v>55</v>
      </c>
      <c r="E249" s="26">
        <v>3</v>
      </c>
      <c r="F249" s="26" t="s">
        <v>402</v>
      </c>
      <c r="G249" s="26">
        <v>4</v>
      </c>
      <c r="H249" s="26">
        <v>2</v>
      </c>
      <c r="I249" s="26">
        <v>18</v>
      </c>
      <c r="J249" s="26">
        <v>0</v>
      </c>
      <c r="K249" s="26">
        <v>24</v>
      </c>
      <c r="L249" s="35">
        <v>0.16700000000000001</v>
      </c>
      <c r="M249" s="35">
        <v>8.3000000000000004E-2</v>
      </c>
      <c r="N249" s="35">
        <v>0.75</v>
      </c>
      <c r="O249" s="35">
        <v>0</v>
      </c>
      <c r="P249" s="35">
        <v>0</v>
      </c>
      <c r="Q249" s="35">
        <v>0</v>
      </c>
      <c r="S249" s="26">
        <v>1</v>
      </c>
      <c r="T249" s="26">
        <v>0</v>
      </c>
      <c r="U249" s="26">
        <v>0</v>
      </c>
      <c r="W249" s="26">
        <v>1997.3</v>
      </c>
      <c r="X249" s="26">
        <v>2002</v>
      </c>
      <c r="Y249" s="28">
        <v>157603</v>
      </c>
      <c r="Z249" s="28">
        <v>130216.5</v>
      </c>
      <c r="AA249" s="28">
        <v>164382.79999999999</v>
      </c>
      <c r="AB249" s="28">
        <v>203800</v>
      </c>
      <c r="AC249" s="35">
        <v>3.5999999999999997E-2</v>
      </c>
      <c r="AD249" s="35">
        <v>3.5999999999999997E-2</v>
      </c>
      <c r="AE249" s="28">
        <v>8216.2999999999993</v>
      </c>
      <c r="AF249" s="28">
        <v>8216.2999999999993</v>
      </c>
      <c r="AH249" s="29">
        <f>IF($D249 = "SPLIT", "",COUNTIFS($D$7:$D$347,$D249,N$7:N$347,"&gt;"&amp;N249)+1)</f>
        <v>5</v>
      </c>
      <c r="AI249" s="29">
        <f>IF($D249 = "SPLIT", "",COUNTIFS($D$7:$D$347,$D249,S$7:S$347,"&gt;"&amp;S249)+1)</f>
        <v>153</v>
      </c>
      <c r="AJ249" s="29">
        <f>IF($D249 = "SPLIT", "",COUNTIFS($D$7:$D$347,$D249,T$7:T$347,"&gt;"&amp;T249)+1)</f>
        <v>113</v>
      </c>
      <c r="AK249" s="29">
        <f>IF($D249 = "SPLIT", "",COUNTIFS($D$7:$D$347,$D249,X$7:X$347,"&lt;"&amp;X249)+1)</f>
        <v>212</v>
      </c>
      <c r="AL249" s="29">
        <f>IF($D249 = "SPLIT", "",COUNTIFS($D$7:$D$347,$D249,Z$7:Z$347,"&gt;"&amp;Z249)+1)</f>
        <v>9</v>
      </c>
      <c r="AM249" s="29">
        <f>IF($D249 = "SPLIT", "",COUNTIFS($D$7:$D$347,$D249,AB$7:AB$347,"&gt;"&amp;AB249)+1)</f>
        <v>1</v>
      </c>
      <c r="AN249" s="29">
        <f>IF($D249 = "SPLIT", "",COUNTIFS($D$7:$D$347,$D249,AD$7:AD$347,"&gt;"&amp;AD249)+1)</f>
        <v>186</v>
      </c>
      <c r="AO249" s="29">
        <f>IF($D249 = "SPLIT", "",COUNTIFS($D$7:$D$347,$D249,AF$7:AF$347,"&gt;"&amp;AF249)+1)</f>
        <v>50</v>
      </c>
    </row>
    <row r="250" spans="1:41" hidden="1" x14ac:dyDescent="0.25">
      <c r="A250" s="25">
        <v>540081</v>
      </c>
      <c r="B250" s="25" t="s">
        <v>225</v>
      </c>
      <c r="C250" s="25" t="s">
        <v>396</v>
      </c>
      <c r="D250" s="25" t="s">
        <v>88</v>
      </c>
      <c r="E250" s="26">
        <v>3</v>
      </c>
      <c r="F250" s="26" t="s">
        <v>126</v>
      </c>
      <c r="G250" s="26">
        <v>94</v>
      </c>
      <c r="H250" s="26">
        <v>2</v>
      </c>
      <c r="I250" s="26">
        <v>3</v>
      </c>
      <c r="J250" s="26">
        <v>0</v>
      </c>
      <c r="K250" s="26">
        <v>99</v>
      </c>
      <c r="L250" s="35">
        <v>0.94899999999999995</v>
      </c>
      <c r="M250" s="35">
        <v>0.02</v>
      </c>
      <c r="N250" s="35">
        <v>0.03</v>
      </c>
      <c r="O250" s="35">
        <v>0</v>
      </c>
      <c r="P250" s="35">
        <v>0</v>
      </c>
      <c r="Q250" s="35">
        <v>0</v>
      </c>
      <c r="S250" s="26">
        <v>11</v>
      </c>
      <c r="T250" s="26">
        <v>1</v>
      </c>
      <c r="U250" s="26">
        <v>0</v>
      </c>
      <c r="W250" s="26">
        <v>1947.1</v>
      </c>
      <c r="X250" s="26">
        <v>1951</v>
      </c>
      <c r="Y250" s="28">
        <v>53501</v>
      </c>
      <c r="Z250" s="28">
        <v>43300</v>
      </c>
      <c r="AA250" s="28">
        <v>45918.5</v>
      </c>
      <c r="AB250" s="28">
        <v>42050</v>
      </c>
      <c r="AC250" s="35">
        <v>0.17699999999999999</v>
      </c>
      <c r="AD250" s="35">
        <v>0.14499999999999999</v>
      </c>
      <c r="AE250" s="28">
        <v>8651.1</v>
      </c>
      <c r="AF250" s="28">
        <v>4733.1000000000004</v>
      </c>
      <c r="AH250" s="29" t="str">
        <f>IF($D250 = "SPLIT", "",COUNTIFS($D$7:$D$347,$D250,N$7:N$347,"&gt;"&amp;N250)+1)</f>
        <v/>
      </c>
      <c r="AI250" s="29" t="str">
        <f>IF($D250 = "SPLIT", "",COUNTIFS($D$7:$D$347,$D250,S$7:S$347,"&gt;"&amp;S250)+1)</f>
        <v/>
      </c>
      <c r="AJ250" s="29" t="str">
        <f>IF($D250 = "SPLIT", "",COUNTIFS($D$7:$D$347,$D250,T$7:T$347,"&gt;"&amp;T250)+1)</f>
        <v/>
      </c>
      <c r="AK250" s="29" t="str">
        <f>IF($D250 = "SPLIT", "",COUNTIFS($D$7:$D$347,$D250,X$7:X$347,"&lt;"&amp;X250)+1)</f>
        <v/>
      </c>
      <c r="AL250" s="29" t="str">
        <f>IF($D250 = "SPLIT", "",COUNTIFS($D$7:$D$347,$D250,Z$7:Z$347,"&gt;"&amp;Z250)+1)</f>
        <v/>
      </c>
      <c r="AM250" s="29" t="str">
        <f>IF($D250 = "SPLIT", "",COUNTIFS($D$7:$D$347,$D250,AB$7:AB$347,"&gt;"&amp;AB250)+1)</f>
        <v/>
      </c>
      <c r="AN250" s="29" t="str">
        <f>IF($D250 = "SPLIT", "",COUNTIFS($D$7:$D$347,$D250,AD$7:AD$347,"&gt;"&amp;AD250)+1)</f>
        <v/>
      </c>
      <c r="AO250" s="29" t="str">
        <f>IF($D250 = "SPLIT", "",COUNTIFS($D$7:$D$347,$D250,AF$7:AF$347,"&gt;"&amp;AF250)+1)</f>
        <v/>
      </c>
    </row>
    <row r="251" spans="1:41" hidden="1" x14ac:dyDescent="0.25">
      <c r="A251" s="25">
        <v>540168</v>
      </c>
      <c r="B251" s="25" t="s">
        <v>403</v>
      </c>
      <c r="C251" s="25" t="s">
        <v>396</v>
      </c>
      <c r="D251" s="25" t="s">
        <v>55</v>
      </c>
      <c r="E251" s="26">
        <v>3</v>
      </c>
      <c r="F251" s="26" t="s">
        <v>404</v>
      </c>
      <c r="G251" s="26">
        <v>61</v>
      </c>
      <c r="H251" s="26">
        <v>0</v>
      </c>
      <c r="I251" s="26">
        <v>9</v>
      </c>
      <c r="J251" s="26">
        <v>0</v>
      </c>
      <c r="K251" s="26">
        <v>70</v>
      </c>
      <c r="L251" s="35">
        <v>0.871</v>
      </c>
      <c r="M251" s="35">
        <v>0</v>
      </c>
      <c r="N251" s="35">
        <v>0.129</v>
      </c>
      <c r="O251" s="35">
        <v>0</v>
      </c>
      <c r="P251" s="35">
        <v>0</v>
      </c>
      <c r="Q251" s="35">
        <v>0</v>
      </c>
      <c r="S251" s="26">
        <v>17</v>
      </c>
      <c r="T251" s="26">
        <v>0</v>
      </c>
      <c r="U251" s="26">
        <v>0</v>
      </c>
      <c r="W251" s="26">
        <v>1961.5</v>
      </c>
      <c r="X251" s="26">
        <v>1961</v>
      </c>
      <c r="Y251" s="28">
        <v>92296.4</v>
      </c>
      <c r="Z251" s="28">
        <v>69500</v>
      </c>
      <c r="AA251" s="28">
        <v>76144.600000000006</v>
      </c>
      <c r="AB251" s="28">
        <v>66000</v>
      </c>
      <c r="AC251" s="35">
        <v>0.15</v>
      </c>
      <c r="AD251" s="35">
        <v>9.7000000000000003E-2</v>
      </c>
      <c r="AE251" s="28">
        <v>10653.5</v>
      </c>
      <c r="AF251" s="28">
        <v>6622.9</v>
      </c>
      <c r="AH251" s="29">
        <f>IF($D251 = "SPLIT", "",COUNTIFS($D$7:$D$347,$D251,N$7:N$347,"&gt;"&amp;N251)+1)</f>
        <v>106</v>
      </c>
      <c r="AI251" s="29">
        <f>IF($D251 = "SPLIT", "",COUNTIFS($D$7:$D$347,$D251,S$7:S$347,"&gt;"&amp;S251)+1)</f>
        <v>72</v>
      </c>
      <c r="AJ251" s="29">
        <f>IF($D251 = "SPLIT", "",COUNTIFS($D$7:$D$347,$D251,T$7:T$347,"&gt;"&amp;T251)+1)</f>
        <v>113</v>
      </c>
      <c r="AK251" s="29">
        <f>IF($D251 = "SPLIT", "",COUNTIFS($D$7:$D$347,$D251,X$7:X$347,"&lt;"&amp;X251)+1)</f>
        <v>147</v>
      </c>
      <c r="AL251" s="29">
        <f>IF($D251 = "SPLIT", "",COUNTIFS($D$7:$D$347,$D251,Z$7:Z$347,"&gt;"&amp;Z251)+1)</f>
        <v>34</v>
      </c>
      <c r="AM251" s="29">
        <f>IF($D251 = "SPLIT", "",COUNTIFS($D$7:$D$347,$D251,AB$7:AB$347,"&gt;"&amp;AB251)+1)</f>
        <v>26</v>
      </c>
      <c r="AN251" s="29">
        <f>IF($D251 = "SPLIT", "",COUNTIFS($D$7:$D$347,$D251,AD$7:AD$347,"&gt;"&amp;AD251)+1)</f>
        <v>125</v>
      </c>
      <c r="AO251" s="29">
        <f>IF($D251 = "SPLIT", "",COUNTIFS($D$7:$D$347,$D251,AF$7:AF$347,"&gt;"&amp;AF251)+1)</f>
        <v>71</v>
      </c>
    </row>
    <row r="252" spans="1:41" hidden="1" x14ac:dyDescent="0.25">
      <c r="A252" s="30">
        <v>540164</v>
      </c>
      <c r="B252" s="30" t="s">
        <v>405</v>
      </c>
      <c r="C252" s="30" t="s">
        <v>396</v>
      </c>
      <c r="D252" s="30" t="s">
        <v>52</v>
      </c>
      <c r="E252" s="31">
        <v>3</v>
      </c>
      <c r="F252" s="31" t="s">
        <v>406</v>
      </c>
      <c r="G252" s="31">
        <v>821</v>
      </c>
      <c r="H252" s="31">
        <v>101</v>
      </c>
      <c r="I252" s="31">
        <v>768</v>
      </c>
      <c r="J252" s="31">
        <v>213</v>
      </c>
      <c r="K252" s="31">
        <v>1903</v>
      </c>
      <c r="L252" s="32">
        <v>0.43099999999999999</v>
      </c>
      <c r="M252" s="32">
        <v>5.2999999999999999E-2</v>
      </c>
      <c r="N252" s="32">
        <v>0.40400000000000003</v>
      </c>
      <c r="O252" s="32">
        <v>0.112</v>
      </c>
      <c r="P252" s="32">
        <v>0.107</v>
      </c>
      <c r="Q252" s="32">
        <v>1E-3</v>
      </c>
      <c r="S252" s="31">
        <v>224</v>
      </c>
      <c r="T252" s="31">
        <v>49</v>
      </c>
      <c r="U252" s="31">
        <v>22</v>
      </c>
      <c r="W252" s="31">
        <v>1979.3</v>
      </c>
      <c r="X252" s="31">
        <v>1985</v>
      </c>
      <c r="Y252" s="33">
        <v>97442.1</v>
      </c>
      <c r="Z252" s="33">
        <v>61700</v>
      </c>
      <c r="AA252" s="33">
        <v>79843.3</v>
      </c>
      <c r="AB252" s="33">
        <v>58100</v>
      </c>
      <c r="AC252" s="32">
        <v>0.191</v>
      </c>
      <c r="AD252" s="32">
        <v>0.112</v>
      </c>
      <c r="AE252" s="33">
        <v>12813.9</v>
      </c>
      <c r="AF252" s="33">
        <v>6407.8</v>
      </c>
      <c r="AH252" s="34">
        <f>IF($D252 = "SPLIT", "",COUNTIFS($D$7:$D$347,$D252,N$7:N$347,"&gt;"&amp;N252)+1)</f>
        <v>4</v>
      </c>
      <c r="AI252" s="34">
        <f>IF($D252 = "SPLIT", "",COUNTIFS($D$7:$D$347,$D252,S$7:S$347,"&gt;"&amp;S252)+1)</f>
        <v>13</v>
      </c>
      <c r="AJ252" s="34">
        <f>IF($D252 = "SPLIT", "",COUNTIFS($D$7:$D$347,$D252,T$7:T$347,"&gt;"&amp;T252)+1)</f>
        <v>13</v>
      </c>
      <c r="AK252" s="34">
        <f>IF($D252 = "SPLIT", "",COUNTIFS($D$7:$D$347,$D252,X$7:X$347,"&lt;"&amp;X252)+1)</f>
        <v>54</v>
      </c>
      <c r="AL252" s="34">
        <f>IF($D252 = "SPLIT", "",COUNTIFS($D$7:$D$347,$D252,Z$7:Z$347,"&gt;"&amp;Z252)+1)</f>
        <v>4</v>
      </c>
      <c r="AM252" s="34">
        <f>IF($D252 = "SPLIT", "",COUNTIFS($D$7:$D$347,$D252,AB$7:AB$347,"&gt;"&amp;AB252)+1)</f>
        <v>4</v>
      </c>
      <c r="AN252" s="34">
        <f>IF($D252 = "SPLIT", "",COUNTIFS($D$7:$D$347,$D252,AD$7:AD$347,"&gt;"&amp;AD252)+1)</f>
        <v>52</v>
      </c>
      <c r="AO252" s="34">
        <f>IF($D252 = "SPLIT", "",COUNTIFS($D$7:$D$347,$D252,AF$7:AF$347,"&gt;"&amp;AF252)+1)</f>
        <v>28</v>
      </c>
    </row>
    <row r="253" spans="1:41" hidden="1" x14ac:dyDescent="0.25">
      <c r="A253" s="25">
        <v>540271</v>
      </c>
      <c r="B253" s="25" t="s">
        <v>407</v>
      </c>
      <c r="C253" s="25" t="s">
        <v>396</v>
      </c>
      <c r="D253" s="25" t="s">
        <v>55</v>
      </c>
      <c r="E253" s="26">
        <v>3</v>
      </c>
      <c r="F253" s="26" t="s">
        <v>397</v>
      </c>
      <c r="G253" s="26">
        <v>41</v>
      </c>
      <c r="H253" s="26">
        <v>38</v>
      </c>
      <c r="I253" s="26">
        <v>102</v>
      </c>
      <c r="J253" s="26">
        <v>0</v>
      </c>
      <c r="K253" s="26">
        <v>181</v>
      </c>
      <c r="L253" s="35">
        <v>0.22700000000000001</v>
      </c>
      <c r="M253" s="35">
        <v>0.21</v>
      </c>
      <c r="N253" s="35">
        <v>0.56399999999999995</v>
      </c>
      <c r="O253" s="35">
        <v>0</v>
      </c>
      <c r="P253" s="35">
        <v>0</v>
      </c>
      <c r="Q253" s="35">
        <v>0</v>
      </c>
      <c r="S253" s="26">
        <v>25</v>
      </c>
      <c r="T253" s="26">
        <v>2</v>
      </c>
      <c r="U253" s="26">
        <v>0</v>
      </c>
      <c r="W253" s="26">
        <v>1987.8</v>
      </c>
      <c r="X253" s="26">
        <v>1993</v>
      </c>
      <c r="Y253" s="28">
        <v>193172.4</v>
      </c>
      <c r="Z253" s="28">
        <v>179500</v>
      </c>
      <c r="AA253" s="28">
        <v>189337.7</v>
      </c>
      <c r="AB253" s="28">
        <v>179500</v>
      </c>
      <c r="AC253" s="35">
        <v>0.09</v>
      </c>
      <c r="AD253" s="35">
        <v>8.5000000000000006E-2</v>
      </c>
      <c r="AE253" s="28">
        <v>18130.2</v>
      </c>
      <c r="AF253" s="28">
        <v>12591.9</v>
      </c>
      <c r="AH253" s="29">
        <f>IF($D253 = "SPLIT", "",COUNTIFS($D$7:$D$347,$D253,N$7:N$347,"&gt;"&amp;N253)+1)</f>
        <v>10</v>
      </c>
      <c r="AI253" s="29">
        <f>IF($D253 = "SPLIT", "",COUNTIFS($D$7:$D$347,$D253,S$7:S$347,"&gt;"&amp;S253)+1)</f>
        <v>57</v>
      </c>
      <c r="AJ253" s="29">
        <f>IF($D253 = "SPLIT", "",COUNTIFS($D$7:$D$347,$D253,T$7:T$347,"&gt;"&amp;T253)+1)</f>
        <v>59</v>
      </c>
      <c r="AK253" s="29">
        <f>IF($D253 = "SPLIT", "",COUNTIFS($D$7:$D$347,$D253,X$7:X$347,"&lt;"&amp;X253)+1)</f>
        <v>208</v>
      </c>
      <c r="AL253" s="29">
        <f>IF($D253 = "SPLIT", "",COUNTIFS($D$7:$D$347,$D253,Z$7:Z$347,"&gt;"&amp;Z253)+1)</f>
        <v>5</v>
      </c>
      <c r="AM253" s="29">
        <f>IF($D253 = "SPLIT", "",COUNTIFS($D$7:$D$347,$D253,AB$7:AB$347,"&gt;"&amp;AB253)+1)</f>
        <v>2</v>
      </c>
      <c r="AN253" s="29">
        <f>IF($D253 = "SPLIT", "",COUNTIFS($D$7:$D$347,$D253,AD$7:AD$347,"&gt;"&amp;AD253)+1)</f>
        <v>134</v>
      </c>
      <c r="AO253" s="29">
        <f>IF($D253 = "SPLIT", "",COUNTIFS($D$7:$D$347,$D253,AF$7:AF$347,"&gt;"&amp;AF253)+1)</f>
        <v>23</v>
      </c>
    </row>
    <row r="254" spans="1:41" hidden="1" x14ac:dyDescent="0.25">
      <c r="A254" s="160"/>
      <c r="B254" s="160"/>
      <c r="C254" s="160" t="s">
        <v>396</v>
      </c>
      <c r="D254" s="160" t="s">
        <v>2</v>
      </c>
      <c r="E254" s="161">
        <v>3</v>
      </c>
      <c r="F254" s="161"/>
      <c r="G254" s="161">
        <v>1242</v>
      </c>
      <c r="H254" s="161">
        <v>164</v>
      </c>
      <c r="I254" s="161">
        <v>1033</v>
      </c>
      <c r="J254" s="161">
        <v>246</v>
      </c>
      <c r="K254" s="161">
        <v>2685</v>
      </c>
      <c r="L254" s="162">
        <v>0.46300000000000002</v>
      </c>
      <c r="M254" s="162">
        <v>6.0999999999999999E-2</v>
      </c>
      <c r="N254" s="162">
        <v>0.38500000000000001</v>
      </c>
      <c r="O254" s="162">
        <v>9.1999999999999998E-2</v>
      </c>
      <c r="P254" s="162">
        <v>8.5999999999999993E-2</v>
      </c>
      <c r="Q254" s="162">
        <v>1E-3</v>
      </c>
      <c r="S254" s="161">
        <v>343</v>
      </c>
      <c r="T254" s="161">
        <v>64</v>
      </c>
      <c r="U254" s="161">
        <v>26</v>
      </c>
      <c r="W254" s="161">
        <v>1975.8</v>
      </c>
      <c r="X254" s="161">
        <v>1983</v>
      </c>
      <c r="Y254" s="163">
        <v>108721.4</v>
      </c>
      <c r="Z254" s="163">
        <v>63000</v>
      </c>
      <c r="AA254" s="163">
        <v>110258.6</v>
      </c>
      <c r="AB254" s="163">
        <v>91900</v>
      </c>
      <c r="AC254" s="162">
        <v>0.182</v>
      </c>
      <c r="AD254" s="162">
        <v>0.115</v>
      </c>
      <c r="AE254" s="163">
        <v>11738.3</v>
      </c>
      <c r="AF254" s="163">
        <v>6451.3</v>
      </c>
      <c r="AH254" s="164">
        <f>IF($D254 = "SPLIT", "",COUNTIFS($D$7:$D$347,$D254,N$7:N$347,"&gt;"&amp;N254)+1)</f>
        <v>4</v>
      </c>
      <c r="AI254" s="164">
        <f>IF($D254 = "SPLIT", "",COUNTIFS($D$7:$D$347,$D254,S$7:S$347,"&gt;"&amp;S254)+1)</f>
        <v>17</v>
      </c>
      <c r="AJ254" s="164">
        <f>IF($D254 = "SPLIT", "",COUNTIFS($D$7:$D$347,$D254,T$7:T$347,"&gt;"&amp;T254)+1)</f>
        <v>14</v>
      </c>
      <c r="AK254" s="164">
        <f>IF($D254 = "SPLIT", "",COUNTIFS($D$7:$D$347,$D254,X$7:X$347,"&lt;"&amp;X254)+1)</f>
        <v>53</v>
      </c>
      <c r="AL254" s="164">
        <f>IF($D254 = "SPLIT", "",COUNTIFS($D$7:$D$347,$D254,Z$7:Z$347,"&gt;"&amp;Z254)+1)</f>
        <v>5</v>
      </c>
      <c r="AM254" s="164">
        <f>IF($D254 = "SPLIT", "",COUNTIFS($D$7:$D$347,$D254,AB$7:AB$347,"&gt;"&amp;AB254)+1)</f>
        <v>3</v>
      </c>
      <c r="AN254" s="164">
        <f>IF($D254 = "SPLIT", "",COUNTIFS($D$7:$D$347,$D254,AD$7:AD$347,"&gt;"&amp;AD254)+1)</f>
        <v>48</v>
      </c>
      <c r="AO254" s="164">
        <f>IF($D254 = "SPLIT", "",COUNTIFS($D$7:$D$347,$D254,AF$7:AF$347,"&gt;"&amp;AF254)+1)</f>
        <v>24</v>
      </c>
    </row>
    <row r="255" spans="1:41" hidden="1" x14ac:dyDescent="0.25">
      <c r="A255" s="25">
        <v>540170</v>
      </c>
      <c r="B255" s="25" t="s">
        <v>408</v>
      </c>
      <c r="C255" s="25" t="s">
        <v>409</v>
      </c>
      <c r="D255" s="25" t="s">
        <v>55</v>
      </c>
      <c r="E255" s="26">
        <v>1</v>
      </c>
      <c r="F255" s="26" t="s">
        <v>410</v>
      </c>
      <c r="G255" s="26">
        <v>21</v>
      </c>
      <c r="H255" s="26">
        <v>1</v>
      </c>
      <c r="I255" s="26">
        <v>4</v>
      </c>
      <c r="J255" s="26">
        <v>1</v>
      </c>
      <c r="K255" s="26">
        <v>27</v>
      </c>
      <c r="L255" s="35">
        <v>0.77800000000000002</v>
      </c>
      <c r="M255" s="35">
        <v>3.6999999999999998E-2</v>
      </c>
      <c r="N255" s="35">
        <v>0.14799999999999999</v>
      </c>
      <c r="O255" s="35">
        <v>3.6999999999999998E-2</v>
      </c>
      <c r="P255" s="35">
        <v>0</v>
      </c>
      <c r="Q255" s="35">
        <v>0</v>
      </c>
      <c r="S255" s="26">
        <v>2</v>
      </c>
      <c r="T255" s="26">
        <v>0</v>
      </c>
      <c r="U255" s="26">
        <v>0</v>
      </c>
      <c r="W255" s="26">
        <v>1964.9</v>
      </c>
      <c r="X255" s="26">
        <v>1966</v>
      </c>
      <c r="Y255" s="28">
        <v>138913.70000000001</v>
      </c>
      <c r="Z255" s="28">
        <v>52800</v>
      </c>
      <c r="AA255" s="28">
        <v>35475</v>
      </c>
      <c r="AB255" s="28">
        <v>30800</v>
      </c>
      <c r="AC255" s="35">
        <v>0.129</v>
      </c>
      <c r="AD255" s="35">
        <v>0.104</v>
      </c>
      <c r="AE255" s="28">
        <v>5273.2</v>
      </c>
      <c r="AF255" s="28">
        <v>4974.7</v>
      </c>
      <c r="AH255" s="29">
        <f>IF($D255 = "SPLIT", "",COUNTIFS($D$7:$D$347,$D255,N$7:N$347,"&gt;"&amp;N255)+1)</f>
        <v>92</v>
      </c>
      <c r="AI255" s="29">
        <f>IF($D255 = "SPLIT", "",COUNTIFS($D$7:$D$347,$D255,S$7:S$347,"&gt;"&amp;S255)+1)</f>
        <v>141</v>
      </c>
      <c r="AJ255" s="29">
        <f>IF($D255 = "SPLIT", "",COUNTIFS($D$7:$D$347,$D255,T$7:T$347,"&gt;"&amp;T255)+1)</f>
        <v>113</v>
      </c>
      <c r="AK255" s="29">
        <f>IF($D255 = "SPLIT", "",COUNTIFS($D$7:$D$347,$D255,X$7:X$347,"&lt;"&amp;X255)+1)</f>
        <v>156</v>
      </c>
      <c r="AL255" s="29">
        <f>IF($D255 = "SPLIT", "",COUNTIFS($D$7:$D$347,$D255,Z$7:Z$347,"&gt;"&amp;Z255)+1)</f>
        <v>65</v>
      </c>
      <c r="AM255" s="29">
        <f>IF($D255 = "SPLIT", "",COUNTIFS($D$7:$D$347,$D255,AB$7:AB$347,"&gt;"&amp;AB255)+1)</f>
        <v>136</v>
      </c>
      <c r="AN255" s="29">
        <f>IF($D255 = "SPLIT", "",COUNTIFS($D$7:$D$347,$D255,AD$7:AD$347,"&gt;"&amp;AD255)+1)</f>
        <v>117</v>
      </c>
      <c r="AO255" s="29">
        <f>IF($D255 = "SPLIT", "",COUNTIFS($D$7:$D$347,$D255,AF$7:AF$347,"&gt;"&amp;AF255)+1)</f>
        <v>93</v>
      </c>
    </row>
    <row r="256" spans="1:41" hidden="1" x14ac:dyDescent="0.25">
      <c r="A256" s="25">
        <v>540171</v>
      </c>
      <c r="B256" s="25" t="s">
        <v>411</v>
      </c>
      <c r="C256" s="25" t="s">
        <v>409</v>
      </c>
      <c r="D256" s="25" t="s">
        <v>55</v>
      </c>
      <c r="E256" s="26">
        <v>1</v>
      </c>
      <c r="F256" s="26" t="s">
        <v>154</v>
      </c>
      <c r="G256" s="26">
        <v>24</v>
      </c>
      <c r="H256" s="26">
        <v>4</v>
      </c>
      <c r="I256" s="26">
        <v>6</v>
      </c>
      <c r="J256" s="26">
        <v>4</v>
      </c>
      <c r="K256" s="26">
        <v>38</v>
      </c>
      <c r="L256" s="35">
        <v>0.63200000000000001</v>
      </c>
      <c r="M256" s="35">
        <v>0.105</v>
      </c>
      <c r="N256" s="35">
        <v>0.158</v>
      </c>
      <c r="O256" s="35">
        <v>0.105</v>
      </c>
      <c r="P256" s="35">
        <v>2.5999999999999999E-2</v>
      </c>
      <c r="Q256" s="35">
        <v>2.5999999999999999E-2</v>
      </c>
      <c r="S256" s="26">
        <v>3</v>
      </c>
      <c r="T256" s="26">
        <v>0</v>
      </c>
      <c r="U256" s="26">
        <v>0</v>
      </c>
      <c r="W256" s="26">
        <v>1965.8</v>
      </c>
      <c r="X256" s="26">
        <v>1967</v>
      </c>
      <c r="Y256" s="28">
        <v>40310</v>
      </c>
      <c r="Z256" s="28">
        <v>24435</v>
      </c>
      <c r="AA256" s="28">
        <v>25354.3</v>
      </c>
      <c r="AB256" s="28">
        <v>23600</v>
      </c>
      <c r="AC256" s="35">
        <v>0.14199999999999999</v>
      </c>
      <c r="AD256" s="35">
        <v>8.8999999999999996E-2</v>
      </c>
      <c r="AE256" s="28">
        <v>5668</v>
      </c>
      <c r="AF256" s="28">
        <v>906.6</v>
      </c>
      <c r="AH256" s="29">
        <f>IF($D256 = "SPLIT", "",COUNTIFS($D$7:$D$347,$D256,N$7:N$347,"&gt;"&amp;N256)+1)</f>
        <v>86</v>
      </c>
      <c r="AI256" s="29">
        <f>IF($D256 = "SPLIT", "",COUNTIFS($D$7:$D$347,$D256,S$7:S$347,"&gt;"&amp;S256)+1)</f>
        <v>130</v>
      </c>
      <c r="AJ256" s="29">
        <f>IF($D256 = "SPLIT", "",COUNTIFS($D$7:$D$347,$D256,T$7:T$347,"&gt;"&amp;T256)+1)</f>
        <v>113</v>
      </c>
      <c r="AK256" s="29">
        <f>IF($D256 = "SPLIT", "",COUNTIFS($D$7:$D$347,$D256,X$7:X$347,"&lt;"&amp;X256)+1)</f>
        <v>157</v>
      </c>
      <c r="AL256" s="29">
        <f>IF($D256 = "SPLIT", "",COUNTIFS($D$7:$D$347,$D256,Z$7:Z$347,"&gt;"&amp;Z256)+1)</f>
        <v>177</v>
      </c>
      <c r="AM256" s="29">
        <f>IF($D256 = "SPLIT", "",COUNTIFS($D$7:$D$347,$D256,AB$7:AB$347,"&gt;"&amp;AB256)+1)</f>
        <v>175</v>
      </c>
      <c r="AN256" s="29">
        <f>IF($D256 = "SPLIT", "",COUNTIFS($D$7:$D$347,$D256,AD$7:AD$347,"&gt;"&amp;AD256)+1)</f>
        <v>131</v>
      </c>
      <c r="AO256" s="29">
        <f>IF($D256 = "SPLIT", "",COUNTIFS($D$7:$D$347,$D256,AF$7:AF$347,"&gt;"&amp;AF256)+1)</f>
        <v>189</v>
      </c>
    </row>
    <row r="257" spans="1:41" hidden="1" x14ac:dyDescent="0.25">
      <c r="A257" s="25">
        <v>540286</v>
      </c>
      <c r="B257" s="25" t="s">
        <v>412</v>
      </c>
      <c r="C257" s="25" t="s">
        <v>409</v>
      </c>
      <c r="D257" s="25" t="s">
        <v>55</v>
      </c>
      <c r="E257" s="26">
        <v>1</v>
      </c>
      <c r="F257" s="26" t="s">
        <v>413</v>
      </c>
      <c r="G257" s="26">
        <v>50</v>
      </c>
      <c r="H257" s="26">
        <v>1</v>
      </c>
      <c r="I257" s="26">
        <v>13</v>
      </c>
      <c r="J257" s="26">
        <v>5</v>
      </c>
      <c r="K257" s="26">
        <v>69</v>
      </c>
      <c r="L257" s="35">
        <v>0.72499999999999998</v>
      </c>
      <c r="M257" s="35">
        <v>1.4E-2</v>
      </c>
      <c r="N257" s="35">
        <v>0.188</v>
      </c>
      <c r="O257" s="35">
        <v>7.1999999999999995E-2</v>
      </c>
      <c r="P257" s="35">
        <v>1.4E-2</v>
      </c>
      <c r="Q257" s="35">
        <v>2.9000000000000001E-2</v>
      </c>
      <c r="S257" s="26">
        <v>36</v>
      </c>
      <c r="T257" s="26">
        <v>9</v>
      </c>
      <c r="U257" s="26">
        <v>4</v>
      </c>
      <c r="W257" s="26">
        <v>1948.6</v>
      </c>
      <c r="X257" s="26">
        <v>1941.5</v>
      </c>
      <c r="Y257" s="28">
        <v>69683.899999999994</v>
      </c>
      <c r="Z257" s="28">
        <v>26700</v>
      </c>
      <c r="AA257" s="28">
        <v>22948.6</v>
      </c>
      <c r="AB257" s="28">
        <v>21900</v>
      </c>
      <c r="AC257" s="35">
        <v>0.38500000000000001</v>
      </c>
      <c r="AD257" s="35">
        <v>0.28000000000000003</v>
      </c>
      <c r="AE257" s="28">
        <v>22979.8</v>
      </c>
      <c r="AF257" s="28">
        <v>10118.1</v>
      </c>
      <c r="AH257" s="29">
        <f>IF($D257 = "SPLIT", "",COUNTIFS($D$7:$D$347,$D257,N$7:N$347,"&gt;"&amp;N257)+1)</f>
        <v>72</v>
      </c>
      <c r="AI257" s="29">
        <f>IF($D257 = "SPLIT", "",COUNTIFS($D$7:$D$347,$D257,S$7:S$347,"&gt;"&amp;S257)+1)</f>
        <v>43</v>
      </c>
      <c r="AJ257" s="29">
        <f>IF($D257 = "SPLIT", "",COUNTIFS($D$7:$D$347,$D257,T$7:T$347,"&gt;"&amp;T257)+1)</f>
        <v>23</v>
      </c>
      <c r="AK257" s="29">
        <f>IF($D257 = "SPLIT", "",COUNTIFS($D$7:$D$347,$D257,X$7:X$347,"&lt;"&amp;X257)+1)</f>
        <v>93</v>
      </c>
      <c r="AL257" s="29">
        <f>IF($D257 = "SPLIT", "",COUNTIFS($D$7:$D$347,$D257,Z$7:Z$347,"&gt;"&amp;Z257)+1)</f>
        <v>168</v>
      </c>
      <c r="AM257" s="29">
        <f>IF($D257 = "SPLIT", "",COUNTIFS($D$7:$D$347,$D257,AB$7:AB$347,"&gt;"&amp;AB257)+1)</f>
        <v>181</v>
      </c>
      <c r="AN257" s="29">
        <f>IF($D257 = "SPLIT", "",COUNTIFS($D$7:$D$347,$D257,AD$7:AD$347,"&gt;"&amp;AD257)+1)</f>
        <v>24</v>
      </c>
      <c r="AO257" s="29">
        <f>IF($D257 = "SPLIT", "",COUNTIFS($D$7:$D$347,$D257,AF$7:AF$347,"&gt;"&amp;AF257)+1)</f>
        <v>35</v>
      </c>
    </row>
    <row r="258" spans="1:41" hidden="1" x14ac:dyDescent="0.25">
      <c r="A258" s="30">
        <v>540169</v>
      </c>
      <c r="B258" s="30" t="s">
        <v>414</v>
      </c>
      <c r="C258" s="30" t="s">
        <v>409</v>
      </c>
      <c r="D258" s="30" t="s">
        <v>52</v>
      </c>
      <c r="E258" s="31">
        <v>1</v>
      </c>
      <c r="F258" s="31" t="s">
        <v>415</v>
      </c>
      <c r="G258" s="31">
        <v>1420</v>
      </c>
      <c r="H258" s="31">
        <v>79</v>
      </c>
      <c r="I258" s="31">
        <v>465</v>
      </c>
      <c r="J258" s="31">
        <v>290</v>
      </c>
      <c r="K258" s="31">
        <v>2254</v>
      </c>
      <c r="L258" s="32">
        <v>0.63</v>
      </c>
      <c r="M258" s="32">
        <v>3.5000000000000003E-2</v>
      </c>
      <c r="N258" s="32">
        <v>0.20599999999999999</v>
      </c>
      <c r="O258" s="32">
        <v>0.129</v>
      </c>
      <c r="P258" s="32">
        <v>6.6000000000000003E-2</v>
      </c>
      <c r="Q258" s="32">
        <v>1.2999999999999999E-2</v>
      </c>
      <c r="S258" s="31">
        <v>296</v>
      </c>
      <c r="T258" s="31">
        <v>35</v>
      </c>
      <c r="U258" s="31">
        <v>65</v>
      </c>
      <c r="W258" s="31">
        <v>1956.4</v>
      </c>
      <c r="X258" s="31">
        <v>1968</v>
      </c>
      <c r="Y258" s="33">
        <v>53742.9</v>
      </c>
      <c r="Z258" s="33">
        <v>26000</v>
      </c>
      <c r="AA258" s="33">
        <v>31952.5</v>
      </c>
      <c r="AB258" s="33">
        <v>24600</v>
      </c>
      <c r="AC258" s="32">
        <v>0.245</v>
      </c>
      <c r="AD258" s="32">
        <v>0.17299999999999999</v>
      </c>
      <c r="AE258" s="33">
        <v>7461.1</v>
      </c>
      <c r="AF258" s="33">
        <v>3508.5</v>
      </c>
      <c r="AH258" s="34">
        <f>IF($D258 = "SPLIT", "",COUNTIFS($D$7:$D$347,$D258,N$7:N$347,"&gt;"&amp;N258)+1)</f>
        <v>38</v>
      </c>
      <c r="AI258" s="34">
        <f>IF($D258 = "SPLIT", "",COUNTIFS($D$7:$D$347,$D258,S$7:S$347,"&gt;"&amp;S258)+1)</f>
        <v>10</v>
      </c>
      <c r="AJ258" s="34">
        <f>IF($D258 = "SPLIT", "",COUNTIFS($D$7:$D$347,$D258,T$7:T$347,"&gt;"&amp;T258)+1)</f>
        <v>19</v>
      </c>
      <c r="AK258" s="34">
        <f>IF($D258 = "SPLIT", "",COUNTIFS($D$7:$D$347,$D258,X$7:X$347,"&lt;"&amp;X258)+1)</f>
        <v>15</v>
      </c>
      <c r="AL258" s="34">
        <f>IF($D258 = "SPLIT", "",COUNTIFS($D$7:$D$347,$D258,Z$7:Z$347,"&gt;"&amp;Z258)+1)</f>
        <v>48</v>
      </c>
      <c r="AM258" s="34">
        <f>IF($D258 = "SPLIT", "",COUNTIFS($D$7:$D$347,$D258,AB$7:AB$347,"&gt;"&amp;AB258)+1)</f>
        <v>51</v>
      </c>
      <c r="AN258" s="34">
        <f>IF($D258 = "SPLIT", "",COUNTIFS($D$7:$D$347,$D258,AD$7:AD$347,"&gt;"&amp;AD258)+1)</f>
        <v>28</v>
      </c>
      <c r="AO258" s="34">
        <f>IF($D258 = "SPLIT", "",COUNTIFS($D$7:$D$347,$D258,AF$7:AF$347,"&gt;"&amp;AF258)+1)</f>
        <v>47</v>
      </c>
    </row>
    <row r="259" spans="1:41" hidden="1" x14ac:dyDescent="0.25">
      <c r="A259" s="25">
        <v>540173</v>
      </c>
      <c r="B259" s="25" t="s">
        <v>416</v>
      </c>
      <c r="C259" s="25" t="s">
        <v>409</v>
      </c>
      <c r="D259" s="25" t="s">
        <v>55</v>
      </c>
      <c r="E259" s="26">
        <v>1</v>
      </c>
      <c r="F259" s="26" t="s">
        <v>371</v>
      </c>
      <c r="G259" s="26">
        <v>71</v>
      </c>
      <c r="H259" s="26">
        <v>1</v>
      </c>
      <c r="I259" s="26">
        <v>9</v>
      </c>
      <c r="J259" s="26">
        <v>12</v>
      </c>
      <c r="K259" s="26">
        <v>93</v>
      </c>
      <c r="L259" s="35">
        <v>0.76300000000000001</v>
      </c>
      <c r="M259" s="35">
        <v>1.0999999999999999E-2</v>
      </c>
      <c r="N259" s="35">
        <v>9.7000000000000003E-2</v>
      </c>
      <c r="O259" s="35">
        <v>0.129</v>
      </c>
      <c r="P259" s="35">
        <v>3.2000000000000001E-2</v>
      </c>
      <c r="Q259" s="35">
        <v>6.5000000000000002E-2</v>
      </c>
      <c r="S259" s="26">
        <v>10</v>
      </c>
      <c r="T259" s="26">
        <v>3</v>
      </c>
      <c r="U259" s="26">
        <v>6</v>
      </c>
      <c r="W259" s="26">
        <v>1941.9</v>
      </c>
      <c r="X259" s="26">
        <v>1940</v>
      </c>
      <c r="Y259" s="28">
        <v>16958</v>
      </c>
      <c r="Z259" s="28">
        <v>8600</v>
      </c>
      <c r="AA259" s="28">
        <v>13903.5</v>
      </c>
      <c r="AB259" s="28">
        <v>8600</v>
      </c>
      <c r="AC259" s="35">
        <v>0.251</v>
      </c>
      <c r="AD259" s="35">
        <v>0.14699999999999999</v>
      </c>
      <c r="AE259" s="28">
        <v>4610.3</v>
      </c>
      <c r="AF259" s="28">
        <v>1586.3</v>
      </c>
      <c r="AH259" s="29">
        <f>IF($D259 = "SPLIT", "",COUNTIFS($D$7:$D$347,$D259,N$7:N$347,"&gt;"&amp;N259)+1)</f>
        <v>134</v>
      </c>
      <c r="AI259" s="29">
        <f>IF($D259 = "SPLIT", "",COUNTIFS($D$7:$D$347,$D259,S$7:S$347,"&gt;"&amp;S259)+1)</f>
        <v>95</v>
      </c>
      <c r="AJ259" s="29">
        <f>IF($D259 = "SPLIT", "",COUNTIFS($D$7:$D$347,$D259,T$7:T$347,"&gt;"&amp;T259)+1)</f>
        <v>45</v>
      </c>
      <c r="AK259" s="29">
        <f>IF($D259 = "SPLIT", "",COUNTIFS($D$7:$D$347,$D259,X$7:X$347,"&lt;"&amp;X259)+1)</f>
        <v>72</v>
      </c>
      <c r="AL259" s="29">
        <f>IF($D259 = "SPLIT", "",COUNTIFS($D$7:$D$347,$D259,Z$7:Z$347,"&gt;"&amp;Z259)+1)</f>
        <v>209</v>
      </c>
      <c r="AM259" s="29">
        <f>IF($D259 = "SPLIT", "",COUNTIFS($D$7:$D$347,$D259,AB$7:AB$347,"&gt;"&amp;AB259)+1)</f>
        <v>207</v>
      </c>
      <c r="AN259" s="29">
        <f>IF($D259 = "SPLIT", "",COUNTIFS($D$7:$D$347,$D259,AD$7:AD$347,"&gt;"&amp;AD259)+1)</f>
        <v>74</v>
      </c>
      <c r="AO259" s="29">
        <f>IF($D259 = "SPLIT", "",COUNTIFS($D$7:$D$347,$D259,AF$7:AF$347,"&gt;"&amp;AF259)+1)</f>
        <v>179</v>
      </c>
    </row>
    <row r="260" spans="1:41" hidden="1" x14ac:dyDescent="0.25">
      <c r="A260" s="25">
        <v>540174</v>
      </c>
      <c r="B260" s="25" t="s">
        <v>417</v>
      </c>
      <c r="C260" s="25" t="s">
        <v>409</v>
      </c>
      <c r="D260" s="25" t="s">
        <v>55</v>
      </c>
      <c r="E260" s="26">
        <v>1</v>
      </c>
      <c r="F260" s="26" t="s">
        <v>68</v>
      </c>
      <c r="G260" s="26">
        <v>10</v>
      </c>
      <c r="H260" s="26">
        <v>0</v>
      </c>
      <c r="I260" s="26">
        <v>1</v>
      </c>
      <c r="J260" s="26">
        <v>2</v>
      </c>
      <c r="K260" s="26">
        <v>13</v>
      </c>
      <c r="L260" s="35">
        <v>0.76900000000000002</v>
      </c>
      <c r="M260" s="35">
        <v>0</v>
      </c>
      <c r="N260" s="35">
        <v>7.6999999999999999E-2</v>
      </c>
      <c r="O260" s="35">
        <v>0.154</v>
      </c>
      <c r="P260" s="35">
        <v>0</v>
      </c>
      <c r="Q260" s="35">
        <v>0.154</v>
      </c>
      <c r="S260" s="26">
        <v>0</v>
      </c>
      <c r="T260" s="26">
        <v>0</v>
      </c>
      <c r="U260" s="26">
        <v>0</v>
      </c>
      <c r="W260" s="26">
        <v>1957.6</v>
      </c>
      <c r="X260" s="26">
        <v>1955</v>
      </c>
      <c r="Y260" s="28">
        <v>55619.199999999997</v>
      </c>
      <c r="Z260" s="28">
        <v>37800</v>
      </c>
      <c r="AA260" s="28">
        <v>40056.400000000001</v>
      </c>
      <c r="AB260" s="28">
        <v>36400</v>
      </c>
      <c r="AC260" s="35">
        <v>0</v>
      </c>
      <c r="AD260" s="35">
        <v>0</v>
      </c>
      <c r="AE260" s="28">
        <v>0</v>
      </c>
      <c r="AF260" s="28">
        <v>0</v>
      </c>
      <c r="AH260" s="29">
        <f>IF($D260 = "SPLIT", "",COUNTIFS($D$7:$D$347,$D260,N$7:N$347,"&gt;"&amp;N260)+1)</f>
        <v>147</v>
      </c>
      <c r="AI260" s="29">
        <f>IF($D260 = "SPLIT", "",COUNTIFS($D$7:$D$347,$D260,S$7:S$347,"&gt;"&amp;S260)+1)</f>
        <v>177</v>
      </c>
      <c r="AJ260" s="29">
        <f>IF($D260 = "SPLIT", "",COUNTIFS($D$7:$D$347,$D260,T$7:T$347,"&gt;"&amp;T260)+1)</f>
        <v>113</v>
      </c>
      <c r="AK260" s="29">
        <f>IF($D260 = "SPLIT", "",COUNTIFS($D$7:$D$347,$D260,X$7:X$347,"&lt;"&amp;X260)+1)</f>
        <v>134</v>
      </c>
      <c r="AL260" s="29">
        <f>IF($D260 = "SPLIT", "",COUNTIFS($D$7:$D$347,$D260,Z$7:Z$347,"&gt;"&amp;Z260)+1)</f>
        <v>120</v>
      </c>
      <c r="AM260" s="29">
        <f>IF($D260 = "SPLIT", "",COUNTIFS($D$7:$D$347,$D260,AB$7:AB$347,"&gt;"&amp;AB260)+1)</f>
        <v>111</v>
      </c>
      <c r="AN260" s="29">
        <f>IF($D260 = "SPLIT", "",COUNTIFS($D$7:$D$347,$D260,AD$7:AD$347,"&gt;"&amp;AD260)+1)</f>
        <v>198</v>
      </c>
      <c r="AO260" s="29">
        <f>IF($D260 = "SPLIT", "",COUNTIFS($D$7:$D$347,$D260,AF$7:AF$347,"&gt;"&amp;AF260)+1)</f>
        <v>198</v>
      </c>
    </row>
    <row r="261" spans="1:41" hidden="1" x14ac:dyDescent="0.25">
      <c r="A261" s="160"/>
      <c r="B261" s="160"/>
      <c r="C261" s="160" t="s">
        <v>409</v>
      </c>
      <c r="D261" s="160" t="s">
        <v>2</v>
      </c>
      <c r="E261" s="161">
        <v>1</v>
      </c>
      <c r="F261" s="161"/>
      <c r="G261" s="161">
        <v>1596</v>
      </c>
      <c r="H261" s="161">
        <v>86</v>
      </c>
      <c r="I261" s="161">
        <v>498</v>
      </c>
      <c r="J261" s="161">
        <v>314</v>
      </c>
      <c r="K261" s="161">
        <v>2494</v>
      </c>
      <c r="L261" s="162">
        <v>0.64</v>
      </c>
      <c r="M261" s="162">
        <v>3.4000000000000002E-2</v>
      </c>
      <c r="N261" s="162">
        <v>0.2</v>
      </c>
      <c r="O261" s="162">
        <v>0.126</v>
      </c>
      <c r="P261" s="162">
        <v>6.2E-2</v>
      </c>
      <c r="Q261" s="162">
        <v>1.6E-2</v>
      </c>
      <c r="S261" s="161">
        <v>347</v>
      </c>
      <c r="T261" s="161">
        <v>47</v>
      </c>
      <c r="U261" s="161">
        <v>75</v>
      </c>
      <c r="W261" s="161">
        <v>1955.9</v>
      </c>
      <c r="X261" s="161">
        <v>1964</v>
      </c>
      <c r="Y261" s="163">
        <v>53539.4</v>
      </c>
      <c r="Z261" s="163">
        <v>26000</v>
      </c>
      <c r="AA261" s="163">
        <v>32141.7</v>
      </c>
      <c r="AB261" s="163">
        <v>21950</v>
      </c>
      <c r="AC261" s="162">
        <v>0.249</v>
      </c>
      <c r="AD261" s="162">
        <v>0.17100000000000001</v>
      </c>
      <c r="AE261" s="163">
        <v>8074.2</v>
      </c>
      <c r="AF261" s="163">
        <v>3560</v>
      </c>
      <c r="AH261" s="164">
        <f>IF($D261 = "SPLIT", "",COUNTIFS($D$7:$D$347,$D261,N$7:N$347,"&gt;"&amp;N261)+1)</f>
        <v>30</v>
      </c>
      <c r="AI261" s="164">
        <f>IF($D261 = "SPLIT", "",COUNTIFS($D$7:$D$347,$D261,S$7:S$347,"&gt;"&amp;S261)+1)</f>
        <v>15</v>
      </c>
      <c r="AJ261" s="164">
        <f>IF($D261 = "SPLIT", "",COUNTIFS($D$7:$D$347,$D261,T$7:T$347,"&gt;"&amp;T261)+1)</f>
        <v>23</v>
      </c>
      <c r="AK261" s="164">
        <f>IF($D261 = "SPLIT", "",COUNTIFS($D$7:$D$347,$D261,X$7:X$347,"&lt;"&amp;X261)+1)</f>
        <v>25</v>
      </c>
      <c r="AL261" s="164">
        <f>IF($D261 = "SPLIT", "",COUNTIFS($D$7:$D$347,$D261,Z$7:Z$347,"&gt;"&amp;Z261)+1)</f>
        <v>49</v>
      </c>
      <c r="AM261" s="164">
        <f>IF($D261 = "SPLIT", "",COUNTIFS($D$7:$D$347,$D261,AB$7:AB$347,"&gt;"&amp;AB261)+1)</f>
        <v>54</v>
      </c>
      <c r="AN261" s="164">
        <f>IF($D261 = "SPLIT", "",COUNTIFS($D$7:$D$347,$D261,AD$7:AD$347,"&gt;"&amp;AD261)+1)</f>
        <v>23</v>
      </c>
      <c r="AO261" s="164">
        <f>IF($D261 = "SPLIT", "",COUNTIFS($D$7:$D$347,$D261,AF$7:AF$347,"&gt;"&amp;AF261)+1)</f>
        <v>46</v>
      </c>
    </row>
    <row r="262" spans="1:41" hidden="1" x14ac:dyDescent="0.25">
      <c r="A262" s="25">
        <v>540267</v>
      </c>
      <c r="B262" s="25" t="s">
        <v>418</v>
      </c>
      <c r="C262" s="25" t="s">
        <v>419</v>
      </c>
      <c r="D262" s="25" t="s">
        <v>55</v>
      </c>
      <c r="E262" s="26">
        <v>7</v>
      </c>
      <c r="F262" s="26" t="s">
        <v>420</v>
      </c>
      <c r="G262" s="26">
        <v>18</v>
      </c>
      <c r="H262" s="26">
        <v>4</v>
      </c>
      <c r="I262" s="26">
        <v>4</v>
      </c>
      <c r="J262" s="26">
        <v>2</v>
      </c>
      <c r="K262" s="26">
        <v>28</v>
      </c>
      <c r="L262" s="35">
        <v>0.64300000000000002</v>
      </c>
      <c r="M262" s="35">
        <v>0.14299999999999999</v>
      </c>
      <c r="N262" s="35">
        <v>0.14299999999999999</v>
      </c>
      <c r="O262" s="35">
        <v>7.0999999999999994E-2</v>
      </c>
      <c r="P262" s="35">
        <v>3.5999999999999997E-2</v>
      </c>
      <c r="Q262" s="35">
        <v>3.5999999999999997E-2</v>
      </c>
      <c r="S262" s="26">
        <v>1</v>
      </c>
      <c r="T262" s="26">
        <v>0</v>
      </c>
      <c r="U262" s="26">
        <v>0</v>
      </c>
      <c r="W262" s="26">
        <v>1977.4</v>
      </c>
      <c r="X262" s="26">
        <v>1981</v>
      </c>
      <c r="Y262" s="28">
        <v>84939.3</v>
      </c>
      <c r="Z262" s="28">
        <v>49150</v>
      </c>
      <c r="AA262" s="28">
        <v>102605.3</v>
      </c>
      <c r="AB262" s="28">
        <v>57100</v>
      </c>
      <c r="AC262" s="35">
        <v>5.3999999999999999E-2</v>
      </c>
      <c r="AD262" s="35">
        <v>2.8000000000000001E-2</v>
      </c>
      <c r="AE262" s="28">
        <v>5946.6</v>
      </c>
      <c r="AF262" s="28">
        <v>1564</v>
      </c>
      <c r="AH262" s="29">
        <f>IF($D262 = "SPLIT", "",COUNTIFS($D$7:$D$347,$D262,N$7:N$347,"&gt;"&amp;N262)+1)</f>
        <v>97</v>
      </c>
      <c r="AI262" s="29">
        <f>IF($D262 = "SPLIT", "",COUNTIFS($D$7:$D$347,$D262,S$7:S$347,"&gt;"&amp;S262)+1)</f>
        <v>153</v>
      </c>
      <c r="AJ262" s="29">
        <f>IF($D262 = "SPLIT", "",COUNTIFS($D$7:$D$347,$D262,T$7:T$347,"&gt;"&amp;T262)+1)</f>
        <v>113</v>
      </c>
      <c r="AK262" s="29">
        <f>IF($D262 = "SPLIT", "",COUNTIFS($D$7:$D$347,$D262,X$7:X$347,"&lt;"&amp;X262)+1)</f>
        <v>196</v>
      </c>
      <c r="AL262" s="29">
        <f>IF($D262 = "SPLIT", "",COUNTIFS($D$7:$D$347,$D262,Z$7:Z$347,"&gt;"&amp;Z262)+1)</f>
        <v>77</v>
      </c>
      <c r="AM262" s="29">
        <f>IF($D262 = "SPLIT", "",COUNTIFS($D$7:$D$347,$D262,AB$7:AB$347,"&gt;"&amp;AB262)+1)</f>
        <v>44</v>
      </c>
      <c r="AN262" s="29">
        <f>IF($D262 = "SPLIT", "",COUNTIFS($D$7:$D$347,$D262,AD$7:AD$347,"&gt;"&amp;AD262)+1)</f>
        <v>191</v>
      </c>
      <c r="AO262" s="29">
        <f>IF($D262 = "SPLIT", "",COUNTIFS($D$7:$D$347,$D262,AF$7:AF$347,"&gt;"&amp;AF262)+1)</f>
        <v>180</v>
      </c>
    </row>
    <row r="263" spans="1:41" hidden="1" x14ac:dyDescent="0.25">
      <c r="A263" s="25">
        <v>540177</v>
      </c>
      <c r="B263" s="25" t="s">
        <v>421</v>
      </c>
      <c r="C263" s="25" t="s">
        <v>419</v>
      </c>
      <c r="D263" s="25" t="s">
        <v>55</v>
      </c>
      <c r="E263" s="26">
        <v>7</v>
      </c>
      <c r="F263" s="26" t="s">
        <v>422</v>
      </c>
      <c r="G263" s="26">
        <v>160</v>
      </c>
      <c r="H263" s="26">
        <v>8</v>
      </c>
      <c r="I263" s="26">
        <v>33</v>
      </c>
      <c r="J263" s="26">
        <v>27</v>
      </c>
      <c r="K263" s="26">
        <v>228</v>
      </c>
      <c r="L263" s="35">
        <v>0.70199999999999996</v>
      </c>
      <c r="M263" s="35">
        <v>3.5000000000000003E-2</v>
      </c>
      <c r="N263" s="35">
        <v>0.14499999999999999</v>
      </c>
      <c r="O263" s="35">
        <v>0.11799999999999999</v>
      </c>
      <c r="P263" s="35">
        <v>0.11</v>
      </c>
      <c r="Q263" s="35">
        <v>4.0000000000000001E-3</v>
      </c>
      <c r="S263" s="26">
        <v>3</v>
      </c>
      <c r="T263" s="26">
        <v>0</v>
      </c>
      <c r="U263" s="26">
        <v>0</v>
      </c>
      <c r="W263" s="26">
        <v>1952.1</v>
      </c>
      <c r="X263" s="26">
        <v>1948</v>
      </c>
      <c r="Y263" s="28">
        <v>79599</v>
      </c>
      <c r="Z263" s="28">
        <v>55400</v>
      </c>
      <c r="AA263" s="28">
        <v>59178.3</v>
      </c>
      <c r="AB263" s="28">
        <v>55050</v>
      </c>
      <c r="AC263" s="35">
        <v>7.0000000000000007E-2</v>
      </c>
      <c r="AD263" s="35">
        <v>5.3999999999999999E-2</v>
      </c>
      <c r="AE263" s="28">
        <v>5887.9</v>
      </c>
      <c r="AF263" s="28">
        <v>3213.2</v>
      </c>
      <c r="AH263" s="29">
        <f>IF($D263 = "SPLIT", "",COUNTIFS($D$7:$D$347,$D263,N$7:N$347,"&gt;"&amp;N263)+1)</f>
        <v>93</v>
      </c>
      <c r="AI263" s="29">
        <f>IF($D263 = "SPLIT", "",COUNTIFS($D$7:$D$347,$D263,S$7:S$347,"&gt;"&amp;S263)+1)</f>
        <v>130</v>
      </c>
      <c r="AJ263" s="29">
        <f>IF($D263 = "SPLIT", "",COUNTIFS($D$7:$D$347,$D263,T$7:T$347,"&gt;"&amp;T263)+1)</f>
        <v>113</v>
      </c>
      <c r="AK263" s="29">
        <f>IF($D263 = "SPLIT", "",COUNTIFS($D$7:$D$347,$D263,X$7:X$347,"&lt;"&amp;X263)+1)</f>
        <v>113</v>
      </c>
      <c r="AL263" s="29">
        <f>IF($D263 = "SPLIT", "",COUNTIFS($D$7:$D$347,$D263,Z$7:Z$347,"&gt;"&amp;Z263)+1)</f>
        <v>59</v>
      </c>
      <c r="AM263" s="29">
        <f>IF($D263 = "SPLIT", "",COUNTIFS($D$7:$D$347,$D263,AB$7:AB$347,"&gt;"&amp;AB263)+1)</f>
        <v>49</v>
      </c>
      <c r="AN263" s="29">
        <f>IF($D263 = "SPLIT", "",COUNTIFS($D$7:$D$347,$D263,AD$7:AD$347,"&gt;"&amp;AD263)+1)</f>
        <v>162</v>
      </c>
      <c r="AO263" s="29">
        <f>IF($D263 = "SPLIT", "",COUNTIFS($D$7:$D$347,$D263,AF$7:AF$347,"&gt;"&amp;AF263)+1)</f>
        <v>134</v>
      </c>
    </row>
    <row r="264" spans="1:41" hidden="1" x14ac:dyDescent="0.25">
      <c r="A264" s="25">
        <v>540178</v>
      </c>
      <c r="B264" s="25" t="s">
        <v>423</v>
      </c>
      <c r="C264" s="25" t="s">
        <v>419</v>
      </c>
      <c r="D264" s="25" t="s">
        <v>55</v>
      </c>
      <c r="E264" s="26">
        <v>7</v>
      </c>
      <c r="F264" s="26" t="s">
        <v>149</v>
      </c>
      <c r="G264" s="26">
        <v>19</v>
      </c>
      <c r="H264" s="26">
        <v>0</v>
      </c>
      <c r="I264" s="26">
        <v>9</v>
      </c>
      <c r="J264" s="26">
        <v>7</v>
      </c>
      <c r="K264" s="26">
        <v>35</v>
      </c>
      <c r="L264" s="35">
        <v>0.54300000000000004</v>
      </c>
      <c r="M264" s="35">
        <v>0</v>
      </c>
      <c r="N264" s="35">
        <v>0.25700000000000001</v>
      </c>
      <c r="O264" s="35">
        <v>0.2</v>
      </c>
      <c r="P264" s="35">
        <v>8.5999999999999993E-2</v>
      </c>
      <c r="Q264" s="35">
        <v>8.5999999999999993E-2</v>
      </c>
      <c r="S264" s="26">
        <v>6</v>
      </c>
      <c r="T264" s="26">
        <v>0</v>
      </c>
      <c r="U264" s="26">
        <v>1</v>
      </c>
      <c r="W264" s="26">
        <v>1972.7</v>
      </c>
      <c r="X264" s="26">
        <v>1980</v>
      </c>
      <c r="Y264" s="28">
        <v>110466.6</v>
      </c>
      <c r="Z264" s="28">
        <v>51900</v>
      </c>
      <c r="AA264" s="28">
        <v>41410.300000000003</v>
      </c>
      <c r="AB264" s="28">
        <v>51200</v>
      </c>
      <c r="AC264" s="35">
        <v>0.21299999999999999</v>
      </c>
      <c r="AD264" s="35">
        <v>0.19</v>
      </c>
      <c r="AE264" s="28">
        <v>10918.7</v>
      </c>
      <c r="AF264" s="28">
        <v>7448</v>
      </c>
      <c r="AH264" s="29">
        <f>IF($D264 = "SPLIT", "",COUNTIFS($D$7:$D$347,$D264,N$7:N$347,"&gt;"&amp;N264)+1)</f>
        <v>48</v>
      </c>
      <c r="AI264" s="29">
        <f>IF($D264 = "SPLIT", "",COUNTIFS($D$7:$D$347,$D264,S$7:S$347,"&gt;"&amp;S264)+1)</f>
        <v>107</v>
      </c>
      <c r="AJ264" s="29">
        <f>IF($D264 = "SPLIT", "",COUNTIFS($D$7:$D$347,$D264,T$7:T$347,"&gt;"&amp;T264)+1)</f>
        <v>113</v>
      </c>
      <c r="AK264" s="29">
        <f>IF($D264 = "SPLIT", "",COUNTIFS($D$7:$D$347,$D264,X$7:X$347,"&lt;"&amp;X264)+1)</f>
        <v>192</v>
      </c>
      <c r="AL264" s="29">
        <f>IF($D264 = "SPLIT", "",COUNTIFS($D$7:$D$347,$D264,Z$7:Z$347,"&gt;"&amp;Z264)+1)</f>
        <v>69</v>
      </c>
      <c r="AM264" s="29">
        <f>IF($D264 = "SPLIT", "",COUNTIFS($D$7:$D$347,$D264,AB$7:AB$347,"&gt;"&amp;AB264)+1)</f>
        <v>60</v>
      </c>
      <c r="AN264" s="29">
        <f>IF($D264 = "SPLIT", "",COUNTIFS($D$7:$D$347,$D264,AD$7:AD$347,"&gt;"&amp;AD264)+1)</f>
        <v>53</v>
      </c>
      <c r="AO264" s="29">
        <f>IF($D264 = "SPLIT", "",COUNTIFS($D$7:$D$347,$D264,AF$7:AF$347,"&gt;"&amp;AF264)+1)</f>
        <v>59</v>
      </c>
    </row>
    <row r="265" spans="1:41" hidden="1" x14ac:dyDescent="0.25">
      <c r="A265" s="25">
        <v>540264</v>
      </c>
      <c r="B265" s="25" t="s">
        <v>424</v>
      </c>
      <c r="C265" s="25" t="s">
        <v>419</v>
      </c>
      <c r="D265" s="25" t="s">
        <v>55</v>
      </c>
      <c r="E265" s="26">
        <v>7</v>
      </c>
      <c r="F265" s="26" t="s">
        <v>149</v>
      </c>
      <c r="G265" s="26">
        <v>0</v>
      </c>
      <c r="H265" s="26">
        <v>0</v>
      </c>
      <c r="I265" s="26">
        <v>0</v>
      </c>
      <c r="J265" s="26">
        <v>0</v>
      </c>
      <c r="K265" s="26">
        <v>0</v>
      </c>
      <c r="L265" s="35" t="s">
        <v>228</v>
      </c>
      <c r="M265" s="35" t="s">
        <v>228</v>
      </c>
      <c r="N265" s="35" t="s">
        <v>228</v>
      </c>
      <c r="O265" s="35" t="s">
        <v>228</v>
      </c>
      <c r="P265" s="35" t="s">
        <v>228</v>
      </c>
      <c r="Q265" s="35" t="s">
        <v>228</v>
      </c>
      <c r="S265" s="26">
        <v>0</v>
      </c>
      <c r="T265" s="26">
        <v>0</v>
      </c>
      <c r="U265" s="26">
        <v>0</v>
      </c>
      <c r="W265" s="26">
        <v>0</v>
      </c>
      <c r="X265" s="26">
        <v>0</v>
      </c>
      <c r="Y265" s="28">
        <v>0</v>
      </c>
      <c r="Z265" s="28">
        <v>0</v>
      </c>
      <c r="AA265" s="28">
        <v>0</v>
      </c>
      <c r="AB265" s="28">
        <v>0</v>
      </c>
      <c r="AC265" s="35">
        <v>0</v>
      </c>
      <c r="AD265" s="35">
        <v>0</v>
      </c>
      <c r="AE265" s="28">
        <v>0</v>
      </c>
      <c r="AF265" s="28">
        <v>0</v>
      </c>
      <c r="AH265" s="29">
        <f>IF($D265 = "SPLIT", "",COUNTIFS($D$7:$D$347,$D265,N$7:N$347,"&gt;"&amp;N265)+1)</f>
        <v>1</v>
      </c>
      <c r="AI265" s="29">
        <f>IF($D265 = "SPLIT", "",COUNTIFS($D$7:$D$347,$D265,S$7:S$347,"&gt;"&amp;S265)+1)</f>
        <v>177</v>
      </c>
      <c r="AJ265" s="29">
        <f>IF($D265 = "SPLIT", "",COUNTIFS($D$7:$D$347,$D265,T$7:T$347,"&gt;"&amp;T265)+1)</f>
        <v>113</v>
      </c>
      <c r="AK265" s="29">
        <f>IF($D265 = "SPLIT", "",COUNTIFS($D$7:$D$347,$D265,X$7:X$347,"&lt;"&amp;X265)+1)</f>
        <v>1</v>
      </c>
      <c r="AL265" s="29">
        <f>IF($D265 = "SPLIT", "",COUNTIFS($D$7:$D$347,$D265,Z$7:Z$347,"&gt;"&amp;Z265)+1)</f>
        <v>210</v>
      </c>
      <c r="AM265" s="29">
        <f>IF($D265 = "SPLIT", "",COUNTIFS($D$7:$D$347,$D265,AB$7:AB$347,"&gt;"&amp;AB265)+1)</f>
        <v>208</v>
      </c>
      <c r="AN265" s="29">
        <f>IF($D265 = "SPLIT", "",COUNTIFS($D$7:$D$347,$D265,AD$7:AD$347,"&gt;"&amp;AD265)+1)</f>
        <v>198</v>
      </c>
      <c r="AO265" s="29">
        <f>IF($D265 = "SPLIT", "",COUNTIFS($D$7:$D$347,$D265,AF$7:AF$347,"&gt;"&amp;AF265)+1)</f>
        <v>198</v>
      </c>
    </row>
    <row r="266" spans="1:41" hidden="1" x14ac:dyDescent="0.25">
      <c r="A266" s="25">
        <v>540266</v>
      </c>
      <c r="B266" s="25" t="s">
        <v>425</v>
      </c>
      <c r="C266" s="25" t="s">
        <v>419</v>
      </c>
      <c r="D266" s="25" t="s">
        <v>55</v>
      </c>
      <c r="E266" s="26">
        <v>7</v>
      </c>
      <c r="F266" s="26" t="s">
        <v>149</v>
      </c>
      <c r="G266" s="26">
        <v>7</v>
      </c>
      <c r="H266" s="26">
        <v>0</v>
      </c>
      <c r="I266" s="26">
        <v>0</v>
      </c>
      <c r="J266" s="26">
        <v>11</v>
      </c>
      <c r="K266" s="26">
        <v>18</v>
      </c>
      <c r="L266" s="35">
        <v>0.38900000000000001</v>
      </c>
      <c r="M266" s="35">
        <v>0</v>
      </c>
      <c r="N266" s="35">
        <v>0</v>
      </c>
      <c r="O266" s="35">
        <v>0.61099999999999999</v>
      </c>
      <c r="P266" s="35">
        <v>0.61099999999999999</v>
      </c>
      <c r="Q266" s="35">
        <v>0</v>
      </c>
      <c r="S266" s="26">
        <v>0</v>
      </c>
      <c r="T266" s="26">
        <v>0</v>
      </c>
      <c r="U266" s="26">
        <v>0</v>
      </c>
      <c r="W266" s="26">
        <v>1940.1</v>
      </c>
      <c r="X266" s="26">
        <v>1936</v>
      </c>
      <c r="Y266" s="28">
        <v>35603.300000000003</v>
      </c>
      <c r="Z266" s="28">
        <v>20165</v>
      </c>
      <c r="AA266" s="28">
        <v>32603.5</v>
      </c>
      <c r="AB266" s="28">
        <v>13000</v>
      </c>
      <c r="AC266" s="35">
        <v>4.2999999999999997E-2</v>
      </c>
      <c r="AD266" s="35">
        <v>4.2999999999999997E-2</v>
      </c>
      <c r="AE266" s="28">
        <v>1041.5</v>
      </c>
      <c r="AF266" s="28">
        <v>1041.5</v>
      </c>
      <c r="AH266" s="29">
        <f>IF($D266 = "SPLIT", "",COUNTIFS($D$7:$D$347,$D266,N$7:N$347,"&gt;"&amp;N266)+1)</f>
        <v>195</v>
      </c>
      <c r="AI266" s="29">
        <f>IF($D266 = "SPLIT", "",COUNTIFS($D$7:$D$347,$D266,S$7:S$347,"&gt;"&amp;S266)+1)</f>
        <v>177</v>
      </c>
      <c r="AJ266" s="29">
        <f>IF($D266 = "SPLIT", "",COUNTIFS($D$7:$D$347,$D266,T$7:T$347,"&gt;"&amp;T266)+1)</f>
        <v>113</v>
      </c>
      <c r="AK266" s="29">
        <f>IF($D266 = "SPLIT", "",COUNTIFS($D$7:$D$347,$D266,X$7:X$347,"&lt;"&amp;X266)+1)</f>
        <v>63</v>
      </c>
      <c r="AL266" s="29">
        <f>IF($D266 = "SPLIT", "",COUNTIFS($D$7:$D$347,$D266,Z$7:Z$347,"&gt;"&amp;Z266)+1)</f>
        <v>193</v>
      </c>
      <c r="AM266" s="29">
        <f>IF($D266 = "SPLIT", "",COUNTIFS($D$7:$D$347,$D266,AB$7:AB$347,"&gt;"&amp;AB266)+1)</f>
        <v>204</v>
      </c>
      <c r="AN266" s="29">
        <f>IF($D266 = "SPLIT", "",COUNTIFS($D$7:$D$347,$D266,AD$7:AD$347,"&gt;"&amp;AD266)+1)</f>
        <v>175</v>
      </c>
      <c r="AO266" s="29">
        <f>IF($D266 = "SPLIT", "",COUNTIFS($D$7:$D$347,$D266,AF$7:AF$347,"&gt;"&amp;AF266)+1)</f>
        <v>187</v>
      </c>
    </row>
    <row r="267" spans="1:41" hidden="1" x14ac:dyDescent="0.25">
      <c r="A267" s="25">
        <v>540265</v>
      </c>
      <c r="B267" s="25" t="s">
        <v>426</v>
      </c>
      <c r="C267" s="25" t="s">
        <v>419</v>
      </c>
      <c r="D267" s="25" t="s">
        <v>55</v>
      </c>
      <c r="E267" s="26">
        <v>7</v>
      </c>
      <c r="F267" s="26" t="s">
        <v>141</v>
      </c>
      <c r="G267" s="26">
        <v>14</v>
      </c>
      <c r="H267" s="26">
        <v>0</v>
      </c>
      <c r="I267" s="26">
        <v>5</v>
      </c>
      <c r="J267" s="26">
        <v>3</v>
      </c>
      <c r="K267" s="26">
        <v>22</v>
      </c>
      <c r="L267" s="35">
        <v>0.63600000000000001</v>
      </c>
      <c r="M267" s="35">
        <v>0</v>
      </c>
      <c r="N267" s="35">
        <v>0.22700000000000001</v>
      </c>
      <c r="O267" s="35">
        <v>0.13600000000000001</v>
      </c>
      <c r="P267" s="35">
        <v>0</v>
      </c>
      <c r="Q267" s="35">
        <v>4.4999999999999998E-2</v>
      </c>
      <c r="S267" s="26">
        <v>0</v>
      </c>
      <c r="T267" s="26">
        <v>0</v>
      </c>
      <c r="U267" s="26">
        <v>0</v>
      </c>
      <c r="W267" s="26">
        <v>1950.3</v>
      </c>
      <c r="X267" s="26">
        <v>1940</v>
      </c>
      <c r="Y267" s="28">
        <v>47534.9</v>
      </c>
      <c r="Z267" s="28">
        <v>45033.5</v>
      </c>
      <c r="AA267" s="28">
        <v>48608</v>
      </c>
      <c r="AB267" s="28">
        <v>45200</v>
      </c>
      <c r="AC267" s="35">
        <v>0</v>
      </c>
      <c r="AD267" s="35">
        <v>0</v>
      </c>
      <c r="AE267" s="28">
        <v>0</v>
      </c>
      <c r="AF267" s="28">
        <v>0</v>
      </c>
      <c r="AH267" s="29">
        <f>IF($D267 = "SPLIT", "",COUNTIFS($D$7:$D$347,$D267,N$7:N$347,"&gt;"&amp;N267)+1)</f>
        <v>56</v>
      </c>
      <c r="AI267" s="29">
        <f>IF($D267 = "SPLIT", "",COUNTIFS($D$7:$D$347,$D267,S$7:S$347,"&gt;"&amp;S267)+1)</f>
        <v>177</v>
      </c>
      <c r="AJ267" s="29">
        <f>IF($D267 = "SPLIT", "",COUNTIFS($D$7:$D$347,$D267,T$7:T$347,"&gt;"&amp;T267)+1)</f>
        <v>113</v>
      </c>
      <c r="AK267" s="29">
        <f>IF($D267 = "SPLIT", "",COUNTIFS($D$7:$D$347,$D267,X$7:X$347,"&lt;"&amp;X267)+1)</f>
        <v>72</v>
      </c>
      <c r="AL267" s="29">
        <f>IF($D267 = "SPLIT", "",COUNTIFS($D$7:$D$347,$D267,Z$7:Z$347,"&gt;"&amp;Z267)+1)</f>
        <v>91</v>
      </c>
      <c r="AM267" s="29">
        <f>IF($D267 = "SPLIT", "",COUNTIFS($D$7:$D$347,$D267,AB$7:AB$347,"&gt;"&amp;AB267)+1)</f>
        <v>77</v>
      </c>
      <c r="AN267" s="29">
        <f>IF($D267 = "SPLIT", "",COUNTIFS($D$7:$D$347,$D267,AD$7:AD$347,"&gt;"&amp;AD267)+1)</f>
        <v>198</v>
      </c>
      <c r="AO267" s="29">
        <f>IF($D267 = "SPLIT", "",COUNTIFS($D$7:$D$347,$D267,AF$7:AF$347,"&gt;"&amp;AF267)+1)</f>
        <v>198</v>
      </c>
    </row>
    <row r="268" spans="1:41" hidden="1" x14ac:dyDescent="0.25">
      <c r="A268" s="30">
        <v>540175</v>
      </c>
      <c r="B268" s="30" t="s">
        <v>427</v>
      </c>
      <c r="C268" s="30" t="s">
        <v>419</v>
      </c>
      <c r="D268" s="30" t="s">
        <v>52</v>
      </c>
      <c r="E268" s="31">
        <v>7</v>
      </c>
      <c r="F268" s="31" t="s">
        <v>139</v>
      </c>
      <c r="G268" s="31">
        <v>873</v>
      </c>
      <c r="H268" s="31">
        <v>10</v>
      </c>
      <c r="I268" s="31">
        <v>291</v>
      </c>
      <c r="J268" s="31">
        <v>87</v>
      </c>
      <c r="K268" s="31">
        <v>1261</v>
      </c>
      <c r="L268" s="32">
        <v>0.69199999999999995</v>
      </c>
      <c r="M268" s="32">
        <v>8.0000000000000002E-3</v>
      </c>
      <c r="N268" s="32">
        <v>0.23100000000000001</v>
      </c>
      <c r="O268" s="32">
        <v>6.9000000000000006E-2</v>
      </c>
      <c r="P268" s="32">
        <v>4.2999999999999997E-2</v>
      </c>
      <c r="Q268" s="32">
        <v>7.0000000000000001E-3</v>
      </c>
      <c r="S268" s="31">
        <v>224</v>
      </c>
      <c r="T268" s="31">
        <v>44</v>
      </c>
      <c r="U268" s="31">
        <v>8</v>
      </c>
      <c r="W268" s="31">
        <v>1969.2</v>
      </c>
      <c r="X268" s="31">
        <v>1976</v>
      </c>
      <c r="Y268" s="33">
        <v>62527.199999999997</v>
      </c>
      <c r="Z268" s="33">
        <v>39200</v>
      </c>
      <c r="AA268" s="33">
        <v>53829.8</v>
      </c>
      <c r="AB268" s="33">
        <v>37700</v>
      </c>
      <c r="AC268" s="32">
        <v>0.29599999999999999</v>
      </c>
      <c r="AD268" s="32">
        <v>0.23</v>
      </c>
      <c r="AE268" s="33">
        <v>15643.2</v>
      </c>
      <c r="AF268" s="33">
        <v>7921.2</v>
      </c>
      <c r="AH268" s="34">
        <f>IF($D268 = "SPLIT", "",COUNTIFS($D$7:$D$347,$D268,N$7:N$347,"&gt;"&amp;N268)+1)</f>
        <v>33</v>
      </c>
      <c r="AI268" s="34">
        <f>IF($D268 = "SPLIT", "",COUNTIFS($D$7:$D$347,$D268,S$7:S$347,"&gt;"&amp;S268)+1)</f>
        <v>13</v>
      </c>
      <c r="AJ268" s="34">
        <f>IF($D268 = "SPLIT", "",COUNTIFS($D$7:$D$347,$D268,T$7:T$347,"&gt;"&amp;T268)+1)</f>
        <v>14</v>
      </c>
      <c r="AK268" s="34">
        <f>IF($D268 = "SPLIT", "",COUNTIFS($D$7:$D$347,$D268,X$7:X$347,"&lt;"&amp;X268)+1)</f>
        <v>40</v>
      </c>
      <c r="AL268" s="34">
        <f>IF($D268 = "SPLIT", "",COUNTIFS($D$7:$D$347,$D268,Z$7:Z$347,"&gt;"&amp;Z268)+1)</f>
        <v>25</v>
      </c>
      <c r="AM268" s="34">
        <f>IF($D268 = "SPLIT", "",COUNTIFS($D$7:$D$347,$D268,AB$7:AB$347,"&gt;"&amp;AB268)+1)</f>
        <v>24</v>
      </c>
      <c r="AN268" s="34">
        <f>IF($D268 = "SPLIT", "",COUNTIFS($D$7:$D$347,$D268,AD$7:AD$347,"&gt;"&amp;AD268)+1)</f>
        <v>16</v>
      </c>
      <c r="AO268" s="34">
        <f>IF($D268 = "SPLIT", "",COUNTIFS($D$7:$D$347,$D268,AF$7:AF$347,"&gt;"&amp;AF268)+1)</f>
        <v>21</v>
      </c>
    </row>
    <row r="269" spans="1:41" hidden="1" x14ac:dyDescent="0.25">
      <c r="A269" s="25">
        <v>540176</v>
      </c>
      <c r="B269" s="25" t="s">
        <v>428</v>
      </c>
      <c r="C269" s="25" t="s">
        <v>419</v>
      </c>
      <c r="D269" s="25" t="s">
        <v>55</v>
      </c>
      <c r="E269" s="26">
        <v>7</v>
      </c>
      <c r="F269" s="26" t="s">
        <v>429</v>
      </c>
      <c r="G269" s="26">
        <v>23</v>
      </c>
      <c r="H269" s="26">
        <v>0</v>
      </c>
      <c r="I269" s="26">
        <v>11</v>
      </c>
      <c r="J269" s="26">
        <v>2</v>
      </c>
      <c r="K269" s="26">
        <v>36</v>
      </c>
      <c r="L269" s="35">
        <v>0.63900000000000001</v>
      </c>
      <c r="M269" s="35">
        <v>0</v>
      </c>
      <c r="N269" s="35">
        <v>0.30599999999999999</v>
      </c>
      <c r="O269" s="35">
        <v>5.6000000000000001E-2</v>
      </c>
      <c r="P269" s="35">
        <v>5.6000000000000001E-2</v>
      </c>
      <c r="Q269" s="35">
        <v>0</v>
      </c>
      <c r="S269" s="26">
        <v>1</v>
      </c>
      <c r="T269" s="26">
        <v>0</v>
      </c>
      <c r="U269" s="26">
        <v>0</v>
      </c>
      <c r="W269" s="26">
        <v>1949.8</v>
      </c>
      <c r="X269" s="26">
        <v>1940</v>
      </c>
      <c r="Y269" s="28">
        <v>192598.8</v>
      </c>
      <c r="Z269" s="28">
        <v>37350</v>
      </c>
      <c r="AA269" s="28">
        <v>38824.5</v>
      </c>
      <c r="AB269" s="28">
        <v>36600</v>
      </c>
      <c r="AC269" s="35">
        <v>0.123</v>
      </c>
      <c r="AD269" s="35">
        <v>0.11</v>
      </c>
      <c r="AE269" s="28">
        <v>4965.8</v>
      </c>
      <c r="AF269" s="28">
        <v>4583.5</v>
      </c>
      <c r="AH269" s="29">
        <f>IF($D269 = "SPLIT", "",COUNTIFS($D$7:$D$347,$D269,N$7:N$347,"&gt;"&amp;N269)+1)</f>
        <v>37</v>
      </c>
      <c r="AI269" s="29">
        <f>IF($D269 = "SPLIT", "",COUNTIFS($D$7:$D$347,$D269,S$7:S$347,"&gt;"&amp;S269)+1)</f>
        <v>153</v>
      </c>
      <c r="AJ269" s="29">
        <f>IF($D269 = "SPLIT", "",COUNTIFS($D$7:$D$347,$D269,T$7:T$347,"&gt;"&amp;T269)+1)</f>
        <v>113</v>
      </c>
      <c r="AK269" s="29">
        <f>IF($D269 = "SPLIT", "",COUNTIFS($D$7:$D$347,$D269,X$7:X$347,"&lt;"&amp;X269)+1)</f>
        <v>72</v>
      </c>
      <c r="AL269" s="29">
        <f>IF($D269 = "SPLIT", "",COUNTIFS($D$7:$D$347,$D269,Z$7:Z$347,"&gt;"&amp;Z269)+1)</f>
        <v>123</v>
      </c>
      <c r="AM269" s="29">
        <f>IF($D269 = "SPLIT", "",COUNTIFS($D$7:$D$347,$D269,AB$7:AB$347,"&gt;"&amp;AB269)+1)</f>
        <v>110</v>
      </c>
      <c r="AN269" s="29">
        <f>IF($D269 = "SPLIT", "",COUNTIFS($D$7:$D$347,$D269,AD$7:AD$347,"&gt;"&amp;AD269)+1)</f>
        <v>106</v>
      </c>
      <c r="AO269" s="29">
        <f>IF($D269 = "SPLIT", "",COUNTIFS($D$7:$D$347,$D269,AF$7:AF$347,"&gt;"&amp;AF269)+1)</f>
        <v>99</v>
      </c>
    </row>
    <row r="270" spans="1:41" hidden="1" x14ac:dyDescent="0.25">
      <c r="A270" s="160"/>
      <c r="B270" s="160"/>
      <c r="C270" s="160" t="s">
        <v>419</v>
      </c>
      <c r="D270" s="160" t="s">
        <v>2</v>
      </c>
      <c r="E270" s="161">
        <v>7</v>
      </c>
      <c r="F270" s="161"/>
      <c r="G270" s="161">
        <v>1114</v>
      </c>
      <c r="H270" s="161">
        <v>22</v>
      </c>
      <c r="I270" s="161">
        <v>353</v>
      </c>
      <c r="J270" s="161">
        <v>139</v>
      </c>
      <c r="K270" s="161">
        <v>1628</v>
      </c>
      <c r="L270" s="162">
        <v>0.68400000000000005</v>
      </c>
      <c r="M270" s="162">
        <v>1.4E-2</v>
      </c>
      <c r="N270" s="162">
        <v>0.217</v>
      </c>
      <c r="O270" s="162">
        <v>8.5000000000000006E-2</v>
      </c>
      <c r="P270" s="162">
        <v>5.8999999999999997E-2</v>
      </c>
      <c r="Q270" s="162">
        <v>8.9999999999999993E-3</v>
      </c>
      <c r="S270" s="161">
        <v>235</v>
      </c>
      <c r="T270" s="161">
        <v>44</v>
      </c>
      <c r="U270" s="161">
        <v>9</v>
      </c>
      <c r="W270" s="161">
        <v>1966.3</v>
      </c>
      <c r="X270" s="161">
        <v>1974</v>
      </c>
      <c r="Y270" s="163">
        <v>68710.2</v>
      </c>
      <c r="Z270" s="163">
        <v>41550</v>
      </c>
      <c r="AA270" s="163">
        <v>64608.9</v>
      </c>
      <c r="AB270" s="163">
        <v>52800</v>
      </c>
      <c r="AC270" s="162">
        <v>0.27200000000000002</v>
      </c>
      <c r="AD270" s="162">
        <v>0.21</v>
      </c>
      <c r="AE270" s="163">
        <v>14494.6</v>
      </c>
      <c r="AF270" s="163">
        <v>7105.2</v>
      </c>
      <c r="AH270" s="164">
        <f>IF($D270 = "SPLIT", "",COUNTIFS($D$7:$D$347,$D270,N$7:N$347,"&gt;"&amp;N270)+1)</f>
        <v>28</v>
      </c>
      <c r="AI270" s="164">
        <f>IF($D270 = "SPLIT", "",COUNTIFS($D$7:$D$347,$D270,S$7:S$347,"&gt;"&amp;S270)+1)</f>
        <v>26</v>
      </c>
      <c r="AJ270" s="164">
        <f>IF($D270 = "SPLIT", "",COUNTIFS($D$7:$D$347,$D270,T$7:T$347,"&gt;"&amp;T270)+1)</f>
        <v>25</v>
      </c>
      <c r="AK270" s="164">
        <f>IF($D270 = "SPLIT", "",COUNTIFS($D$7:$D$347,$D270,X$7:X$347,"&lt;"&amp;X270)+1)</f>
        <v>43</v>
      </c>
      <c r="AL270" s="164">
        <f>IF($D270 = "SPLIT", "",COUNTIFS($D$7:$D$347,$D270,Z$7:Z$347,"&gt;"&amp;Z270)+1)</f>
        <v>26</v>
      </c>
      <c r="AM270" s="164">
        <f>IF($D270 = "SPLIT", "",COUNTIFS($D$7:$D$347,$D270,AB$7:AB$347,"&gt;"&amp;AB270)+1)</f>
        <v>21</v>
      </c>
      <c r="AN270" s="164">
        <f>IF($D270 = "SPLIT", "",COUNTIFS($D$7:$D$347,$D270,AD$7:AD$347,"&gt;"&amp;AD270)+1)</f>
        <v>14</v>
      </c>
      <c r="AO270" s="164">
        <f>IF($D270 = "SPLIT", "",COUNTIFS($D$7:$D$347,$D270,AF$7:AF$347,"&gt;"&amp;AF270)+1)</f>
        <v>21</v>
      </c>
    </row>
    <row r="271" spans="1:41" hidden="1" x14ac:dyDescent="0.25">
      <c r="A271" s="25">
        <v>540262</v>
      </c>
      <c r="B271" s="25" t="s">
        <v>430</v>
      </c>
      <c r="C271" s="25" t="s">
        <v>431</v>
      </c>
      <c r="D271" s="25" t="s">
        <v>55</v>
      </c>
      <c r="E271" s="26">
        <v>5</v>
      </c>
      <c r="F271" s="26" t="s">
        <v>141</v>
      </c>
      <c r="G271" s="26">
        <v>15</v>
      </c>
      <c r="H271" s="26">
        <v>0</v>
      </c>
      <c r="I271" s="26">
        <v>2</v>
      </c>
      <c r="J271" s="26">
        <v>0</v>
      </c>
      <c r="K271" s="26">
        <v>17</v>
      </c>
      <c r="L271" s="35">
        <v>0.88200000000000001</v>
      </c>
      <c r="M271" s="35">
        <v>0</v>
      </c>
      <c r="N271" s="35">
        <v>0.11799999999999999</v>
      </c>
      <c r="O271" s="35">
        <v>0</v>
      </c>
      <c r="P271" s="35">
        <v>0</v>
      </c>
      <c r="Q271" s="35">
        <v>0</v>
      </c>
      <c r="S271" s="26">
        <v>1</v>
      </c>
      <c r="T271" s="26">
        <v>0</v>
      </c>
      <c r="U271" s="26">
        <v>0</v>
      </c>
      <c r="W271" s="26">
        <v>1930.4</v>
      </c>
      <c r="X271" s="26">
        <v>1920</v>
      </c>
      <c r="Y271" s="28">
        <v>21888.2</v>
      </c>
      <c r="Z271" s="28">
        <v>16200</v>
      </c>
      <c r="AA271" s="28">
        <v>20877.5</v>
      </c>
      <c r="AB271" s="28">
        <v>15950</v>
      </c>
      <c r="AC271" s="35">
        <v>0.20200000000000001</v>
      </c>
      <c r="AD271" s="35">
        <v>0.16800000000000001</v>
      </c>
      <c r="AE271" s="28">
        <v>3675.8</v>
      </c>
      <c r="AF271" s="28">
        <v>2979.9</v>
      </c>
      <c r="AH271" s="29">
        <f>IF($D271 = "SPLIT", "",COUNTIFS($D$7:$D$347,$D271,N$7:N$347,"&gt;"&amp;N271)+1)</f>
        <v>114</v>
      </c>
      <c r="AI271" s="29">
        <f>IF($D271 = "SPLIT", "",COUNTIFS($D$7:$D$347,$D271,S$7:S$347,"&gt;"&amp;S271)+1)</f>
        <v>153</v>
      </c>
      <c r="AJ271" s="29">
        <f>IF($D271 = "SPLIT", "",COUNTIFS($D$7:$D$347,$D271,T$7:T$347,"&gt;"&amp;T271)+1)</f>
        <v>113</v>
      </c>
      <c r="AK271" s="29">
        <f>IF($D271 = "SPLIT", "",COUNTIFS($D$7:$D$347,$D271,X$7:X$347,"&lt;"&amp;X271)+1)</f>
        <v>21</v>
      </c>
      <c r="AL271" s="29">
        <f>IF($D271 = "SPLIT", "",COUNTIFS($D$7:$D$347,$D271,Z$7:Z$347,"&gt;"&amp;Z271)+1)</f>
        <v>201</v>
      </c>
      <c r="AM271" s="29">
        <f>IF($D271 = "SPLIT", "",COUNTIFS($D$7:$D$347,$D271,AB$7:AB$347,"&gt;"&amp;AB271)+1)</f>
        <v>196</v>
      </c>
      <c r="AN271" s="29">
        <f>IF($D271 = "SPLIT", "",COUNTIFS($D$7:$D$347,$D271,AD$7:AD$347,"&gt;"&amp;AD271)+1)</f>
        <v>64</v>
      </c>
      <c r="AO271" s="29">
        <f>IF($D271 = "SPLIT", "",COUNTIFS($D$7:$D$347,$D271,AF$7:AF$347,"&gt;"&amp;AF271)+1)</f>
        <v>137</v>
      </c>
    </row>
    <row r="272" spans="1:41" hidden="1" x14ac:dyDescent="0.25">
      <c r="A272" s="25">
        <v>540179</v>
      </c>
      <c r="B272" s="25" t="s">
        <v>432</v>
      </c>
      <c r="C272" s="25" t="s">
        <v>431</v>
      </c>
      <c r="D272" s="25" t="s">
        <v>55</v>
      </c>
      <c r="E272" s="26">
        <v>5</v>
      </c>
      <c r="F272" s="26" t="s">
        <v>101</v>
      </c>
      <c r="G272" s="26">
        <v>23</v>
      </c>
      <c r="H272" s="26">
        <v>0</v>
      </c>
      <c r="I272" s="26">
        <v>3</v>
      </c>
      <c r="J272" s="26">
        <v>0</v>
      </c>
      <c r="K272" s="26">
        <v>26</v>
      </c>
      <c r="L272" s="35">
        <v>0.88500000000000001</v>
      </c>
      <c r="M272" s="35">
        <v>0</v>
      </c>
      <c r="N272" s="35">
        <v>0.115</v>
      </c>
      <c r="O272" s="35">
        <v>0</v>
      </c>
      <c r="P272" s="35">
        <v>0</v>
      </c>
      <c r="Q272" s="35">
        <v>0</v>
      </c>
      <c r="S272" s="26">
        <v>1</v>
      </c>
      <c r="T272" s="26">
        <v>0</v>
      </c>
      <c r="U272" s="26">
        <v>0</v>
      </c>
      <c r="W272" s="26">
        <v>1927</v>
      </c>
      <c r="X272" s="26">
        <v>1916.5</v>
      </c>
      <c r="Y272" s="28">
        <v>43150.8</v>
      </c>
      <c r="Z272" s="28">
        <v>32300</v>
      </c>
      <c r="AA272" s="28">
        <v>44334.3</v>
      </c>
      <c r="AB272" s="28">
        <v>33700</v>
      </c>
      <c r="AC272" s="35">
        <v>9.2999999999999999E-2</v>
      </c>
      <c r="AD272" s="35">
        <v>6.9000000000000006E-2</v>
      </c>
      <c r="AE272" s="28">
        <v>3433.7</v>
      </c>
      <c r="AF272" s="28">
        <v>2090.6999999999998</v>
      </c>
      <c r="AH272" s="29">
        <f>IF($D272 = "SPLIT", "",COUNTIFS($D$7:$D$347,$D272,N$7:N$347,"&gt;"&amp;N272)+1)</f>
        <v>116</v>
      </c>
      <c r="AI272" s="29">
        <f>IF($D272 = "SPLIT", "",COUNTIFS($D$7:$D$347,$D272,S$7:S$347,"&gt;"&amp;S272)+1)</f>
        <v>153</v>
      </c>
      <c r="AJ272" s="29">
        <f>IF($D272 = "SPLIT", "",COUNTIFS($D$7:$D$347,$D272,T$7:T$347,"&gt;"&amp;T272)+1)</f>
        <v>113</v>
      </c>
      <c r="AK272" s="29">
        <f>IF($D272 = "SPLIT", "",COUNTIFS($D$7:$D$347,$D272,X$7:X$347,"&lt;"&amp;X272)+1)</f>
        <v>20</v>
      </c>
      <c r="AL272" s="29">
        <f>IF($D272 = "SPLIT", "",COUNTIFS($D$7:$D$347,$D272,Z$7:Z$347,"&gt;"&amp;Z272)+1)</f>
        <v>147</v>
      </c>
      <c r="AM272" s="29">
        <f>IF($D272 = "SPLIT", "",COUNTIFS($D$7:$D$347,$D272,AB$7:AB$347,"&gt;"&amp;AB272)+1)</f>
        <v>120</v>
      </c>
      <c r="AN272" s="29">
        <f>IF($D272 = "SPLIT", "",COUNTIFS($D$7:$D$347,$D272,AD$7:AD$347,"&gt;"&amp;AD272)+1)</f>
        <v>146</v>
      </c>
      <c r="AO272" s="29">
        <f>IF($D272 = "SPLIT", "",COUNTIFS($D$7:$D$347,$D272,AF$7:AF$347,"&gt;"&amp;AF272)+1)</f>
        <v>160</v>
      </c>
    </row>
    <row r="273" spans="1:41" hidden="1" x14ac:dyDescent="0.25">
      <c r="A273" s="25">
        <v>540180</v>
      </c>
      <c r="B273" s="25" t="s">
        <v>433</v>
      </c>
      <c r="C273" s="25" t="s">
        <v>431</v>
      </c>
      <c r="D273" s="25" t="s">
        <v>55</v>
      </c>
      <c r="E273" s="26">
        <v>5</v>
      </c>
      <c r="F273" s="26" t="s">
        <v>149</v>
      </c>
      <c r="G273" s="26">
        <v>10</v>
      </c>
      <c r="H273" s="26">
        <v>1</v>
      </c>
      <c r="I273" s="26">
        <v>6</v>
      </c>
      <c r="J273" s="26">
        <v>1</v>
      </c>
      <c r="K273" s="26">
        <v>18</v>
      </c>
      <c r="L273" s="35">
        <v>0.55600000000000005</v>
      </c>
      <c r="M273" s="35">
        <v>5.6000000000000001E-2</v>
      </c>
      <c r="N273" s="35">
        <v>0.33300000000000002</v>
      </c>
      <c r="O273" s="35">
        <v>5.6000000000000001E-2</v>
      </c>
      <c r="P273" s="35">
        <v>0</v>
      </c>
      <c r="Q273" s="35">
        <v>0</v>
      </c>
      <c r="S273" s="26">
        <v>1</v>
      </c>
      <c r="T273" s="26">
        <v>0</v>
      </c>
      <c r="U273" s="26">
        <v>0</v>
      </c>
      <c r="W273" s="26">
        <v>1972.1</v>
      </c>
      <c r="X273" s="26">
        <v>1975</v>
      </c>
      <c r="Y273" s="28">
        <v>53303.9</v>
      </c>
      <c r="Z273" s="28">
        <v>35700</v>
      </c>
      <c r="AA273" s="28">
        <v>34352.699999999997</v>
      </c>
      <c r="AB273" s="28">
        <v>31700</v>
      </c>
      <c r="AC273" s="35">
        <v>4.5999999999999999E-2</v>
      </c>
      <c r="AD273" s="35">
        <v>5.1999999999999998E-2</v>
      </c>
      <c r="AE273" s="28">
        <v>4584.3999999999996</v>
      </c>
      <c r="AF273" s="28">
        <v>2909</v>
      </c>
      <c r="AH273" s="29">
        <f>IF($D273 = "SPLIT", "",COUNTIFS($D$7:$D$347,$D273,N$7:N$347,"&gt;"&amp;N273)+1)</f>
        <v>31</v>
      </c>
      <c r="AI273" s="29">
        <f>IF($D273 = "SPLIT", "",COUNTIFS($D$7:$D$347,$D273,S$7:S$347,"&gt;"&amp;S273)+1)</f>
        <v>153</v>
      </c>
      <c r="AJ273" s="29">
        <f>IF($D273 = "SPLIT", "",COUNTIFS($D$7:$D$347,$D273,T$7:T$347,"&gt;"&amp;T273)+1)</f>
        <v>113</v>
      </c>
      <c r="AK273" s="29">
        <f>IF($D273 = "SPLIT", "",COUNTIFS($D$7:$D$347,$D273,X$7:X$347,"&lt;"&amp;X273)+1)</f>
        <v>175</v>
      </c>
      <c r="AL273" s="29">
        <f>IF($D273 = "SPLIT", "",COUNTIFS($D$7:$D$347,$D273,Z$7:Z$347,"&gt;"&amp;Z273)+1)</f>
        <v>133</v>
      </c>
      <c r="AM273" s="29">
        <f>IF($D273 = "SPLIT", "",COUNTIFS($D$7:$D$347,$D273,AB$7:AB$347,"&gt;"&amp;AB273)+1)</f>
        <v>130</v>
      </c>
      <c r="AN273" s="29">
        <f>IF($D273 = "SPLIT", "",COUNTIFS($D$7:$D$347,$D273,AD$7:AD$347,"&gt;"&amp;AD273)+1)</f>
        <v>166</v>
      </c>
      <c r="AO273" s="29">
        <f>IF($D273 = "SPLIT", "",COUNTIFS($D$7:$D$347,$D273,AF$7:AF$347,"&gt;"&amp;AF273)+1)</f>
        <v>138</v>
      </c>
    </row>
    <row r="274" spans="1:41" hidden="1" x14ac:dyDescent="0.25">
      <c r="A274" s="25">
        <v>540132</v>
      </c>
      <c r="B274" s="25" t="s">
        <v>434</v>
      </c>
      <c r="C274" s="25" t="s">
        <v>431</v>
      </c>
      <c r="D274" s="25" t="s">
        <v>55</v>
      </c>
      <c r="E274" s="26">
        <v>5</v>
      </c>
      <c r="F274" s="26" t="s">
        <v>435</v>
      </c>
      <c r="G274" s="26">
        <v>1</v>
      </c>
      <c r="H274" s="26">
        <v>0</v>
      </c>
      <c r="I274" s="26">
        <v>0</v>
      </c>
      <c r="J274" s="26">
        <v>0</v>
      </c>
      <c r="K274" s="26">
        <v>1</v>
      </c>
      <c r="L274" s="35">
        <v>1</v>
      </c>
      <c r="M274" s="35">
        <v>0</v>
      </c>
      <c r="N274" s="35">
        <v>0</v>
      </c>
      <c r="O274" s="35">
        <v>0</v>
      </c>
      <c r="P274" s="35">
        <v>0</v>
      </c>
      <c r="Q274" s="35">
        <v>0</v>
      </c>
      <c r="S274" s="26">
        <v>0</v>
      </c>
      <c r="T274" s="26">
        <v>0</v>
      </c>
      <c r="U274" s="26">
        <v>0</v>
      </c>
      <c r="W274" s="26">
        <v>0</v>
      </c>
      <c r="X274" s="26">
        <v>0</v>
      </c>
      <c r="Y274" s="28">
        <v>17000</v>
      </c>
      <c r="Z274" s="28">
        <v>17000</v>
      </c>
      <c r="AA274" s="28">
        <v>17000</v>
      </c>
      <c r="AB274" s="28">
        <v>17000</v>
      </c>
      <c r="AC274" s="35">
        <v>0</v>
      </c>
      <c r="AD274" s="35">
        <v>0</v>
      </c>
      <c r="AE274" s="28">
        <v>0</v>
      </c>
      <c r="AF274" s="28">
        <v>0</v>
      </c>
      <c r="AH274" s="29">
        <f>IF($D274 = "SPLIT", "",COUNTIFS($D$7:$D$347,$D274,N$7:N$347,"&gt;"&amp;N274)+1)</f>
        <v>195</v>
      </c>
      <c r="AI274" s="29">
        <f>IF($D274 = "SPLIT", "",COUNTIFS($D$7:$D$347,$D274,S$7:S$347,"&gt;"&amp;S274)+1)</f>
        <v>177</v>
      </c>
      <c r="AJ274" s="29">
        <f>IF($D274 = "SPLIT", "",COUNTIFS($D$7:$D$347,$D274,T$7:T$347,"&gt;"&amp;T274)+1)</f>
        <v>113</v>
      </c>
      <c r="AK274" s="29">
        <f>IF($D274 = "SPLIT", "",COUNTIFS($D$7:$D$347,$D274,X$7:X$347,"&lt;"&amp;X274)+1)</f>
        <v>1</v>
      </c>
      <c r="AL274" s="29">
        <f>IF($D274 = "SPLIT", "",COUNTIFS($D$7:$D$347,$D274,Z$7:Z$347,"&gt;"&amp;Z274)+1)</f>
        <v>199</v>
      </c>
      <c r="AM274" s="29">
        <f>IF($D274 = "SPLIT", "",COUNTIFS($D$7:$D$347,$D274,AB$7:AB$347,"&gt;"&amp;AB274)+1)</f>
        <v>191</v>
      </c>
      <c r="AN274" s="29">
        <f>IF($D274 = "SPLIT", "",COUNTIFS($D$7:$D$347,$D274,AD$7:AD$347,"&gt;"&amp;AD274)+1)</f>
        <v>198</v>
      </c>
      <c r="AO274" s="29">
        <f>IF($D274 = "SPLIT", "",COUNTIFS($D$7:$D$347,$D274,AF$7:AF$347,"&gt;"&amp;AF274)+1)</f>
        <v>198</v>
      </c>
    </row>
    <row r="275" spans="1:41" hidden="1" x14ac:dyDescent="0.25">
      <c r="A275" s="25">
        <v>540182</v>
      </c>
      <c r="B275" s="25" t="s">
        <v>436</v>
      </c>
      <c r="C275" s="25" t="s">
        <v>431</v>
      </c>
      <c r="D275" s="25" t="s">
        <v>55</v>
      </c>
      <c r="E275" s="26">
        <v>5</v>
      </c>
      <c r="F275" s="26" t="s">
        <v>437</v>
      </c>
      <c r="G275" s="26">
        <v>25</v>
      </c>
      <c r="H275" s="26">
        <v>2</v>
      </c>
      <c r="I275" s="26">
        <v>5</v>
      </c>
      <c r="J275" s="26">
        <v>0</v>
      </c>
      <c r="K275" s="26">
        <v>32</v>
      </c>
      <c r="L275" s="35">
        <v>0.78100000000000003</v>
      </c>
      <c r="M275" s="35">
        <v>6.3E-2</v>
      </c>
      <c r="N275" s="35">
        <v>0.156</v>
      </c>
      <c r="O275" s="35">
        <v>0</v>
      </c>
      <c r="P275" s="35">
        <v>0</v>
      </c>
      <c r="Q275" s="35">
        <v>0</v>
      </c>
      <c r="S275" s="26">
        <v>1</v>
      </c>
      <c r="T275" s="26">
        <v>0</v>
      </c>
      <c r="U275" s="26">
        <v>0</v>
      </c>
      <c r="W275" s="26">
        <v>1953.8</v>
      </c>
      <c r="X275" s="26">
        <v>1963</v>
      </c>
      <c r="Y275" s="28">
        <v>108551</v>
      </c>
      <c r="Z275" s="28">
        <v>67550</v>
      </c>
      <c r="AA275" s="28">
        <v>61463.8</v>
      </c>
      <c r="AB275" s="28">
        <v>67550</v>
      </c>
      <c r="AC275" s="35">
        <v>5.6000000000000001E-2</v>
      </c>
      <c r="AD275" s="35">
        <v>0.06</v>
      </c>
      <c r="AE275" s="28">
        <v>3959.1</v>
      </c>
      <c r="AF275" s="28">
        <v>2302.8000000000002</v>
      </c>
      <c r="AH275" s="29">
        <f>IF($D275 = "SPLIT", "",COUNTIFS($D$7:$D$347,$D275,N$7:N$347,"&gt;"&amp;N275)+1)</f>
        <v>89</v>
      </c>
      <c r="AI275" s="29">
        <f>IF($D275 = "SPLIT", "",COUNTIFS($D$7:$D$347,$D275,S$7:S$347,"&gt;"&amp;S275)+1)</f>
        <v>153</v>
      </c>
      <c r="AJ275" s="29">
        <f>IF($D275 = "SPLIT", "",COUNTIFS($D$7:$D$347,$D275,T$7:T$347,"&gt;"&amp;T275)+1)</f>
        <v>113</v>
      </c>
      <c r="AK275" s="29">
        <f>IF($D275 = "SPLIT", "",COUNTIFS($D$7:$D$347,$D275,X$7:X$347,"&lt;"&amp;X275)+1)</f>
        <v>152</v>
      </c>
      <c r="AL275" s="29">
        <f>IF($D275 = "SPLIT", "",COUNTIFS($D$7:$D$347,$D275,Z$7:Z$347,"&gt;"&amp;Z275)+1)</f>
        <v>39</v>
      </c>
      <c r="AM275" s="29">
        <f>IF($D275 = "SPLIT", "",COUNTIFS($D$7:$D$347,$D275,AB$7:AB$347,"&gt;"&amp;AB275)+1)</f>
        <v>24</v>
      </c>
      <c r="AN275" s="29">
        <f>IF($D275 = "SPLIT", "",COUNTIFS($D$7:$D$347,$D275,AD$7:AD$347,"&gt;"&amp;AD275)+1)</f>
        <v>157</v>
      </c>
      <c r="AO275" s="29">
        <f>IF($D275 = "SPLIT", "",COUNTIFS($D$7:$D$347,$D275,AF$7:AF$347,"&gt;"&amp;AF275)+1)</f>
        <v>152</v>
      </c>
    </row>
    <row r="276" spans="1:41" hidden="1" x14ac:dyDescent="0.25">
      <c r="A276" s="25">
        <v>540263</v>
      </c>
      <c r="B276" s="25" t="s">
        <v>438</v>
      </c>
      <c r="C276" s="25" t="s">
        <v>431</v>
      </c>
      <c r="D276" s="25" t="s">
        <v>55</v>
      </c>
      <c r="E276" s="26">
        <v>5</v>
      </c>
      <c r="F276" s="26" t="s">
        <v>429</v>
      </c>
      <c r="G276" s="26">
        <v>12</v>
      </c>
      <c r="H276" s="26">
        <v>2</v>
      </c>
      <c r="I276" s="26">
        <v>1</v>
      </c>
      <c r="J276" s="26">
        <v>0</v>
      </c>
      <c r="K276" s="26">
        <v>15</v>
      </c>
      <c r="L276" s="35">
        <v>0.8</v>
      </c>
      <c r="M276" s="35">
        <v>0.13300000000000001</v>
      </c>
      <c r="N276" s="35">
        <v>6.7000000000000004E-2</v>
      </c>
      <c r="O276" s="35">
        <v>0</v>
      </c>
      <c r="P276" s="35">
        <v>0</v>
      </c>
      <c r="Q276" s="35">
        <v>0</v>
      </c>
      <c r="S276" s="26">
        <v>0</v>
      </c>
      <c r="T276" s="26">
        <v>0</v>
      </c>
      <c r="U276" s="26">
        <v>0</v>
      </c>
      <c r="W276" s="26">
        <v>1941.2</v>
      </c>
      <c r="X276" s="26">
        <v>1950</v>
      </c>
      <c r="Y276" s="28">
        <v>42409.3</v>
      </c>
      <c r="Z276" s="28">
        <v>39100</v>
      </c>
      <c r="AA276" s="28">
        <v>34155.4</v>
      </c>
      <c r="AB276" s="28">
        <v>32600</v>
      </c>
      <c r="AC276" s="35">
        <v>9.1999999999999998E-2</v>
      </c>
      <c r="AD276" s="35">
        <v>9.1999999999999998E-2</v>
      </c>
      <c r="AE276" s="28">
        <v>4086.8</v>
      </c>
      <c r="AF276" s="28">
        <v>4086.8</v>
      </c>
      <c r="AH276" s="29">
        <f>IF($D276 = "SPLIT", "",COUNTIFS($D$7:$D$347,$D276,N$7:N$347,"&gt;"&amp;N276)+1)</f>
        <v>157</v>
      </c>
      <c r="AI276" s="29">
        <f>IF($D276 = "SPLIT", "",COUNTIFS($D$7:$D$347,$D276,S$7:S$347,"&gt;"&amp;S276)+1)</f>
        <v>177</v>
      </c>
      <c r="AJ276" s="29">
        <f>IF($D276 = "SPLIT", "",COUNTIFS($D$7:$D$347,$D276,T$7:T$347,"&gt;"&amp;T276)+1)</f>
        <v>113</v>
      </c>
      <c r="AK276" s="29">
        <f>IF($D276 = "SPLIT", "",COUNTIFS($D$7:$D$347,$D276,X$7:X$347,"&lt;"&amp;X276)+1)</f>
        <v>120</v>
      </c>
      <c r="AL276" s="29">
        <f>IF($D276 = "SPLIT", "",COUNTIFS($D$7:$D$347,$D276,Z$7:Z$347,"&gt;"&amp;Z276)+1)</f>
        <v>117</v>
      </c>
      <c r="AM276" s="29">
        <f>IF($D276 = "SPLIT", "",COUNTIFS($D$7:$D$347,$D276,AB$7:AB$347,"&gt;"&amp;AB276)+1)</f>
        <v>126</v>
      </c>
      <c r="AN276" s="29">
        <f>IF($D276 = "SPLIT", "",COUNTIFS($D$7:$D$347,$D276,AD$7:AD$347,"&gt;"&amp;AD276)+1)</f>
        <v>127</v>
      </c>
      <c r="AO276" s="29">
        <f>IF($D276 = "SPLIT", "",COUNTIFS($D$7:$D$347,$D276,AF$7:AF$347,"&gt;"&amp;AF276)+1)</f>
        <v>115</v>
      </c>
    </row>
    <row r="277" spans="1:41" hidden="1" x14ac:dyDescent="0.25">
      <c r="A277" s="30">
        <v>540224</v>
      </c>
      <c r="B277" s="30" t="s">
        <v>439</v>
      </c>
      <c r="C277" s="30" t="s">
        <v>431</v>
      </c>
      <c r="D277" s="30" t="s">
        <v>52</v>
      </c>
      <c r="E277" s="31">
        <v>5</v>
      </c>
      <c r="F277" s="31" t="s">
        <v>440</v>
      </c>
      <c r="G277" s="31">
        <v>300</v>
      </c>
      <c r="H277" s="31">
        <v>29</v>
      </c>
      <c r="I277" s="31">
        <v>60</v>
      </c>
      <c r="J277" s="31">
        <v>7</v>
      </c>
      <c r="K277" s="31">
        <v>396</v>
      </c>
      <c r="L277" s="32">
        <v>0.75800000000000001</v>
      </c>
      <c r="M277" s="32">
        <v>7.2999999999999995E-2</v>
      </c>
      <c r="N277" s="32">
        <v>0.152</v>
      </c>
      <c r="O277" s="32">
        <v>1.7999999999999999E-2</v>
      </c>
      <c r="P277" s="32">
        <v>1.4999999999999999E-2</v>
      </c>
      <c r="Q277" s="32">
        <v>0</v>
      </c>
      <c r="S277" s="31">
        <v>46</v>
      </c>
      <c r="T277" s="31">
        <v>10</v>
      </c>
      <c r="U277" s="31">
        <v>7</v>
      </c>
      <c r="W277" s="31">
        <v>1952.6</v>
      </c>
      <c r="X277" s="31">
        <v>1960</v>
      </c>
      <c r="Y277" s="33">
        <v>43597.9</v>
      </c>
      <c r="Z277" s="33">
        <v>29800</v>
      </c>
      <c r="AA277" s="33">
        <v>40974.300000000003</v>
      </c>
      <c r="AB277" s="33">
        <v>29450</v>
      </c>
      <c r="AC277" s="32">
        <v>0.24099999999999999</v>
      </c>
      <c r="AD277" s="32">
        <v>0.14000000000000001</v>
      </c>
      <c r="AE277" s="33">
        <v>5416.1</v>
      </c>
      <c r="AF277" s="33">
        <v>3245.4</v>
      </c>
      <c r="AH277" s="34">
        <f>IF($D277 = "SPLIT", "",COUNTIFS($D$7:$D$347,$D277,N$7:N$347,"&gt;"&amp;N277)+1)</f>
        <v>48</v>
      </c>
      <c r="AI277" s="34">
        <f>IF($D277 = "SPLIT", "",COUNTIFS($D$7:$D$347,$D277,S$7:S$347,"&gt;"&amp;S277)+1)</f>
        <v>48</v>
      </c>
      <c r="AJ277" s="34">
        <f>IF($D277 = "SPLIT", "",COUNTIFS($D$7:$D$347,$D277,T$7:T$347,"&gt;"&amp;T277)+1)</f>
        <v>40</v>
      </c>
      <c r="AK277" s="34">
        <f>IF($D277 = "SPLIT", "",COUNTIFS($D$7:$D$347,$D277,X$7:X$347,"&lt;"&amp;X277)+1)</f>
        <v>6</v>
      </c>
      <c r="AL277" s="34">
        <f>IF($D277 = "SPLIT", "",COUNTIFS($D$7:$D$347,$D277,Z$7:Z$347,"&gt;"&amp;Z277)+1)</f>
        <v>39</v>
      </c>
      <c r="AM277" s="34">
        <f>IF($D277 = "SPLIT", "",COUNTIFS($D$7:$D$347,$D277,AB$7:AB$347,"&gt;"&amp;AB277)+1)</f>
        <v>37</v>
      </c>
      <c r="AN277" s="34">
        <f>IF($D277 = "SPLIT", "",COUNTIFS($D$7:$D$347,$D277,AD$7:AD$347,"&gt;"&amp;AD277)+1)</f>
        <v>40</v>
      </c>
      <c r="AO277" s="34">
        <f>IF($D277 = "SPLIT", "",COUNTIFS($D$7:$D$347,$D277,AF$7:AF$347,"&gt;"&amp;AF277)+1)</f>
        <v>51</v>
      </c>
    </row>
    <row r="278" spans="1:41" hidden="1" x14ac:dyDescent="0.25">
      <c r="A278" s="160"/>
      <c r="B278" s="160"/>
      <c r="C278" s="160" t="s">
        <v>431</v>
      </c>
      <c r="D278" s="160" t="s">
        <v>2</v>
      </c>
      <c r="E278" s="161">
        <v>5</v>
      </c>
      <c r="F278" s="161"/>
      <c r="G278" s="161">
        <v>386</v>
      </c>
      <c r="H278" s="161">
        <v>34</v>
      </c>
      <c r="I278" s="161">
        <v>77</v>
      </c>
      <c r="J278" s="161">
        <v>8</v>
      </c>
      <c r="K278" s="161">
        <v>505</v>
      </c>
      <c r="L278" s="162">
        <v>0.76400000000000001</v>
      </c>
      <c r="M278" s="162">
        <v>6.7000000000000004E-2</v>
      </c>
      <c r="N278" s="162">
        <v>0.152</v>
      </c>
      <c r="O278" s="162">
        <v>1.6E-2</v>
      </c>
      <c r="P278" s="162">
        <v>1.2E-2</v>
      </c>
      <c r="Q278" s="162">
        <v>0</v>
      </c>
      <c r="S278" s="161">
        <v>50</v>
      </c>
      <c r="T278" s="161">
        <v>10</v>
      </c>
      <c r="U278" s="161">
        <v>7</v>
      </c>
      <c r="W278" s="161">
        <v>1950.9</v>
      </c>
      <c r="X278" s="161">
        <v>1960</v>
      </c>
      <c r="Y278" s="163">
        <v>47217.9</v>
      </c>
      <c r="Z278" s="163">
        <v>31500</v>
      </c>
      <c r="AA278" s="163">
        <v>47352.6</v>
      </c>
      <c r="AB278" s="163">
        <v>36000</v>
      </c>
      <c r="AC278" s="162">
        <v>0.21299999999999999</v>
      </c>
      <c r="AD278" s="162">
        <v>0.11799999999999999</v>
      </c>
      <c r="AE278" s="163">
        <v>5094.3999999999996</v>
      </c>
      <c r="AF278" s="163">
        <v>2918.4</v>
      </c>
      <c r="AH278" s="164">
        <f>IF($D278 = "SPLIT", "",COUNTIFS($D$7:$D$347,$D278,N$7:N$347,"&gt;"&amp;N278)+1)</f>
        <v>44</v>
      </c>
      <c r="AI278" s="164">
        <f>IF($D278 = "SPLIT", "",COUNTIFS($D$7:$D$347,$D278,S$7:S$347,"&gt;"&amp;S278)+1)</f>
        <v>52</v>
      </c>
      <c r="AJ278" s="164">
        <f>IF($D278 = "SPLIT", "",COUNTIFS($D$7:$D$347,$D278,T$7:T$347,"&gt;"&amp;T278)+1)</f>
        <v>45</v>
      </c>
      <c r="AK278" s="164">
        <f>IF($D278 = "SPLIT", "",COUNTIFS($D$7:$D$347,$D278,X$7:X$347,"&lt;"&amp;X278)+1)</f>
        <v>16</v>
      </c>
      <c r="AL278" s="164">
        <f>IF($D278 = "SPLIT", "",COUNTIFS($D$7:$D$347,$D278,Z$7:Z$347,"&gt;"&amp;Z278)+1)</f>
        <v>40</v>
      </c>
      <c r="AM278" s="164">
        <f>IF($D278 = "SPLIT", "",COUNTIFS($D$7:$D$347,$D278,AB$7:AB$347,"&gt;"&amp;AB278)+1)</f>
        <v>41</v>
      </c>
      <c r="AN278" s="164">
        <f>IF($D278 = "SPLIT", "",COUNTIFS($D$7:$D$347,$D278,AD$7:AD$347,"&gt;"&amp;AD278)+1)</f>
        <v>46</v>
      </c>
      <c r="AO278" s="164">
        <f>IF($D278 = "SPLIT", "",COUNTIFS($D$7:$D$347,$D278,AF$7:AF$347,"&gt;"&amp;AF278)+1)</f>
        <v>53</v>
      </c>
    </row>
    <row r="279" spans="1:41" hidden="1" x14ac:dyDescent="0.25">
      <c r="A279" s="25">
        <v>540184</v>
      </c>
      <c r="B279" s="25" t="s">
        <v>441</v>
      </c>
      <c r="C279" s="25" t="s">
        <v>442</v>
      </c>
      <c r="D279" s="25" t="s">
        <v>55</v>
      </c>
      <c r="E279" s="26">
        <v>5</v>
      </c>
      <c r="F279" s="26" t="s">
        <v>443</v>
      </c>
      <c r="G279" s="26">
        <v>23</v>
      </c>
      <c r="H279" s="26">
        <v>0</v>
      </c>
      <c r="I279" s="26">
        <v>5</v>
      </c>
      <c r="J279" s="26">
        <v>1</v>
      </c>
      <c r="K279" s="26">
        <v>29</v>
      </c>
      <c r="L279" s="35">
        <v>0.79300000000000004</v>
      </c>
      <c r="M279" s="35">
        <v>0</v>
      </c>
      <c r="N279" s="35">
        <v>0.17199999999999999</v>
      </c>
      <c r="O279" s="35">
        <v>3.4000000000000002E-2</v>
      </c>
      <c r="P279" s="35">
        <v>0</v>
      </c>
      <c r="Q279" s="35">
        <v>3.4000000000000002E-2</v>
      </c>
      <c r="S279" s="26">
        <v>0</v>
      </c>
      <c r="T279" s="26">
        <v>0</v>
      </c>
      <c r="U279" s="26">
        <v>1</v>
      </c>
      <c r="W279" s="26">
        <v>1935.4</v>
      </c>
      <c r="X279" s="26">
        <v>1920</v>
      </c>
      <c r="Y279" s="28">
        <v>48881.7</v>
      </c>
      <c r="Z279" s="28">
        <v>45400</v>
      </c>
      <c r="AA279" s="28">
        <v>43852.2</v>
      </c>
      <c r="AB279" s="28">
        <v>45400</v>
      </c>
      <c r="AC279" s="35">
        <v>8.2000000000000003E-2</v>
      </c>
      <c r="AD279" s="35">
        <v>4.5999999999999999E-2</v>
      </c>
      <c r="AE279" s="28">
        <v>2471.8000000000002</v>
      </c>
      <c r="AF279" s="28">
        <v>1327.4</v>
      </c>
      <c r="AH279" s="29">
        <f>IF($D279 = "SPLIT", "",COUNTIFS($D$7:$D$347,$D279,N$7:N$347,"&gt;"&amp;N279)+1)</f>
        <v>79</v>
      </c>
      <c r="AI279" s="29">
        <f>IF($D279 = "SPLIT", "",COUNTIFS($D$7:$D$347,$D279,S$7:S$347,"&gt;"&amp;S279)+1)</f>
        <v>177</v>
      </c>
      <c r="AJ279" s="29">
        <f>IF($D279 = "SPLIT", "",COUNTIFS($D$7:$D$347,$D279,T$7:T$347,"&gt;"&amp;T279)+1)</f>
        <v>113</v>
      </c>
      <c r="AK279" s="29">
        <f>IF($D279 = "SPLIT", "",COUNTIFS($D$7:$D$347,$D279,X$7:X$347,"&lt;"&amp;X279)+1)</f>
        <v>21</v>
      </c>
      <c r="AL279" s="29">
        <f>IF($D279 = "SPLIT", "",COUNTIFS($D$7:$D$347,$D279,Z$7:Z$347,"&gt;"&amp;Z279)+1)</f>
        <v>90</v>
      </c>
      <c r="AM279" s="29">
        <f>IF($D279 = "SPLIT", "",COUNTIFS($D$7:$D$347,$D279,AB$7:AB$347,"&gt;"&amp;AB279)+1)</f>
        <v>76</v>
      </c>
      <c r="AN279" s="29">
        <f>IF($D279 = "SPLIT", "",COUNTIFS($D$7:$D$347,$D279,AD$7:AD$347,"&gt;"&amp;AD279)+1)</f>
        <v>170</v>
      </c>
      <c r="AO279" s="29">
        <f>IF($D279 = "SPLIT", "",COUNTIFS($D$7:$D$347,$D279,AF$7:AF$347,"&gt;"&amp;AF279)+1)</f>
        <v>182</v>
      </c>
    </row>
    <row r="280" spans="1:41" hidden="1" x14ac:dyDescent="0.25">
      <c r="A280" s="30">
        <v>540183</v>
      </c>
      <c r="B280" s="30" t="s">
        <v>444</v>
      </c>
      <c r="C280" s="30" t="s">
        <v>442</v>
      </c>
      <c r="D280" s="30" t="s">
        <v>52</v>
      </c>
      <c r="E280" s="31">
        <v>5</v>
      </c>
      <c r="F280" s="31" t="s">
        <v>429</v>
      </c>
      <c r="G280" s="31">
        <v>474</v>
      </c>
      <c r="H280" s="31">
        <v>86</v>
      </c>
      <c r="I280" s="31">
        <v>229</v>
      </c>
      <c r="J280" s="31">
        <v>40</v>
      </c>
      <c r="K280" s="31">
        <v>829</v>
      </c>
      <c r="L280" s="32">
        <v>0.57199999999999995</v>
      </c>
      <c r="M280" s="32">
        <v>0.104</v>
      </c>
      <c r="N280" s="32">
        <v>0.27600000000000002</v>
      </c>
      <c r="O280" s="32">
        <v>4.8000000000000001E-2</v>
      </c>
      <c r="P280" s="32">
        <v>2.3E-2</v>
      </c>
      <c r="Q280" s="32">
        <v>1.2E-2</v>
      </c>
      <c r="S280" s="31">
        <v>80</v>
      </c>
      <c r="T280" s="31">
        <v>7</v>
      </c>
      <c r="U280" s="31">
        <v>8</v>
      </c>
      <c r="W280" s="31">
        <v>1965.6</v>
      </c>
      <c r="X280" s="31">
        <v>1975</v>
      </c>
      <c r="Y280" s="33">
        <v>80174.3</v>
      </c>
      <c r="Z280" s="33">
        <v>53630</v>
      </c>
      <c r="AA280" s="33">
        <v>58463.5</v>
      </c>
      <c r="AB280" s="33">
        <v>53300</v>
      </c>
      <c r="AC280" s="32">
        <v>0.16700000000000001</v>
      </c>
      <c r="AD280" s="32">
        <v>0.114</v>
      </c>
      <c r="AE280" s="33">
        <v>9504.2000000000007</v>
      </c>
      <c r="AF280" s="33">
        <v>4735.8</v>
      </c>
      <c r="AH280" s="34">
        <f>IF($D280 = "SPLIT", "",COUNTIFS($D$7:$D$347,$D280,N$7:N$347,"&gt;"&amp;N280)+1)</f>
        <v>19</v>
      </c>
      <c r="AI280" s="34">
        <f>IF($D280 = "SPLIT", "",COUNTIFS($D$7:$D$347,$D280,S$7:S$347,"&gt;"&amp;S280)+1)</f>
        <v>39</v>
      </c>
      <c r="AJ280" s="34">
        <f>IF($D280 = "SPLIT", "",COUNTIFS($D$7:$D$347,$D280,T$7:T$347,"&gt;"&amp;T280)+1)</f>
        <v>43</v>
      </c>
      <c r="AK280" s="34">
        <f>IF($D280 = "SPLIT", "",COUNTIFS($D$7:$D$347,$D280,X$7:X$347,"&lt;"&amp;X280)+1)</f>
        <v>34</v>
      </c>
      <c r="AL280" s="34">
        <f>IF($D280 = "SPLIT", "",COUNTIFS($D$7:$D$347,$D280,Z$7:Z$347,"&gt;"&amp;Z280)+1)</f>
        <v>8</v>
      </c>
      <c r="AM280" s="34">
        <f>IF($D280 = "SPLIT", "",COUNTIFS($D$7:$D$347,$D280,AB$7:AB$347,"&gt;"&amp;AB280)+1)</f>
        <v>7</v>
      </c>
      <c r="AN280" s="34">
        <f>IF($D280 = "SPLIT", "",COUNTIFS($D$7:$D$347,$D280,AD$7:AD$347,"&gt;"&amp;AD280)+1)</f>
        <v>49</v>
      </c>
      <c r="AO280" s="34">
        <f>IF($D280 = "SPLIT", "",COUNTIFS($D$7:$D$347,$D280,AF$7:AF$347,"&gt;"&amp;AF280)+1)</f>
        <v>40</v>
      </c>
    </row>
    <row r="281" spans="1:41" hidden="1" x14ac:dyDescent="0.25">
      <c r="A281" s="25">
        <v>540185</v>
      </c>
      <c r="B281" s="25" t="s">
        <v>445</v>
      </c>
      <c r="C281" s="25" t="s">
        <v>442</v>
      </c>
      <c r="D281" s="25" t="s">
        <v>55</v>
      </c>
      <c r="E281" s="26">
        <v>5</v>
      </c>
      <c r="F281" s="26" t="s">
        <v>446</v>
      </c>
      <c r="G281" s="26">
        <v>187</v>
      </c>
      <c r="H281" s="26">
        <v>0</v>
      </c>
      <c r="I281" s="26">
        <v>32</v>
      </c>
      <c r="J281" s="26">
        <v>1</v>
      </c>
      <c r="K281" s="26">
        <v>220</v>
      </c>
      <c r="L281" s="35">
        <v>0.85</v>
      </c>
      <c r="M281" s="35">
        <v>0</v>
      </c>
      <c r="N281" s="35">
        <v>0.14499999999999999</v>
      </c>
      <c r="O281" s="35">
        <v>5.0000000000000001E-3</v>
      </c>
      <c r="P281" s="35">
        <v>0</v>
      </c>
      <c r="Q281" s="35">
        <v>5.0000000000000001E-3</v>
      </c>
      <c r="S281" s="26">
        <v>72</v>
      </c>
      <c r="T281" s="26">
        <v>6</v>
      </c>
      <c r="U281" s="26">
        <v>0</v>
      </c>
      <c r="W281" s="26">
        <v>1942.2</v>
      </c>
      <c r="X281" s="26">
        <v>1945</v>
      </c>
      <c r="Y281" s="28">
        <v>148549.70000000001</v>
      </c>
      <c r="Z281" s="28">
        <v>44200</v>
      </c>
      <c r="AA281" s="28">
        <v>44645.3</v>
      </c>
      <c r="AB281" s="28">
        <v>40350</v>
      </c>
      <c r="AC281" s="35">
        <v>0.245</v>
      </c>
      <c r="AD281" s="35">
        <v>0.23400000000000001</v>
      </c>
      <c r="AE281" s="28">
        <v>10606.2</v>
      </c>
      <c r="AF281" s="28">
        <v>9089.4</v>
      </c>
      <c r="AH281" s="29">
        <f>IF($D281 = "SPLIT", "",COUNTIFS($D$7:$D$347,$D281,N$7:N$347,"&gt;"&amp;N281)+1)</f>
        <v>93</v>
      </c>
      <c r="AI281" s="29">
        <f>IF($D281 = "SPLIT", "",COUNTIFS($D$7:$D$347,$D281,S$7:S$347,"&gt;"&amp;S281)+1)</f>
        <v>21</v>
      </c>
      <c r="AJ281" s="29">
        <f>IF($D281 = "SPLIT", "",COUNTIFS($D$7:$D$347,$D281,T$7:T$347,"&gt;"&amp;T281)+1)</f>
        <v>30</v>
      </c>
      <c r="AK281" s="29">
        <f>IF($D281 = "SPLIT", "",COUNTIFS($D$7:$D$347,$D281,X$7:X$347,"&lt;"&amp;X281)+1)</f>
        <v>95</v>
      </c>
      <c r="AL281" s="29">
        <f>IF($D281 = "SPLIT", "",COUNTIFS($D$7:$D$347,$D281,Z$7:Z$347,"&gt;"&amp;Z281)+1)</f>
        <v>96</v>
      </c>
      <c r="AM281" s="29">
        <f>IF($D281 = "SPLIT", "",COUNTIFS($D$7:$D$347,$D281,AB$7:AB$347,"&gt;"&amp;AB281)+1)</f>
        <v>98</v>
      </c>
      <c r="AN281" s="29">
        <f>IF($D281 = "SPLIT", "",COUNTIFS($D$7:$D$347,$D281,AD$7:AD$347,"&gt;"&amp;AD281)+1)</f>
        <v>37</v>
      </c>
      <c r="AO281" s="29">
        <f>IF($D281 = "SPLIT", "",COUNTIFS($D$7:$D$347,$D281,AF$7:AF$347,"&gt;"&amp;AF281)+1)</f>
        <v>41</v>
      </c>
    </row>
    <row r="282" spans="1:41" hidden="1" x14ac:dyDescent="0.25">
      <c r="A282" s="160"/>
      <c r="B282" s="160"/>
      <c r="C282" s="160" t="s">
        <v>442</v>
      </c>
      <c r="D282" s="160" t="s">
        <v>2</v>
      </c>
      <c r="E282" s="161">
        <v>5</v>
      </c>
      <c r="F282" s="161"/>
      <c r="G282" s="161">
        <v>684</v>
      </c>
      <c r="H282" s="161">
        <v>86</v>
      </c>
      <c r="I282" s="161">
        <v>266</v>
      </c>
      <c r="J282" s="161">
        <v>42</v>
      </c>
      <c r="K282" s="161">
        <v>1078</v>
      </c>
      <c r="L282" s="162">
        <v>0.63500000000000001</v>
      </c>
      <c r="M282" s="162">
        <v>0.08</v>
      </c>
      <c r="N282" s="162">
        <v>0.247</v>
      </c>
      <c r="O282" s="162">
        <v>3.9E-2</v>
      </c>
      <c r="P282" s="162">
        <v>1.7999999999999999E-2</v>
      </c>
      <c r="Q282" s="162">
        <v>1.0999999999999999E-2</v>
      </c>
      <c r="S282" s="161">
        <v>152</v>
      </c>
      <c r="T282" s="161">
        <v>13</v>
      </c>
      <c r="U282" s="161">
        <v>9</v>
      </c>
      <c r="W282" s="161">
        <v>1959.6</v>
      </c>
      <c r="X282" s="161">
        <v>1969</v>
      </c>
      <c r="Y282" s="163">
        <v>93286.6</v>
      </c>
      <c r="Z282" s="163">
        <v>49405</v>
      </c>
      <c r="AA282" s="163">
        <v>63575.1</v>
      </c>
      <c r="AB282" s="163">
        <v>55500</v>
      </c>
      <c r="AC282" s="162">
        <v>0.191</v>
      </c>
      <c r="AD282" s="162">
        <v>0.14599999999999999</v>
      </c>
      <c r="AE282" s="163">
        <v>9633.6</v>
      </c>
      <c r="AF282" s="163">
        <v>6230.9</v>
      </c>
      <c r="AH282" s="164">
        <f>IF($D282 = "SPLIT", "",COUNTIFS($D$7:$D$347,$D282,N$7:N$347,"&gt;"&amp;N282)+1)</f>
        <v>20</v>
      </c>
      <c r="AI282" s="164">
        <f>IF($D282 = "SPLIT", "",COUNTIFS($D$7:$D$347,$D282,S$7:S$347,"&gt;"&amp;S282)+1)</f>
        <v>37</v>
      </c>
      <c r="AJ282" s="164">
        <f>IF($D282 = "SPLIT", "",COUNTIFS($D$7:$D$347,$D282,T$7:T$347,"&gt;"&amp;T282)+1)</f>
        <v>43</v>
      </c>
      <c r="AK282" s="164">
        <f>IF($D282 = "SPLIT", "",COUNTIFS($D$7:$D$347,$D282,X$7:X$347,"&lt;"&amp;X282)+1)</f>
        <v>29</v>
      </c>
      <c r="AL282" s="164">
        <f>IF($D282 = "SPLIT", "",COUNTIFS($D$7:$D$347,$D282,Z$7:Z$347,"&gt;"&amp;Z282)+1)</f>
        <v>15</v>
      </c>
      <c r="AM282" s="164">
        <f>IF($D282 = "SPLIT", "",COUNTIFS($D$7:$D$347,$D282,AB$7:AB$347,"&gt;"&amp;AB282)+1)</f>
        <v>13</v>
      </c>
      <c r="AN282" s="164">
        <f>IF($D282 = "SPLIT", "",COUNTIFS($D$7:$D$347,$D282,AD$7:AD$347,"&gt;"&amp;AD282)+1)</f>
        <v>32</v>
      </c>
      <c r="AO282" s="164">
        <f>IF($D282 = "SPLIT", "",COUNTIFS($D$7:$D$347,$D282,AF$7:AF$347,"&gt;"&amp;AF282)+1)</f>
        <v>28</v>
      </c>
    </row>
    <row r="283" spans="1:41" hidden="1" x14ac:dyDescent="0.25">
      <c r="A283" s="25">
        <v>540187</v>
      </c>
      <c r="B283" s="25" t="s">
        <v>447</v>
      </c>
      <c r="C283" s="25" t="s">
        <v>448</v>
      </c>
      <c r="D283" s="25" t="s">
        <v>55</v>
      </c>
      <c r="E283" s="26">
        <v>1</v>
      </c>
      <c r="F283" s="26" t="s">
        <v>56</v>
      </c>
      <c r="G283" s="26">
        <v>60</v>
      </c>
      <c r="H283" s="26">
        <v>0</v>
      </c>
      <c r="I283" s="26">
        <v>28</v>
      </c>
      <c r="J283" s="26">
        <v>2</v>
      </c>
      <c r="K283" s="26">
        <v>90</v>
      </c>
      <c r="L283" s="35">
        <v>0.66700000000000004</v>
      </c>
      <c r="M283" s="35">
        <v>0</v>
      </c>
      <c r="N283" s="35">
        <v>0.311</v>
      </c>
      <c r="O283" s="35">
        <v>2.1999999999999999E-2</v>
      </c>
      <c r="P283" s="35">
        <v>1.0999999999999999E-2</v>
      </c>
      <c r="Q283" s="35">
        <v>0</v>
      </c>
      <c r="S283" s="26">
        <v>6</v>
      </c>
      <c r="T283" s="26">
        <v>2</v>
      </c>
      <c r="U283" s="26">
        <v>0</v>
      </c>
      <c r="W283" s="26">
        <v>1949.7</v>
      </c>
      <c r="X283" s="26">
        <v>1946.5</v>
      </c>
      <c r="Y283" s="28">
        <v>81858</v>
      </c>
      <c r="Z283" s="28">
        <v>42850</v>
      </c>
      <c r="AA283" s="28">
        <v>43956.4</v>
      </c>
      <c r="AB283" s="28">
        <v>39700</v>
      </c>
      <c r="AC283" s="35">
        <v>0.124</v>
      </c>
      <c r="AD283" s="35">
        <v>6.9000000000000006E-2</v>
      </c>
      <c r="AE283" s="28">
        <v>7033.3</v>
      </c>
      <c r="AF283" s="28">
        <v>2332.8000000000002</v>
      </c>
      <c r="AH283" s="29">
        <f>IF($D283 = "SPLIT", "",COUNTIFS($D$7:$D$347,$D283,N$7:N$347,"&gt;"&amp;N283)+1)</f>
        <v>35</v>
      </c>
      <c r="AI283" s="29">
        <f>IF($D283 = "SPLIT", "",COUNTIFS($D$7:$D$347,$D283,S$7:S$347,"&gt;"&amp;S283)+1)</f>
        <v>107</v>
      </c>
      <c r="AJ283" s="29">
        <f>IF($D283 = "SPLIT", "",COUNTIFS($D$7:$D$347,$D283,T$7:T$347,"&gt;"&amp;T283)+1)</f>
        <v>59</v>
      </c>
      <c r="AK283" s="29">
        <f>IF($D283 = "SPLIT", "",COUNTIFS($D$7:$D$347,$D283,X$7:X$347,"&lt;"&amp;X283)+1)</f>
        <v>107</v>
      </c>
      <c r="AL283" s="29">
        <f>IF($D283 = "SPLIT", "",COUNTIFS($D$7:$D$347,$D283,Z$7:Z$347,"&gt;"&amp;Z283)+1)</f>
        <v>103</v>
      </c>
      <c r="AM283" s="29">
        <f>IF($D283 = "SPLIT", "",COUNTIFS($D$7:$D$347,$D283,AB$7:AB$347,"&gt;"&amp;AB283)+1)</f>
        <v>100</v>
      </c>
      <c r="AN283" s="29">
        <f>IF($D283 = "SPLIT", "",COUNTIFS($D$7:$D$347,$D283,AD$7:AD$347,"&gt;"&amp;AD283)+1)</f>
        <v>146</v>
      </c>
      <c r="AO283" s="29">
        <f>IF($D283 = "SPLIT", "",COUNTIFS($D$7:$D$347,$D283,AF$7:AF$347,"&gt;"&amp;AF283)+1)</f>
        <v>149</v>
      </c>
    </row>
    <row r="284" spans="1:41" hidden="1" x14ac:dyDescent="0.25">
      <c r="A284" s="30">
        <v>540186</v>
      </c>
      <c r="B284" s="30" t="s">
        <v>449</v>
      </c>
      <c r="C284" s="30" t="s">
        <v>448</v>
      </c>
      <c r="D284" s="30" t="s">
        <v>52</v>
      </c>
      <c r="E284" s="31">
        <v>1</v>
      </c>
      <c r="F284" s="31" t="s">
        <v>450</v>
      </c>
      <c r="G284" s="31">
        <v>468</v>
      </c>
      <c r="H284" s="31">
        <v>45</v>
      </c>
      <c r="I284" s="31">
        <v>340</v>
      </c>
      <c r="J284" s="31">
        <v>43</v>
      </c>
      <c r="K284" s="31">
        <v>896</v>
      </c>
      <c r="L284" s="32">
        <v>0.52200000000000002</v>
      </c>
      <c r="M284" s="32">
        <v>0.05</v>
      </c>
      <c r="N284" s="32">
        <v>0.379</v>
      </c>
      <c r="O284" s="32">
        <v>4.8000000000000001E-2</v>
      </c>
      <c r="P284" s="32">
        <v>0.02</v>
      </c>
      <c r="Q284" s="32">
        <v>4.0000000000000001E-3</v>
      </c>
      <c r="S284" s="31">
        <v>324</v>
      </c>
      <c r="T284" s="31">
        <v>99</v>
      </c>
      <c r="U284" s="31">
        <v>29</v>
      </c>
      <c r="W284" s="31">
        <v>1964.7</v>
      </c>
      <c r="X284" s="31">
        <v>1972</v>
      </c>
      <c r="Y284" s="33">
        <v>47112.6</v>
      </c>
      <c r="Z284" s="33">
        <v>34300</v>
      </c>
      <c r="AA284" s="33">
        <v>42886</v>
      </c>
      <c r="AB284" s="33">
        <v>33500</v>
      </c>
      <c r="AC284" s="32">
        <v>0.34699999999999998</v>
      </c>
      <c r="AD284" s="32">
        <v>0.32100000000000001</v>
      </c>
      <c r="AE284" s="33">
        <v>14673.8</v>
      </c>
      <c r="AF284" s="33">
        <v>10003.299999999999</v>
      </c>
      <c r="AH284" s="34">
        <f>IF($D284 = "SPLIT", "",COUNTIFS($D$7:$D$347,$D284,N$7:N$347,"&gt;"&amp;N284)+1)</f>
        <v>7</v>
      </c>
      <c r="AI284" s="34">
        <f>IF($D284 = "SPLIT", "",COUNTIFS($D$7:$D$347,$D284,S$7:S$347,"&gt;"&amp;S284)+1)</f>
        <v>8</v>
      </c>
      <c r="AJ284" s="34">
        <f>IF($D284 = "SPLIT", "",COUNTIFS($D$7:$D$347,$D284,T$7:T$347,"&gt;"&amp;T284)+1)</f>
        <v>8</v>
      </c>
      <c r="AK284" s="34">
        <f>IF($D284 = "SPLIT", "",COUNTIFS($D$7:$D$347,$D284,X$7:X$347,"&lt;"&amp;X284)+1)</f>
        <v>28</v>
      </c>
      <c r="AL284" s="34">
        <f>IF($D284 = "SPLIT", "",COUNTIFS($D$7:$D$347,$D284,Z$7:Z$347,"&gt;"&amp;Z284)+1)</f>
        <v>33</v>
      </c>
      <c r="AM284" s="34">
        <f>IF($D284 = "SPLIT", "",COUNTIFS($D$7:$D$347,$D284,AB$7:AB$347,"&gt;"&amp;AB284)+1)</f>
        <v>29</v>
      </c>
      <c r="AN284" s="34">
        <f>IF($D284 = "SPLIT", "",COUNTIFS($D$7:$D$347,$D284,AD$7:AD$347,"&gt;"&amp;AD284)+1)</f>
        <v>9</v>
      </c>
      <c r="AO284" s="34">
        <f>IF($D284 = "SPLIT", "",COUNTIFS($D$7:$D$347,$D284,AF$7:AF$347,"&gt;"&amp;AF284)+1)</f>
        <v>13</v>
      </c>
    </row>
    <row r="285" spans="1:41" hidden="1" x14ac:dyDescent="0.25">
      <c r="A285" s="160"/>
      <c r="B285" s="160"/>
      <c r="C285" s="160" t="s">
        <v>448</v>
      </c>
      <c r="D285" s="160" t="s">
        <v>2</v>
      </c>
      <c r="E285" s="161">
        <v>1</v>
      </c>
      <c r="F285" s="161"/>
      <c r="G285" s="161">
        <v>528</v>
      </c>
      <c r="H285" s="161">
        <v>45</v>
      </c>
      <c r="I285" s="161">
        <v>368</v>
      </c>
      <c r="J285" s="161">
        <v>45</v>
      </c>
      <c r="K285" s="161">
        <v>986</v>
      </c>
      <c r="L285" s="162">
        <v>0.53500000000000003</v>
      </c>
      <c r="M285" s="162">
        <v>4.5999999999999999E-2</v>
      </c>
      <c r="N285" s="162">
        <v>0.373</v>
      </c>
      <c r="O285" s="162">
        <v>4.5999999999999999E-2</v>
      </c>
      <c r="P285" s="162">
        <v>1.9E-2</v>
      </c>
      <c r="Q285" s="162">
        <v>4.0000000000000001E-3</v>
      </c>
      <c r="S285" s="161">
        <v>330</v>
      </c>
      <c r="T285" s="161">
        <v>101</v>
      </c>
      <c r="U285" s="161">
        <v>29</v>
      </c>
      <c r="W285" s="161">
        <v>1963.4</v>
      </c>
      <c r="X285" s="161">
        <v>1971</v>
      </c>
      <c r="Y285" s="163">
        <v>50284.1</v>
      </c>
      <c r="Z285" s="163">
        <v>35250</v>
      </c>
      <c r="AA285" s="163">
        <v>50699.3</v>
      </c>
      <c r="AB285" s="163">
        <v>41600</v>
      </c>
      <c r="AC285" s="162">
        <v>0.33700000000000002</v>
      </c>
      <c r="AD285" s="162">
        <v>0.309</v>
      </c>
      <c r="AE285" s="163">
        <v>14322.4</v>
      </c>
      <c r="AF285" s="163">
        <v>9684.7999999999993</v>
      </c>
      <c r="AH285" s="164">
        <f>IF($D285 = "SPLIT", "",COUNTIFS($D$7:$D$347,$D285,N$7:N$347,"&gt;"&amp;N285)+1)</f>
        <v>6</v>
      </c>
      <c r="AI285" s="164">
        <f>IF($D285 = "SPLIT", "",COUNTIFS($D$7:$D$347,$D285,S$7:S$347,"&gt;"&amp;S285)+1)</f>
        <v>19</v>
      </c>
      <c r="AJ285" s="164">
        <f>IF($D285 = "SPLIT", "",COUNTIFS($D$7:$D$347,$D285,T$7:T$347,"&gt;"&amp;T285)+1)</f>
        <v>8</v>
      </c>
      <c r="AK285" s="164">
        <f>IF($D285 = "SPLIT", "",COUNTIFS($D$7:$D$347,$D285,X$7:X$347,"&lt;"&amp;X285)+1)</f>
        <v>37</v>
      </c>
      <c r="AL285" s="164">
        <f>IF($D285 = "SPLIT", "",COUNTIFS($D$7:$D$347,$D285,Z$7:Z$347,"&gt;"&amp;Z285)+1)</f>
        <v>35</v>
      </c>
      <c r="AM285" s="164">
        <f>IF($D285 = "SPLIT", "",COUNTIFS($D$7:$D$347,$D285,AB$7:AB$347,"&gt;"&amp;AB285)+1)</f>
        <v>35</v>
      </c>
      <c r="AN285" s="164">
        <f>IF($D285 = "SPLIT", "",COUNTIFS($D$7:$D$347,$D285,AD$7:AD$347,"&gt;"&amp;AD285)+1)</f>
        <v>4</v>
      </c>
      <c r="AO285" s="164">
        <f>IF($D285 = "SPLIT", "",COUNTIFS($D$7:$D$347,$D285,AF$7:AF$347,"&gt;"&amp;AF285)+1)</f>
        <v>12</v>
      </c>
    </row>
    <row r="286" spans="1:41" hidden="1" x14ac:dyDescent="0.25">
      <c r="A286" s="25">
        <v>540189</v>
      </c>
      <c r="B286" s="25" t="s">
        <v>451</v>
      </c>
      <c r="C286" s="25" t="s">
        <v>452</v>
      </c>
      <c r="D286" s="25" t="s">
        <v>55</v>
      </c>
      <c r="E286" s="26">
        <v>6</v>
      </c>
      <c r="F286" s="26" t="s">
        <v>273</v>
      </c>
      <c r="G286" s="26">
        <v>10</v>
      </c>
      <c r="H286" s="26">
        <v>0</v>
      </c>
      <c r="I286" s="26">
        <v>1</v>
      </c>
      <c r="J286" s="26">
        <v>2</v>
      </c>
      <c r="K286" s="26">
        <v>13</v>
      </c>
      <c r="L286" s="35">
        <v>0.76900000000000002</v>
      </c>
      <c r="M286" s="35">
        <v>0</v>
      </c>
      <c r="N286" s="35">
        <v>7.6999999999999999E-2</v>
      </c>
      <c r="O286" s="35">
        <v>0.154</v>
      </c>
      <c r="P286" s="35">
        <v>0</v>
      </c>
      <c r="Q286" s="35">
        <v>7.6999999999999999E-2</v>
      </c>
      <c r="S286" s="26">
        <v>1</v>
      </c>
      <c r="T286" s="26">
        <v>0</v>
      </c>
      <c r="U286" s="26">
        <v>1</v>
      </c>
      <c r="W286" s="26">
        <v>1934.6</v>
      </c>
      <c r="X286" s="26">
        <v>1932.5</v>
      </c>
      <c r="Y286" s="28">
        <v>40973.800000000003</v>
      </c>
      <c r="Z286" s="28">
        <v>33400</v>
      </c>
      <c r="AA286" s="28">
        <v>37128.6</v>
      </c>
      <c r="AB286" s="28">
        <v>33400</v>
      </c>
      <c r="AC286" s="35">
        <v>7.0999999999999994E-2</v>
      </c>
      <c r="AD286" s="35">
        <v>6.3E-2</v>
      </c>
      <c r="AE286" s="28">
        <v>3056.3</v>
      </c>
      <c r="AF286" s="28">
        <v>1918.2</v>
      </c>
      <c r="AH286" s="29">
        <f>IF($D286 = "SPLIT", "",COUNTIFS($D$7:$D$347,$D286,N$7:N$347,"&gt;"&amp;N286)+1)</f>
        <v>147</v>
      </c>
      <c r="AI286" s="29">
        <f>IF($D286 = "SPLIT", "",COUNTIFS($D$7:$D$347,$D286,S$7:S$347,"&gt;"&amp;S286)+1)</f>
        <v>153</v>
      </c>
      <c r="AJ286" s="29">
        <f>IF($D286 = "SPLIT", "",COUNTIFS($D$7:$D$347,$D286,T$7:T$347,"&gt;"&amp;T286)+1)</f>
        <v>113</v>
      </c>
      <c r="AK286" s="29">
        <f>IF($D286 = "SPLIT", "",COUNTIFS($D$7:$D$347,$D286,X$7:X$347,"&lt;"&amp;X286)+1)</f>
        <v>59</v>
      </c>
      <c r="AL286" s="29">
        <f>IF($D286 = "SPLIT", "",COUNTIFS($D$7:$D$347,$D286,Z$7:Z$347,"&gt;"&amp;Z286)+1)</f>
        <v>142</v>
      </c>
      <c r="AM286" s="29">
        <f>IF($D286 = "SPLIT", "",COUNTIFS($D$7:$D$347,$D286,AB$7:AB$347,"&gt;"&amp;AB286)+1)</f>
        <v>121</v>
      </c>
      <c r="AN286" s="29">
        <f>IF($D286 = "SPLIT", "",COUNTIFS($D$7:$D$347,$D286,AD$7:AD$347,"&gt;"&amp;AD286)+1)</f>
        <v>156</v>
      </c>
      <c r="AO286" s="29">
        <f>IF($D286 = "SPLIT", "",COUNTIFS($D$7:$D$347,$D286,AF$7:AF$347,"&gt;"&amp;AF286)+1)</f>
        <v>167</v>
      </c>
    </row>
    <row r="287" spans="1:41" hidden="1" x14ac:dyDescent="0.25">
      <c r="A287" s="25">
        <v>540190</v>
      </c>
      <c r="B287" s="25" t="s">
        <v>453</v>
      </c>
      <c r="C287" s="25" t="s">
        <v>452</v>
      </c>
      <c r="D287" s="25" t="s">
        <v>55</v>
      </c>
      <c r="E287" s="26">
        <v>6</v>
      </c>
      <c r="F287" s="26" t="s">
        <v>134</v>
      </c>
      <c r="G287" s="26">
        <v>135</v>
      </c>
      <c r="H287" s="26">
        <v>4</v>
      </c>
      <c r="I287" s="26">
        <v>10</v>
      </c>
      <c r="J287" s="26">
        <v>4</v>
      </c>
      <c r="K287" s="26">
        <v>153</v>
      </c>
      <c r="L287" s="35">
        <v>0.88200000000000001</v>
      </c>
      <c r="M287" s="35">
        <v>2.5999999999999999E-2</v>
      </c>
      <c r="N287" s="35">
        <v>6.5000000000000002E-2</v>
      </c>
      <c r="O287" s="35">
        <v>2.5999999999999999E-2</v>
      </c>
      <c r="P287" s="35">
        <v>0</v>
      </c>
      <c r="Q287" s="35">
        <v>2.5999999999999999E-2</v>
      </c>
      <c r="S287" s="26">
        <v>17</v>
      </c>
      <c r="T287" s="26">
        <v>2</v>
      </c>
      <c r="U287" s="26">
        <v>2</v>
      </c>
      <c r="W287" s="26">
        <v>1940.8</v>
      </c>
      <c r="X287" s="26">
        <v>1940</v>
      </c>
      <c r="Y287" s="28">
        <v>186451.4</v>
      </c>
      <c r="Z287" s="28">
        <v>57900</v>
      </c>
      <c r="AA287" s="28">
        <v>62755.5</v>
      </c>
      <c r="AB287" s="28">
        <v>56800</v>
      </c>
      <c r="AC287" s="35">
        <v>0.129</v>
      </c>
      <c r="AD287" s="35">
        <v>7.3999999999999996E-2</v>
      </c>
      <c r="AE287" s="28">
        <v>8763.7999999999993</v>
      </c>
      <c r="AF287" s="28">
        <v>3860</v>
      </c>
      <c r="AH287" s="29">
        <f>IF($D287 = "SPLIT", "",COUNTIFS($D$7:$D$347,$D287,N$7:N$347,"&gt;"&amp;N287)+1)</f>
        <v>158</v>
      </c>
      <c r="AI287" s="29">
        <f>IF($D287 = "SPLIT", "",COUNTIFS($D$7:$D$347,$D287,S$7:S$347,"&gt;"&amp;S287)+1)</f>
        <v>72</v>
      </c>
      <c r="AJ287" s="29">
        <f>IF($D287 = "SPLIT", "",COUNTIFS($D$7:$D$347,$D287,T$7:T$347,"&gt;"&amp;T287)+1)</f>
        <v>59</v>
      </c>
      <c r="AK287" s="29">
        <f>IF($D287 = "SPLIT", "",COUNTIFS($D$7:$D$347,$D287,X$7:X$347,"&lt;"&amp;X287)+1)</f>
        <v>72</v>
      </c>
      <c r="AL287" s="29">
        <f>IF($D287 = "SPLIT", "",COUNTIFS($D$7:$D$347,$D287,Z$7:Z$347,"&gt;"&amp;Z287)+1)</f>
        <v>53</v>
      </c>
      <c r="AM287" s="29">
        <f>IF($D287 = "SPLIT", "",COUNTIFS($D$7:$D$347,$D287,AB$7:AB$347,"&gt;"&amp;AB287)+1)</f>
        <v>45</v>
      </c>
      <c r="AN287" s="29">
        <f>IF($D287 = "SPLIT", "",COUNTIFS($D$7:$D$347,$D287,AD$7:AD$347,"&gt;"&amp;AD287)+1)</f>
        <v>141</v>
      </c>
      <c r="AO287" s="29">
        <f>IF($D287 = "SPLIT", "",COUNTIFS($D$7:$D$347,$D287,AF$7:AF$347,"&gt;"&amp;AF287)+1)</f>
        <v>119</v>
      </c>
    </row>
    <row r="288" spans="1:41" hidden="1" x14ac:dyDescent="0.25">
      <c r="A288" s="30">
        <v>540188</v>
      </c>
      <c r="B288" s="30" t="s">
        <v>454</v>
      </c>
      <c r="C288" s="30" t="s">
        <v>452</v>
      </c>
      <c r="D288" s="30" t="s">
        <v>52</v>
      </c>
      <c r="E288" s="31">
        <v>6</v>
      </c>
      <c r="F288" s="31" t="s">
        <v>53</v>
      </c>
      <c r="G288" s="31">
        <v>169</v>
      </c>
      <c r="H288" s="31">
        <v>22</v>
      </c>
      <c r="I288" s="31">
        <v>42</v>
      </c>
      <c r="J288" s="31">
        <v>28</v>
      </c>
      <c r="K288" s="31">
        <v>261</v>
      </c>
      <c r="L288" s="32">
        <v>0.64800000000000002</v>
      </c>
      <c r="M288" s="32">
        <v>8.4000000000000005E-2</v>
      </c>
      <c r="N288" s="32">
        <v>0.161</v>
      </c>
      <c r="O288" s="32">
        <v>0.107</v>
      </c>
      <c r="P288" s="32">
        <v>6.9000000000000006E-2</v>
      </c>
      <c r="Q288" s="32">
        <v>8.0000000000000002E-3</v>
      </c>
      <c r="S288" s="31">
        <v>63</v>
      </c>
      <c r="T288" s="31">
        <v>10</v>
      </c>
      <c r="U288" s="31">
        <v>5</v>
      </c>
      <c r="W288" s="31">
        <v>1959.1</v>
      </c>
      <c r="X288" s="31">
        <v>1966</v>
      </c>
      <c r="Y288" s="33">
        <v>67273.5</v>
      </c>
      <c r="Z288" s="33">
        <v>41500</v>
      </c>
      <c r="AA288" s="33">
        <v>61211.9</v>
      </c>
      <c r="AB288" s="33">
        <v>39866</v>
      </c>
      <c r="AC288" s="32">
        <v>0.23300000000000001</v>
      </c>
      <c r="AD288" s="32">
        <v>0.16500000000000001</v>
      </c>
      <c r="AE288" s="33">
        <v>14300.1</v>
      </c>
      <c r="AF288" s="33">
        <v>7541.6</v>
      </c>
      <c r="AH288" s="34">
        <f>IF($D288 = "SPLIT", "",COUNTIFS($D$7:$D$347,$D288,N$7:N$347,"&gt;"&amp;N288)+1)</f>
        <v>47</v>
      </c>
      <c r="AI288" s="34">
        <f>IF($D288 = "SPLIT", "",COUNTIFS($D$7:$D$347,$D288,S$7:S$347,"&gt;"&amp;S288)+1)</f>
        <v>45</v>
      </c>
      <c r="AJ288" s="34">
        <f>IF($D288 = "SPLIT", "",COUNTIFS($D$7:$D$347,$D288,T$7:T$347,"&gt;"&amp;T288)+1)</f>
        <v>40</v>
      </c>
      <c r="AK288" s="34">
        <f>IF($D288 = "SPLIT", "",COUNTIFS($D$7:$D$347,$D288,X$7:X$347,"&lt;"&amp;X288)+1)</f>
        <v>14</v>
      </c>
      <c r="AL288" s="34">
        <f>IF($D288 = "SPLIT", "",COUNTIFS($D$7:$D$347,$D288,Z$7:Z$347,"&gt;"&amp;Z288)+1)</f>
        <v>23</v>
      </c>
      <c r="AM288" s="34">
        <f>IF($D288 = "SPLIT", "",COUNTIFS($D$7:$D$347,$D288,AB$7:AB$347,"&gt;"&amp;AB288)+1)</f>
        <v>23</v>
      </c>
      <c r="AN288" s="34">
        <f>IF($D288 = "SPLIT", "",COUNTIFS($D$7:$D$347,$D288,AD$7:AD$347,"&gt;"&amp;AD288)+1)</f>
        <v>33</v>
      </c>
      <c r="AO288" s="34">
        <f>IF($D288 = "SPLIT", "",COUNTIFS($D$7:$D$347,$D288,AF$7:AF$347,"&gt;"&amp;AF288)+1)</f>
        <v>22</v>
      </c>
    </row>
    <row r="289" spans="1:41" hidden="1" x14ac:dyDescent="0.25">
      <c r="A289" s="160"/>
      <c r="B289" s="160"/>
      <c r="C289" s="160" t="s">
        <v>452</v>
      </c>
      <c r="D289" s="160" t="s">
        <v>2</v>
      </c>
      <c r="E289" s="161">
        <v>6</v>
      </c>
      <c r="F289" s="161"/>
      <c r="G289" s="161">
        <v>314</v>
      </c>
      <c r="H289" s="161">
        <v>26</v>
      </c>
      <c r="I289" s="161">
        <v>53</v>
      </c>
      <c r="J289" s="161">
        <v>34</v>
      </c>
      <c r="K289" s="161">
        <v>427</v>
      </c>
      <c r="L289" s="162">
        <v>0.73499999999999999</v>
      </c>
      <c r="M289" s="162">
        <v>6.0999999999999999E-2</v>
      </c>
      <c r="N289" s="162">
        <v>0.124</v>
      </c>
      <c r="O289" s="162">
        <v>0.08</v>
      </c>
      <c r="P289" s="162">
        <v>4.2000000000000003E-2</v>
      </c>
      <c r="Q289" s="162">
        <v>1.6E-2</v>
      </c>
      <c r="S289" s="161">
        <v>81</v>
      </c>
      <c r="T289" s="161">
        <v>12</v>
      </c>
      <c r="U289" s="161">
        <v>8</v>
      </c>
      <c r="W289" s="161">
        <v>1951.3</v>
      </c>
      <c r="X289" s="161">
        <v>1954</v>
      </c>
      <c r="Y289" s="163">
        <v>109175.9</v>
      </c>
      <c r="Z289" s="163">
        <v>47900</v>
      </c>
      <c r="AA289" s="163">
        <v>65623</v>
      </c>
      <c r="AB289" s="163">
        <v>54450</v>
      </c>
      <c r="AC289" s="162">
        <v>0.19500000000000001</v>
      </c>
      <c r="AD289" s="162">
        <v>0.13500000000000001</v>
      </c>
      <c r="AE289" s="163">
        <v>12120.4</v>
      </c>
      <c r="AF289" s="163">
        <v>5814.4</v>
      </c>
      <c r="AH289" s="164">
        <f>IF($D289 = "SPLIT", "",COUNTIFS($D$7:$D$347,$D289,N$7:N$347,"&gt;"&amp;N289)+1)</f>
        <v>48</v>
      </c>
      <c r="AI289" s="164">
        <f>IF($D289 = "SPLIT", "",COUNTIFS($D$7:$D$347,$D289,S$7:S$347,"&gt;"&amp;S289)+1)</f>
        <v>46</v>
      </c>
      <c r="AJ289" s="164">
        <f>IF($D289 = "SPLIT", "",COUNTIFS($D$7:$D$347,$D289,T$7:T$347,"&gt;"&amp;T289)+1)</f>
        <v>44</v>
      </c>
      <c r="AK289" s="164">
        <f>IF($D289 = "SPLIT", "",COUNTIFS($D$7:$D$347,$D289,X$7:X$347,"&lt;"&amp;X289)+1)</f>
        <v>9</v>
      </c>
      <c r="AL289" s="164">
        <f>IF($D289 = "SPLIT", "",COUNTIFS($D$7:$D$347,$D289,Z$7:Z$347,"&gt;"&amp;Z289)+1)</f>
        <v>17</v>
      </c>
      <c r="AM289" s="164">
        <f>IF($D289 = "SPLIT", "",COUNTIFS($D$7:$D$347,$D289,AB$7:AB$347,"&gt;"&amp;AB289)+1)</f>
        <v>16</v>
      </c>
      <c r="AN289" s="164">
        <f>IF($D289 = "SPLIT", "",COUNTIFS($D$7:$D$347,$D289,AD$7:AD$347,"&gt;"&amp;AD289)+1)</f>
        <v>37</v>
      </c>
      <c r="AO289" s="164">
        <f>IF($D289 = "SPLIT", "",COUNTIFS($D$7:$D$347,$D289,AF$7:AF$347,"&gt;"&amp;AF289)+1)</f>
        <v>31</v>
      </c>
    </row>
    <row r="290" spans="1:41" hidden="1" x14ac:dyDescent="0.25">
      <c r="A290" s="25">
        <v>540260</v>
      </c>
      <c r="B290" s="25" t="s">
        <v>455</v>
      </c>
      <c r="C290" s="25" t="s">
        <v>456</v>
      </c>
      <c r="D290" s="25" t="s">
        <v>55</v>
      </c>
      <c r="E290" s="26">
        <v>7</v>
      </c>
      <c r="F290" s="26" t="s">
        <v>457</v>
      </c>
      <c r="G290" s="26">
        <v>0</v>
      </c>
      <c r="H290" s="26">
        <v>0</v>
      </c>
      <c r="I290" s="26">
        <v>2</v>
      </c>
      <c r="J290" s="26">
        <v>0</v>
      </c>
      <c r="K290" s="26">
        <v>2</v>
      </c>
      <c r="L290" s="35">
        <v>0</v>
      </c>
      <c r="M290" s="35">
        <v>0</v>
      </c>
      <c r="N290" s="35">
        <v>1</v>
      </c>
      <c r="O290" s="35">
        <v>0</v>
      </c>
      <c r="P290" s="35">
        <v>0</v>
      </c>
      <c r="Q290" s="35">
        <v>0</v>
      </c>
      <c r="S290" s="26">
        <v>0</v>
      </c>
      <c r="T290" s="26">
        <v>0</v>
      </c>
      <c r="U290" s="26">
        <v>0</v>
      </c>
      <c r="W290" s="26">
        <v>1993</v>
      </c>
      <c r="X290" s="26">
        <v>1993</v>
      </c>
      <c r="Y290" s="28">
        <v>253800</v>
      </c>
      <c r="Z290" s="28">
        <v>253800</v>
      </c>
      <c r="AA290" s="28">
        <v>0</v>
      </c>
      <c r="AB290" s="28">
        <v>0</v>
      </c>
      <c r="AC290" s="35">
        <v>0</v>
      </c>
      <c r="AD290" s="35">
        <v>0</v>
      </c>
      <c r="AE290" s="28">
        <v>0</v>
      </c>
      <c r="AF290" s="28">
        <v>0</v>
      </c>
      <c r="AH290" s="29">
        <f>IF($D290 = "SPLIT", "",COUNTIFS($D$7:$D$347,$D290,N$7:N$347,"&gt;"&amp;N290)+1)</f>
        <v>1</v>
      </c>
      <c r="AI290" s="29">
        <f>IF($D290 = "SPLIT", "",COUNTIFS($D$7:$D$347,$D290,S$7:S$347,"&gt;"&amp;S290)+1)</f>
        <v>177</v>
      </c>
      <c r="AJ290" s="29">
        <f>IF($D290 = "SPLIT", "",COUNTIFS($D$7:$D$347,$D290,T$7:T$347,"&gt;"&amp;T290)+1)</f>
        <v>113</v>
      </c>
      <c r="AK290" s="29">
        <f>IF($D290 = "SPLIT", "",COUNTIFS($D$7:$D$347,$D290,X$7:X$347,"&lt;"&amp;X290)+1)</f>
        <v>208</v>
      </c>
      <c r="AL290" s="29">
        <f>IF($D290 = "SPLIT", "",COUNTIFS($D$7:$D$347,$D290,Z$7:Z$347,"&gt;"&amp;Z290)+1)</f>
        <v>2</v>
      </c>
      <c r="AM290" s="29">
        <f>IF($D290 = "SPLIT", "",COUNTIFS($D$7:$D$347,$D290,AB$7:AB$347,"&gt;"&amp;AB290)+1)</f>
        <v>208</v>
      </c>
      <c r="AN290" s="29">
        <f>IF($D290 = "SPLIT", "",COUNTIFS($D$7:$D$347,$D290,AD$7:AD$347,"&gt;"&amp;AD290)+1)</f>
        <v>198</v>
      </c>
      <c r="AO290" s="29">
        <f>IF($D290 = "SPLIT", "",COUNTIFS($D$7:$D$347,$D290,AF$7:AF$347,"&gt;"&amp;AF290)+1)</f>
        <v>198</v>
      </c>
    </row>
    <row r="291" spans="1:41" hidden="1" x14ac:dyDescent="0.25">
      <c r="A291" s="25">
        <v>540192</v>
      </c>
      <c r="B291" s="25" t="s">
        <v>458</v>
      </c>
      <c r="C291" s="25" t="s">
        <v>456</v>
      </c>
      <c r="D291" s="25" t="s">
        <v>55</v>
      </c>
      <c r="E291" s="26">
        <v>7</v>
      </c>
      <c r="F291" s="26" t="s">
        <v>457</v>
      </c>
      <c r="G291" s="26">
        <v>3</v>
      </c>
      <c r="H291" s="26">
        <v>1</v>
      </c>
      <c r="I291" s="26">
        <v>8</v>
      </c>
      <c r="J291" s="26">
        <v>0</v>
      </c>
      <c r="K291" s="26">
        <v>12</v>
      </c>
      <c r="L291" s="35">
        <v>0.25</v>
      </c>
      <c r="M291" s="35">
        <v>8.3000000000000004E-2</v>
      </c>
      <c r="N291" s="35">
        <v>0.66700000000000004</v>
      </c>
      <c r="O291" s="35">
        <v>0</v>
      </c>
      <c r="P291" s="35">
        <v>0</v>
      </c>
      <c r="Q291" s="35">
        <v>0</v>
      </c>
      <c r="S291" s="26">
        <v>2</v>
      </c>
      <c r="T291" s="26">
        <v>1</v>
      </c>
      <c r="U291" s="26">
        <v>1</v>
      </c>
      <c r="W291" s="26">
        <v>1984.4</v>
      </c>
      <c r="X291" s="26">
        <v>1987.5</v>
      </c>
      <c r="Y291" s="28">
        <v>57599.199999999997</v>
      </c>
      <c r="Z291" s="28">
        <v>47550</v>
      </c>
      <c r="AA291" s="28">
        <v>56417.3</v>
      </c>
      <c r="AB291" s="28">
        <v>44500</v>
      </c>
      <c r="AC291" s="35">
        <v>0.11600000000000001</v>
      </c>
      <c r="AD291" s="35">
        <v>5.2999999999999999E-2</v>
      </c>
      <c r="AE291" s="28">
        <v>8937.1</v>
      </c>
      <c r="AF291" s="28">
        <v>1995.2</v>
      </c>
      <c r="AH291" s="29">
        <f>IF($D291 = "SPLIT", "",COUNTIFS($D$7:$D$347,$D291,N$7:N$347,"&gt;"&amp;N291)+1)</f>
        <v>8</v>
      </c>
      <c r="AI291" s="29">
        <f>IF($D291 = "SPLIT", "",COUNTIFS($D$7:$D$347,$D291,S$7:S$347,"&gt;"&amp;S291)+1)</f>
        <v>141</v>
      </c>
      <c r="AJ291" s="29">
        <f>IF($D291 = "SPLIT", "",COUNTIFS($D$7:$D$347,$D291,T$7:T$347,"&gt;"&amp;T291)+1)</f>
        <v>84</v>
      </c>
      <c r="AK291" s="29">
        <f>IF($D291 = "SPLIT", "",COUNTIFS($D$7:$D$347,$D291,X$7:X$347,"&lt;"&amp;X291)+1)</f>
        <v>203</v>
      </c>
      <c r="AL291" s="29">
        <f>IF($D291 = "SPLIT", "",COUNTIFS($D$7:$D$347,$D291,Z$7:Z$347,"&gt;"&amp;Z291)+1)</f>
        <v>82</v>
      </c>
      <c r="AM291" s="29">
        <f>IF($D291 = "SPLIT", "",COUNTIFS($D$7:$D$347,$D291,AB$7:AB$347,"&gt;"&amp;AB291)+1)</f>
        <v>81</v>
      </c>
      <c r="AN291" s="29">
        <f>IF($D291 = "SPLIT", "",COUNTIFS($D$7:$D$347,$D291,AD$7:AD$347,"&gt;"&amp;AD291)+1)</f>
        <v>164</v>
      </c>
      <c r="AO291" s="29">
        <f>IF($D291 = "SPLIT", "",COUNTIFS($D$7:$D$347,$D291,AF$7:AF$347,"&gt;"&amp;AF291)+1)</f>
        <v>164</v>
      </c>
    </row>
    <row r="292" spans="1:41" hidden="1" x14ac:dyDescent="0.25">
      <c r="A292" s="25">
        <v>540193</v>
      </c>
      <c r="B292" s="25" t="s">
        <v>459</v>
      </c>
      <c r="C292" s="25" t="s">
        <v>456</v>
      </c>
      <c r="D292" s="25" t="s">
        <v>55</v>
      </c>
      <c r="E292" s="26">
        <v>7</v>
      </c>
      <c r="F292" s="26" t="s">
        <v>134</v>
      </c>
      <c r="G292" s="26">
        <v>10</v>
      </c>
      <c r="H292" s="26">
        <v>0</v>
      </c>
      <c r="I292" s="26">
        <v>7</v>
      </c>
      <c r="J292" s="26">
        <v>0</v>
      </c>
      <c r="K292" s="26">
        <v>17</v>
      </c>
      <c r="L292" s="35">
        <v>0.58799999999999997</v>
      </c>
      <c r="M292" s="35">
        <v>0</v>
      </c>
      <c r="N292" s="35">
        <v>0.41199999999999998</v>
      </c>
      <c r="O292" s="35">
        <v>0</v>
      </c>
      <c r="P292" s="35">
        <v>0</v>
      </c>
      <c r="Q292" s="35">
        <v>0</v>
      </c>
      <c r="S292" s="26">
        <v>11</v>
      </c>
      <c r="T292" s="26">
        <v>3</v>
      </c>
      <c r="U292" s="26">
        <v>1</v>
      </c>
      <c r="W292" s="26">
        <v>1958.4</v>
      </c>
      <c r="X292" s="26">
        <v>1986</v>
      </c>
      <c r="Y292" s="28">
        <v>135952.9</v>
      </c>
      <c r="Z292" s="28">
        <v>69700</v>
      </c>
      <c r="AA292" s="28">
        <v>91171.4</v>
      </c>
      <c r="AB292" s="28">
        <v>66600</v>
      </c>
      <c r="AC292" s="35">
        <v>0.26100000000000001</v>
      </c>
      <c r="AD292" s="35">
        <v>0.245</v>
      </c>
      <c r="AE292" s="28">
        <v>29347.7</v>
      </c>
      <c r="AF292" s="28">
        <v>21531</v>
      </c>
      <c r="AH292" s="29">
        <f>IF($D292 = "SPLIT", "",COUNTIFS($D$7:$D$347,$D292,N$7:N$347,"&gt;"&amp;N292)+1)</f>
        <v>20</v>
      </c>
      <c r="AI292" s="29">
        <f>IF($D292 = "SPLIT", "",COUNTIFS($D$7:$D$347,$D292,S$7:S$347,"&gt;"&amp;S292)+1)</f>
        <v>91</v>
      </c>
      <c r="AJ292" s="29">
        <f>IF($D292 = "SPLIT", "",COUNTIFS($D$7:$D$347,$D292,T$7:T$347,"&gt;"&amp;T292)+1)</f>
        <v>45</v>
      </c>
      <c r="AK292" s="29">
        <f>IF($D292 = "SPLIT", "",COUNTIFS($D$7:$D$347,$D292,X$7:X$347,"&lt;"&amp;X292)+1)</f>
        <v>200</v>
      </c>
      <c r="AL292" s="29">
        <f>IF($D292 = "SPLIT", "",COUNTIFS($D$7:$D$347,$D292,Z$7:Z$347,"&gt;"&amp;Z292)+1)</f>
        <v>32</v>
      </c>
      <c r="AM292" s="29">
        <f>IF($D292 = "SPLIT", "",COUNTIFS($D$7:$D$347,$D292,AB$7:AB$347,"&gt;"&amp;AB292)+1)</f>
        <v>25</v>
      </c>
      <c r="AN292" s="29">
        <f>IF($D292 = "SPLIT", "",COUNTIFS($D$7:$D$347,$D292,AD$7:AD$347,"&gt;"&amp;AD292)+1)</f>
        <v>32</v>
      </c>
      <c r="AO292" s="29">
        <f>IF($D292 = "SPLIT", "",COUNTIFS($D$7:$D$347,$D292,AF$7:AF$347,"&gt;"&amp;AF292)+1)</f>
        <v>8</v>
      </c>
    </row>
    <row r="293" spans="1:41" hidden="1" x14ac:dyDescent="0.25">
      <c r="A293" s="25">
        <v>540194</v>
      </c>
      <c r="B293" s="25" t="s">
        <v>460</v>
      </c>
      <c r="C293" s="25" t="s">
        <v>456</v>
      </c>
      <c r="D293" s="25" t="s">
        <v>55</v>
      </c>
      <c r="E293" s="26">
        <v>7</v>
      </c>
      <c r="F293" s="26" t="s">
        <v>461</v>
      </c>
      <c r="G293" s="26">
        <v>175</v>
      </c>
      <c r="H293" s="26">
        <v>1</v>
      </c>
      <c r="I293" s="26">
        <v>71</v>
      </c>
      <c r="J293" s="26">
        <v>2</v>
      </c>
      <c r="K293" s="26">
        <v>249</v>
      </c>
      <c r="L293" s="35">
        <v>0.70299999999999996</v>
      </c>
      <c r="M293" s="35">
        <v>4.0000000000000001E-3</v>
      </c>
      <c r="N293" s="35">
        <v>0.28499999999999998</v>
      </c>
      <c r="O293" s="35">
        <v>8.0000000000000002E-3</v>
      </c>
      <c r="P293" s="35">
        <v>8.0000000000000002E-3</v>
      </c>
      <c r="Q293" s="35">
        <v>0</v>
      </c>
      <c r="S293" s="26">
        <v>86</v>
      </c>
      <c r="T293" s="26">
        <v>16</v>
      </c>
      <c r="U293" s="26">
        <v>1</v>
      </c>
      <c r="W293" s="26">
        <v>1947.1</v>
      </c>
      <c r="X293" s="26">
        <v>1940</v>
      </c>
      <c r="Y293" s="28">
        <v>91766.399999999994</v>
      </c>
      <c r="Z293" s="28">
        <v>57600</v>
      </c>
      <c r="AA293" s="28">
        <v>56577.4</v>
      </c>
      <c r="AB293" s="28">
        <v>52500</v>
      </c>
      <c r="AC293" s="35">
        <v>0.16900000000000001</v>
      </c>
      <c r="AD293" s="35">
        <v>0.13200000000000001</v>
      </c>
      <c r="AE293" s="28">
        <v>14137.8</v>
      </c>
      <c r="AF293" s="28">
        <v>8085.2</v>
      </c>
      <c r="AH293" s="29">
        <f>IF($D293 = "SPLIT", "",COUNTIFS($D$7:$D$347,$D293,N$7:N$347,"&gt;"&amp;N293)+1)</f>
        <v>43</v>
      </c>
      <c r="AI293" s="29">
        <f>IF($D293 = "SPLIT", "",COUNTIFS($D$7:$D$347,$D293,S$7:S$347,"&gt;"&amp;S293)+1)</f>
        <v>19</v>
      </c>
      <c r="AJ293" s="29">
        <f>IF($D293 = "SPLIT", "",COUNTIFS($D$7:$D$347,$D293,T$7:T$347,"&gt;"&amp;T293)+1)</f>
        <v>15</v>
      </c>
      <c r="AK293" s="29">
        <f>IF($D293 = "SPLIT", "",COUNTIFS($D$7:$D$347,$D293,X$7:X$347,"&lt;"&amp;X293)+1)</f>
        <v>72</v>
      </c>
      <c r="AL293" s="29">
        <f>IF($D293 = "SPLIT", "",COUNTIFS($D$7:$D$347,$D293,Z$7:Z$347,"&gt;"&amp;Z293)+1)</f>
        <v>54</v>
      </c>
      <c r="AM293" s="29">
        <f>IF($D293 = "SPLIT", "",COUNTIFS($D$7:$D$347,$D293,AB$7:AB$347,"&gt;"&amp;AB293)+1)</f>
        <v>55</v>
      </c>
      <c r="AN293" s="29">
        <f>IF($D293 = "SPLIT", "",COUNTIFS($D$7:$D$347,$D293,AD$7:AD$347,"&gt;"&amp;AD293)+1)</f>
        <v>86</v>
      </c>
      <c r="AO293" s="29">
        <f>IF($D293 = "SPLIT", "",COUNTIFS($D$7:$D$347,$D293,AF$7:AF$347,"&gt;"&amp;AF293)+1)</f>
        <v>53</v>
      </c>
    </row>
    <row r="294" spans="1:41" hidden="1" x14ac:dyDescent="0.25">
      <c r="A294" s="25">
        <v>540261</v>
      </c>
      <c r="B294" s="25" t="s">
        <v>462</v>
      </c>
      <c r="C294" s="25" t="s">
        <v>456</v>
      </c>
      <c r="D294" s="25" t="s">
        <v>55</v>
      </c>
      <c r="E294" s="26">
        <v>7</v>
      </c>
      <c r="F294" s="26" t="s">
        <v>429</v>
      </c>
      <c r="G294" s="26">
        <v>0</v>
      </c>
      <c r="H294" s="26">
        <v>0</v>
      </c>
      <c r="I294" s="26">
        <v>0</v>
      </c>
      <c r="J294" s="26">
        <v>0</v>
      </c>
      <c r="K294" s="26">
        <v>0</v>
      </c>
      <c r="L294" s="35" t="s">
        <v>228</v>
      </c>
      <c r="M294" s="35" t="s">
        <v>228</v>
      </c>
      <c r="N294" s="35" t="s">
        <v>228</v>
      </c>
      <c r="O294" s="35" t="s">
        <v>228</v>
      </c>
      <c r="P294" s="35" t="s">
        <v>228</v>
      </c>
      <c r="Q294" s="35" t="s">
        <v>228</v>
      </c>
      <c r="S294" s="26">
        <v>0</v>
      </c>
      <c r="T294" s="26">
        <v>0</v>
      </c>
      <c r="U294" s="26">
        <v>0</v>
      </c>
      <c r="W294" s="26">
        <v>0</v>
      </c>
      <c r="X294" s="26">
        <v>0</v>
      </c>
      <c r="Y294" s="28">
        <v>0</v>
      </c>
      <c r="Z294" s="28">
        <v>0</v>
      </c>
      <c r="AA294" s="28">
        <v>0</v>
      </c>
      <c r="AB294" s="28">
        <v>0</v>
      </c>
      <c r="AC294" s="35">
        <v>0</v>
      </c>
      <c r="AD294" s="35">
        <v>0</v>
      </c>
      <c r="AE294" s="28">
        <v>0</v>
      </c>
      <c r="AF294" s="28">
        <v>0</v>
      </c>
      <c r="AH294" s="29">
        <f>IF($D294 = "SPLIT", "",COUNTIFS($D$7:$D$347,$D294,N$7:N$347,"&gt;"&amp;N294)+1)</f>
        <v>1</v>
      </c>
      <c r="AI294" s="29">
        <f>IF($D294 = "SPLIT", "",COUNTIFS($D$7:$D$347,$D294,S$7:S$347,"&gt;"&amp;S294)+1)</f>
        <v>177</v>
      </c>
      <c r="AJ294" s="29">
        <f>IF($D294 = "SPLIT", "",COUNTIFS($D$7:$D$347,$D294,T$7:T$347,"&gt;"&amp;T294)+1)</f>
        <v>113</v>
      </c>
      <c r="AK294" s="29">
        <f>IF($D294 = "SPLIT", "",COUNTIFS($D$7:$D$347,$D294,X$7:X$347,"&lt;"&amp;X294)+1)</f>
        <v>1</v>
      </c>
      <c r="AL294" s="29">
        <f>IF($D294 = "SPLIT", "",COUNTIFS($D$7:$D$347,$D294,Z$7:Z$347,"&gt;"&amp;Z294)+1)</f>
        <v>210</v>
      </c>
      <c r="AM294" s="29">
        <f>IF($D294 = "SPLIT", "",COUNTIFS($D$7:$D$347,$D294,AB$7:AB$347,"&gt;"&amp;AB294)+1)</f>
        <v>208</v>
      </c>
      <c r="AN294" s="29">
        <f>IF($D294 = "SPLIT", "",COUNTIFS($D$7:$D$347,$D294,AD$7:AD$347,"&gt;"&amp;AD294)+1)</f>
        <v>198</v>
      </c>
      <c r="AO294" s="29">
        <f>IF($D294 = "SPLIT", "",COUNTIFS($D$7:$D$347,$D294,AF$7:AF$347,"&gt;"&amp;AF294)+1)</f>
        <v>198</v>
      </c>
    </row>
    <row r="295" spans="1:41" hidden="1" x14ac:dyDescent="0.25">
      <c r="A295" s="30">
        <v>540191</v>
      </c>
      <c r="B295" s="30" t="s">
        <v>463</v>
      </c>
      <c r="C295" s="30" t="s">
        <v>456</v>
      </c>
      <c r="D295" s="30" t="s">
        <v>52</v>
      </c>
      <c r="E295" s="31">
        <v>7</v>
      </c>
      <c r="F295" s="31" t="s">
        <v>53</v>
      </c>
      <c r="G295" s="31">
        <v>200</v>
      </c>
      <c r="H295" s="31">
        <v>25</v>
      </c>
      <c r="I295" s="31">
        <v>107</v>
      </c>
      <c r="J295" s="31">
        <v>13</v>
      </c>
      <c r="K295" s="31">
        <v>345</v>
      </c>
      <c r="L295" s="32">
        <v>0.57999999999999996</v>
      </c>
      <c r="M295" s="32">
        <v>7.1999999999999995E-2</v>
      </c>
      <c r="N295" s="32">
        <v>0.31</v>
      </c>
      <c r="O295" s="32">
        <v>3.7999999999999999E-2</v>
      </c>
      <c r="P295" s="32">
        <v>1.7000000000000001E-2</v>
      </c>
      <c r="Q295" s="32">
        <v>6.0000000000000001E-3</v>
      </c>
      <c r="S295" s="31">
        <v>70</v>
      </c>
      <c r="T295" s="31">
        <v>28</v>
      </c>
      <c r="U295" s="31">
        <v>13</v>
      </c>
      <c r="W295" s="31">
        <v>1974.5</v>
      </c>
      <c r="X295" s="31">
        <v>1982</v>
      </c>
      <c r="Y295" s="33">
        <v>67623.899999999994</v>
      </c>
      <c r="Z295" s="33">
        <v>42700</v>
      </c>
      <c r="AA295" s="33">
        <v>51525.5</v>
      </c>
      <c r="AB295" s="33">
        <v>40400</v>
      </c>
      <c r="AC295" s="32">
        <v>0.307</v>
      </c>
      <c r="AD295" s="32">
        <v>0.191</v>
      </c>
      <c r="AE295" s="33">
        <v>14628.9</v>
      </c>
      <c r="AF295" s="33">
        <v>8248</v>
      </c>
      <c r="AH295" s="34">
        <f>IF($D295 = "SPLIT", "",COUNTIFS($D$7:$D$347,$D295,N$7:N$347,"&gt;"&amp;N295)+1)</f>
        <v>12</v>
      </c>
      <c r="AI295" s="34">
        <f>IF($D295 = "SPLIT", "",COUNTIFS($D$7:$D$347,$D295,S$7:S$347,"&gt;"&amp;S295)+1)</f>
        <v>43</v>
      </c>
      <c r="AJ295" s="34">
        <f>IF($D295 = "SPLIT", "",COUNTIFS($D$7:$D$347,$D295,T$7:T$347,"&gt;"&amp;T295)+1)</f>
        <v>25</v>
      </c>
      <c r="AK295" s="34">
        <f>IF($D295 = "SPLIT", "",COUNTIFS($D$7:$D$347,$D295,X$7:X$347,"&lt;"&amp;X295)+1)</f>
        <v>50</v>
      </c>
      <c r="AL295" s="34">
        <f>IF($D295 = "SPLIT", "",COUNTIFS($D$7:$D$347,$D295,Z$7:Z$347,"&gt;"&amp;Z295)+1)</f>
        <v>21</v>
      </c>
      <c r="AM295" s="34">
        <f>IF($D295 = "SPLIT", "",COUNTIFS($D$7:$D$347,$D295,AB$7:AB$347,"&gt;"&amp;AB295)+1)</f>
        <v>22</v>
      </c>
      <c r="AN295" s="34">
        <f>IF($D295 = "SPLIT", "",COUNTIFS($D$7:$D$347,$D295,AD$7:AD$347,"&gt;"&amp;AD295)+1)</f>
        <v>24</v>
      </c>
      <c r="AO295" s="34">
        <f>IF($D295 = "SPLIT", "",COUNTIFS($D$7:$D$347,$D295,AF$7:AF$347,"&gt;"&amp;AF295)+1)</f>
        <v>20</v>
      </c>
    </row>
    <row r="296" spans="1:41" hidden="1" x14ac:dyDescent="0.25">
      <c r="A296" s="160"/>
      <c r="B296" s="160"/>
      <c r="C296" s="160" t="s">
        <v>456</v>
      </c>
      <c r="D296" s="160" t="s">
        <v>2</v>
      </c>
      <c r="E296" s="161">
        <v>7</v>
      </c>
      <c r="F296" s="161"/>
      <c r="G296" s="161">
        <v>388</v>
      </c>
      <c r="H296" s="161">
        <v>27</v>
      </c>
      <c r="I296" s="161">
        <v>195</v>
      </c>
      <c r="J296" s="161">
        <v>15</v>
      </c>
      <c r="K296" s="161">
        <v>625</v>
      </c>
      <c r="L296" s="162">
        <v>0.621</v>
      </c>
      <c r="M296" s="162">
        <v>4.2999999999999997E-2</v>
      </c>
      <c r="N296" s="162">
        <v>0.312</v>
      </c>
      <c r="O296" s="162">
        <v>2.4E-2</v>
      </c>
      <c r="P296" s="162">
        <v>1.2999999999999999E-2</v>
      </c>
      <c r="Q296" s="162">
        <v>3.0000000000000001E-3</v>
      </c>
      <c r="S296" s="161">
        <v>169</v>
      </c>
      <c r="T296" s="161">
        <v>48</v>
      </c>
      <c r="U296" s="161">
        <v>16</v>
      </c>
      <c r="W296" s="161">
        <v>1962.5</v>
      </c>
      <c r="X296" s="161">
        <v>1973</v>
      </c>
      <c r="Y296" s="163">
        <v>79504.100000000006</v>
      </c>
      <c r="Z296" s="163">
        <v>50400</v>
      </c>
      <c r="AA296" s="163">
        <v>62183.9</v>
      </c>
      <c r="AB296" s="163">
        <v>53900</v>
      </c>
      <c r="AC296" s="162">
        <v>0.224</v>
      </c>
      <c r="AD296" s="162">
        <v>0.156</v>
      </c>
      <c r="AE296" s="163">
        <v>14735.5</v>
      </c>
      <c r="AF296" s="163">
        <v>8404</v>
      </c>
      <c r="AH296" s="164">
        <f>IF($D296 = "SPLIT", "",COUNTIFS($D$7:$D$347,$D296,N$7:N$347,"&gt;"&amp;N296)+1)</f>
        <v>10</v>
      </c>
      <c r="AI296" s="164">
        <f>IF($D296 = "SPLIT", "",COUNTIFS($D$7:$D$347,$D296,S$7:S$347,"&gt;"&amp;S296)+1)</f>
        <v>32</v>
      </c>
      <c r="AJ296" s="164">
        <f>IF($D296 = "SPLIT", "",COUNTIFS($D$7:$D$347,$D296,T$7:T$347,"&gt;"&amp;T296)+1)</f>
        <v>22</v>
      </c>
      <c r="AK296" s="164">
        <f>IF($D296 = "SPLIT", "",COUNTIFS($D$7:$D$347,$D296,X$7:X$347,"&lt;"&amp;X296)+1)</f>
        <v>40</v>
      </c>
      <c r="AL296" s="164">
        <f>IF($D296 = "SPLIT", "",COUNTIFS($D$7:$D$347,$D296,Z$7:Z$347,"&gt;"&amp;Z296)+1)</f>
        <v>14</v>
      </c>
      <c r="AM296" s="164">
        <f>IF($D296 = "SPLIT", "",COUNTIFS($D$7:$D$347,$D296,AB$7:AB$347,"&gt;"&amp;AB296)+1)</f>
        <v>18</v>
      </c>
      <c r="AN296" s="164">
        <f>IF($D296 = "SPLIT", "",COUNTIFS($D$7:$D$347,$D296,AD$7:AD$347,"&gt;"&amp;AD296)+1)</f>
        <v>28</v>
      </c>
      <c r="AO296" s="164">
        <f>IF($D296 = "SPLIT", "",COUNTIFS($D$7:$D$347,$D296,AF$7:AF$347,"&gt;"&amp;AF296)+1)</f>
        <v>14</v>
      </c>
    </row>
    <row r="297" spans="1:41" hidden="1" x14ac:dyDescent="0.25">
      <c r="A297" s="25">
        <v>540259</v>
      </c>
      <c r="B297" s="25" t="s">
        <v>464</v>
      </c>
      <c r="C297" s="25" t="s">
        <v>465</v>
      </c>
      <c r="D297" s="25" t="s">
        <v>55</v>
      </c>
      <c r="E297" s="26">
        <v>5</v>
      </c>
      <c r="F297" s="26" t="s">
        <v>466</v>
      </c>
      <c r="G297" s="26">
        <v>43</v>
      </c>
      <c r="H297" s="26">
        <v>0</v>
      </c>
      <c r="I297" s="26">
        <v>4</v>
      </c>
      <c r="J297" s="26">
        <v>10</v>
      </c>
      <c r="K297" s="26">
        <v>57</v>
      </c>
      <c r="L297" s="35">
        <v>0.754</v>
      </c>
      <c r="M297" s="35">
        <v>0</v>
      </c>
      <c r="N297" s="35">
        <v>7.0000000000000007E-2</v>
      </c>
      <c r="O297" s="35">
        <v>0.17499999999999999</v>
      </c>
      <c r="P297" s="35">
        <v>0.105</v>
      </c>
      <c r="Q297" s="35">
        <v>1.7999999999999999E-2</v>
      </c>
      <c r="S297" s="26">
        <v>30</v>
      </c>
      <c r="T297" s="26">
        <v>4</v>
      </c>
      <c r="U297" s="26">
        <v>9</v>
      </c>
      <c r="W297" s="26">
        <v>1935.5</v>
      </c>
      <c r="X297" s="26">
        <v>1939</v>
      </c>
      <c r="Y297" s="28">
        <v>33357.800000000003</v>
      </c>
      <c r="Z297" s="28">
        <v>29090</v>
      </c>
      <c r="AA297" s="28">
        <v>31125.7</v>
      </c>
      <c r="AB297" s="28">
        <v>28050</v>
      </c>
      <c r="AC297" s="35">
        <v>0.43099999999999999</v>
      </c>
      <c r="AD297" s="35">
        <v>0.41699999999999998</v>
      </c>
      <c r="AE297" s="28">
        <v>13769</v>
      </c>
      <c r="AF297" s="28">
        <v>10276.700000000001</v>
      </c>
      <c r="AH297" s="29">
        <f>IF($D297 = "SPLIT", "",COUNTIFS($D$7:$D$347,$D297,N$7:N$347,"&gt;"&amp;N297)+1)</f>
        <v>155</v>
      </c>
      <c r="AI297" s="29">
        <f>IF($D297 = "SPLIT", "",COUNTIFS($D$7:$D$347,$D297,S$7:S$347,"&gt;"&amp;S297)+1)</f>
        <v>49</v>
      </c>
      <c r="AJ297" s="29">
        <f>IF($D297 = "SPLIT", "",COUNTIFS($D$7:$D$347,$D297,T$7:T$347,"&gt;"&amp;T297)+1)</f>
        <v>40</v>
      </c>
      <c r="AK297" s="29">
        <f>IF($D297 = "SPLIT", "",COUNTIFS($D$7:$D$347,$D297,X$7:X$347,"&lt;"&amp;X297)+1)</f>
        <v>70</v>
      </c>
      <c r="AL297" s="29">
        <f>IF($D297 = "SPLIT", "",COUNTIFS($D$7:$D$347,$D297,Z$7:Z$347,"&gt;"&amp;Z297)+1)</f>
        <v>156</v>
      </c>
      <c r="AM297" s="29">
        <f>IF($D297 = "SPLIT", "",COUNTIFS($D$7:$D$347,$D297,AB$7:AB$347,"&gt;"&amp;AB297)+1)</f>
        <v>151</v>
      </c>
      <c r="AN297" s="29">
        <f>IF($D297 = "SPLIT", "",COUNTIFS($D$7:$D$347,$D297,AD$7:AD$347,"&gt;"&amp;AD297)+1)</f>
        <v>8</v>
      </c>
      <c r="AO297" s="29">
        <f>IF($D297 = "SPLIT", "",COUNTIFS($D$7:$D$347,$D297,AF$7:AF$347,"&gt;"&amp;AF297)+1)</f>
        <v>33</v>
      </c>
    </row>
    <row r="298" spans="1:41" hidden="1" x14ac:dyDescent="0.25">
      <c r="A298" s="25">
        <v>540195</v>
      </c>
      <c r="B298" s="25" t="s">
        <v>467</v>
      </c>
      <c r="C298" s="25" t="s">
        <v>465</v>
      </c>
      <c r="D298" s="25" t="s">
        <v>55</v>
      </c>
      <c r="E298" s="26">
        <v>5</v>
      </c>
      <c r="F298" s="26" t="s">
        <v>466</v>
      </c>
      <c r="G298" s="26">
        <v>1</v>
      </c>
      <c r="H298" s="26">
        <v>0</v>
      </c>
      <c r="I298" s="26">
        <v>0</v>
      </c>
      <c r="J298" s="26">
        <v>1</v>
      </c>
      <c r="K298" s="26">
        <v>2</v>
      </c>
      <c r="L298" s="35">
        <v>0.5</v>
      </c>
      <c r="M298" s="35">
        <v>0</v>
      </c>
      <c r="N298" s="35">
        <v>0</v>
      </c>
      <c r="O298" s="35">
        <v>0.5</v>
      </c>
      <c r="P298" s="35">
        <v>0.5</v>
      </c>
      <c r="Q298" s="35">
        <v>0</v>
      </c>
      <c r="S298" s="26">
        <v>0</v>
      </c>
      <c r="T298" s="26">
        <v>0</v>
      </c>
      <c r="U298" s="26">
        <v>0</v>
      </c>
      <c r="W298" s="26">
        <v>1979</v>
      </c>
      <c r="X298" s="26">
        <v>1979</v>
      </c>
      <c r="Y298" s="28">
        <v>41220</v>
      </c>
      <c r="Z298" s="28">
        <v>41220</v>
      </c>
      <c r="AA298" s="28">
        <v>41220</v>
      </c>
      <c r="AB298" s="28">
        <v>41220</v>
      </c>
      <c r="AC298" s="35">
        <v>0.13</v>
      </c>
      <c r="AD298" s="35">
        <v>0.13</v>
      </c>
      <c r="AE298" s="28">
        <v>7150</v>
      </c>
      <c r="AF298" s="28">
        <v>7150</v>
      </c>
      <c r="AH298" s="29">
        <f>IF($D298 = "SPLIT", "",COUNTIFS($D$7:$D$347,$D298,N$7:N$347,"&gt;"&amp;N298)+1)</f>
        <v>195</v>
      </c>
      <c r="AI298" s="29">
        <f>IF($D298 = "SPLIT", "",COUNTIFS($D$7:$D$347,$D298,S$7:S$347,"&gt;"&amp;S298)+1)</f>
        <v>177</v>
      </c>
      <c r="AJ298" s="29">
        <f>IF($D298 = "SPLIT", "",COUNTIFS($D$7:$D$347,$D298,T$7:T$347,"&gt;"&amp;T298)+1)</f>
        <v>113</v>
      </c>
      <c r="AK298" s="29">
        <f>IF($D298 = "SPLIT", "",COUNTIFS($D$7:$D$347,$D298,X$7:X$347,"&lt;"&amp;X298)+1)</f>
        <v>190</v>
      </c>
      <c r="AL298" s="29">
        <f>IF($D298 = "SPLIT", "",COUNTIFS($D$7:$D$347,$D298,Z$7:Z$347,"&gt;"&amp;Z298)+1)</f>
        <v>110</v>
      </c>
      <c r="AM298" s="29">
        <f>IF($D298 = "SPLIT", "",COUNTIFS($D$7:$D$347,$D298,AB$7:AB$347,"&gt;"&amp;AB298)+1)</f>
        <v>95</v>
      </c>
      <c r="AN298" s="29">
        <f>IF($D298 = "SPLIT", "",COUNTIFS($D$7:$D$347,$D298,AD$7:AD$347,"&gt;"&amp;AD298)+1)</f>
        <v>90</v>
      </c>
      <c r="AO298" s="29">
        <f>IF($D298 = "SPLIT", "",COUNTIFS($D$7:$D$347,$D298,AF$7:AF$347,"&gt;"&amp;AF298)+1)</f>
        <v>64</v>
      </c>
    </row>
    <row r="299" spans="1:41" hidden="1" x14ac:dyDescent="0.25">
      <c r="A299" s="25">
        <v>540196</v>
      </c>
      <c r="B299" s="25" t="s">
        <v>468</v>
      </c>
      <c r="C299" s="25" t="s">
        <v>465</v>
      </c>
      <c r="D299" s="25" t="s">
        <v>88</v>
      </c>
      <c r="E299" s="26">
        <v>5</v>
      </c>
      <c r="F299" s="26" t="s">
        <v>469</v>
      </c>
      <c r="G299" s="26">
        <v>1</v>
      </c>
      <c r="H299" s="26">
        <v>0</v>
      </c>
      <c r="I299" s="26">
        <v>1</v>
      </c>
      <c r="J299" s="26">
        <v>1</v>
      </c>
      <c r="K299" s="26">
        <v>3</v>
      </c>
      <c r="L299" s="35">
        <v>0.33300000000000002</v>
      </c>
      <c r="M299" s="35">
        <v>0</v>
      </c>
      <c r="N299" s="35">
        <v>0.33300000000000002</v>
      </c>
      <c r="O299" s="35">
        <v>0.33300000000000002</v>
      </c>
      <c r="P299" s="35">
        <v>0.33300000000000002</v>
      </c>
      <c r="Q299" s="35">
        <v>0</v>
      </c>
      <c r="S299" s="26">
        <v>0</v>
      </c>
      <c r="T299" s="26">
        <v>0</v>
      </c>
      <c r="U299" s="26">
        <v>0</v>
      </c>
      <c r="W299" s="26">
        <v>1986</v>
      </c>
      <c r="X299" s="26">
        <v>1986</v>
      </c>
      <c r="Y299" s="28">
        <v>71573.3</v>
      </c>
      <c r="Z299" s="28">
        <v>72500</v>
      </c>
      <c r="AA299" s="28">
        <v>46460</v>
      </c>
      <c r="AB299" s="28">
        <v>46460</v>
      </c>
      <c r="AC299" s="35">
        <v>0</v>
      </c>
      <c r="AD299" s="35">
        <v>0</v>
      </c>
      <c r="AE299" s="28">
        <v>0</v>
      </c>
      <c r="AF299" s="28">
        <v>0</v>
      </c>
      <c r="AH299" s="29" t="str">
        <f>IF($D299 = "SPLIT", "",COUNTIFS($D$7:$D$347,$D299,N$7:N$347,"&gt;"&amp;N299)+1)</f>
        <v/>
      </c>
      <c r="AI299" s="29" t="str">
        <f>IF($D299 = "SPLIT", "",COUNTIFS($D$7:$D$347,$D299,S$7:S$347,"&gt;"&amp;S299)+1)</f>
        <v/>
      </c>
      <c r="AJ299" s="29" t="str">
        <f>IF($D299 = "SPLIT", "",COUNTIFS($D$7:$D$347,$D299,T$7:T$347,"&gt;"&amp;T299)+1)</f>
        <v/>
      </c>
      <c r="AK299" s="29" t="str">
        <f>IF($D299 = "SPLIT", "",COUNTIFS($D$7:$D$347,$D299,X$7:X$347,"&lt;"&amp;X299)+1)</f>
        <v/>
      </c>
      <c r="AL299" s="29" t="str">
        <f>IF($D299 = "SPLIT", "",COUNTIFS($D$7:$D$347,$D299,Z$7:Z$347,"&gt;"&amp;Z299)+1)</f>
        <v/>
      </c>
      <c r="AM299" s="29" t="str">
        <f>IF($D299 = "SPLIT", "",COUNTIFS($D$7:$D$347,$D299,AB$7:AB$347,"&gt;"&amp;AB299)+1)</f>
        <v/>
      </c>
      <c r="AN299" s="29" t="str">
        <f>IF($D299 = "SPLIT", "",COUNTIFS($D$7:$D$347,$D299,AD$7:AD$347,"&gt;"&amp;AD299)+1)</f>
        <v/>
      </c>
      <c r="AO299" s="29" t="str">
        <f>IF($D299 = "SPLIT", "",COUNTIFS($D$7:$D$347,$D299,AF$7:AF$347,"&gt;"&amp;AF299)+1)</f>
        <v/>
      </c>
    </row>
    <row r="300" spans="1:41" hidden="1" x14ac:dyDescent="0.25">
      <c r="A300" s="25">
        <v>540197</v>
      </c>
      <c r="B300" s="25" t="s">
        <v>470</v>
      </c>
      <c r="C300" s="25" t="s">
        <v>465</v>
      </c>
      <c r="D300" s="25" t="s">
        <v>55</v>
      </c>
      <c r="E300" s="26">
        <v>5</v>
      </c>
      <c r="F300" s="26" t="s">
        <v>466</v>
      </c>
      <c r="G300" s="26">
        <v>61</v>
      </c>
      <c r="H300" s="26">
        <v>0</v>
      </c>
      <c r="I300" s="26">
        <v>12</v>
      </c>
      <c r="J300" s="26">
        <v>12</v>
      </c>
      <c r="K300" s="26">
        <v>85</v>
      </c>
      <c r="L300" s="35">
        <v>0.71799999999999997</v>
      </c>
      <c r="M300" s="35">
        <v>0</v>
      </c>
      <c r="N300" s="35">
        <v>0.14099999999999999</v>
      </c>
      <c r="O300" s="35">
        <v>0.14099999999999999</v>
      </c>
      <c r="P300" s="35">
        <v>4.7E-2</v>
      </c>
      <c r="Q300" s="35">
        <v>4.7E-2</v>
      </c>
      <c r="S300" s="26">
        <v>41</v>
      </c>
      <c r="T300" s="26">
        <v>12</v>
      </c>
      <c r="U300" s="26">
        <v>10</v>
      </c>
      <c r="W300" s="26">
        <v>1933.1</v>
      </c>
      <c r="X300" s="26">
        <v>1920</v>
      </c>
      <c r="Y300" s="28">
        <v>96691.1</v>
      </c>
      <c r="Z300" s="28">
        <v>47200</v>
      </c>
      <c r="AA300" s="28">
        <v>59738.6</v>
      </c>
      <c r="AB300" s="28">
        <v>47800</v>
      </c>
      <c r="AC300" s="35">
        <v>0.34399999999999997</v>
      </c>
      <c r="AD300" s="35">
        <v>0.28199999999999997</v>
      </c>
      <c r="AE300" s="28">
        <v>21164.3</v>
      </c>
      <c r="AF300" s="28">
        <v>10556.7</v>
      </c>
      <c r="AH300" s="29">
        <f>IF($D300 = "SPLIT", "",COUNTIFS($D$7:$D$347,$D300,N$7:N$347,"&gt;"&amp;N300)+1)</f>
        <v>99</v>
      </c>
      <c r="AI300" s="29">
        <f>IF($D300 = "SPLIT", "",COUNTIFS($D$7:$D$347,$D300,S$7:S$347,"&gt;"&amp;S300)+1)</f>
        <v>38</v>
      </c>
      <c r="AJ300" s="29">
        <f>IF($D300 = "SPLIT", "",COUNTIFS($D$7:$D$347,$D300,T$7:T$347,"&gt;"&amp;T300)+1)</f>
        <v>16</v>
      </c>
      <c r="AK300" s="29">
        <f>IF($D300 = "SPLIT", "",COUNTIFS($D$7:$D$347,$D300,X$7:X$347,"&lt;"&amp;X300)+1)</f>
        <v>21</v>
      </c>
      <c r="AL300" s="29">
        <f>IF($D300 = "SPLIT", "",COUNTIFS($D$7:$D$347,$D300,Z$7:Z$347,"&gt;"&amp;Z300)+1)</f>
        <v>84</v>
      </c>
      <c r="AM300" s="29">
        <f>IF($D300 = "SPLIT", "",COUNTIFS($D$7:$D$347,$D300,AB$7:AB$347,"&gt;"&amp;AB300)+1)</f>
        <v>66</v>
      </c>
      <c r="AN300" s="29">
        <f>IF($D300 = "SPLIT", "",COUNTIFS($D$7:$D$347,$D300,AD$7:AD$347,"&gt;"&amp;AD300)+1)</f>
        <v>23</v>
      </c>
      <c r="AO300" s="29">
        <f>IF($D300 = "SPLIT", "",COUNTIFS($D$7:$D$347,$D300,AF$7:AF$347,"&gt;"&amp;AF300)+1)</f>
        <v>30</v>
      </c>
    </row>
    <row r="301" spans="1:41" hidden="1" x14ac:dyDescent="0.25">
      <c r="A301" s="30">
        <v>540277</v>
      </c>
      <c r="B301" s="30" t="s">
        <v>471</v>
      </c>
      <c r="C301" s="30" t="s">
        <v>465</v>
      </c>
      <c r="D301" s="30" t="s">
        <v>52</v>
      </c>
      <c r="E301" s="31">
        <v>5</v>
      </c>
      <c r="F301" s="31" t="s">
        <v>466</v>
      </c>
      <c r="G301" s="31">
        <v>463</v>
      </c>
      <c r="H301" s="31">
        <v>9</v>
      </c>
      <c r="I301" s="31">
        <v>99</v>
      </c>
      <c r="J301" s="31">
        <v>99</v>
      </c>
      <c r="K301" s="31">
        <v>670</v>
      </c>
      <c r="L301" s="32">
        <v>0.69099999999999995</v>
      </c>
      <c r="M301" s="32">
        <v>1.2999999999999999E-2</v>
      </c>
      <c r="N301" s="32">
        <v>0.14799999999999999</v>
      </c>
      <c r="O301" s="32">
        <v>0.14799999999999999</v>
      </c>
      <c r="P301" s="32">
        <v>0.10299999999999999</v>
      </c>
      <c r="Q301" s="32">
        <v>7.0000000000000001E-3</v>
      </c>
      <c r="S301" s="31">
        <v>85</v>
      </c>
      <c r="T301" s="31">
        <v>15</v>
      </c>
      <c r="U301" s="31">
        <v>21</v>
      </c>
      <c r="W301" s="31">
        <v>1951.8</v>
      </c>
      <c r="X301" s="31">
        <v>1960</v>
      </c>
      <c r="Y301" s="33">
        <v>55906.6</v>
      </c>
      <c r="Z301" s="33">
        <v>32700</v>
      </c>
      <c r="AA301" s="33">
        <v>44155.8</v>
      </c>
      <c r="AB301" s="33">
        <v>31600</v>
      </c>
      <c r="AC301" s="32">
        <v>0.26700000000000002</v>
      </c>
      <c r="AD301" s="32">
        <v>0.16</v>
      </c>
      <c r="AE301" s="33">
        <v>8980</v>
      </c>
      <c r="AF301" s="33">
        <v>4105.6000000000004</v>
      </c>
      <c r="AH301" s="34">
        <f>IF($D301 = "SPLIT", "",COUNTIFS($D$7:$D$347,$D301,N$7:N$347,"&gt;"&amp;N301)+1)</f>
        <v>49</v>
      </c>
      <c r="AI301" s="34">
        <f>IF($D301 = "SPLIT", "",COUNTIFS($D$7:$D$347,$D301,S$7:S$347,"&gt;"&amp;S301)+1)</f>
        <v>38</v>
      </c>
      <c r="AJ301" s="34">
        <f>IF($D301 = "SPLIT", "",COUNTIFS($D$7:$D$347,$D301,T$7:T$347,"&gt;"&amp;T301)+1)</f>
        <v>36</v>
      </c>
      <c r="AK301" s="34">
        <f>IF($D301 = "SPLIT", "",COUNTIFS($D$7:$D$347,$D301,X$7:X$347,"&lt;"&amp;X301)+1)</f>
        <v>6</v>
      </c>
      <c r="AL301" s="34">
        <f>IF($D301 = "SPLIT", "",COUNTIFS($D$7:$D$347,$D301,Z$7:Z$347,"&gt;"&amp;Z301)+1)</f>
        <v>35</v>
      </c>
      <c r="AM301" s="34">
        <f>IF($D301 = "SPLIT", "",COUNTIFS($D$7:$D$347,$D301,AB$7:AB$347,"&gt;"&amp;AB301)+1)</f>
        <v>35</v>
      </c>
      <c r="AN301" s="34">
        <f>IF($D301 = "SPLIT", "",COUNTIFS($D$7:$D$347,$D301,AD$7:AD$347,"&gt;"&amp;AD301)+1)</f>
        <v>35</v>
      </c>
      <c r="AO301" s="34">
        <f>IF($D301 = "SPLIT", "",COUNTIFS($D$7:$D$347,$D301,AF$7:AF$347,"&gt;"&amp;AF301)+1)</f>
        <v>43</v>
      </c>
    </row>
    <row r="302" spans="1:41" hidden="1" x14ac:dyDescent="0.25">
      <c r="A302" s="160"/>
      <c r="B302" s="160"/>
      <c r="C302" s="160" t="s">
        <v>465</v>
      </c>
      <c r="D302" s="160" t="s">
        <v>2</v>
      </c>
      <c r="E302" s="161">
        <v>5</v>
      </c>
      <c r="F302" s="161"/>
      <c r="G302" s="161">
        <v>569</v>
      </c>
      <c r="H302" s="161">
        <v>9</v>
      </c>
      <c r="I302" s="161">
        <v>116</v>
      </c>
      <c r="J302" s="161">
        <v>123</v>
      </c>
      <c r="K302" s="161">
        <v>817</v>
      </c>
      <c r="L302" s="162">
        <v>0.69599999999999995</v>
      </c>
      <c r="M302" s="162">
        <v>1.0999999999999999E-2</v>
      </c>
      <c r="N302" s="162">
        <v>0.14199999999999999</v>
      </c>
      <c r="O302" s="162">
        <v>0.151</v>
      </c>
      <c r="P302" s="162">
        <v>9.9000000000000005E-2</v>
      </c>
      <c r="Q302" s="162">
        <v>1.2E-2</v>
      </c>
      <c r="S302" s="161">
        <v>156</v>
      </c>
      <c r="T302" s="161">
        <v>31</v>
      </c>
      <c r="U302" s="161">
        <v>40</v>
      </c>
      <c r="W302" s="161">
        <v>1948.9</v>
      </c>
      <c r="X302" s="161">
        <v>1955.5</v>
      </c>
      <c r="Y302" s="163">
        <v>58598.2</v>
      </c>
      <c r="Z302" s="163">
        <v>33900</v>
      </c>
      <c r="AA302" s="163">
        <v>51345.2</v>
      </c>
      <c r="AB302" s="163">
        <v>41000</v>
      </c>
      <c r="AC302" s="162">
        <v>0.30399999999999999</v>
      </c>
      <c r="AD302" s="162">
        <v>0.20200000000000001</v>
      </c>
      <c r="AE302" s="163">
        <v>12014.3</v>
      </c>
      <c r="AF302" s="163">
        <v>6292.9</v>
      </c>
      <c r="AH302" s="164">
        <f>IF($D302 = "SPLIT", "",COUNTIFS($D$7:$D$347,$D302,N$7:N$347,"&gt;"&amp;N302)+1)</f>
        <v>45</v>
      </c>
      <c r="AI302" s="164">
        <f>IF($D302 = "SPLIT", "",COUNTIFS($D$7:$D$347,$D302,S$7:S$347,"&gt;"&amp;S302)+1)</f>
        <v>35</v>
      </c>
      <c r="AJ302" s="164">
        <f>IF($D302 = "SPLIT", "",COUNTIFS($D$7:$D$347,$D302,T$7:T$347,"&gt;"&amp;T302)+1)</f>
        <v>30</v>
      </c>
      <c r="AK302" s="164">
        <f>IF($D302 = "SPLIT", "",COUNTIFS($D$7:$D$347,$D302,X$7:X$347,"&lt;"&amp;X302)+1)</f>
        <v>14</v>
      </c>
      <c r="AL302" s="164">
        <f>IF($D302 = "SPLIT", "",COUNTIFS($D$7:$D$347,$D302,Z$7:Z$347,"&gt;"&amp;Z302)+1)</f>
        <v>36</v>
      </c>
      <c r="AM302" s="164">
        <f>IF($D302 = "SPLIT", "",COUNTIFS($D$7:$D$347,$D302,AB$7:AB$347,"&gt;"&amp;AB302)+1)</f>
        <v>36</v>
      </c>
      <c r="AN302" s="164">
        <f>IF($D302 = "SPLIT", "",COUNTIFS($D$7:$D$347,$D302,AD$7:AD$347,"&gt;"&amp;AD302)+1)</f>
        <v>16</v>
      </c>
      <c r="AO302" s="164">
        <f>IF($D302 = "SPLIT", "",COUNTIFS($D$7:$D$347,$D302,AF$7:AF$347,"&gt;"&amp;AF302)+1)</f>
        <v>26</v>
      </c>
    </row>
    <row r="303" spans="1:41" hidden="1" x14ac:dyDescent="0.25">
      <c r="A303" s="25">
        <v>540199</v>
      </c>
      <c r="B303" s="25" t="s">
        <v>472</v>
      </c>
      <c r="C303" s="25" t="s">
        <v>473</v>
      </c>
      <c r="D303" s="25" t="s">
        <v>55</v>
      </c>
      <c r="E303" s="26">
        <v>7</v>
      </c>
      <c r="F303" s="26" t="s">
        <v>60</v>
      </c>
      <c r="G303" s="26">
        <v>496</v>
      </c>
      <c r="H303" s="26">
        <v>0</v>
      </c>
      <c r="I303" s="26">
        <v>96</v>
      </c>
      <c r="J303" s="26">
        <v>15</v>
      </c>
      <c r="K303" s="26">
        <v>607</v>
      </c>
      <c r="L303" s="35">
        <v>0.81699999999999995</v>
      </c>
      <c r="M303" s="35">
        <v>0</v>
      </c>
      <c r="N303" s="35">
        <v>0.158</v>
      </c>
      <c r="O303" s="35">
        <v>2.5000000000000001E-2</v>
      </c>
      <c r="P303" s="35">
        <v>2.5000000000000001E-2</v>
      </c>
      <c r="Q303" s="35">
        <v>0</v>
      </c>
      <c r="S303" s="26">
        <v>20</v>
      </c>
      <c r="T303" s="26">
        <v>3</v>
      </c>
      <c r="U303" s="26">
        <v>1</v>
      </c>
      <c r="W303" s="26">
        <v>1946.5</v>
      </c>
      <c r="X303" s="26">
        <v>1947</v>
      </c>
      <c r="Y303" s="28">
        <v>127190.39999999999</v>
      </c>
      <c r="Z303" s="28">
        <v>57100</v>
      </c>
      <c r="AA303" s="28">
        <v>68195.600000000006</v>
      </c>
      <c r="AB303" s="28">
        <v>51300</v>
      </c>
      <c r="AC303" s="35">
        <v>8.8999999999999996E-2</v>
      </c>
      <c r="AD303" s="35">
        <v>5.2999999999999999E-2</v>
      </c>
      <c r="AE303" s="28">
        <v>17360.5</v>
      </c>
      <c r="AF303" s="28">
        <v>3513.4</v>
      </c>
      <c r="AH303" s="29">
        <f>IF($D303 = "SPLIT", "",COUNTIFS($D$7:$D$347,$D303,N$7:N$347,"&gt;"&amp;N303)+1)</f>
        <v>86</v>
      </c>
      <c r="AI303" s="29">
        <f>IF($D303 = "SPLIT", "",COUNTIFS($D$7:$D$347,$D303,S$7:S$347,"&gt;"&amp;S303)+1)</f>
        <v>65</v>
      </c>
      <c r="AJ303" s="29">
        <f>IF($D303 = "SPLIT", "",COUNTIFS($D$7:$D$347,$D303,T$7:T$347,"&gt;"&amp;T303)+1)</f>
        <v>45</v>
      </c>
      <c r="AK303" s="29">
        <f>IF($D303 = "SPLIT", "",COUNTIFS($D$7:$D$347,$D303,X$7:X$347,"&lt;"&amp;X303)+1)</f>
        <v>108</v>
      </c>
      <c r="AL303" s="29">
        <f>IF($D303 = "SPLIT", "",COUNTIFS($D$7:$D$347,$D303,Z$7:Z$347,"&gt;"&amp;Z303)+1)</f>
        <v>55</v>
      </c>
      <c r="AM303" s="29">
        <f>IF($D303 = "SPLIT", "",COUNTIFS($D$7:$D$347,$D303,AB$7:AB$347,"&gt;"&amp;AB303)+1)</f>
        <v>59</v>
      </c>
      <c r="AN303" s="29">
        <f>IF($D303 = "SPLIT", "",COUNTIFS($D$7:$D$347,$D303,AD$7:AD$347,"&gt;"&amp;AD303)+1)</f>
        <v>164</v>
      </c>
      <c r="AO303" s="29">
        <f>IF($D303 = "SPLIT", "",COUNTIFS($D$7:$D$347,$D303,AF$7:AF$347,"&gt;"&amp;AF303)+1)</f>
        <v>125</v>
      </c>
    </row>
    <row r="304" spans="1:41" hidden="1" x14ac:dyDescent="0.25">
      <c r="A304" s="30">
        <v>540198</v>
      </c>
      <c r="B304" s="30" t="s">
        <v>474</v>
      </c>
      <c r="C304" s="30" t="s">
        <v>473</v>
      </c>
      <c r="D304" s="30" t="s">
        <v>52</v>
      </c>
      <c r="E304" s="31">
        <v>7</v>
      </c>
      <c r="F304" s="31" t="s">
        <v>53</v>
      </c>
      <c r="G304" s="31">
        <v>424</v>
      </c>
      <c r="H304" s="31">
        <v>1</v>
      </c>
      <c r="I304" s="31">
        <v>181</v>
      </c>
      <c r="J304" s="31">
        <v>14</v>
      </c>
      <c r="K304" s="31">
        <v>620</v>
      </c>
      <c r="L304" s="32">
        <v>0.68400000000000005</v>
      </c>
      <c r="M304" s="32">
        <v>2E-3</v>
      </c>
      <c r="N304" s="32">
        <v>0.29199999999999998</v>
      </c>
      <c r="O304" s="32">
        <v>2.3E-2</v>
      </c>
      <c r="P304" s="32">
        <v>8.0000000000000002E-3</v>
      </c>
      <c r="Q304" s="32">
        <v>2E-3</v>
      </c>
      <c r="S304" s="31">
        <v>117</v>
      </c>
      <c r="T304" s="31">
        <v>19</v>
      </c>
      <c r="U304" s="31">
        <v>4</v>
      </c>
      <c r="W304" s="31">
        <v>1966.4</v>
      </c>
      <c r="X304" s="31">
        <v>1975</v>
      </c>
      <c r="Y304" s="33">
        <v>81561.100000000006</v>
      </c>
      <c r="Z304" s="33">
        <v>49300</v>
      </c>
      <c r="AA304" s="33">
        <v>54346.3</v>
      </c>
      <c r="AB304" s="33">
        <v>45900</v>
      </c>
      <c r="AC304" s="32">
        <v>0.40200000000000002</v>
      </c>
      <c r="AD304" s="32">
        <v>0.4</v>
      </c>
      <c r="AE304" s="33">
        <v>17466.7</v>
      </c>
      <c r="AF304" s="33">
        <v>11640</v>
      </c>
      <c r="AH304" s="34">
        <f>IF($D304 = "SPLIT", "",COUNTIFS($D$7:$D$347,$D304,N$7:N$347,"&gt;"&amp;N304)+1)</f>
        <v>17</v>
      </c>
      <c r="AI304" s="34">
        <f>IF($D304 = "SPLIT", "",COUNTIFS($D$7:$D$347,$D304,S$7:S$347,"&gt;"&amp;S304)+1)</f>
        <v>32</v>
      </c>
      <c r="AJ304" s="34">
        <f>IF($D304 = "SPLIT", "",COUNTIFS($D$7:$D$347,$D304,T$7:T$347,"&gt;"&amp;T304)+1)</f>
        <v>32</v>
      </c>
      <c r="AK304" s="34">
        <f>IF($D304 = "SPLIT", "",COUNTIFS($D$7:$D$347,$D304,X$7:X$347,"&lt;"&amp;X304)+1)</f>
        <v>34</v>
      </c>
      <c r="AL304" s="34">
        <f>IF($D304 = "SPLIT", "",COUNTIFS($D$7:$D$347,$D304,Z$7:Z$347,"&gt;"&amp;Z304)+1)</f>
        <v>13</v>
      </c>
      <c r="AM304" s="34">
        <f>IF($D304 = "SPLIT", "",COUNTIFS($D$7:$D$347,$D304,AB$7:AB$347,"&gt;"&amp;AB304)+1)</f>
        <v>13</v>
      </c>
      <c r="AN304" s="34">
        <f>IF($D304 = "SPLIT", "",COUNTIFS($D$7:$D$347,$D304,AD$7:AD$347,"&gt;"&amp;AD304)+1)</f>
        <v>6</v>
      </c>
      <c r="AO304" s="34">
        <f>IF($D304 = "SPLIT", "",COUNTIFS($D$7:$D$347,$D304,AF$7:AF$347,"&gt;"&amp;AF304)+1)</f>
        <v>8</v>
      </c>
    </row>
    <row r="305" spans="1:41" hidden="1" x14ac:dyDescent="0.25">
      <c r="A305" s="160"/>
      <c r="B305" s="160"/>
      <c r="C305" s="160" t="s">
        <v>473</v>
      </c>
      <c r="D305" s="160" t="s">
        <v>2</v>
      </c>
      <c r="E305" s="161">
        <v>7</v>
      </c>
      <c r="F305" s="161"/>
      <c r="G305" s="161">
        <v>920</v>
      </c>
      <c r="H305" s="161">
        <v>1</v>
      </c>
      <c r="I305" s="161">
        <v>277</v>
      </c>
      <c r="J305" s="161">
        <v>29</v>
      </c>
      <c r="K305" s="161">
        <v>1227</v>
      </c>
      <c r="L305" s="162">
        <v>0.75</v>
      </c>
      <c r="M305" s="162">
        <v>1E-3</v>
      </c>
      <c r="N305" s="162">
        <v>0.22600000000000001</v>
      </c>
      <c r="O305" s="162">
        <v>2.4E-2</v>
      </c>
      <c r="P305" s="162">
        <v>1.6E-2</v>
      </c>
      <c r="Q305" s="162">
        <v>1E-3</v>
      </c>
      <c r="S305" s="161">
        <v>137</v>
      </c>
      <c r="T305" s="161">
        <v>22</v>
      </c>
      <c r="U305" s="161">
        <v>5</v>
      </c>
      <c r="W305" s="161">
        <v>1956.7</v>
      </c>
      <c r="X305" s="161">
        <v>1964</v>
      </c>
      <c r="Y305" s="163">
        <v>104134</v>
      </c>
      <c r="Z305" s="163">
        <v>53200</v>
      </c>
      <c r="AA305" s="163">
        <v>64474</v>
      </c>
      <c r="AB305" s="163">
        <v>59500</v>
      </c>
      <c r="AC305" s="162">
        <v>0.27700000000000002</v>
      </c>
      <c r="AD305" s="162">
        <v>0.16</v>
      </c>
      <c r="AE305" s="163">
        <v>17424.2</v>
      </c>
      <c r="AF305" s="163">
        <v>7965</v>
      </c>
      <c r="AH305" s="164">
        <f>IF($D305 = "SPLIT", "",COUNTIFS($D$7:$D$347,$D305,N$7:N$347,"&gt;"&amp;N305)+1)</f>
        <v>27</v>
      </c>
      <c r="AI305" s="164">
        <f>IF($D305 = "SPLIT", "",COUNTIFS($D$7:$D$347,$D305,S$7:S$347,"&gt;"&amp;S305)+1)</f>
        <v>38</v>
      </c>
      <c r="AJ305" s="164">
        <f>IF($D305 = "SPLIT", "",COUNTIFS($D$7:$D$347,$D305,T$7:T$347,"&gt;"&amp;T305)+1)</f>
        <v>37</v>
      </c>
      <c r="AK305" s="164">
        <f>IF($D305 = "SPLIT", "",COUNTIFS($D$7:$D$347,$D305,X$7:X$347,"&lt;"&amp;X305)+1)</f>
        <v>25</v>
      </c>
      <c r="AL305" s="164">
        <f>IF($D305 = "SPLIT", "",COUNTIFS($D$7:$D$347,$D305,Z$7:Z$347,"&gt;"&amp;Z305)+1)</f>
        <v>9</v>
      </c>
      <c r="AM305" s="164">
        <f>IF($D305 = "SPLIT", "",COUNTIFS($D$7:$D$347,$D305,AB$7:AB$347,"&gt;"&amp;AB305)+1)</f>
        <v>11</v>
      </c>
      <c r="AN305" s="164">
        <f>IF($D305 = "SPLIT", "",COUNTIFS($D$7:$D$347,$D305,AD$7:AD$347,"&gt;"&amp;AD305)+1)</f>
        <v>27</v>
      </c>
      <c r="AO305" s="164">
        <f>IF($D305 = "SPLIT", "",COUNTIFS($D$7:$D$347,$D305,AF$7:AF$347,"&gt;"&amp;AF305)+1)</f>
        <v>15</v>
      </c>
    </row>
    <row r="306" spans="1:41" hidden="1" x14ac:dyDescent="0.25">
      <c r="A306" s="25">
        <v>540232</v>
      </c>
      <c r="B306" s="25" t="s">
        <v>475</v>
      </c>
      <c r="C306" s="25" t="s">
        <v>476</v>
      </c>
      <c r="D306" s="25" t="s">
        <v>55</v>
      </c>
      <c r="E306" s="26">
        <v>2</v>
      </c>
      <c r="F306" s="26" t="s">
        <v>477</v>
      </c>
      <c r="G306" s="26">
        <v>67</v>
      </c>
      <c r="H306" s="26">
        <v>0</v>
      </c>
      <c r="I306" s="26">
        <v>8</v>
      </c>
      <c r="J306" s="26">
        <v>6</v>
      </c>
      <c r="K306" s="26">
        <v>81</v>
      </c>
      <c r="L306" s="35">
        <v>0.82699999999999996</v>
      </c>
      <c r="M306" s="35">
        <v>0</v>
      </c>
      <c r="N306" s="35">
        <v>9.9000000000000005E-2</v>
      </c>
      <c r="O306" s="35">
        <v>7.3999999999999996E-2</v>
      </c>
      <c r="P306" s="35">
        <v>1.2E-2</v>
      </c>
      <c r="Q306" s="35">
        <v>2.5000000000000001E-2</v>
      </c>
      <c r="S306" s="26">
        <v>52</v>
      </c>
      <c r="T306" s="26">
        <v>5</v>
      </c>
      <c r="U306" s="26">
        <v>2</v>
      </c>
      <c r="W306" s="26">
        <v>1963.7</v>
      </c>
      <c r="X306" s="26">
        <v>1968</v>
      </c>
      <c r="Y306" s="28">
        <v>141869.79999999999</v>
      </c>
      <c r="Z306" s="28">
        <v>57000</v>
      </c>
      <c r="AA306" s="28">
        <v>65315.7</v>
      </c>
      <c r="AB306" s="28">
        <v>52600</v>
      </c>
      <c r="AC306" s="35">
        <v>0.47199999999999998</v>
      </c>
      <c r="AD306" s="35">
        <v>0.51700000000000002</v>
      </c>
      <c r="AE306" s="28">
        <v>71241.600000000006</v>
      </c>
      <c r="AF306" s="28">
        <v>18099.5</v>
      </c>
      <c r="AH306" s="29">
        <f>IF($D306 = "SPLIT", "",COUNTIFS($D$7:$D$347,$D306,N$7:N$347,"&gt;"&amp;N306)+1)</f>
        <v>132</v>
      </c>
      <c r="AI306" s="29">
        <f>IF($D306 = "SPLIT", "",COUNTIFS($D$7:$D$347,$D306,S$7:S$347,"&gt;"&amp;S306)+1)</f>
        <v>30</v>
      </c>
      <c r="AJ306" s="29">
        <f>IF($D306 = "SPLIT", "",COUNTIFS($D$7:$D$347,$D306,T$7:T$347,"&gt;"&amp;T306)+1)</f>
        <v>33</v>
      </c>
      <c r="AK306" s="29">
        <f>IF($D306 = "SPLIT", "",COUNTIFS($D$7:$D$347,$D306,X$7:X$347,"&lt;"&amp;X306)+1)</f>
        <v>161</v>
      </c>
      <c r="AL306" s="29">
        <f>IF($D306 = "SPLIT", "",COUNTIFS($D$7:$D$347,$D306,Z$7:Z$347,"&gt;"&amp;Z306)+1)</f>
        <v>56</v>
      </c>
      <c r="AM306" s="29">
        <f>IF($D306 = "SPLIT", "",COUNTIFS($D$7:$D$347,$D306,AB$7:AB$347,"&gt;"&amp;AB306)+1)</f>
        <v>54</v>
      </c>
      <c r="AN306" s="29">
        <f>IF($D306 = "SPLIT", "",COUNTIFS($D$7:$D$347,$D306,AD$7:AD$347,"&gt;"&amp;AD306)+1)</f>
        <v>6</v>
      </c>
      <c r="AO306" s="29">
        <f>IF($D306 = "SPLIT", "",COUNTIFS($D$7:$D$347,$D306,AF$7:AF$347,"&gt;"&amp;AF306)+1)</f>
        <v>11</v>
      </c>
    </row>
    <row r="307" spans="1:41" hidden="1" x14ac:dyDescent="0.25">
      <c r="A307" s="25">
        <v>540202</v>
      </c>
      <c r="B307" s="25" t="s">
        <v>478</v>
      </c>
      <c r="C307" s="25" t="s">
        <v>476</v>
      </c>
      <c r="D307" s="25" t="s">
        <v>55</v>
      </c>
      <c r="E307" s="26">
        <v>2</v>
      </c>
      <c r="F307" s="26" t="s">
        <v>446</v>
      </c>
      <c r="G307" s="26">
        <v>52</v>
      </c>
      <c r="H307" s="26">
        <v>0</v>
      </c>
      <c r="I307" s="26">
        <v>24</v>
      </c>
      <c r="J307" s="26">
        <v>6</v>
      </c>
      <c r="K307" s="26">
        <v>82</v>
      </c>
      <c r="L307" s="35">
        <v>0.63400000000000001</v>
      </c>
      <c r="M307" s="35">
        <v>0</v>
      </c>
      <c r="N307" s="35">
        <v>0.29299999999999998</v>
      </c>
      <c r="O307" s="35">
        <v>7.2999999999999995E-2</v>
      </c>
      <c r="P307" s="35">
        <v>7.2999999999999995E-2</v>
      </c>
      <c r="Q307" s="35">
        <v>0</v>
      </c>
      <c r="S307" s="26">
        <v>27</v>
      </c>
      <c r="T307" s="26">
        <v>5</v>
      </c>
      <c r="U307" s="26">
        <v>3</v>
      </c>
      <c r="W307" s="26">
        <v>1961</v>
      </c>
      <c r="X307" s="26">
        <v>1967</v>
      </c>
      <c r="Y307" s="28">
        <v>283108.7</v>
      </c>
      <c r="Z307" s="28">
        <v>32950</v>
      </c>
      <c r="AA307" s="28">
        <v>32185.3</v>
      </c>
      <c r="AB307" s="28">
        <v>29350</v>
      </c>
      <c r="AC307" s="35">
        <v>0.30399999999999999</v>
      </c>
      <c r="AD307" s="35">
        <v>0.28899999999999998</v>
      </c>
      <c r="AE307" s="28">
        <v>11363.7</v>
      </c>
      <c r="AF307" s="28">
        <v>6654.5</v>
      </c>
      <c r="AH307" s="29">
        <f>IF($D307 = "SPLIT", "",COUNTIFS($D$7:$D$347,$D307,N$7:N$347,"&gt;"&amp;N307)+1)</f>
        <v>39</v>
      </c>
      <c r="AI307" s="29">
        <f>IF($D307 = "SPLIT", "",COUNTIFS($D$7:$D$347,$D307,S$7:S$347,"&gt;"&amp;S307)+1)</f>
        <v>55</v>
      </c>
      <c r="AJ307" s="29">
        <f>IF($D307 = "SPLIT", "",COUNTIFS($D$7:$D$347,$D307,T$7:T$347,"&gt;"&amp;T307)+1)</f>
        <v>33</v>
      </c>
      <c r="AK307" s="29">
        <f>IF($D307 = "SPLIT", "",COUNTIFS($D$7:$D$347,$D307,X$7:X$347,"&lt;"&amp;X307)+1)</f>
        <v>157</v>
      </c>
      <c r="AL307" s="29">
        <f>IF($D307 = "SPLIT", "",COUNTIFS($D$7:$D$347,$D307,Z$7:Z$347,"&gt;"&amp;Z307)+1)</f>
        <v>144</v>
      </c>
      <c r="AM307" s="29">
        <f>IF($D307 = "SPLIT", "",COUNTIFS($D$7:$D$347,$D307,AB$7:AB$347,"&gt;"&amp;AB307)+1)</f>
        <v>142</v>
      </c>
      <c r="AN307" s="29">
        <f>IF($D307 = "SPLIT", "",COUNTIFS($D$7:$D$347,$D307,AD$7:AD$347,"&gt;"&amp;AD307)+1)</f>
        <v>20</v>
      </c>
      <c r="AO307" s="29">
        <f>IF($D307 = "SPLIT", "",COUNTIFS($D$7:$D$347,$D307,AF$7:AF$347,"&gt;"&amp;AF307)+1)</f>
        <v>70</v>
      </c>
    </row>
    <row r="308" spans="1:41" hidden="1" x14ac:dyDescent="0.25">
      <c r="A308" s="25">
        <v>540018</v>
      </c>
      <c r="B308" s="25" t="s">
        <v>96</v>
      </c>
      <c r="C308" s="25" t="s">
        <v>476</v>
      </c>
      <c r="D308" s="25" t="s">
        <v>88</v>
      </c>
      <c r="E308" s="26">
        <v>2</v>
      </c>
      <c r="F308" s="26" t="s">
        <v>97</v>
      </c>
      <c r="G308" s="26">
        <v>209</v>
      </c>
      <c r="H308" s="26">
        <v>0</v>
      </c>
      <c r="I308" s="26">
        <v>19</v>
      </c>
      <c r="J308" s="26">
        <v>4</v>
      </c>
      <c r="K308" s="26">
        <v>232</v>
      </c>
      <c r="L308" s="35">
        <v>0.90100000000000002</v>
      </c>
      <c r="M308" s="35">
        <v>0</v>
      </c>
      <c r="N308" s="35">
        <v>8.2000000000000003E-2</v>
      </c>
      <c r="O308" s="35">
        <v>1.7000000000000001E-2</v>
      </c>
      <c r="P308" s="35">
        <v>0</v>
      </c>
      <c r="Q308" s="35">
        <v>0</v>
      </c>
      <c r="S308" s="26">
        <v>12</v>
      </c>
      <c r="T308" s="26">
        <v>0</v>
      </c>
      <c r="U308" s="26">
        <v>1</v>
      </c>
      <c r="W308" s="26">
        <v>1952.8</v>
      </c>
      <c r="X308" s="26">
        <v>1950</v>
      </c>
      <c r="Y308" s="28">
        <v>108220</v>
      </c>
      <c r="Z308" s="28">
        <v>45800</v>
      </c>
      <c r="AA308" s="28">
        <v>46780.3</v>
      </c>
      <c r="AB308" s="28">
        <v>44650</v>
      </c>
      <c r="AC308" s="35">
        <v>8.7999999999999995E-2</v>
      </c>
      <c r="AD308" s="35">
        <v>5.6000000000000001E-2</v>
      </c>
      <c r="AE308" s="28">
        <v>13368.8</v>
      </c>
      <c r="AF308" s="28">
        <v>2631.6</v>
      </c>
      <c r="AH308" s="29" t="str">
        <f>IF($D308 = "SPLIT", "",COUNTIFS($D$7:$D$347,$D308,N$7:N$347,"&gt;"&amp;N308)+1)</f>
        <v/>
      </c>
      <c r="AI308" s="29" t="str">
        <f>IF($D308 = "SPLIT", "",COUNTIFS($D$7:$D$347,$D308,S$7:S$347,"&gt;"&amp;S308)+1)</f>
        <v/>
      </c>
      <c r="AJ308" s="29" t="str">
        <f>IF($D308 = "SPLIT", "",COUNTIFS($D$7:$D$347,$D308,T$7:T$347,"&gt;"&amp;T308)+1)</f>
        <v/>
      </c>
      <c r="AK308" s="29" t="str">
        <f>IF($D308 = "SPLIT", "",COUNTIFS($D$7:$D$347,$D308,X$7:X$347,"&lt;"&amp;X308)+1)</f>
        <v/>
      </c>
      <c r="AL308" s="29" t="str">
        <f>IF($D308 = "SPLIT", "",COUNTIFS($D$7:$D$347,$D308,Z$7:Z$347,"&gt;"&amp;Z308)+1)</f>
        <v/>
      </c>
      <c r="AM308" s="29" t="str">
        <f>IF($D308 = "SPLIT", "",COUNTIFS($D$7:$D$347,$D308,AB$7:AB$347,"&gt;"&amp;AB308)+1)</f>
        <v/>
      </c>
      <c r="AN308" s="29" t="str">
        <f>IF($D308 = "SPLIT", "",COUNTIFS($D$7:$D$347,$D308,AD$7:AD$347,"&gt;"&amp;AD308)+1)</f>
        <v/>
      </c>
      <c r="AO308" s="29" t="str">
        <f>IF($D308 = "SPLIT", "",COUNTIFS($D$7:$D$347,$D308,AF$7:AF$347,"&gt;"&amp;AF308)+1)</f>
        <v/>
      </c>
    </row>
    <row r="309" spans="1:41" hidden="1" x14ac:dyDescent="0.25">
      <c r="A309" s="25">
        <v>540221</v>
      </c>
      <c r="B309" s="25" t="s">
        <v>479</v>
      </c>
      <c r="C309" s="25" t="s">
        <v>476</v>
      </c>
      <c r="D309" s="25" t="s">
        <v>55</v>
      </c>
      <c r="E309" s="26">
        <v>2</v>
      </c>
      <c r="F309" s="26" t="s">
        <v>477</v>
      </c>
      <c r="G309" s="26">
        <v>74</v>
      </c>
      <c r="H309" s="26">
        <v>0</v>
      </c>
      <c r="I309" s="26">
        <v>11</v>
      </c>
      <c r="J309" s="26">
        <v>2</v>
      </c>
      <c r="K309" s="26">
        <v>87</v>
      </c>
      <c r="L309" s="35">
        <v>0.85099999999999998</v>
      </c>
      <c r="M309" s="35">
        <v>0</v>
      </c>
      <c r="N309" s="35">
        <v>0.126</v>
      </c>
      <c r="O309" s="35">
        <v>2.3E-2</v>
      </c>
      <c r="P309" s="35">
        <v>2.3E-2</v>
      </c>
      <c r="Q309" s="35">
        <v>1.0999999999999999E-2</v>
      </c>
      <c r="S309" s="26">
        <v>12</v>
      </c>
      <c r="T309" s="26">
        <v>1</v>
      </c>
      <c r="U309" s="26">
        <v>0</v>
      </c>
      <c r="W309" s="26">
        <v>1957.2</v>
      </c>
      <c r="X309" s="26">
        <v>1962</v>
      </c>
      <c r="Y309" s="28">
        <v>31180.9</v>
      </c>
      <c r="Z309" s="28">
        <v>25700</v>
      </c>
      <c r="AA309" s="28">
        <v>29055.8</v>
      </c>
      <c r="AB309" s="28">
        <v>25600</v>
      </c>
      <c r="AC309" s="35">
        <v>0.216</v>
      </c>
      <c r="AD309" s="35">
        <v>0.2</v>
      </c>
      <c r="AE309" s="28">
        <v>6686.6</v>
      </c>
      <c r="AF309" s="28">
        <v>6371.4</v>
      </c>
      <c r="AH309" s="29">
        <f>IF($D309 = "SPLIT", "",COUNTIFS($D$7:$D$347,$D309,N$7:N$347,"&gt;"&amp;N309)+1)</f>
        <v>107</v>
      </c>
      <c r="AI309" s="29">
        <f>IF($D309 = "SPLIT", "",COUNTIFS($D$7:$D$347,$D309,S$7:S$347,"&gt;"&amp;S309)+1)</f>
        <v>84</v>
      </c>
      <c r="AJ309" s="29">
        <f>IF($D309 = "SPLIT", "",COUNTIFS($D$7:$D$347,$D309,T$7:T$347,"&gt;"&amp;T309)+1)</f>
        <v>84</v>
      </c>
      <c r="AK309" s="29">
        <f>IF($D309 = "SPLIT", "",COUNTIFS($D$7:$D$347,$D309,X$7:X$347,"&lt;"&amp;X309)+1)</f>
        <v>150</v>
      </c>
      <c r="AL309" s="29">
        <f>IF($D309 = "SPLIT", "",COUNTIFS($D$7:$D$347,$D309,Z$7:Z$347,"&gt;"&amp;Z309)+1)</f>
        <v>170</v>
      </c>
      <c r="AM309" s="29">
        <f>IF($D309 = "SPLIT", "",COUNTIFS($D$7:$D$347,$D309,AB$7:AB$347,"&gt;"&amp;AB309)+1)</f>
        <v>163</v>
      </c>
      <c r="AN309" s="29">
        <f>IF($D309 = "SPLIT", "",COUNTIFS($D$7:$D$347,$D309,AD$7:AD$347,"&gt;"&amp;AD309)+1)</f>
        <v>48</v>
      </c>
      <c r="AO309" s="29">
        <f>IF($D309 = "SPLIT", "",COUNTIFS($D$7:$D$347,$D309,AF$7:AF$347,"&gt;"&amp;AF309)+1)</f>
        <v>77</v>
      </c>
    </row>
    <row r="310" spans="1:41" hidden="1" x14ac:dyDescent="0.25">
      <c r="A310" s="25">
        <v>540231</v>
      </c>
      <c r="B310" s="25" t="s">
        <v>480</v>
      </c>
      <c r="C310" s="25" t="s">
        <v>476</v>
      </c>
      <c r="D310" s="25" t="s">
        <v>55</v>
      </c>
      <c r="E310" s="26">
        <v>2</v>
      </c>
      <c r="F310" s="26" t="s">
        <v>95</v>
      </c>
      <c r="G310" s="26">
        <v>133</v>
      </c>
      <c r="H310" s="26">
        <v>0</v>
      </c>
      <c r="I310" s="26">
        <v>64</v>
      </c>
      <c r="J310" s="26">
        <v>4</v>
      </c>
      <c r="K310" s="26">
        <v>201</v>
      </c>
      <c r="L310" s="35">
        <v>0.66200000000000003</v>
      </c>
      <c r="M310" s="35">
        <v>0</v>
      </c>
      <c r="N310" s="35">
        <v>0.318</v>
      </c>
      <c r="O310" s="35">
        <v>0.02</v>
      </c>
      <c r="P310" s="35">
        <v>1.4999999999999999E-2</v>
      </c>
      <c r="Q310" s="35">
        <v>0.02</v>
      </c>
      <c r="S310" s="26">
        <v>11</v>
      </c>
      <c r="T310" s="26">
        <v>1</v>
      </c>
      <c r="U310" s="26">
        <v>1</v>
      </c>
      <c r="W310" s="26">
        <v>1967.3</v>
      </c>
      <c r="X310" s="26">
        <v>1974</v>
      </c>
      <c r="Y310" s="28">
        <v>50581.7</v>
      </c>
      <c r="Z310" s="28">
        <v>22400</v>
      </c>
      <c r="AA310" s="28">
        <v>33645.699999999997</v>
      </c>
      <c r="AB310" s="28">
        <v>20710</v>
      </c>
      <c r="AC310" s="35">
        <v>0.17799999999999999</v>
      </c>
      <c r="AD310" s="35">
        <v>0.155</v>
      </c>
      <c r="AE310" s="28">
        <v>9953.4</v>
      </c>
      <c r="AF310" s="28">
        <v>4277.1000000000004</v>
      </c>
      <c r="AH310" s="29">
        <f>IF($D310 = "SPLIT", "",COUNTIFS($D$7:$D$347,$D310,N$7:N$347,"&gt;"&amp;N310)+1)</f>
        <v>34</v>
      </c>
      <c r="AI310" s="29">
        <f>IF($D310 = "SPLIT", "",COUNTIFS($D$7:$D$347,$D310,S$7:S$347,"&gt;"&amp;S310)+1)</f>
        <v>91</v>
      </c>
      <c r="AJ310" s="29">
        <f>IF($D310 = "SPLIT", "",COUNTIFS($D$7:$D$347,$D310,T$7:T$347,"&gt;"&amp;T310)+1)</f>
        <v>84</v>
      </c>
      <c r="AK310" s="29">
        <f>IF($D310 = "SPLIT", "",COUNTIFS($D$7:$D$347,$D310,X$7:X$347,"&lt;"&amp;X310)+1)</f>
        <v>173</v>
      </c>
      <c r="AL310" s="29">
        <f>IF($D310 = "SPLIT", "",COUNTIFS($D$7:$D$347,$D310,Z$7:Z$347,"&gt;"&amp;Z310)+1)</f>
        <v>186</v>
      </c>
      <c r="AM310" s="29">
        <f>IF($D310 = "SPLIT", "",COUNTIFS($D$7:$D$347,$D310,AB$7:AB$347,"&gt;"&amp;AB310)+1)</f>
        <v>185</v>
      </c>
      <c r="AN310" s="29">
        <f>IF($D310 = "SPLIT", "",COUNTIFS($D$7:$D$347,$D310,AD$7:AD$347,"&gt;"&amp;AD310)+1)</f>
        <v>69</v>
      </c>
      <c r="AO310" s="29">
        <f>IF($D310 = "SPLIT", "",COUNTIFS($D$7:$D$347,$D310,AF$7:AF$347,"&gt;"&amp;AF310)+1)</f>
        <v>109</v>
      </c>
    </row>
    <row r="311" spans="1:41" hidden="1" x14ac:dyDescent="0.25">
      <c r="A311" s="30">
        <v>540200</v>
      </c>
      <c r="B311" s="30" t="s">
        <v>481</v>
      </c>
      <c r="C311" s="30" t="s">
        <v>476</v>
      </c>
      <c r="D311" s="30" t="s">
        <v>52</v>
      </c>
      <c r="E311" s="31">
        <v>2</v>
      </c>
      <c r="F311" s="31" t="s">
        <v>239</v>
      </c>
      <c r="G311" s="31">
        <v>1243</v>
      </c>
      <c r="H311" s="31">
        <v>95</v>
      </c>
      <c r="I311" s="31">
        <v>645</v>
      </c>
      <c r="J311" s="31">
        <v>227</v>
      </c>
      <c r="K311" s="31">
        <v>2210</v>
      </c>
      <c r="L311" s="32">
        <v>0.56200000000000006</v>
      </c>
      <c r="M311" s="32">
        <v>4.2999999999999997E-2</v>
      </c>
      <c r="N311" s="32">
        <v>0.29199999999999998</v>
      </c>
      <c r="O311" s="32">
        <v>0.10299999999999999</v>
      </c>
      <c r="P311" s="32">
        <v>6.5000000000000002E-2</v>
      </c>
      <c r="Q311" s="32">
        <v>7.0000000000000001E-3</v>
      </c>
      <c r="S311" s="31">
        <v>559</v>
      </c>
      <c r="T311" s="31">
        <v>134</v>
      </c>
      <c r="U311" s="31">
        <v>106</v>
      </c>
      <c r="W311" s="31">
        <v>1972.3</v>
      </c>
      <c r="X311" s="31">
        <v>1977</v>
      </c>
      <c r="Y311" s="33">
        <v>74199.7</v>
      </c>
      <c r="Z311" s="33">
        <v>32600</v>
      </c>
      <c r="AA311" s="33">
        <v>42893.7</v>
      </c>
      <c r="AB311" s="33">
        <v>30000</v>
      </c>
      <c r="AC311" s="32">
        <v>0.29799999999999999</v>
      </c>
      <c r="AD311" s="32">
        <v>0.216</v>
      </c>
      <c r="AE311" s="33">
        <v>12997.2</v>
      </c>
      <c r="AF311" s="33">
        <v>7110.9</v>
      </c>
      <c r="AH311" s="34">
        <f>IF($D311 = "SPLIT", "",COUNTIFS($D$7:$D$347,$D311,N$7:N$347,"&gt;"&amp;N311)+1)</f>
        <v>17</v>
      </c>
      <c r="AI311" s="34">
        <f>IF($D311 = "SPLIT", "",COUNTIFS($D$7:$D$347,$D311,S$7:S$347,"&gt;"&amp;S311)+1)</f>
        <v>4</v>
      </c>
      <c r="AJ311" s="34">
        <f>IF($D311 = "SPLIT", "",COUNTIFS($D$7:$D$347,$D311,T$7:T$347,"&gt;"&amp;T311)+1)</f>
        <v>4</v>
      </c>
      <c r="AK311" s="34">
        <f>IF($D311 = "SPLIT", "",COUNTIFS($D$7:$D$347,$D311,X$7:X$347,"&lt;"&amp;X311)+1)</f>
        <v>42</v>
      </c>
      <c r="AL311" s="34">
        <f>IF($D311 = "SPLIT", "",COUNTIFS($D$7:$D$347,$D311,Z$7:Z$347,"&gt;"&amp;Z311)+1)</f>
        <v>36</v>
      </c>
      <c r="AM311" s="34">
        <f>IF($D311 = "SPLIT", "",COUNTIFS($D$7:$D$347,$D311,AB$7:AB$347,"&gt;"&amp;AB311)+1)</f>
        <v>36</v>
      </c>
      <c r="AN311" s="34">
        <f>IF($D311 = "SPLIT", "",COUNTIFS($D$7:$D$347,$D311,AD$7:AD$347,"&gt;"&amp;AD311)+1)</f>
        <v>20</v>
      </c>
      <c r="AO311" s="34">
        <f>IF($D311 = "SPLIT", "",COUNTIFS($D$7:$D$347,$D311,AF$7:AF$347,"&gt;"&amp;AF311)+1)</f>
        <v>23</v>
      </c>
    </row>
    <row r="312" spans="1:41" hidden="1" x14ac:dyDescent="0.25">
      <c r="A312" s="160"/>
      <c r="B312" s="160"/>
      <c r="C312" s="160" t="s">
        <v>476</v>
      </c>
      <c r="D312" s="160" t="s">
        <v>2</v>
      </c>
      <c r="E312" s="161">
        <v>2</v>
      </c>
      <c r="F312" s="161"/>
      <c r="G312" s="161">
        <v>1778</v>
      </c>
      <c r="H312" s="161">
        <v>95</v>
      </c>
      <c r="I312" s="161">
        <v>771</v>
      </c>
      <c r="J312" s="161">
        <v>249</v>
      </c>
      <c r="K312" s="161">
        <v>2893</v>
      </c>
      <c r="L312" s="162">
        <v>0.61499999999999999</v>
      </c>
      <c r="M312" s="162">
        <v>3.3000000000000002E-2</v>
      </c>
      <c r="N312" s="162">
        <v>0.26700000000000002</v>
      </c>
      <c r="O312" s="162">
        <v>8.5999999999999993E-2</v>
      </c>
      <c r="P312" s="162">
        <v>5.3999999999999999E-2</v>
      </c>
      <c r="Q312" s="162">
        <v>8.0000000000000002E-3</v>
      </c>
      <c r="S312" s="161">
        <v>673</v>
      </c>
      <c r="T312" s="161">
        <v>146</v>
      </c>
      <c r="U312" s="161">
        <v>113</v>
      </c>
      <c r="W312" s="161">
        <v>1968.8</v>
      </c>
      <c r="X312" s="161">
        <v>1973</v>
      </c>
      <c r="Y312" s="163">
        <v>81809.3</v>
      </c>
      <c r="Z312" s="163">
        <v>33900</v>
      </c>
      <c r="AA312" s="163">
        <v>53364.6</v>
      </c>
      <c r="AB312" s="163">
        <v>45500</v>
      </c>
      <c r="AC312" s="162">
        <v>0.28499999999999998</v>
      </c>
      <c r="AD312" s="162">
        <v>0.2</v>
      </c>
      <c r="AE312" s="163">
        <v>15331.4</v>
      </c>
      <c r="AF312" s="163">
        <v>6774.8</v>
      </c>
      <c r="AH312" s="164">
        <f>IF($D312 = "SPLIT", "",COUNTIFS($D$7:$D$347,$D312,N$7:N$347,"&gt;"&amp;N312)+1)</f>
        <v>16</v>
      </c>
      <c r="AI312" s="164">
        <f>IF($D312 = "SPLIT", "",COUNTIFS($D$7:$D$347,$D312,S$7:S$347,"&gt;"&amp;S312)+1)</f>
        <v>6</v>
      </c>
      <c r="AJ312" s="164">
        <f>IF($D312 = "SPLIT", "",COUNTIFS($D$7:$D$347,$D312,T$7:T$347,"&gt;"&amp;T312)+1)</f>
        <v>5</v>
      </c>
      <c r="AK312" s="164">
        <f>IF($D312 = "SPLIT", "",COUNTIFS($D$7:$D$347,$D312,X$7:X$347,"&lt;"&amp;X312)+1)</f>
        <v>40</v>
      </c>
      <c r="AL312" s="164">
        <f>IF($D312 = "SPLIT", "",COUNTIFS($D$7:$D$347,$D312,Z$7:Z$347,"&gt;"&amp;Z312)+1)</f>
        <v>36</v>
      </c>
      <c r="AM312" s="164">
        <f>IF($D312 = "SPLIT", "",COUNTIFS($D$7:$D$347,$D312,AB$7:AB$347,"&gt;"&amp;AB312)+1)</f>
        <v>31</v>
      </c>
      <c r="AN312" s="164">
        <f>IF($D312 = "SPLIT", "",COUNTIFS($D$7:$D$347,$D312,AD$7:AD$347,"&gt;"&amp;AD312)+1)</f>
        <v>18</v>
      </c>
      <c r="AO312" s="164">
        <f>IF($D312 = "SPLIT", "",COUNTIFS($D$7:$D$347,$D312,AF$7:AF$347,"&gt;"&amp;AF312)+1)</f>
        <v>22</v>
      </c>
    </row>
    <row r="313" spans="1:41" hidden="1" x14ac:dyDescent="0.25">
      <c r="A313" s="25">
        <v>540204</v>
      </c>
      <c r="B313" s="25" t="s">
        <v>482</v>
      </c>
      <c r="C313" s="25" t="s">
        <v>483</v>
      </c>
      <c r="D313" s="25" t="s">
        <v>55</v>
      </c>
      <c r="E313" s="26">
        <v>4</v>
      </c>
      <c r="F313" s="26" t="s">
        <v>484</v>
      </c>
      <c r="G313" s="26">
        <v>113</v>
      </c>
      <c r="H313" s="26">
        <v>1</v>
      </c>
      <c r="I313" s="26">
        <v>8</v>
      </c>
      <c r="J313" s="26">
        <v>4</v>
      </c>
      <c r="K313" s="26">
        <v>126</v>
      </c>
      <c r="L313" s="35">
        <v>0.89700000000000002</v>
      </c>
      <c r="M313" s="35">
        <v>8.0000000000000002E-3</v>
      </c>
      <c r="N313" s="35">
        <v>6.3E-2</v>
      </c>
      <c r="O313" s="35">
        <v>3.2000000000000001E-2</v>
      </c>
      <c r="P313" s="35">
        <v>3.2000000000000001E-2</v>
      </c>
      <c r="Q313" s="35">
        <v>0</v>
      </c>
      <c r="S313" s="26">
        <v>1</v>
      </c>
      <c r="T313" s="26">
        <v>0</v>
      </c>
      <c r="U313" s="26">
        <v>0</v>
      </c>
      <c r="W313" s="26">
        <v>1945</v>
      </c>
      <c r="X313" s="26">
        <v>1942</v>
      </c>
      <c r="Y313" s="28">
        <v>93919</v>
      </c>
      <c r="Z313" s="28">
        <v>35300</v>
      </c>
      <c r="AA313" s="28">
        <v>36025</v>
      </c>
      <c r="AB313" s="28">
        <v>31300</v>
      </c>
      <c r="AC313" s="35">
        <v>9.7000000000000003E-2</v>
      </c>
      <c r="AD313" s="35">
        <v>4.5999999999999999E-2</v>
      </c>
      <c r="AE313" s="28">
        <v>2613.5</v>
      </c>
      <c r="AF313" s="28">
        <v>2140</v>
      </c>
      <c r="AH313" s="29">
        <f>IF($D313 = "SPLIT", "",COUNTIFS($D$7:$D$347,$D313,N$7:N$347,"&gt;"&amp;N313)+1)</f>
        <v>159</v>
      </c>
      <c r="AI313" s="29">
        <f>IF($D313 = "SPLIT", "",COUNTIFS($D$7:$D$347,$D313,S$7:S$347,"&gt;"&amp;S313)+1)</f>
        <v>153</v>
      </c>
      <c r="AJ313" s="29">
        <f>IF($D313 = "SPLIT", "",COUNTIFS($D$7:$D$347,$D313,T$7:T$347,"&gt;"&amp;T313)+1)</f>
        <v>113</v>
      </c>
      <c r="AK313" s="29">
        <f>IF($D313 = "SPLIT", "",COUNTIFS($D$7:$D$347,$D313,X$7:X$347,"&lt;"&amp;X313)+1)</f>
        <v>94</v>
      </c>
      <c r="AL313" s="29">
        <f>IF($D313 = "SPLIT", "",COUNTIFS($D$7:$D$347,$D313,Z$7:Z$347,"&gt;"&amp;Z313)+1)</f>
        <v>136</v>
      </c>
      <c r="AM313" s="29">
        <f>IF($D313 = "SPLIT", "",COUNTIFS($D$7:$D$347,$D313,AB$7:AB$347,"&gt;"&amp;AB313)+1)</f>
        <v>134</v>
      </c>
      <c r="AN313" s="29">
        <f>IF($D313 = "SPLIT", "",COUNTIFS($D$7:$D$347,$D313,AD$7:AD$347,"&gt;"&amp;AD313)+1)</f>
        <v>170</v>
      </c>
      <c r="AO313" s="29">
        <f>IF($D313 = "SPLIT", "",COUNTIFS($D$7:$D$347,$D313,AF$7:AF$347,"&gt;"&amp;AF313)+1)</f>
        <v>158</v>
      </c>
    </row>
    <row r="314" spans="1:41" hidden="1" x14ac:dyDescent="0.25">
      <c r="A314" s="25">
        <v>540205</v>
      </c>
      <c r="B314" s="25" t="s">
        <v>485</v>
      </c>
      <c r="C314" s="25" t="s">
        <v>483</v>
      </c>
      <c r="D314" s="25" t="s">
        <v>55</v>
      </c>
      <c r="E314" s="26">
        <v>4</v>
      </c>
      <c r="F314" s="26" t="s">
        <v>149</v>
      </c>
      <c r="G314" s="26">
        <v>19</v>
      </c>
      <c r="H314" s="26">
        <v>1</v>
      </c>
      <c r="I314" s="26">
        <v>1</v>
      </c>
      <c r="J314" s="26">
        <v>0</v>
      </c>
      <c r="K314" s="26">
        <v>21</v>
      </c>
      <c r="L314" s="35">
        <v>0.90500000000000003</v>
      </c>
      <c r="M314" s="35">
        <v>4.8000000000000001E-2</v>
      </c>
      <c r="N314" s="35">
        <v>4.8000000000000001E-2</v>
      </c>
      <c r="O314" s="35">
        <v>0</v>
      </c>
      <c r="P314" s="35">
        <v>0</v>
      </c>
      <c r="Q314" s="35">
        <v>0</v>
      </c>
      <c r="S314" s="26">
        <v>6</v>
      </c>
      <c r="T314" s="26">
        <v>0</v>
      </c>
      <c r="U314" s="26">
        <v>0</v>
      </c>
      <c r="W314" s="26">
        <v>1939.3</v>
      </c>
      <c r="X314" s="26">
        <v>1930</v>
      </c>
      <c r="Y314" s="28">
        <v>27289.5</v>
      </c>
      <c r="Z314" s="28">
        <v>16700</v>
      </c>
      <c r="AA314" s="28">
        <v>20229.2</v>
      </c>
      <c r="AB314" s="28">
        <v>16800</v>
      </c>
      <c r="AC314" s="35">
        <v>0.35099999999999998</v>
      </c>
      <c r="AD314" s="35">
        <v>0.35299999999999998</v>
      </c>
      <c r="AE314" s="28">
        <v>6849.2</v>
      </c>
      <c r="AF314" s="28">
        <v>5293</v>
      </c>
      <c r="AH314" s="29">
        <f>IF($D314 = "SPLIT", "",COUNTIFS($D$7:$D$347,$D314,N$7:N$347,"&gt;"&amp;N314)+1)</f>
        <v>168</v>
      </c>
      <c r="AI314" s="29">
        <f>IF($D314 = "SPLIT", "",COUNTIFS($D$7:$D$347,$D314,S$7:S$347,"&gt;"&amp;S314)+1)</f>
        <v>107</v>
      </c>
      <c r="AJ314" s="29">
        <f>IF($D314 = "SPLIT", "",COUNTIFS($D$7:$D$347,$D314,T$7:T$347,"&gt;"&amp;T314)+1)</f>
        <v>113</v>
      </c>
      <c r="AK314" s="29">
        <f>IF($D314 = "SPLIT", "",COUNTIFS($D$7:$D$347,$D314,X$7:X$347,"&lt;"&amp;X314)+1)</f>
        <v>48</v>
      </c>
      <c r="AL314" s="29">
        <f>IF($D314 = "SPLIT", "",COUNTIFS($D$7:$D$347,$D314,Z$7:Z$347,"&gt;"&amp;Z314)+1)</f>
        <v>200</v>
      </c>
      <c r="AM314" s="29">
        <f>IF($D314 = "SPLIT", "",COUNTIFS($D$7:$D$347,$D314,AB$7:AB$347,"&gt;"&amp;AB314)+1)</f>
        <v>192</v>
      </c>
      <c r="AN314" s="29">
        <f>IF($D314 = "SPLIT", "",COUNTIFS($D$7:$D$347,$D314,AD$7:AD$347,"&gt;"&amp;AD314)+1)</f>
        <v>12</v>
      </c>
      <c r="AO314" s="29">
        <f>IF($D314 = "SPLIT", "",COUNTIFS($D$7:$D$347,$D314,AF$7:AF$347,"&gt;"&amp;AF314)+1)</f>
        <v>87</v>
      </c>
    </row>
    <row r="315" spans="1:41" hidden="1" x14ac:dyDescent="0.25">
      <c r="A315" s="25">
        <v>540206</v>
      </c>
      <c r="B315" s="25" t="s">
        <v>486</v>
      </c>
      <c r="C315" s="25" t="s">
        <v>483</v>
      </c>
      <c r="D315" s="25" t="s">
        <v>55</v>
      </c>
      <c r="E315" s="26">
        <v>4</v>
      </c>
      <c r="F315" s="26" t="s">
        <v>149</v>
      </c>
      <c r="G315" s="26">
        <v>23</v>
      </c>
      <c r="H315" s="26">
        <v>0</v>
      </c>
      <c r="I315" s="26">
        <v>12</v>
      </c>
      <c r="J315" s="26">
        <v>0</v>
      </c>
      <c r="K315" s="26">
        <v>35</v>
      </c>
      <c r="L315" s="35">
        <v>0.65700000000000003</v>
      </c>
      <c r="M315" s="35">
        <v>0</v>
      </c>
      <c r="N315" s="35">
        <v>0.34300000000000003</v>
      </c>
      <c r="O315" s="35">
        <v>0</v>
      </c>
      <c r="P315" s="35">
        <v>0</v>
      </c>
      <c r="Q315" s="35">
        <v>0</v>
      </c>
      <c r="S315" s="26">
        <v>0</v>
      </c>
      <c r="T315" s="26">
        <v>0</v>
      </c>
      <c r="U315" s="26">
        <v>0</v>
      </c>
      <c r="W315" s="26">
        <v>1973.3</v>
      </c>
      <c r="X315" s="26">
        <v>1977</v>
      </c>
      <c r="Y315" s="28">
        <v>150878.5</v>
      </c>
      <c r="Z315" s="28">
        <v>28300</v>
      </c>
      <c r="AA315" s="28">
        <v>29072.5</v>
      </c>
      <c r="AB315" s="28">
        <v>28250</v>
      </c>
      <c r="AC315" s="35">
        <v>0</v>
      </c>
      <c r="AD315" s="35">
        <v>0</v>
      </c>
      <c r="AE315" s="28">
        <v>0</v>
      </c>
      <c r="AF315" s="28">
        <v>0</v>
      </c>
      <c r="AH315" s="29">
        <f>IF($D315 = "SPLIT", "",COUNTIFS($D$7:$D$347,$D315,N$7:N$347,"&gt;"&amp;N315)+1)</f>
        <v>28</v>
      </c>
      <c r="AI315" s="29">
        <f>IF($D315 = "SPLIT", "",COUNTIFS($D$7:$D$347,$D315,S$7:S$347,"&gt;"&amp;S315)+1)</f>
        <v>177</v>
      </c>
      <c r="AJ315" s="29">
        <f>IF($D315 = "SPLIT", "",COUNTIFS($D$7:$D$347,$D315,T$7:T$347,"&gt;"&amp;T315)+1)</f>
        <v>113</v>
      </c>
      <c r="AK315" s="29">
        <f>IF($D315 = "SPLIT", "",COUNTIFS($D$7:$D$347,$D315,X$7:X$347,"&lt;"&amp;X315)+1)</f>
        <v>183</v>
      </c>
      <c r="AL315" s="29">
        <f>IF($D315 = "SPLIT", "",COUNTIFS($D$7:$D$347,$D315,Z$7:Z$347,"&gt;"&amp;Z315)+1)</f>
        <v>161</v>
      </c>
      <c r="AM315" s="29">
        <f>IF($D315 = "SPLIT", "",COUNTIFS($D$7:$D$347,$D315,AB$7:AB$347,"&gt;"&amp;AB315)+1)</f>
        <v>149</v>
      </c>
      <c r="AN315" s="29">
        <f>IF($D315 = "SPLIT", "",COUNTIFS($D$7:$D$347,$D315,AD$7:AD$347,"&gt;"&amp;AD315)+1)</f>
        <v>198</v>
      </c>
      <c r="AO315" s="29">
        <f>IF($D315 = "SPLIT", "",COUNTIFS($D$7:$D$347,$D315,AF$7:AF$347,"&gt;"&amp;AF315)+1)</f>
        <v>198</v>
      </c>
    </row>
    <row r="316" spans="1:41" hidden="1" x14ac:dyDescent="0.25">
      <c r="A316" s="30">
        <v>540203</v>
      </c>
      <c r="B316" s="30" t="s">
        <v>487</v>
      </c>
      <c r="C316" s="30" t="s">
        <v>483</v>
      </c>
      <c r="D316" s="30" t="s">
        <v>52</v>
      </c>
      <c r="E316" s="31">
        <v>4</v>
      </c>
      <c r="F316" s="31" t="s">
        <v>484</v>
      </c>
      <c r="G316" s="31">
        <v>601</v>
      </c>
      <c r="H316" s="31">
        <v>23</v>
      </c>
      <c r="I316" s="31">
        <v>203</v>
      </c>
      <c r="J316" s="31">
        <v>66</v>
      </c>
      <c r="K316" s="31">
        <v>893</v>
      </c>
      <c r="L316" s="32">
        <v>0.67300000000000004</v>
      </c>
      <c r="M316" s="32">
        <v>2.5999999999999999E-2</v>
      </c>
      <c r="N316" s="32">
        <v>0.22700000000000001</v>
      </c>
      <c r="O316" s="32">
        <v>7.3999999999999996E-2</v>
      </c>
      <c r="P316" s="32">
        <v>4.4999999999999998E-2</v>
      </c>
      <c r="Q316" s="32">
        <v>6.0000000000000001E-3</v>
      </c>
      <c r="S316" s="31">
        <v>71</v>
      </c>
      <c r="T316" s="31">
        <v>6</v>
      </c>
      <c r="U316" s="31">
        <v>9</v>
      </c>
      <c r="W316" s="31">
        <v>1964.9</v>
      </c>
      <c r="X316" s="31">
        <v>1970</v>
      </c>
      <c r="Y316" s="33">
        <v>56448.7</v>
      </c>
      <c r="Z316" s="33">
        <v>26000</v>
      </c>
      <c r="AA316" s="33">
        <v>30675.4</v>
      </c>
      <c r="AB316" s="33">
        <v>25350</v>
      </c>
      <c r="AC316" s="32">
        <v>0.21</v>
      </c>
      <c r="AD316" s="32">
        <v>0.14399999999999999</v>
      </c>
      <c r="AE316" s="33">
        <v>8649.2999999999993</v>
      </c>
      <c r="AF316" s="33">
        <v>4248.8</v>
      </c>
      <c r="AH316" s="34">
        <f>IF($D316 = "SPLIT", "",COUNTIFS($D$7:$D$347,$D316,N$7:N$347,"&gt;"&amp;N316)+1)</f>
        <v>34</v>
      </c>
      <c r="AI316" s="34">
        <f>IF($D316 = "SPLIT", "",COUNTIFS($D$7:$D$347,$D316,S$7:S$347,"&gt;"&amp;S316)+1)</f>
        <v>42</v>
      </c>
      <c r="AJ316" s="34">
        <f>IF($D316 = "SPLIT", "",COUNTIFS($D$7:$D$347,$D316,T$7:T$347,"&gt;"&amp;T316)+1)</f>
        <v>45</v>
      </c>
      <c r="AK316" s="34">
        <f>IF($D316 = "SPLIT", "",COUNTIFS($D$7:$D$347,$D316,X$7:X$347,"&lt;"&amp;X316)+1)</f>
        <v>21</v>
      </c>
      <c r="AL316" s="34">
        <f>IF($D316 = "SPLIT", "",COUNTIFS($D$7:$D$347,$D316,Z$7:Z$347,"&gt;"&amp;Z316)+1)</f>
        <v>48</v>
      </c>
      <c r="AM316" s="34">
        <f>IF($D316 = "SPLIT", "",COUNTIFS($D$7:$D$347,$D316,AB$7:AB$347,"&gt;"&amp;AB316)+1)</f>
        <v>47</v>
      </c>
      <c r="AN316" s="34">
        <f>IF($D316 = "SPLIT", "",COUNTIFS($D$7:$D$347,$D316,AD$7:AD$347,"&gt;"&amp;AD316)+1)</f>
        <v>37</v>
      </c>
      <c r="AO316" s="34">
        <f>IF($D316 = "SPLIT", "",COUNTIFS($D$7:$D$347,$D316,AF$7:AF$347,"&gt;"&amp;AF316)+1)</f>
        <v>42</v>
      </c>
    </row>
    <row r="317" spans="1:41" hidden="1" x14ac:dyDescent="0.25">
      <c r="A317" s="160"/>
      <c r="B317" s="160"/>
      <c r="C317" s="160" t="s">
        <v>483</v>
      </c>
      <c r="D317" s="160" t="s">
        <v>2</v>
      </c>
      <c r="E317" s="161">
        <v>4</v>
      </c>
      <c r="F317" s="161"/>
      <c r="G317" s="161">
        <v>756</v>
      </c>
      <c r="H317" s="161">
        <v>25</v>
      </c>
      <c r="I317" s="161">
        <v>224</v>
      </c>
      <c r="J317" s="161">
        <v>70</v>
      </c>
      <c r="K317" s="161">
        <v>1075</v>
      </c>
      <c r="L317" s="162">
        <v>0.70299999999999996</v>
      </c>
      <c r="M317" s="162">
        <v>2.3E-2</v>
      </c>
      <c r="N317" s="162">
        <v>0.20799999999999999</v>
      </c>
      <c r="O317" s="162">
        <v>6.5000000000000002E-2</v>
      </c>
      <c r="P317" s="162">
        <v>4.1000000000000002E-2</v>
      </c>
      <c r="Q317" s="162">
        <v>5.0000000000000001E-3</v>
      </c>
      <c r="S317" s="161">
        <v>78</v>
      </c>
      <c r="T317" s="161">
        <v>6</v>
      </c>
      <c r="U317" s="161">
        <v>9</v>
      </c>
      <c r="W317" s="161">
        <v>1962.1</v>
      </c>
      <c r="X317" s="161">
        <v>1963</v>
      </c>
      <c r="Y317" s="163">
        <v>63345.4</v>
      </c>
      <c r="Z317" s="163">
        <v>27000</v>
      </c>
      <c r="AA317" s="163">
        <v>34707.5</v>
      </c>
      <c r="AB317" s="163">
        <v>30050</v>
      </c>
      <c r="AC317" s="162">
        <v>0.21099999999999999</v>
      </c>
      <c r="AD317" s="162">
        <v>0.14499999999999999</v>
      </c>
      <c r="AE317" s="163">
        <v>8234.2999999999993</v>
      </c>
      <c r="AF317" s="163">
        <v>4005.7</v>
      </c>
      <c r="AH317" s="164">
        <f>IF($D317 = "SPLIT", "",COUNTIFS($D$7:$D$347,$D317,N$7:N$347,"&gt;"&amp;N317)+1)</f>
        <v>29</v>
      </c>
      <c r="AI317" s="164">
        <f>IF($D317 = "SPLIT", "",COUNTIFS($D$7:$D$347,$D317,S$7:S$347,"&gt;"&amp;S317)+1)</f>
        <v>47</v>
      </c>
      <c r="AJ317" s="164">
        <f>IF($D317 = "SPLIT", "",COUNTIFS($D$7:$D$347,$D317,T$7:T$347,"&gt;"&amp;T317)+1)</f>
        <v>50</v>
      </c>
      <c r="AK317" s="164">
        <f>IF($D317 = "SPLIT", "",COUNTIFS($D$7:$D$347,$D317,X$7:X$347,"&lt;"&amp;X317)+1)</f>
        <v>24</v>
      </c>
      <c r="AL317" s="164">
        <f>IF($D317 = "SPLIT", "",COUNTIFS($D$7:$D$347,$D317,Z$7:Z$347,"&gt;"&amp;Z317)+1)</f>
        <v>47</v>
      </c>
      <c r="AM317" s="164">
        <f>IF($D317 = "SPLIT", "",COUNTIFS($D$7:$D$347,$D317,AB$7:AB$347,"&gt;"&amp;AB317)+1)</f>
        <v>49</v>
      </c>
      <c r="AN317" s="164">
        <f>IF($D317 = "SPLIT", "",COUNTIFS($D$7:$D$347,$D317,AD$7:AD$347,"&gt;"&amp;AD317)+1)</f>
        <v>33</v>
      </c>
      <c r="AO317" s="164">
        <f>IF($D317 = "SPLIT", "",COUNTIFS($D$7:$D$347,$D317,AF$7:AF$347,"&gt;"&amp;AF317)+1)</f>
        <v>43</v>
      </c>
    </row>
    <row r="318" spans="1:41" hidden="1" x14ac:dyDescent="0.25">
      <c r="A318" s="25">
        <v>540256</v>
      </c>
      <c r="B318" s="25" t="s">
        <v>488</v>
      </c>
      <c r="C318" s="25" t="s">
        <v>489</v>
      </c>
      <c r="D318" s="25" t="s">
        <v>55</v>
      </c>
      <c r="E318" s="26">
        <v>10</v>
      </c>
      <c r="F318" s="26" t="s">
        <v>154</v>
      </c>
      <c r="G318" s="26">
        <v>76</v>
      </c>
      <c r="H318" s="26">
        <v>2</v>
      </c>
      <c r="I318" s="26">
        <v>3</v>
      </c>
      <c r="J318" s="26">
        <v>2</v>
      </c>
      <c r="K318" s="26">
        <v>83</v>
      </c>
      <c r="L318" s="35">
        <v>0.91600000000000004</v>
      </c>
      <c r="M318" s="35">
        <v>2.4E-2</v>
      </c>
      <c r="N318" s="35">
        <v>3.5999999999999997E-2</v>
      </c>
      <c r="O318" s="35">
        <v>2.4E-2</v>
      </c>
      <c r="P318" s="35">
        <v>0</v>
      </c>
      <c r="Q318" s="35">
        <v>1.2E-2</v>
      </c>
      <c r="S318" s="26">
        <v>4</v>
      </c>
      <c r="T318" s="26">
        <v>0</v>
      </c>
      <c r="U318" s="26">
        <v>0</v>
      </c>
      <c r="W318" s="26">
        <v>1928.2</v>
      </c>
      <c r="X318" s="26">
        <v>1920</v>
      </c>
      <c r="Y318" s="28">
        <v>58140.5</v>
      </c>
      <c r="Z318" s="28">
        <v>33100</v>
      </c>
      <c r="AA318" s="28">
        <v>44802.6</v>
      </c>
      <c r="AB318" s="28">
        <v>33900</v>
      </c>
      <c r="AC318" s="35">
        <v>0.113</v>
      </c>
      <c r="AD318" s="35">
        <v>6.6000000000000003E-2</v>
      </c>
      <c r="AE318" s="28">
        <v>4541</v>
      </c>
      <c r="AF318" s="28">
        <v>2624</v>
      </c>
      <c r="AH318" s="29">
        <f>IF($D318 = "SPLIT", "",COUNTIFS($D$7:$D$347,$D318,N$7:N$347,"&gt;"&amp;N318)+1)</f>
        <v>175</v>
      </c>
      <c r="AI318" s="29">
        <f>IF($D318 = "SPLIT", "",COUNTIFS($D$7:$D$347,$D318,S$7:S$347,"&gt;"&amp;S318)+1)</f>
        <v>119</v>
      </c>
      <c r="AJ318" s="29">
        <f>IF($D318 = "SPLIT", "",COUNTIFS($D$7:$D$347,$D318,T$7:T$347,"&gt;"&amp;T318)+1)</f>
        <v>113</v>
      </c>
      <c r="AK318" s="29">
        <f>IF($D318 = "SPLIT", "",COUNTIFS($D$7:$D$347,$D318,X$7:X$347,"&lt;"&amp;X318)+1)</f>
        <v>21</v>
      </c>
      <c r="AL318" s="29">
        <f>IF($D318 = "SPLIT", "",COUNTIFS($D$7:$D$347,$D318,Z$7:Z$347,"&gt;"&amp;Z318)+1)</f>
        <v>143</v>
      </c>
      <c r="AM318" s="29">
        <f>IF($D318 = "SPLIT", "",COUNTIFS($D$7:$D$347,$D318,AB$7:AB$347,"&gt;"&amp;AB318)+1)</f>
        <v>119</v>
      </c>
      <c r="AN318" s="29">
        <f>IF($D318 = "SPLIT", "",COUNTIFS($D$7:$D$347,$D318,AD$7:AD$347,"&gt;"&amp;AD318)+1)</f>
        <v>148</v>
      </c>
      <c r="AO318" s="29">
        <f>IF($D318 = "SPLIT", "",COUNTIFS($D$7:$D$347,$D318,AF$7:AF$347,"&gt;"&amp;AF318)+1)</f>
        <v>144</v>
      </c>
    </row>
    <row r="319" spans="1:41" hidden="1" x14ac:dyDescent="0.25">
      <c r="A319" s="25">
        <v>540208</v>
      </c>
      <c r="B319" s="25" t="s">
        <v>490</v>
      </c>
      <c r="C319" s="25" t="s">
        <v>489</v>
      </c>
      <c r="D319" s="25" t="s">
        <v>55</v>
      </c>
      <c r="E319" s="26">
        <v>10</v>
      </c>
      <c r="F319" s="26" t="s">
        <v>491</v>
      </c>
      <c r="G319" s="26">
        <v>714</v>
      </c>
      <c r="H319" s="26">
        <v>7</v>
      </c>
      <c r="I319" s="26">
        <v>74</v>
      </c>
      <c r="J319" s="26">
        <v>20</v>
      </c>
      <c r="K319" s="26">
        <v>815</v>
      </c>
      <c r="L319" s="35">
        <v>0.876</v>
      </c>
      <c r="M319" s="35">
        <v>8.9999999999999993E-3</v>
      </c>
      <c r="N319" s="35">
        <v>9.0999999999999998E-2</v>
      </c>
      <c r="O319" s="35">
        <v>2.5000000000000001E-2</v>
      </c>
      <c r="P319" s="35">
        <v>8.9999999999999993E-3</v>
      </c>
      <c r="Q319" s="35">
        <v>1.0999999999999999E-2</v>
      </c>
      <c r="S319" s="26">
        <v>545</v>
      </c>
      <c r="T319" s="26">
        <v>41</v>
      </c>
      <c r="U319" s="26">
        <v>21</v>
      </c>
      <c r="W319" s="26">
        <v>1933.2</v>
      </c>
      <c r="X319" s="26">
        <v>1926</v>
      </c>
      <c r="Y319" s="28">
        <v>124893.2</v>
      </c>
      <c r="Z319" s="28">
        <v>63100</v>
      </c>
      <c r="AA319" s="28">
        <v>67275.8</v>
      </c>
      <c r="AB319" s="28">
        <v>59300</v>
      </c>
      <c r="AC319" s="35">
        <v>0.315</v>
      </c>
      <c r="AD319" s="35">
        <v>0.28899999999999998</v>
      </c>
      <c r="AE319" s="28">
        <v>24178.7</v>
      </c>
      <c r="AF319" s="28">
        <v>16699.2</v>
      </c>
      <c r="AH319" s="29">
        <f>IF($D319 = "SPLIT", "",COUNTIFS($D$7:$D$347,$D319,N$7:N$347,"&gt;"&amp;N319)+1)</f>
        <v>138</v>
      </c>
      <c r="AI319" s="29">
        <f>IF($D319 = "SPLIT", "",COUNTIFS($D$7:$D$347,$D319,S$7:S$347,"&gt;"&amp;S319)+1)</f>
        <v>2</v>
      </c>
      <c r="AJ319" s="29">
        <f>IF($D319 = "SPLIT", "",COUNTIFS($D$7:$D$347,$D319,T$7:T$347,"&gt;"&amp;T319)+1)</f>
        <v>2</v>
      </c>
      <c r="AK319" s="29">
        <f>IF($D319 = "SPLIT", "",COUNTIFS($D$7:$D$347,$D319,X$7:X$347,"&lt;"&amp;X319)+1)</f>
        <v>44</v>
      </c>
      <c r="AL319" s="29">
        <f>IF($D319 = "SPLIT", "",COUNTIFS($D$7:$D$347,$D319,Z$7:Z$347,"&gt;"&amp;Z319)+1)</f>
        <v>47</v>
      </c>
      <c r="AM319" s="29">
        <f>IF($D319 = "SPLIT", "",COUNTIFS($D$7:$D$347,$D319,AB$7:AB$347,"&gt;"&amp;AB319)+1)</f>
        <v>40</v>
      </c>
      <c r="AN319" s="29">
        <f>IF($D319 = "SPLIT", "",COUNTIFS($D$7:$D$347,$D319,AD$7:AD$347,"&gt;"&amp;AD319)+1)</f>
        <v>20</v>
      </c>
      <c r="AO319" s="29">
        <f>IF($D319 = "SPLIT", "",COUNTIFS($D$7:$D$347,$D319,AF$7:AF$347,"&gt;"&amp;AF319)+1)</f>
        <v>12</v>
      </c>
    </row>
    <row r="320" spans="1:41" hidden="1" x14ac:dyDescent="0.25">
      <c r="A320" s="25">
        <v>540196</v>
      </c>
      <c r="B320" s="25" t="s">
        <v>468</v>
      </c>
      <c r="C320" s="25" t="s">
        <v>489</v>
      </c>
      <c r="D320" s="25" t="s">
        <v>88</v>
      </c>
      <c r="E320" s="26">
        <v>10</v>
      </c>
      <c r="F320" s="26" t="s">
        <v>469</v>
      </c>
      <c r="G320" s="26">
        <v>2</v>
      </c>
      <c r="H320" s="26">
        <v>1</v>
      </c>
      <c r="I320" s="26">
        <v>0</v>
      </c>
      <c r="J320" s="26">
        <v>1</v>
      </c>
      <c r="K320" s="26">
        <v>4</v>
      </c>
      <c r="L320" s="35">
        <v>0.5</v>
      </c>
      <c r="M320" s="35">
        <v>0.25</v>
      </c>
      <c r="N320" s="35">
        <v>0</v>
      </c>
      <c r="O320" s="35">
        <v>0.25</v>
      </c>
      <c r="P320" s="35">
        <v>0</v>
      </c>
      <c r="Q320" s="35">
        <v>0.25</v>
      </c>
      <c r="S320" s="26">
        <v>2</v>
      </c>
      <c r="T320" s="26">
        <v>0</v>
      </c>
      <c r="U320" s="26">
        <v>1</v>
      </c>
      <c r="W320" s="26">
        <v>1968</v>
      </c>
      <c r="X320" s="26">
        <v>1962</v>
      </c>
      <c r="Y320" s="28">
        <v>509200</v>
      </c>
      <c r="Z320" s="28">
        <v>385800</v>
      </c>
      <c r="AA320" s="28">
        <v>74500</v>
      </c>
      <c r="AB320" s="28">
        <v>74500</v>
      </c>
      <c r="AC320" s="35">
        <v>0.13900000000000001</v>
      </c>
      <c r="AD320" s="35">
        <v>0.13900000000000001</v>
      </c>
      <c r="AE320" s="28">
        <v>132157.1</v>
      </c>
      <c r="AF320" s="28">
        <v>132157.1</v>
      </c>
      <c r="AH320" s="29" t="str">
        <f>IF($D320 = "SPLIT", "",COUNTIFS($D$7:$D$347,$D320,N$7:N$347,"&gt;"&amp;N320)+1)</f>
        <v/>
      </c>
      <c r="AI320" s="29" t="str">
        <f>IF($D320 = "SPLIT", "",COUNTIFS($D$7:$D$347,$D320,S$7:S$347,"&gt;"&amp;S320)+1)</f>
        <v/>
      </c>
      <c r="AJ320" s="29" t="str">
        <f>IF($D320 = "SPLIT", "",COUNTIFS($D$7:$D$347,$D320,T$7:T$347,"&gt;"&amp;T320)+1)</f>
        <v/>
      </c>
      <c r="AK320" s="29" t="str">
        <f>IF($D320 = "SPLIT", "",COUNTIFS($D$7:$D$347,$D320,X$7:X$347,"&lt;"&amp;X320)+1)</f>
        <v/>
      </c>
      <c r="AL320" s="29" t="str">
        <f>IF($D320 = "SPLIT", "",COUNTIFS($D$7:$D$347,$D320,Z$7:Z$347,"&gt;"&amp;Z320)+1)</f>
        <v/>
      </c>
      <c r="AM320" s="29" t="str">
        <f>IF($D320 = "SPLIT", "",COUNTIFS($D$7:$D$347,$D320,AB$7:AB$347,"&gt;"&amp;AB320)+1)</f>
        <v/>
      </c>
      <c r="AN320" s="29" t="str">
        <f>IF($D320 = "SPLIT", "",COUNTIFS($D$7:$D$347,$D320,AD$7:AD$347,"&gt;"&amp;AD320)+1)</f>
        <v/>
      </c>
      <c r="AO320" s="29" t="str">
        <f>IF($D320 = "SPLIT", "",COUNTIFS($D$7:$D$347,$D320,AF$7:AF$347,"&gt;"&amp;AF320)+1)</f>
        <v/>
      </c>
    </row>
    <row r="321" spans="1:41" hidden="1" x14ac:dyDescent="0.25">
      <c r="A321" s="25">
        <v>540210</v>
      </c>
      <c r="B321" s="25" t="s">
        <v>492</v>
      </c>
      <c r="C321" s="25" t="s">
        <v>489</v>
      </c>
      <c r="D321" s="25" t="s">
        <v>55</v>
      </c>
      <c r="E321" s="26">
        <v>10</v>
      </c>
      <c r="F321" s="26" t="s">
        <v>154</v>
      </c>
      <c r="G321" s="26">
        <v>82</v>
      </c>
      <c r="H321" s="26">
        <v>0</v>
      </c>
      <c r="I321" s="26">
        <v>13</v>
      </c>
      <c r="J321" s="26">
        <v>4</v>
      </c>
      <c r="K321" s="26">
        <v>99</v>
      </c>
      <c r="L321" s="35">
        <v>0.82799999999999996</v>
      </c>
      <c r="M321" s="35">
        <v>0</v>
      </c>
      <c r="N321" s="35">
        <v>0.13100000000000001</v>
      </c>
      <c r="O321" s="35">
        <v>0.04</v>
      </c>
      <c r="P321" s="35">
        <v>0.02</v>
      </c>
      <c r="Q321" s="35">
        <v>0</v>
      </c>
      <c r="S321" s="26">
        <v>28</v>
      </c>
      <c r="T321" s="26">
        <v>5</v>
      </c>
      <c r="U321" s="26">
        <v>1</v>
      </c>
      <c r="W321" s="26">
        <v>1942.6</v>
      </c>
      <c r="X321" s="26">
        <v>1938</v>
      </c>
      <c r="Y321" s="28">
        <v>114440.2</v>
      </c>
      <c r="Z321" s="28">
        <v>38100</v>
      </c>
      <c r="AA321" s="28">
        <v>37175.800000000003</v>
      </c>
      <c r="AB321" s="28">
        <v>36650</v>
      </c>
      <c r="AC321" s="35">
        <v>0.29799999999999999</v>
      </c>
      <c r="AD321" s="35">
        <v>0.315</v>
      </c>
      <c r="AE321" s="28">
        <v>22201.200000000001</v>
      </c>
      <c r="AF321" s="28">
        <v>10178.799999999999</v>
      </c>
      <c r="AH321" s="29">
        <f>IF($D321 = "SPLIT", "",COUNTIFS($D$7:$D$347,$D321,N$7:N$347,"&gt;"&amp;N321)+1)</f>
        <v>104</v>
      </c>
      <c r="AI321" s="29">
        <f>IF($D321 = "SPLIT", "",COUNTIFS($D$7:$D$347,$D321,S$7:S$347,"&gt;"&amp;S321)+1)</f>
        <v>53</v>
      </c>
      <c r="AJ321" s="29">
        <f>IF($D321 = "SPLIT", "",COUNTIFS($D$7:$D$347,$D321,T$7:T$347,"&gt;"&amp;T321)+1)</f>
        <v>33</v>
      </c>
      <c r="AK321" s="29">
        <f>IF($D321 = "SPLIT", "",COUNTIFS($D$7:$D$347,$D321,X$7:X$347,"&lt;"&amp;X321)+1)</f>
        <v>68</v>
      </c>
      <c r="AL321" s="29">
        <f>IF($D321 = "SPLIT", "",COUNTIFS($D$7:$D$347,$D321,Z$7:Z$347,"&gt;"&amp;Z321)+1)</f>
        <v>119</v>
      </c>
      <c r="AM321" s="29">
        <f>IF($D321 = "SPLIT", "",COUNTIFS($D$7:$D$347,$D321,AB$7:AB$347,"&gt;"&amp;AB321)+1)</f>
        <v>109</v>
      </c>
      <c r="AN321" s="29">
        <f>IF($D321 = "SPLIT", "",COUNTIFS($D$7:$D$347,$D321,AD$7:AD$347,"&gt;"&amp;AD321)+1)</f>
        <v>14</v>
      </c>
      <c r="AO321" s="29">
        <f>IF($D321 = "SPLIT", "",COUNTIFS($D$7:$D$347,$D321,AF$7:AF$347,"&gt;"&amp;AF321)+1)</f>
        <v>34</v>
      </c>
    </row>
    <row r="322" spans="1:41" hidden="1" x14ac:dyDescent="0.25">
      <c r="A322" s="25">
        <v>540258</v>
      </c>
      <c r="B322" s="25" t="s">
        <v>493</v>
      </c>
      <c r="C322" s="25" t="s">
        <v>489</v>
      </c>
      <c r="D322" s="25" t="s">
        <v>55</v>
      </c>
      <c r="E322" s="26">
        <v>10</v>
      </c>
      <c r="F322" s="26" t="s">
        <v>154</v>
      </c>
      <c r="G322" s="26">
        <v>16</v>
      </c>
      <c r="H322" s="26">
        <v>0</v>
      </c>
      <c r="I322" s="26">
        <v>3</v>
      </c>
      <c r="J322" s="26">
        <v>5</v>
      </c>
      <c r="K322" s="26">
        <v>24</v>
      </c>
      <c r="L322" s="35">
        <v>0.66700000000000004</v>
      </c>
      <c r="M322" s="35">
        <v>0</v>
      </c>
      <c r="N322" s="35">
        <v>0.125</v>
      </c>
      <c r="O322" s="35">
        <v>0.20799999999999999</v>
      </c>
      <c r="P322" s="35">
        <v>4.2000000000000003E-2</v>
      </c>
      <c r="Q322" s="35">
        <v>8.3000000000000004E-2</v>
      </c>
      <c r="S322" s="26">
        <v>8</v>
      </c>
      <c r="T322" s="26">
        <v>2</v>
      </c>
      <c r="U322" s="26">
        <v>2</v>
      </c>
      <c r="W322" s="26">
        <v>1943.9</v>
      </c>
      <c r="X322" s="26">
        <v>1928</v>
      </c>
      <c r="Y322" s="28">
        <v>48782.5</v>
      </c>
      <c r="Z322" s="28">
        <v>23950</v>
      </c>
      <c r="AA322" s="28">
        <v>40011.800000000003</v>
      </c>
      <c r="AB322" s="28">
        <v>25000</v>
      </c>
      <c r="AC322" s="35">
        <v>0.22600000000000001</v>
      </c>
      <c r="AD322" s="35">
        <v>0.20499999999999999</v>
      </c>
      <c r="AE322" s="28">
        <v>11436.6</v>
      </c>
      <c r="AF322" s="28">
        <v>6505</v>
      </c>
      <c r="AH322" s="29">
        <f>IF($D322 = "SPLIT", "",COUNTIFS($D$7:$D$347,$D322,N$7:N$347,"&gt;"&amp;N322)+1)</f>
        <v>108</v>
      </c>
      <c r="AI322" s="29">
        <f>IF($D322 = "SPLIT", "",COUNTIFS($D$7:$D$347,$D322,S$7:S$347,"&gt;"&amp;S322)+1)</f>
        <v>102</v>
      </c>
      <c r="AJ322" s="29">
        <f>IF($D322 = "SPLIT", "",COUNTIFS($D$7:$D$347,$D322,T$7:T$347,"&gt;"&amp;T322)+1)</f>
        <v>59</v>
      </c>
      <c r="AK322" s="29">
        <f>IF($D322 = "SPLIT", "",COUNTIFS($D$7:$D$347,$D322,X$7:X$347,"&lt;"&amp;X322)+1)</f>
        <v>47</v>
      </c>
      <c r="AL322" s="29">
        <f>IF($D322 = "SPLIT", "",COUNTIFS($D$7:$D$347,$D322,Z$7:Z$347,"&gt;"&amp;Z322)+1)</f>
        <v>183</v>
      </c>
      <c r="AM322" s="29">
        <f>IF($D322 = "SPLIT", "",COUNTIFS($D$7:$D$347,$D322,AB$7:AB$347,"&gt;"&amp;AB322)+1)</f>
        <v>167</v>
      </c>
      <c r="AN322" s="29">
        <f>IF($D322 = "SPLIT", "",COUNTIFS($D$7:$D$347,$D322,AD$7:AD$347,"&gt;"&amp;AD322)+1)</f>
        <v>45</v>
      </c>
      <c r="AO322" s="29">
        <f>IF($D322 = "SPLIT", "",COUNTIFS($D$7:$D$347,$D322,AF$7:AF$347,"&gt;"&amp;AF322)+1)</f>
        <v>75</v>
      </c>
    </row>
    <row r="323" spans="1:41" hidden="1" x14ac:dyDescent="0.25">
      <c r="A323" s="30">
        <v>540207</v>
      </c>
      <c r="B323" s="30" t="s">
        <v>494</v>
      </c>
      <c r="C323" s="30" t="s">
        <v>489</v>
      </c>
      <c r="D323" s="30" t="s">
        <v>52</v>
      </c>
      <c r="E323" s="31">
        <v>10</v>
      </c>
      <c r="F323" s="31" t="s">
        <v>363</v>
      </c>
      <c r="G323" s="31">
        <v>561</v>
      </c>
      <c r="H323" s="31">
        <v>6</v>
      </c>
      <c r="I323" s="31">
        <v>228</v>
      </c>
      <c r="J323" s="31">
        <v>125</v>
      </c>
      <c r="K323" s="31">
        <v>920</v>
      </c>
      <c r="L323" s="32">
        <v>0.61</v>
      </c>
      <c r="M323" s="32">
        <v>7.0000000000000001E-3</v>
      </c>
      <c r="N323" s="32">
        <v>0.248</v>
      </c>
      <c r="O323" s="32">
        <v>0.13600000000000001</v>
      </c>
      <c r="P323" s="32">
        <v>5.5E-2</v>
      </c>
      <c r="Q323" s="32">
        <v>4.0000000000000001E-3</v>
      </c>
      <c r="S323" s="31">
        <v>146</v>
      </c>
      <c r="T323" s="31">
        <v>16</v>
      </c>
      <c r="U323" s="31">
        <v>25</v>
      </c>
      <c r="W323" s="31">
        <v>1957.4</v>
      </c>
      <c r="X323" s="31">
        <v>1968</v>
      </c>
      <c r="Y323" s="33">
        <v>69124.3</v>
      </c>
      <c r="Z323" s="33">
        <v>45900</v>
      </c>
      <c r="AA323" s="33">
        <v>52768.800000000003</v>
      </c>
      <c r="AB323" s="33">
        <v>42800</v>
      </c>
      <c r="AC323" s="32">
        <v>0.315</v>
      </c>
      <c r="AD323" s="32">
        <v>0.26</v>
      </c>
      <c r="AE323" s="33">
        <v>18785.8</v>
      </c>
      <c r="AF323" s="33">
        <v>9624.5</v>
      </c>
      <c r="AH323" s="34">
        <f>IF($D323 = "SPLIT", "",COUNTIFS($D$7:$D$347,$D323,N$7:N$347,"&gt;"&amp;N323)+1)</f>
        <v>31</v>
      </c>
      <c r="AI323" s="34">
        <f>IF($D323 = "SPLIT", "",COUNTIFS($D$7:$D$347,$D323,S$7:S$347,"&gt;"&amp;S323)+1)</f>
        <v>26</v>
      </c>
      <c r="AJ323" s="34">
        <f>IF($D323 = "SPLIT", "",COUNTIFS($D$7:$D$347,$D323,T$7:T$347,"&gt;"&amp;T323)+1)</f>
        <v>34</v>
      </c>
      <c r="AK323" s="34">
        <f>IF($D323 = "SPLIT", "",COUNTIFS($D$7:$D$347,$D323,X$7:X$347,"&lt;"&amp;X323)+1)</f>
        <v>15</v>
      </c>
      <c r="AL323" s="34">
        <f>IF($D323 = "SPLIT", "",COUNTIFS($D$7:$D$347,$D323,Z$7:Z$347,"&gt;"&amp;Z323)+1)</f>
        <v>17</v>
      </c>
      <c r="AM323" s="34">
        <f>IF($D323 = "SPLIT", "",COUNTIFS($D$7:$D$347,$D323,AB$7:AB$347,"&gt;"&amp;AB323)+1)</f>
        <v>19</v>
      </c>
      <c r="AN323" s="34">
        <f>IF($D323 = "SPLIT", "",COUNTIFS($D$7:$D$347,$D323,AD$7:AD$347,"&gt;"&amp;AD323)+1)</f>
        <v>14</v>
      </c>
      <c r="AO323" s="34">
        <f>IF($D323 = "SPLIT", "",COUNTIFS($D$7:$D$347,$D323,AF$7:AF$347,"&gt;"&amp;AF323)+1)</f>
        <v>15</v>
      </c>
    </row>
    <row r="324" spans="1:41" hidden="1" x14ac:dyDescent="0.25">
      <c r="A324" s="160"/>
      <c r="B324" s="160"/>
      <c r="C324" s="160" t="s">
        <v>489</v>
      </c>
      <c r="D324" s="160" t="s">
        <v>2</v>
      </c>
      <c r="E324" s="161">
        <v>10</v>
      </c>
      <c r="F324" s="161"/>
      <c r="G324" s="161">
        <v>1451</v>
      </c>
      <c r="H324" s="161">
        <v>16</v>
      </c>
      <c r="I324" s="161">
        <v>321</v>
      </c>
      <c r="J324" s="161">
        <v>157</v>
      </c>
      <c r="K324" s="161">
        <v>1945</v>
      </c>
      <c r="L324" s="162">
        <v>0.746</v>
      </c>
      <c r="M324" s="162">
        <v>8.0000000000000002E-3</v>
      </c>
      <c r="N324" s="162">
        <v>0.16500000000000001</v>
      </c>
      <c r="O324" s="162">
        <v>8.1000000000000003E-2</v>
      </c>
      <c r="P324" s="162">
        <v>3.1E-2</v>
      </c>
      <c r="Q324" s="162">
        <v>8.9999999999999993E-3</v>
      </c>
      <c r="S324" s="161">
        <v>733</v>
      </c>
      <c r="T324" s="161">
        <v>64</v>
      </c>
      <c r="U324" s="161">
        <v>50</v>
      </c>
      <c r="W324" s="161">
        <v>1944.4</v>
      </c>
      <c r="X324" s="161">
        <v>1945</v>
      </c>
      <c r="Y324" s="163">
        <v>94984.6</v>
      </c>
      <c r="Z324" s="163">
        <v>52200</v>
      </c>
      <c r="AA324" s="163">
        <v>61657.4</v>
      </c>
      <c r="AB324" s="163">
        <v>54750</v>
      </c>
      <c r="AC324" s="162">
        <v>0.30499999999999999</v>
      </c>
      <c r="AD324" s="162">
        <v>0.27200000000000002</v>
      </c>
      <c r="AE324" s="163">
        <v>22018.1</v>
      </c>
      <c r="AF324" s="163">
        <v>13543.2</v>
      </c>
      <c r="AH324" s="164">
        <f>IF($D324 = "SPLIT", "",COUNTIFS($D$7:$D$347,$D324,N$7:N$347,"&gt;"&amp;N324)+1)</f>
        <v>43</v>
      </c>
      <c r="AI324" s="164">
        <f>IF($D324 = "SPLIT", "",COUNTIFS($D$7:$D$347,$D324,S$7:S$347,"&gt;"&amp;S324)+1)</f>
        <v>5</v>
      </c>
      <c r="AJ324" s="164">
        <f>IF($D324 = "SPLIT", "",COUNTIFS($D$7:$D$347,$D324,T$7:T$347,"&gt;"&amp;T324)+1)</f>
        <v>14</v>
      </c>
      <c r="AK324" s="164">
        <f>IF($D324 = "SPLIT", "",COUNTIFS($D$7:$D$347,$D324,X$7:X$347,"&lt;"&amp;X324)+1)</f>
        <v>6</v>
      </c>
      <c r="AL324" s="164">
        <f>IF($D324 = "SPLIT", "",COUNTIFS($D$7:$D$347,$D324,Z$7:Z$347,"&gt;"&amp;Z324)+1)</f>
        <v>11</v>
      </c>
      <c r="AM324" s="164">
        <f>IF($D324 = "SPLIT", "",COUNTIFS($D$7:$D$347,$D324,AB$7:AB$347,"&gt;"&amp;AB324)+1)</f>
        <v>15</v>
      </c>
      <c r="AN324" s="164">
        <f>IF($D324 = "SPLIT", "",COUNTIFS($D$7:$D$347,$D324,AD$7:AD$347,"&gt;"&amp;AD324)+1)</f>
        <v>9</v>
      </c>
      <c r="AO324" s="164">
        <f>IF($D324 = "SPLIT", "",COUNTIFS($D$7:$D$347,$D324,AF$7:AF$347,"&gt;"&amp;AF324)+1)</f>
        <v>6</v>
      </c>
    </row>
    <row r="325" spans="1:41" hidden="1" x14ac:dyDescent="0.25">
      <c r="A325" s="25">
        <v>540212</v>
      </c>
      <c r="B325" s="25" t="s">
        <v>495</v>
      </c>
      <c r="C325" s="25" t="s">
        <v>496</v>
      </c>
      <c r="D325" s="25" t="s">
        <v>55</v>
      </c>
      <c r="E325" s="26">
        <v>5</v>
      </c>
      <c r="F325" s="26" t="s">
        <v>497</v>
      </c>
      <c r="G325" s="26">
        <v>53</v>
      </c>
      <c r="H325" s="26">
        <v>0</v>
      </c>
      <c r="I325" s="26">
        <v>10</v>
      </c>
      <c r="J325" s="26">
        <v>3</v>
      </c>
      <c r="K325" s="26">
        <v>66</v>
      </c>
      <c r="L325" s="35">
        <v>0.80300000000000005</v>
      </c>
      <c r="M325" s="35">
        <v>0</v>
      </c>
      <c r="N325" s="35">
        <v>0.152</v>
      </c>
      <c r="O325" s="35">
        <v>4.4999999999999998E-2</v>
      </c>
      <c r="P325" s="35">
        <v>1.4999999999999999E-2</v>
      </c>
      <c r="Q325" s="35">
        <v>0</v>
      </c>
      <c r="S325" s="26">
        <v>0</v>
      </c>
      <c r="T325" s="26">
        <v>0</v>
      </c>
      <c r="U325" s="26">
        <v>0</v>
      </c>
      <c r="W325" s="26">
        <v>1968.8</v>
      </c>
      <c r="X325" s="26">
        <v>1977</v>
      </c>
      <c r="Y325" s="28">
        <v>178483.9</v>
      </c>
      <c r="Z325" s="28">
        <v>37750</v>
      </c>
      <c r="AA325" s="28">
        <v>54696.9</v>
      </c>
      <c r="AB325" s="28">
        <v>33000</v>
      </c>
      <c r="AC325" s="35">
        <v>5.0999999999999997E-2</v>
      </c>
      <c r="AD325" s="35">
        <v>4.7E-2</v>
      </c>
      <c r="AE325" s="28">
        <v>2101.6999999999998</v>
      </c>
      <c r="AF325" s="28">
        <v>2085.1</v>
      </c>
      <c r="AH325" s="29">
        <f>IF($D325 = "SPLIT", "",COUNTIFS($D$7:$D$347,$D325,N$7:N$347,"&gt;"&amp;N325)+1)</f>
        <v>90</v>
      </c>
      <c r="AI325" s="29">
        <f>IF($D325 = "SPLIT", "",COUNTIFS($D$7:$D$347,$D325,S$7:S$347,"&gt;"&amp;S325)+1)</f>
        <v>177</v>
      </c>
      <c r="AJ325" s="29">
        <f>IF($D325 = "SPLIT", "",COUNTIFS($D$7:$D$347,$D325,T$7:T$347,"&gt;"&amp;T325)+1)</f>
        <v>113</v>
      </c>
      <c r="AK325" s="29">
        <f>IF($D325 = "SPLIT", "",COUNTIFS($D$7:$D$347,$D325,X$7:X$347,"&lt;"&amp;X325)+1)</f>
        <v>183</v>
      </c>
      <c r="AL325" s="29">
        <f>IF($D325 = "SPLIT", "",COUNTIFS($D$7:$D$347,$D325,Z$7:Z$347,"&gt;"&amp;Z325)+1)</f>
        <v>122</v>
      </c>
      <c r="AM325" s="29">
        <f>IF($D325 = "SPLIT", "",COUNTIFS($D$7:$D$347,$D325,AB$7:AB$347,"&gt;"&amp;AB325)+1)</f>
        <v>124</v>
      </c>
      <c r="AN325" s="29">
        <f>IF($D325 = "SPLIT", "",COUNTIFS($D$7:$D$347,$D325,AD$7:AD$347,"&gt;"&amp;AD325)+1)</f>
        <v>169</v>
      </c>
      <c r="AO325" s="29">
        <f>IF($D325 = "SPLIT", "",COUNTIFS($D$7:$D$347,$D325,AF$7:AF$347,"&gt;"&amp;AF325)+1)</f>
        <v>161</v>
      </c>
    </row>
    <row r="326" spans="1:41" hidden="1" x14ac:dyDescent="0.25">
      <c r="A326" s="30">
        <v>540211</v>
      </c>
      <c r="B326" s="30" t="s">
        <v>498</v>
      </c>
      <c r="C326" s="30" t="s">
        <v>496</v>
      </c>
      <c r="D326" s="30" t="s">
        <v>52</v>
      </c>
      <c r="E326" s="31">
        <v>5</v>
      </c>
      <c r="F326" s="31" t="s">
        <v>154</v>
      </c>
      <c r="G326" s="31">
        <v>297</v>
      </c>
      <c r="H326" s="31">
        <v>0</v>
      </c>
      <c r="I326" s="31">
        <v>135</v>
      </c>
      <c r="J326" s="31">
        <v>24</v>
      </c>
      <c r="K326" s="31">
        <v>456</v>
      </c>
      <c r="L326" s="32">
        <v>0.65100000000000002</v>
      </c>
      <c r="M326" s="32">
        <v>0</v>
      </c>
      <c r="N326" s="32">
        <v>0.29599999999999999</v>
      </c>
      <c r="O326" s="32">
        <v>5.2999999999999999E-2</v>
      </c>
      <c r="P326" s="32">
        <v>2.4E-2</v>
      </c>
      <c r="Q326" s="32">
        <v>7.0000000000000001E-3</v>
      </c>
      <c r="S326" s="31">
        <v>26</v>
      </c>
      <c r="T326" s="31">
        <v>4</v>
      </c>
      <c r="U326" s="31">
        <v>5</v>
      </c>
      <c r="W326" s="31">
        <v>1968.2</v>
      </c>
      <c r="X326" s="31">
        <v>1973</v>
      </c>
      <c r="Y326" s="33">
        <v>37962.6</v>
      </c>
      <c r="Z326" s="33">
        <v>23600</v>
      </c>
      <c r="AA326" s="33">
        <v>34332.300000000003</v>
      </c>
      <c r="AB326" s="33">
        <v>22600</v>
      </c>
      <c r="AC326" s="32">
        <v>0.307</v>
      </c>
      <c r="AD326" s="32">
        <v>0.23</v>
      </c>
      <c r="AE326" s="33">
        <v>7758.2</v>
      </c>
      <c r="AF326" s="33">
        <v>4774</v>
      </c>
      <c r="AH326" s="34">
        <f>IF($D326 = "SPLIT", "",COUNTIFS($D$7:$D$347,$D326,N$7:N$347,"&gt;"&amp;N326)+1)</f>
        <v>16</v>
      </c>
      <c r="AI326" s="34">
        <f>IF($D326 = "SPLIT", "",COUNTIFS($D$7:$D$347,$D326,S$7:S$347,"&gt;"&amp;S326)+1)</f>
        <v>53</v>
      </c>
      <c r="AJ326" s="34">
        <f>IF($D326 = "SPLIT", "",COUNTIFS($D$7:$D$347,$D326,T$7:T$347,"&gt;"&amp;T326)+1)</f>
        <v>50</v>
      </c>
      <c r="AK326" s="34">
        <f>IF($D326 = "SPLIT", "",COUNTIFS($D$7:$D$347,$D326,X$7:X$347,"&lt;"&amp;X326)+1)</f>
        <v>30</v>
      </c>
      <c r="AL326" s="34">
        <f>IF($D326 = "SPLIT", "",COUNTIFS($D$7:$D$347,$D326,Z$7:Z$347,"&gt;"&amp;Z326)+1)</f>
        <v>53</v>
      </c>
      <c r="AM326" s="34">
        <f>IF($D326 = "SPLIT", "",COUNTIFS($D$7:$D$347,$D326,AB$7:AB$347,"&gt;"&amp;AB326)+1)</f>
        <v>53</v>
      </c>
      <c r="AN326" s="34">
        <f>IF($D326 = "SPLIT", "",COUNTIFS($D$7:$D$347,$D326,AD$7:AD$347,"&gt;"&amp;AD326)+1)</f>
        <v>16</v>
      </c>
      <c r="AO326" s="34">
        <f>IF($D326 = "SPLIT", "",COUNTIFS($D$7:$D$347,$D326,AF$7:AF$347,"&gt;"&amp;AF326)+1)</f>
        <v>38</v>
      </c>
    </row>
    <row r="327" spans="1:41" hidden="1" x14ac:dyDescent="0.25">
      <c r="A327" s="160"/>
      <c r="B327" s="160"/>
      <c r="C327" s="160" t="s">
        <v>496</v>
      </c>
      <c r="D327" s="160" t="s">
        <v>2</v>
      </c>
      <c r="E327" s="161">
        <v>5</v>
      </c>
      <c r="F327" s="161"/>
      <c r="G327" s="161">
        <v>350</v>
      </c>
      <c r="H327" s="161">
        <v>0</v>
      </c>
      <c r="I327" s="161">
        <v>145</v>
      </c>
      <c r="J327" s="161">
        <v>27</v>
      </c>
      <c r="K327" s="161">
        <v>522</v>
      </c>
      <c r="L327" s="162">
        <v>0.67</v>
      </c>
      <c r="M327" s="162">
        <v>0</v>
      </c>
      <c r="N327" s="162">
        <v>0.27800000000000002</v>
      </c>
      <c r="O327" s="162">
        <v>5.1999999999999998E-2</v>
      </c>
      <c r="P327" s="162">
        <v>2.3E-2</v>
      </c>
      <c r="Q327" s="162">
        <v>6.0000000000000001E-3</v>
      </c>
      <c r="S327" s="161">
        <v>26</v>
      </c>
      <c r="T327" s="161">
        <v>4</v>
      </c>
      <c r="U327" s="161">
        <v>5</v>
      </c>
      <c r="W327" s="161">
        <v>1968.3</v>
      </c>
      <c r="X327" s="161">
        <v>1974</v>
      </c>
      <c r="Y327" s="163">
        <v>55729.599999999999</v>
      </c>
      <c r="Z327" s="163">
        <v>25060</v>
      </c>
      <c r="AA327" s="163">
        <v>42434</v>
      </c>
      <c r="AB327" s="163">
        <v>30700</v>
      </c>
      <c r="AC327" s="162">
        <v>0.24299999999999999</v>
      </c>
      <c r="AD327" s="162">
        <v>0.13</v>
      </c>
      <c r="AE327" s="163">
        <v>6344</v>
      </c>
      <c r="AF327" s="163">
        <v>3489.8</v>
      </c>
      <c r="AH327" s="164">
        <f>IF($D327 = "SPLIT", "",COUNTIFS($D$7:$D$347,$D327,N$7:N$347,"&gt;"&amp;N327)+1)</f>
        <v>13</v>
      </c>
      <c r="AI327" s="164">
        <f>IF($D327 = "SPLIT", "",COUNTIFS($D$7:$D$347,$D327,S$7:S$347,"&gt;"&amp;S327)+1)</f>
        <v>55</v>
      </c>
      <c r="AJ327" s="164">
        <f>IF($D327 = "SPLIT", "",COUNTIFS($D$7:$D$347,$D327,T$7:T$347,"&gt;"&amp;T327)+1)</f>
        <v>52</v>
      </c>
      <c r="AK327" s="164">
        <f>IF($D327 = "SPLIT", "",COUNTIFS($D$7:$D$347,$D327,X$7:X$347,"&lt;"&amp;X327)+1)</f>
        <v>43</v>
      </c>
      <c r="AL327" s="164">
        <f>IF($D327 = "SPLIT", "",COUNTIFS($D$7:$D$347,$D327,Z$7:Z$347,"&gt;"&amp;Z327)+1)</f>
        <v>53</v>
      </c>
      <c r="AM327" s="164">
        <f>IF($D327 = "SPLIT", "",COUNTIFS($D$7:$D$347,$D327,AB$7:AB$347,"&gt;"&amp;AB327)+1)</f>
        <v>46</v>
      </c>
      <c r="AN327" s="164">
        <f>IF($D327 = "SPLIT", "",COUNTIFS($D$7:$D$347,$D327,AD$7:AD$347,"&gt;"&amp;AD327)+1)</f>
        <v>40</v>
      </c>
      <c r="AO327" s="164">
        <f>IF($D327 = "SPLIT", "",COUNTIFS($D$7:$D$347,$D327,AF$7:AF$347,"&gt;"&amp;AF327)+1)</f>
        <v>48</v>
      </c>
    </row>
    <row r="328" spans="1:41" hidden="1" x14ac:dyDescent="0.25">
      <c r="A328" s="25">
        <v>540214</v>
      </c>
      <c r="B328" s="25" t="s">
        <v>499</v>
      </c>
      <c r="C328" s="25" t="s">
        <v>500</v>
      </c>
      <c r="D328" s="25" t="s">
        <v>55</v>
      </c>
      <c r="E328" s="26">
        <v>5</v>
      </c>
      <c r="F328" s="26" t="s">
        <v>60</v>
      </c>
      <c r="G328" s="26">
        <v>231</v>
      </c>
      <c r="H328" s="26">
        <v>3</v>
      </c>
      <c r="I328" s="26">
        <v>57</v>
      </c>
      <c r="J328" s="26">
        <v>15</v>
      </c>
      <c r="K328" s="26">
        <v>306</v>
      </c>
      <c r="L328" s="35">
        <v>0.755</v>
      </c>
      <c r="M328" s="35">
        <v>0.01</v>
      </c>
      <c r="N328" s="35">
        <v>0.186</v>
      </c>
      <c r="O328" s="35">
        <v>4.9000000000000002E-2</v>
      </c>
      <c r="P328" s="35">
        <v>3.9E-2</v>
      </c>
      <c r="Q328" s="35">
        <v>0</v>
      </c>
      <c r="S328" s="26">
        <v>68</v>
      </c>
      <c r="T328" s="26">
        <v>7</v>
      </c>
      <c r="U328" s="26">
        <v>9</v>
      </c>
      <c r="W328" s="26">
        <v>1962.6</v>
      </c>
      <c r="X328" s="26">
        <v>1961</v>
      </c>
      <c r="Y328" s="28">
        <v>250229.8</v>
      </c>
      <c r="Z328" s="28">
        <v>69450</v>
      </c>
      <c r="AA328" s="28">
        <v>81202.7</v>
      </c>
      <c r="AB328" s="28">
        <v>58650</v>
      </c>
      <c r="AC328" s="35">
        <v>0.23</v>
      </c>
      <c r="AD328" s="35">
        <v>0.182</v>
      </c>
      <c r="AE328" s="28">
        <v>21153.599999999999</v>
      </c>
      <c r="AF328" s="28">
        <v>8951.5</v>
      </c>
      <c r="AH328" s="29">
        <f>IF($D328 = "SPLIT", "",COUNTIFS($D$7:$D$347,$D328,N$7:N$347,"&gt;"&amp;N328)+1)</f>
        <v>73</v>
      </c>
      <c r="AI328" s="29">
        <f>IF($D328 = "SPLIT", "",COUNTIFS($D$7:$D$347,$D328,S$7:S$347,"&gt;"&amp;S328)+1)</f>
        <v>25</v>
      </c>
      <c r="AJ328" s="29">
        <f>IF($D328 = "SPLIT", "",COUNTIFS($D$7:$D$347,$D328,T$7:T$347,"&gt;"&amp;T328)+1)</f>
        <v>27</v>
      </c>
      <c r="AK328" s="29">
        <f>IF($D328 = "SPLIT", "",COUNTIFS($D$7:$D$347,$D328,X$7:X$347,"&lt;"&amp;X328)+1)</f>
        <v>147</v>
      </c>
      <c r="AL328" s="29">
        <f>IF($D328 = "SPLIT", "",COUNTIFS($D$7:$D$347,$D328,Z$7:Z$347,"&gt;"&amp;Z328)+1)</f>
        <v>35</v>
      </c>
      <c r="AM328" s="29">
        <f>IF($D328 = "SPLIT", "",COUNTIFS($D$7:$D$347,$D328,AB$7:AB$347,"&gt;"&amp;AB328)+1)</f>
        <v>41</v>
      </c>
      <c r="AN328" s="29">
        <f>IF($D328 = "SPLIT", "",COUNTIFS($D$7:$D$347,$D328,AD$7:AD$347,"&gt;"&amp;AD328)+1)</f>
        <v>59</v>
      </c>
      <c r="AO328" s="29">
        <f>IF($D328 = "SPLIT", "",COUNTIFS($D$7:$D$347,$D328,AF$7:AF$347,"&gt;"&amp;AF328)+1)</f>
        <v>42</v>
      </c>
    </row>
    <row r="329" spans="1:41" hidden="1" x14ac:dyDescent="0.25">
      <c r="A329" s="25">
        <v>540215</v>
      </c>
      <c r="B329" s="25" t="s">
        <v>501</v>
      </c>
      <c r="C329" s="25" t="s">
        <v>500</v>
      </c>
      <c r="D329" s="25" t="s">
        <v>55</v>
      </c>
      <c r="E329" s="26">
        <v>5</v>
      </c>
      <c r="F329" s="26" t="s">
        <v>397</v>
      </c>
      <c r="G329" s="26">
        <v>237</v>
      </c>
      <c r="H329" s="26">
        <v>1</v>
      </c>
      <c r="I329" s="26">
        <v>69</v>
      </c>
      <c r="J329" s="26">
        <v>9</v>
      </c>
      <c r="K329" s="26">
        <v>316</v>
      </c>
      <c r="L329" s="35">
        <v>0.75</v>
      </c>
      <c r="M329" s="35">
        <v>3.0000000000000001E-3</v>
      </c>
      <c r="N329" s="35">
        <v>0.218</v>
      </c>
      <c r="O329" s="35">
        <v>2.8000000000000001E-2</v>
      </c>
      <c r="P329" s="35">
        <v>1.6E-2</v>
      </c>
      <c r="Q329" s="35">
        <v>0</v>
      </c>
      <c r="S329" s="26">
        <v>26</v>
      </c>
      <c r="T329" s="26">
        <v>6</v>
      </c>
      <c r="U329" s="26">
        <v>0</v>
      </c>
      <c r="W329" s="26">
        <v>1969.5</v>
      </c>
      <c r="X329" s="26">
        <v>1971</v>
      </c>
      <c r="Y329" s="28">
        <v>249923.6</v>
      </c>
      <c r="Z329" s="28">
        <v>76300</v>
      </c>
      <c r="AA329" s="28">
        <v>80762.3</v>
      </c>
      <c r="AB329" s="28">
        <v>69100</v>
      </c>
      <c r="AC329" s="35">
        <v>7.9000000000000001E-2</v>
      </c>
      <c r="AD329" s="35">
        <v>4.8000000000000001E-2</v>
      </c>
      <c r="AE329" s="28">
        <v>28903.599999999999</v>
      </c>
      <c r="AF329" s="28">
        <v>8101.9</v>
      </c>
      <c r="AH329" s="29">
        <f>IF($D329 = "SPLIT", "",COUNTIFS($D$7:$D$347,$D329,N$7:N$347,"&gt;"&amp;N329)+1)</f>
        <v>62</v>
      </c>
      <c r="AI329" s="29">
        <f>IF($D329 = "SPLIT", "",COUNTIFS($D$7:$D$347,$D329,S$7:S$347,"&gt;"&amp;S329)+1)</f>
        <v>56</v>
      </c>
      <c r="AJ329" s="29">
        <f>IF($D329 = "SPLIT", "",COUNTIFS($D$7:$D$347,$D329,T$7:T$347,"&gt;"&amp;T329)+1)</f>
        <v>30</v>
      </c>
      <c r="AK329" s="29">
        <f>IF($D329 = "SPLIT", "",COUNTIFS($D$7:$D$347,$D329,X$7:X$347,"&lt;"&amp;X329)+1)</f>
        <v>168</v>
      </c>
      <c r="AL329" s="29">
        <f>IF($D329 = "SPLIT", "",COUNTIFS($D$7:$D$347,$D329,Z$7:Z$347,"&gt;"&amp;Z329)+1)</f>
        <v>26</v>
      </c>
      <c r="AM329" s="29">
        <f>IF($D329 = "SPLIT", "",COUNTIFS($D$7:$D$347,$D329,AB$7:AB$347,"&gt;"&amp;AB329)+1)</f>
        <v>19</v>
      </c>
      <c r="AN329" s="29">
        <f>IF($D329 = "SPLIT", "",COUNTIFS($D$7:$D$347,$D329,AD$7:AD$347,"&gt;"&amp;AD329)+1)</f>
        <v>168</v>
      </c>
      <c r="AO329" s="29">
        <f>IF($D329 = "SPLIT", "",COUNTIFS($D$7:$D$347,$D329,AF$7:AF$347,"&gt;"&amp;AF329)+1)</f>
        <v>52</v>
      </c>
    </row>
    <row r="330" spans="1:41" hidden="1" x14ac:dyDescent="0.25">
      <c r="A330" s="25">
        <v>540216</v>
      </c>
      <c r="B330" s="25" t="s">
        <v>502</v>
      </c>
      <c r="C330" s="25" t="s">
        <v>500</v>
      </c>
      <c r="D330" s="25" t="s">
        <v>55</v>
      </c>
      <c r="E330" s="26">
        <v>5</v>
      </c>
      <c r="F330" s="26" t="s">
        <v>503</v>
      </c>
      <c r="G330" s="26">
        <v>59</v>
      </c>
      <c r="H330" s="26">
        <v>0</v>
      </c>
      <c r="I330" s="26">
        <v>35</v>
      </c>
      <c r="J330" s="26">
        <v>5</v>
      </c>
      <c r="K330" s="26">
        <v>99</v>
      </c>
      <c r="L330" s="35">
        <v>0.59599999999999997</v>
      </c>
      <c r="M330" s="35">
        <v>0</v>
      </c>
      <c r="N330" s="35">
        <v>0.35399999999999998</v>
      </c>
      <c r="O330" s="35">
        <v>5.0999999999999997E-2</v>
      </c>
      <c r="P330" s="35">
        <v>0.02</v>
      </c>
      <c r="Q330" s="35">
        <v>0</v>
      </c>
      <c r="S330" s="26">
        <v>51</v>
      </c>
      <c r="T330" s="26">
        <v>22</v>
      </c>
      <c r="U330" s="26">
        <v>8</v>
      </c>
      <c r="W330" s="26">
        <v>1960.4</v>
      </c>
      <c r="X330" s="26">
        <v>1972</v>
      </c>
      <c r="Y330" s="28">
        <v>91904.5</v>
      </c>
      <c r="Z330" s="28">
        <v>45000</v>
      </c>
      <c r="AA330" s="28">
        <v>83248.600000000006</v>
      </c>
      <c r="AB330" s="28">
        <v>30215</v>
      </c>
      <c r="AC330" s="35">
        <v>0.316</v>
      </c>
      <c r="AD330" s="35">
        <v>0.23899999999999999</v>
      </c>
      <c r="AE330" s="28">
        <v>24073.200000000001</v>
      </c>
      <c r="AF330" s="28">
        <v>9819.6</v>
      </c>
      <c r="AH330" s="29">
        <f>IF($D330 = "SPLIT", "",COUNTIFS($D$7:$D$347,$D330,N$7:N$347,"&gt;"&amp;N330)+1)</f>
        <v>24</v>
      </c>
      <c r="AI330" s="29">
        <f>IF($D330 = "SPLIT", "",COUNTIFS($D$7:$D$347,$D330,S$7:S$347,"&gt;"&amp;S330)+1)</f>
        <v>31</v>
      </c>
      <c r="AJ330" s="29">
        <f>IF($D330 = "SPLIT", "",COUNTIFS($D$7:$D$347,$D330,T$7:T$347,"&gt;"&amp;T330)+1)</f>
        <v>9</v>
      </c>
      <c r="AK330" s="29">
        <f>IF($D330 = "SPLIT", "",COUNTIFS($D$7:$D$347,$D330,X$7:X$347,"&lt;"&amp;X330)+1)</f>
        <v>169</v>
      </c>
      <c r="AL330" s="29">
        <f>IF($D330 = "SPLIT", "",COUNTIFS($D$7:$D$347,$D330,Z$7:Z$347,"&gt;"&amp;Z330)+1)</f>
        <v>92</v>
      </c>
      <c r="AM330" s="29">
        <f>IF($D330 = "SPLIT", "",COUNTIFS($D$7:$D$347,$D330,AB$7:AB$347,"&gt;"&amp;AB330)+1)</f>
        <v>138</v>
      </c>
      <c r="AN330" s="29">
        <f>IF($D330 = "SPLIT", "",COUNTIFS($D$7:$D$347,$D330,AD$7:AD$347,"&gt;"&amp;AD330)+1)</f>
        <v>34</v>
      </c>
      <c r="AO330" s="29">
        <f>IF($D330 = "SPLIT", "",COUNTIFS($D$7:$D$347,$D330,AF$7:AF$347,"&gt;"&amp;AF330)+1)</f>
        <v>38</v>
      </c>
    </row>
    <row r="331" spans="1:41" hidden="1" x14ac:dyDescent="0.25">
      <c r="A331" s="30">
        <v>540213</v>
      </c>
      <c r="B331" s="30" t="s">
        <v>504</v>
      </c>
      <c r="C331" s="30" t="s">
        <v>500</v>
      </c>
      <c r="D331" s="30" t="s">
        <v>52</v>
      </c>
      <c r="E331" s="31">
        <v>5</v>
      </c>
      <c r="F331" s="31" t="s">
        <v>413</v>
      </c>
      <c r="G331" s="31">
        <v>812</v>
      </c>
      <c r="H331" s="31">
        <v>10</v>
      </c>
      <c r="I331" s="31">
        <v>603</v>
      </c>
      <c r="J331" s="31">
        <v>140</v>
      </c>
      <c r="K331" s="31">
        <v>1565</v>
      </c>
      <c r="L331" s="32">
        <v>0.51900000000000002</v>
      </c>
      <c r="M331" s="32">
        <v>6.0000000000000001E-3</v>
      </c>
      <c r="N331" s="32">
        <v>0.38500000000000001</v>
      </c>
      <c r="O331" s="32">
        <v>8.8999999999999996E-2</v>
      </c>
      <c r="P331" s="32">
        <v>8.2000000000000003E-2</v>
      </c>
      <c r="Q331" s="32">
        <v>2E-3</v>
      </c>
      <c r="S331" s="31">
        <v>324</v>
      </c>
      <c r="T331" s="31">
        <v>121</v>
      </c>
      <c r="U331" s="31">
        <v>20</v>
      </c>
      <c r="W331" s="31">
        <v>1972.7</v>
      </c>
      <c r="X331" s="31">
        <v>1979</v>
      </c>
      <c r="Y331" s="33">
        <v>87821.9</v>
      </c>
      <c r="Z331" s="33">
        <v>59500</v>
      </c>
      <c r="AA331" s="33">
        <v>77533.8</v>
      </c>
      <c r="AB331" s="33">
        <v>54800</v>
      </c>
      <c r="AC331" s="32">
        <v>0.34200000000000003</v>
      </c>
      <c r="AD331" s="32">
        <v>0.29199999999999998</v>
      </c>
      <c r="AE331" s="33">
        <v>26675.3</v>
      </c>
      <c r="AF331" s="33">
        <v>14456.2</v>
      </c>
      <c r="AH331" s="34">
        <f>IF($D331 = "SPLIT", "",COUNTIFS($D$7:$D$347,$D331,N$7:N$347,"&gt;"&amp;N331)+1)</f>
        <v>5</v>
      </c>
      <c r="AI331" s="34">
        <f>IF($D331 = "SPLIT", "",COUNTIFS($D$7:$D$347,$D331,S$7:S$347,"&gt;"&amp;S331)+1)</f>
        <v>8</v>
      </c>
      <c r="AJ331" s="34">
        <f>IF($D331 = "SPLIT", "",COUNTIFS($D$7:$D$347,$D331,T$7:T$347,"&gt;"&amp;T331)+1)</f>
        <v>5</v>
      </c>
      <c r="AK331" s="34">
        <f>IF($D331 = "SPLIT", "",COUNTIFS($D$7:$D$347,$D331,X$7:X$347,"&lt;"&amp;X331)+1)</f>
        <v>48</v>
      </c>
      <c r="AL331" s="34">
        <f>IF($D331 = "SPLIT", "",COUNTIFS($D$7:$D$347,$D331,Z$7:Z$347,"&gt;"&amp;Z331)+1)</f>
        <v>5</v>
      </c>
      <c r="AM331" s="34">
        <f>IF($D331 = "SPLIT", "",COUNTIFS($D$7:$D$347,$D331,AB$7:AB$347,"&gt;"&amp;AB331)+1)</f>
        <v>6</v>
      </c>
      <c r="AN331" s="34">
        <f>IF($D331 = "SPLIT", "",COUNTIFS($D$7:$D$347,$D331,AD$7:AD$347,"&gt;"&amp;AD331)+1)</f>
        <v>12</v>
      </c>
      <c r="AO331" s="34">
        <f>IF($D331 = "SPLIT", "",COUNTIFS($D$7:$D$347,$D331,AF$7:AF$347,"&gt;"&amp;AF331)+1)</f>
        <v>6</v>
      </c>
    </row>
    <row r="332" spans="1:41" hidden="1" x14ac:dyDescent="0.25">
      <c r="A332" s="160"/>
      <c r="B332" s="160"/>
      <c r="C332" s="160" t="s">
        <v>500</v>
      </c>
      <c r="D332" s="160" t="s">
        <v>2</v>
      </c>
      <c r="E332" s="161">
        <v>5</v>
      </c>
      <c r="F332" s="161"/>
      <c r="G332" s="161">
        <v>1339</v>
      </c>
      <c r="H332" s="161">
        <v>14</v>
      </c>
      <c r="I332" s="161">
        <v>764</v>
      </c>
      <c r="J332" s="161">
        <v>169</v>
      </c>
      <c r="K332" s="161">
        <v>2286</v>
      </c>
      <c r="L332" s="162">
        <v>0.58599999999999997</v>
      </c>
      <c r="M332" s="162">
        <v>6.0000000000000001E-3</v>
      </c>
      <c r="N332" s="162">
        <v>0.33400000000000002</v>
      </c>
      <c r="O332" s="162">
        <v>7.3999999999999996E-2</v>
      </c>
      <c r="P332" s="162">
        <v>6.5000000000000002E-2</v>
      </c>
      <c r="Q332" s="162">
        <v>1E-3</v>
      </c>
      <c r="S332" s="161">
        <v>469</v>
      </c>
      <c r="T332" s="161">
        <v>156</v>
      </c>
      <c r="U332" s="161">
        <v>37</v>
      </c>
      <c r="W332" s="161">
        <v>1970.4</v>
      </c>
      <c r="X332" s="161">
        <v>1975</v>
      </c>
      <c r="Y332" s="163">
        <v>132146.1</v>
      </c>
      <c r="Z332" s="163">
        <v>63350</v>
      </c>
      <c r="AA332" s="163">
        <v>89231.8</v>
      </c>
      <c r="AB332" s="163">
        <v>74700</v>
      </c>
      <c r="AC332" s="162">
        <v>0.30099999999999999</v>
      </c>
      <c r="AD332" s="162">
        <v>0.23599999999999999</v>
      </c>
      <c r="AE332" s="163">
        <v>25596.5</v>
      </c>
      <c r="AF332" s="163">
        <v>12075.3</v>
      </c>
      <c r="AH332" s="164">
        <f>IF($D332 = "SPLIT", "",COUNTIFS($D$7:$D$347,$D332,N$7:N$347,"&gt;"&amp;N332)+1)</f>
        <v>7</v>
      </c>
      <c r="AI332" s="164">
        <f>IF($D332 = "SPLIT", "",COUNTIFS($D$7:$D$347,$D332,S$7:S$347,"&gt;"&amp;S332)+1)</f>
        <v>8</v>
      </c>
      <c r="AJ332" s="164">
        <f>IF($D332 = "SPLIT", "",COUNTIFS($D$7:$D$347,$D332,T$7:T$347,"&gt;"&amp;T332)+1)</f>
        <v>4</v>
      </c>
      <c r="AK332" s="164">
        <f>IF($D332 = "SPLIT", "",COUNTIFS($D$7:$D$347,$D332,X$7:X$347,"&lt;"&amp;X332)+1)</f>
        <v>45</v>
      </c>
      <c r="AL332" s="164">
        <f>IF($D332 = "SPLIT", "",COUNTIFS($D$7:$D$347,$D332,Z$7:Z$347,"&gt;"&amp;Z332)+1)</f>
        <v>3</v>
      </c>
      <c r="AM332" s="164">
        <f>IF($D332 = "SPLIT", "",COUNTIFS($D$7:$D$347,$D332,AB$7:AB$347,"&gt;"&amp;AB332)+1)</f>
        <v>6</v>
      </c>
      <c r="AN332" s="164">
        <f>IF($D332 = "SPLIT", "",COUNTIFS($D$7:$D$347,$D332,AD$7:AD$347,"&gt;"&amp;AD332)+1)</f>
        <v>11</v>
      </c>
      <c r="AO332" s="164">
        <f>IF($D332 = "SPLIT", "",COUNTIFS($D$7:$D$347,$D332,AF$7:AF$347,"&gt;"&amp;AF332)+1)</f>
        <v>8</v>
      </c>
    </row>
    <row r="333" spans="1:41" hidden="1" x14ac:dyDescent="0.25">
      <c r="A333" s="25">
        <v>540218</v>
      </c>
      <c r="B333" s="25" t="s">
        <v>505</v>
      </c>
      <c r="C333" s="25" t="s">
        <v>506</v>
      </c>
      <c r="D333" s="25" t="s">
        <v>55</v>
      </c>
      <c r="E333" s="26">
        <v>1</v>
      </c>
      <c r="F333" s="26" t="s">
        <v>56</v>
      </c>
      <c r="G333" s="26">
        <v>118</v>
      </c>
      <c r="H333" s="26">
        <v>1</v>
      </c>
      <c r="I333" s="26">
        <v>14</v>
      </c>
      <c r="J333" s="26">
        <v>5</v>
      </c>
      <c r="K333" s="26">
        <v>138</v>
      </c>
      <c r="L333" s="35">
        <v>0.85499999999999998</v>
      </c>
      <c r="M333" s="35">
        <v>7.0000000000000001E-3</v>
      </c>
      <c r="N333" s="35">
        <v>0.10100000000000001</v>
      </c>
      <c r="O333" s="35">
        <v>3.5999999999999997E-2</v>
      </c>
      <c r="P333" s="35">
        <v>2.1999999999999999E-2</v>
      </c>
      <c r="Q333" s="35">
        <v>1.4E-2</v>
      </c>
      <c r="S333" s="26">
        <v>23</v>
      </c>
      <c r="T333" s="26">
        <v>3</v>
      </c>
      <c r="U333" s="26">
        <v>1</v>
      </c>
      <c r="W333" s="26">
        <v>1945.8</v>
      </c>
      <c r="X333" s="26">
        <v>1945</v>
      </c>
      <c r="Y333" s="28">
        <v>85220.3</v>
      </c>
      <c r="Z333" s="28">
        <v>36500</v>
      </c>
      <c r="AA333" s="28">
        <v>35618.800000000003</v>
      </c>
      <c r="AB333" s="28">
        <v>31300</v>
      </c>
      <c r="AC333" s="35">
        <v>0.14899999999999999</v>
      </c>
      <c r="AD333" s="35">
        <v>0.11899999999999999</v>
      </c>
      <c r="AE333" s="28">
        <v>8685.4</v>
      </c>
      <c r="AF333" s="28">
        <v>5016.2</v>
      </c>
      <c r="AH333" s="29">
        <f>IF($D333 = "SPLIT", "",COUNTIFS($D$7:$D$347,$D333,N$7:N$347,"&gt;"&amp;N333)+1)</f>
        <v>129</v>
      </c>
      <c r="AI333" s="29">
        <f>IF($D333 = "SPLIT", "",COUNTIFS($D$7:$D$347,$D333,S$7:S$347,"&gt;"&amp;S333)+1)</f>
        <v>60</v>
      </c>
      <c r="AJ333" s="29">
        <f>IF($D333 = "SPLIT", "",COUNTIFS($D$7:$D$347,$D333,T$7:T$347,"&gt;"&amp;T333)+1)</f>
        <v>45</v>
      </c>
      <c r="AK333" s="29">
        <f>IF($D333 = "SPLIT", "",COUNTIFS($D$7:$D$347,$D333,X$7:X$347,"&lt;"&amp;X333)+1)</f>
        <v>95</v>
      </c>
      <c r="AL333" s="29">
        <f>IF($D333 = "SPLIT", "",COUNTIFS($D$7:$D$347,$D333,Z$7:Z$347,"&gt;"&amp;Z333)+1)</f>
        <v>126</v>
      </c>
      <c r="AM333" s="29">
        <f>IF($D333 = "SPLIT", "",COUNTIFS($D$7:$D$347,$D333,AB$7:AB$347,"&gt;"&amp;AB333)+1)</f>
        <v>134</v>
      </c>
      <c r="AN333" s="29">
        <f>IF($D333 = "SPLIT", "",COUNTIFS($D$7:$D$347,$D333,AD$7:AD$347,"&gt;"&amp;AD333)+1)</f>
        <v>101</v>
      </c>
      <c r="AO333" s="29">
        <f>IF($D333 = "SPLIT", "",COUNTIFS($D$7:$D$347,$D333,AF$7:AF$347,"&gt;"&amp;AF333)+1)</f>
        <v>92</v>
      </c>
    </row>
    <row r="334" spans="1:41" hidden="1" x14ac:dyDescent="0.25">
      <c r="A334" s="25">
        <v>540219</v>
      </c>
      <c r="B334" s="25" t="s">
        <v>507</v>
      </c>
      <c r="C334" s="25" t="s">
        <v>506</v>
      </c>
      <c r="D334" s="25" t="s">
        <v>55</v>
      </c>
      <c r="E334" s="26">
        <v>1</v>
      </c>
      <c r="F334" s="26" t="s">
        <v>508</v>
      </c>
      <c r="G334" s="26">
        <v>219</v>
      </c>
      <c r="H334" s="26">
        <v>46</v>
      </c>
      <c r="I334" s="26">
        <v>52</v>
      </c>
      <c r="J334" s="26">
        <v>41</v>
      </c>
      <c r="K334" s="26">
        <v>358</v>
      </c>
      <c r="L334" s="35">
        <v>0.61199999999999999</v>
      </c>
      <c r="M334" s="35">
        <v>0.128</v>
      </c>
      <c r="N334" s="35">
        <v>0.14499999999999999</v>
      </c>
      <c r="O334" s="35">
        <v>0.115</v>
      </c>
      <c r="P334" s="35">
        <v>0.112</v>
      </c>
      <c r="Q334" s="35">
        <v>0</v>
      </c>
      <c r="S334" s="26">
        <v>99</v>
      </c>
      <c r="T334" s="26">
        <v>21</v>
      </c>
      <c r="U334" s="26">
        <v>1</v>
      </c>
      <c r="W334" s="26">
        <v>1964.4</v>
      </c>
      <c r="X334" s="26">
        <v>1959</v>
      </c>
      <c r="Y334" s="28">
        <v>78362.600000000006</v>
      </c>
      <c r="Z334" s="28">
        <v>31275</v>
      </c>
      <c r="AA334" s="28">
        <v>34335.599999999999</v>
      </c>
      <c r="AB334" s="28">
        <v>26800</v>
      </c>
      <c r="AC334" s="35">
        <v>0.24299999999999999</v>
      </c>
      <c r="AD334" s="35">
        <v>0.192</v>
      </c>
      <c r="AE334" s="28">
        <v>11079.9</v>
      </c>
      <c r="AF334" s="28">
        <v>7289.3</v>
      </c>
      <c r="AH334" s="29">
        <f>IF($D334 = "SPLIT", "",COUNTIFS($D$7:$D$347,$D334,N$7:N$347,"&gt;"&amp;N334)+1)</f>
        <v>93</v>
      </c>
      <c r="AI334" s="29">
        <f>IF($D334 = "SPLIT", "",COUNTIFS($D$7:$D$347,$D334,S$7:S$347,"&gt;"&amp;S334)+1)</f>
        <v>14</v>
      </c>
      <c r="AJ334" s="29">
        <f>IF($D334 = "SPLIT", "",COUNTIFS($D$7:$D$347,$D334,T$7:T$347,"&gt;"&amp;T334)+1)</f>
        <v>10</v>
      </c>
      <c r="AK334" s="29">
        <f>IF($D334 = "SPLIT", "",COUNTIFS($D$7:$D$347,$D334,X$7:X$347,"&lt;"&amp;X334)+1)</f>
        <v>144</v>
      </c>
      <c r="AL334" s="29">
        <f>IF($D334 = "SPLIT", "",COUNTIFS($D$7:$D$347,$D334,Z$7:Z$347,"&gt;"&amp;Z334)+1)</f>
        <v>149</v>
      </c>
      <c r="AM334" s="29">
        <f>IF($D334 = "SPLIT", "",COUNTIFS($D$7:$D$347,$D334,AB$7:AB$347,"&gt;"&amp;AB334)+1)</f>
        <v>155</v>
      </c>
      <c r="AN334" s="29">
        <f>IF($D334 = "SPLIT", "",COUNTIFS($D$7:$D$347,$D334,AD$7:AD$347,"&gt;"&amp;AD334)+1)</f>
        <v>52</v>
      </c>
      <c r="AO334" s="29">
        <f>IF($D334 = "SPLIT", "",COUNTIFS($D$7:$D$347,$D334,AF$7:AF$347,"&gt;"&amp;AF334)+1)</f>
        <v>62</v>
      </c>
    </row>
    <row r="335" spans="1:41" hidden="1" x14ac:dyDescent="0.25">
      <c r="A335" s="25">
        <v>540220</v>
      </c>
      <c r="B335" s="25" t="s">
        <v>509</v>
      </c>
      <c r="C335" s="25" t="s">
        <v>506</v>
      </c>
      <c r="D335" s="25" t="s">
        <v>55</v>
      </c>
      <c r="E335" s="26">
        <v>1</v>
      </c>
      <c r="F335" s="26" t="s">
        <v>510</v>
      </c>
      <c r="G335" s="26">
        <v>95</v>
      </c>
      <c r="H335" s="26">
        <v>0</v>
      </c>
      <c r="I335" s="26">
        <v>11</v>
      </c>
      <c r="J335" s="26">
        <v>6</v>
      </c>
      <c r="K335" s="26">
        <v>112</v>
      </c>
      <c r="L335" s="35">
        <v>0.84799999999999998</v>
      </c>
      <c r="M335" s="35">
        <v>0</v>
      </c>
      <c r="N335" s="35">
        <v>9.8000000000000004E-2</v>
      </c>
      <c r="O335" s="35">
        <v>5.3999999999999999E-2</v>
      </c>
      <c r="P335" s="35">
        <v>2.7E-2</v>
      </c>
      <c r="Q335" s="35">
        <v>1.7999999999999999E-2</v>
      </c>
      <c r="S335" s="26">
        <v>14</v>
      </c>
      <c r="T335" s="26">
        <v>2</v>
      </c>
      <c r="U335" s="26">
        <v>1</v>
      </c>
      <c r="W335" s="26">
        <v>1957.4</v>
      </c>
      <c r="X335" s="26">
        <v>1950</v>
      </c>
      <c r="Y335" s="28">
        <v>63847.9</v>
      </c>
      <c r="Z335" s="28">
        <v>27760</v>
      </c>
      <c r="AA335" s="28">
        <v>33499.4</v>
      </c>
      <c r="AB335" s="28">
        <v>25800</v>
      </c>
      <c r="AC335" s="35">
        <v>0.14000000000000001</v>
      </c>
      <c r="AD335" s="35">
        <v>0.123</v>
      </c>
      <c r="AE335" s="28">
        <v>6748.2</v>
      </c>
      <c r="AF335" s="28">
        <v>4273.6000000000004</v>
      </c>
      <c r="AH335" s="29">
        <f>IF($D335 = "SPLIT", "",COUNTIFS($D$7:$D$347,$D335,N$7:N$347,"&gt;"&amp;N335)+1)</f>
        <v>133</v>
      </c>
      <c r="AI335" s="29">
        <f>IF($D335 = "SPLIT", "",COUNTIFS($D$7:$D$347,$D335,S$7:S$347,"&gt;"&amp;S335)+1)</f>
        <v>77</v>
      </c>
      <c r="AJ335" s="29">
        <f>IF($D335 = "SPLIT", "",COUNTIFS($D$7:$D$347,$D335,T$7:T$347,"&gt;"&amp;T335)+1)</f>
        <v>59</v>
      </c>
      <c r="AK335" s="29">
        <f>IF($D335 = "SPLIT", "",COUNTIFS($D$7:$D$347,$D335,X$7:X$347,"&lt;"&amp;X335)+1)</f>
        <v>120</v>
      </c>
      <c r="AL335" s="29">
        <f>IF($D335 = "SPLIT", "",COUNTIFS($D$7:$D$347,$D335,Z$7:Z$347,"&gt;"&amp;Z335)+1)</f>
        <v>164</v>
      </c>
      <c r="AM335" s="29">
        <f>IF($D335 = "SPLIT", "",COUNTIFS($D$7:$D$347,$D335,AB$7:AB$347,"&gt;"&amp;AB335)+1)</f>
        <v>162</v>
      </c>
      <c r="AN335" s="29">
        <f>IF($D335 = "SPLIT", "",COUNTIFS($D$7:$D$347,$D335,AD$7:AD$347,"&gt;"&amp;AD335)+1)</f>
        <v>95</v>
      </c>
      <c r="AO335" s="29">
        <f>IF($D335 = "SPLIT", "",COUNTIFS($D$7:$D$347,$D335,AF$7:AF$347,"&gt;"&amp;AF335)+1)</f>
        <v>110</v>
      </c>
    </row>
    <row r="336" spans="1:41" hidden="1" x14ac:dyDescent="0.25">
      <c r="A336" s="30">
        <v>540217</v>
      </c>
      <c r="B336" s="30" t="s">
        <v>511</v>
      </c>
      <c r="C336" s="30" t="s">
        <v>506</v>
      </c>
      <c r="D336" s="30" t="s">
        <v>52</v>
      </c>
      <c r="E336" s="31">
        <v>1</v>
      </c>
      <c r="F336" s="31" t="s">
        <v>512</v>
      </c>
      <c r="G336" s="31">
        <v>1413</v>
      </c>
      <c r="H336" s="31">
        <v>183</v>
      </c>
      <c r="I336" s="31">
        <v>402</v>
      </c>
      <c r="J336" s="31">
        <v>228</v>
      </c>
      <c r="K336" s="31">
        <v>2226</v>
      </c>
      <c r="L336" s="32">
        <v>0.63500000000000001</v>
      </c>
      <c r="M336" s="32">
        <v>8.2000000000000003E-2</v>
      </c>
      <c r="N336" s="32">
        <v>0.18099999999999999</v>
      </c>
      <c r="O336" s="32">
        <v>0.10199999999999999</v>
      </c>
      <c r="P336" s="32">
        <v>8.7999999999999995E-2</v>
      </c>
      <c r="Q336" s="32">
        <v>3.0000000000000001E-3</v>
      </c>
      <c r="S336" s="31">
        <v>196</v>
      </c>
      <c r="T336" s="31">
        <v>35</v>
      </c>
      <c r="U336" s="31">
        <v>13</v>
      </c>
      <c r="W336" s="31">
        <v>1966.5</v>
      </c>
      <c r="X336" s="31">
        <v>1969</v>
      </c>
      <c r="Y336" s="33">
        <v>44303.5</v>
      </c>
      <c r="Z336" s="33">
        <v>25845</v>
      </c>
      <c r="AA336" s="33">
        <v>29936.9</v>
      </c>
      <c r="AB336" s="33">
        <v>24900</v>
      </c>
      <c r="AC336" s="32">
        <v>0.193</v>
      </c>
      <c r="AD336" s="32">
        <v>0.14299999999999999</v>
      </c>
      <c r="AE336" s="33">
        <v>5534.1</v>
      </c>
      <c r="AF336" s="33">
        <v>3330.2</v>
      </c>
      <c r="AH336" s="34">
        <f t="shared" ref="AH327:AH337" si="7">IF($D336 = "SPLIT", "",COUNTIFS($D$7:$D$347,$D336,N$7:N$347,"&gt;"&amp;N336)+1)</f>
        <v>44</v>
      </c>
      <c r="AI336" s="34">
        <f t="shared" ref="AI327:AJ337" si="8">IF($D336 = "SPLIT", "",COUNTIFS($D$7:$D$347,$D336,S$7:S$347,"&gt;"&amp;S336)+1)</f>
        <v>19</v>
      </c>
      <c r="AJ336" s="34">
        <f t="shared" si="8"/>
        <v>19</v>
      </c>
      <c r="AK336" s="34">
        <f t="shared" ref="AK327:AK337" si="9">IF($D336 = "SPLIT", "",COUNTIFS($D$7:$D$347,$D336,X$7:X$347,"&lt;"&amp;X336)+1)</f>
        <v>19</v>
      </c>
      <c r="AL336" s="34">
        <f t="shared" ref="AL327:AL337" si="10">IF($D336 = "SPLIT", "",COUNTIFS($D$7:$D$347,$D336,Z$7:Z$347,"&gt;"&amp;Z336)+1)</f>
        <v>50</v>
      </c>
      <c r="AM336" s="34">
        <f t="shared" ref="AM327:AM337" si="11">IF($D336 = "SPLIT", "",COUNTIFS($D$7:$D$347,$D336,AB$7:AB$347,"&gt;"&amp;AB336)+1)</f>
        <v>49</v>
      </c>
      <c r="AN336" s="34">
        <f t="shared" ref="AN327:AN337" si="12">IF($D336 = "SPLIT", "",COUNTIFS($D$7:$D$347,$D336,AD$7:AD$347,"&gt;"&amp;AD336)+1)</f>
        <v>38</v>
      </c>
      <c r="AO336" s="34">
        <f t="shared" ref="AO327:AO337" si="13">IF($D336 = "SPLIT", "",COUNTIFS($D$7:$D$347,$D336,AF$7:AF$347,"&gt;"&amp;AF336)+1)</f>
        <v>49</v>
      </c>
    </row>
    <row r="337" spans="1:41" hidden="1" x14ac:dyDescent="0.25">
      <c r="A337" s="160"/>
      <c r="B337" s="160"/>
      <c r="C337" s="160" t="s">
        <v>506</v>
      </c>
      <c r="D337" s="160" t="s">
        <v>2</v>
      </c>
      <c r="E337" s="161">
        <v>1</v>
      </c>
      <c r="F337" s="161"/>
      <c r="G337" s="161">
        <v>1845</v>
      </c>
      <c r="H337" s="161">
        <v>230</v>
      </c>
      <c r="I337" s="161">
        <v>479</v>
      </c>
      <c r="J337" s="161">
        <v>280</v>
      </c>
      <c r="K337" s="161">
        <v>2834</v>
      </c>
      <c r="L337" s="162">
        <v>0.65100000000000002</v>
      </c>
      <c r="M337" s="162">
        <v>8.1000000000000003E-2</v>
      </c>
      <c r="N337" s="162">
        <v>0.16900000000000001</v>
      </c>
      <c r="O337" s="162">
        <v>9.9000000000000005E-2</v>
      </c>
      <c r="P337" s="162">
        <v>8.5999999999999993E-2</v>
      </c>
      <c r="Q337" s="162">
        <v>4.0000000000000001E-3</v>
      </c>
      <c r="S337" s="161">
        <v>332</v>
      </c>
      <c r="T337" s="161">
        <v>61</v>
      </c>
      <c r="U337" s="161">
        <v>16</v>
      </c>
      <c r="W337" s="161">
        <v>1964.8</v>
      </c>
      <c r="X337" s="161">
        <v>1964</v>
      </c>
      <c r="Y337" s="163">
        <v>51370.8</v>
      </c>
      <c r="Z337" s="163">
        <v>27115</v>
      </c>
      <c r="AA337" s="163">
        <v>32908.300000000003</v>
      </c>
      <c r="AB337" s="163">
        <v>26700</v>
      </c>
      <c r="AC337" s="162">
        <v>0.19700000000000001</v>
      </c>
      <c r="AD337" s="162">
        <v>0.14499999999999999</v>
      </c>
      <c r="AE337" s="163">
        <v>6674.1</v>
      </c>
      <c r="AF337" s="163">
        <v>3983.5</v>
      </c>
      <c r="AH337" s="164">
        <f t="shared" si="7"/>
        <v>42</v>
      </c>
      <c r="AI337" s="164">
        <f t="shared" si="8"/>
        <v>18</v>
      </c>
      <c r="AJ337" s="164">
        <f t="shared" si="8"/>
        <v>16</v>
      </c>
      <c r="AK337" s="164">
        <f t="shared" si="9"/>
        <v>25</v>
      </c>
      <c r="AL337" s="164">
        <f t="shared" si="10"/>
        <v>45</v>
      </c>
      <c r="AM337" s="164">
        <f t="shared" si="11"/>
        <v>53</v>
      </c>
      <c r="AN337" s="164">
        <f t="shared" si="12"/>
        <v>33</v>
      </c>
      <c r="AO337" s="164">
        <f t="shared" si="13"/>
        <v>44</v>
      </c>
    </row>
    <row r="338" spans="1:41" x14ac:dyDescent="0.25">
      <c r="AH338" s="29"/>
      <c r="AI338" s="29"/>
      <c r="AJ338" s="29"/>
      <c r="AK338" s="29"/>
      <c r="AL338" s="29"/>
      <c r="AM338" s="29"/>
      <c r="AN338" s="29"/>
      <c r="AO338" s="29"/>
    </row>
    <row r="339" spans="1:41" x14ac:dyDescent="0.25">
      <c r="A339" s="25" t="s">
        <v>513</v>
      </c>
      <c r="B339" s="25"/>
      <c r="C339" s="25"/>
      <c r="D339" s="25"/>
      <c r="E339" s="26"/>
      <c r="F339" s="26"/>
      <c r="G339" s="26"/>
      <c r="H339" s="26"/>
      <c r="I339" s="26"/>
      <c r="J339" s="26"/>
      <c r="K339" s="26"/>
      <c r="L339" s="27"/>
      <c r="M339" s="27"/>
      <c r="N339" s="27"/>
      <c r="O339" s="27"/>
      <c r="P339" s="27"/>
      <c r="Q339" s="27"/>
      <c r="S339" s="26"/>
      <c r="T339" s="26"/>
      <c r="U339" s="26"/>
      <c r="W339" s="26"/>
      <c r="X339" s="26"/>
      <c r="Y339" s="28"/>
      <c r="Z339" s="28"/>
      <c r="AA339" s="28"/>
      <c r="AB339" s="28"/>
      <c r="AC339" s="27"/>
      <c r="AD339" s="27"/>
      <c r="AE339" s="28"/>
      <c r="AF339" s="28"/>
      <c r="AH339" s="29"/>
      <c r="AI339" s="29"/>
      <c r="AJ339" s="29"/>
      <c r="AK339" s="29"/>
      <c r="AL339" s="29"/>
      <c r="AM339" s="29"/>
      <c r="AN339" s="29"/>
      <c r="AO339" s="29"/>
    </row>
    <row r="340" spans="1:41" x14ac:dyDescent="0.25">
      <c r="A340" s="169">
        <v>540041</v>
      </c>
      <c r="B340" s="169" t="s">
        <v>137</v>
      </c>
      <c r="C340" s="169" t="s">
        <v>514</v>
      </c>
      <c r="D340" s="169" t="s">
        <v>55</v>
      </c>
      <c r="E340" s="166" t="s">
        <v>515</v>
      </c>
      <c r="F340" s="166" t="s">
        <v>515</v>
      </c>
      <c r="G340" s="166">
        <v>184</v>
      </c>
      <c r="H340" s="166">
        <v>1</v>
      </c>
      <c r="I340" s="166">
        <v>19</v>
      </c>
      <c r="J340" s="166">
        <v>5</v>
      </c>
      <c r="K340" s="166">
        <v>209</v>
      </c>
      <c r="L340" s="168">
        <v>0.88</v>
      </c>
      <c r="M340" s="168">
        <v>9.0999999999999998E-2</v>
      </c>
      <c r="N340" s="168">
        <v>2.4E-2</v>
      </c>
      <c r="O340" s="168">
        <v>1.4E-2</v>
      </c>
      <c r="P340" s="168">
        <v>0.01</v>
      </c>
      <c r="Q340" s="168">
        <v>0.01</v>
      </c>
      <c r="S340" s="40">
        <v>42</v>
      </c>
      <c r="T340" s="40">
        <v>2</v>
      </c>
      <c r="U340" s="40">
        <v>2</v>
      </c>
      <c r="W340" s="166">
        <v>1944.7</v>
      </c>
      <c r="X340" s="166">
        <v>1940.5</v>
      </c>
      <c r="Y340" s="167">
        <v>70252.800000000003</v>
      </c>
      <c r="Z340" s="167">
        <v>47200</v>
      </c>
      <c r="AA340" s="167">
        <v>50947.1</v>
      </c>
      <c r="AB340" s="167">
        <v>47600</v>
      </c>
      <c r="AC340" s="168">
        <v>0.16300000000000001</v>
      </c>
      <c r="AD340" s="168">
        <v>0.14000000000000001</v>
      </c>
      <c r="AE340" s="167">
        <v>9506.9</v>
      </c>
      <c r="AF340" s="167">
        <v>5594.9</v>
      </c>
      <c r="AH340" s="165">
        <f t="shared" ref="AH340:AH347" si="14">IF($D340 = "SPLIT", "",COUNTIFS($D$7:$D$347,$D340,N$7:N$347,"&gt;"&amp;N340)+1)</f>
        <v>182</v>
      </c>
      <c r="AI340" s="165">
        <f t="shared" ref="AI340:AJ347" si="15">IF($D340 = "SPLIT", "",COUNTIFS($D$7:$D$347,$D340,S$7:S$347,"&gt;"&amp;S340)+1)</f>
        <v>36</v>
      </c>
      <c r="AJ340" s="165">
        <f t="shared" si="15"/>
        <v>59</v>
      </c>
      <c r="AK340" s="165">
        <f t="shared" ref="AK340:AK347" si="16">IF($D340 = "SPLIT", "",COUNTIFS($D$7:$D$347,$D340,X$7:X$347,"&lt;"&amp;X340)+1)</f>
        <v>89</v>
      </c>
      <c r="AL340" s="165">
        <f t="shared" ref="AL340:AL347" si="17">IF($D340 = "SPLIT", "",COUNTIFS($D$7:$D$347,$D340,Z$7:Z$347,"&gt;"&amp;Z340)+1)</f>
        <v>84</v>
      </c>
      <c r="AM340" s="165">
        <f t="shared" ref="AM340:AM347" si="18">IF($D340 = "SPLIT", "",COUNTIFS($D$7:$D$347,$D340,AB$7:AB$347,"&gt;"&amp;AB340)+1)</f>
        <v>67</v>
      </c>
      <c r="AN340" s="165">
        <f t="shared" ref="AN340:AN347" si="19">IF($D340 = "SPLIT", "",COUNTIFS($D$7:$D$347,$D340,AD$7:AD$347,"&gt;"&amp;AD340)+1)</f>
        <v>78</v>
      </c>
      <c r="AO340" s="165">
        <f t="shared" ref="AO340:AO347" si="20">IF($D340 = "SPLIT", "",COUNTIFS($D$7:$D$347,$D340,AF$7:AF$347,"&gt;"&amp;AF340)+1)</f>
        <v>82</v>
      </c>
    </row>
    <row r="341" spans="1:41" x14ac:dyDescent="0.25">
      <c r="A341" s="169">
        <v>540018</v>
      </c>
      <c r="B341" s="169" t="s">
        <v>96</v>
      </c>
      <c r="C341" s="169" t="s">
        <v>516</v>
      </c>
      <c r="D341" s="169" t="s">
        <v>55</v>
      </c>
      <c r="E341" s="166" t="s">
        <v>517</v>
      </c>
      <c r="F341" s="166" t="s">
        <v>517</v>
      </c>
      <c r="G341" s="166">
        <v>1102</v>
      </c>
      <c r="H341" s="166">
        <v>5</v>
      </c>
      <c r="I341" s="166">
        <v>37</v>
      </c>
      <c r="J341" s="166">
        <v>4</v>
      </c>
      <c r="K341" s="166">
        <v>1148</v>
      </c>
      <c r="L341" s="168">
        <v>0.96</v>
      </c>
      <c r="M341" s="168">
        <v>3.2000000000000001E-2</v>
      </c>
      <c r="N341" s="168">
        <v>3.0000000000000001E-3</v>
      </c>
      <c r="O341" s="168">
        <v>0</v>
      </c>
      <c r="P341" s="168">
        <v>0</v>
      </c>
      <c r="Q341" s="168">
        <v>0</v>
      </c>
      <c r="S341" s="40">
        <v>107</v>
      </c>
      <c r="T341" s="40">
        <v>0</v>
      </c>
      <c r="U341" s="40">
        <v>2</v>
      </c>
      <c r="W341" s="166">
        <v>1940.3</v>
      </c>
      <c r="X341" s="166">
        <v>1940</v>
      </c>
      <c r="Y341" s="167">
        <v>131629.1</v>
      </c>
      <c r="Z341" s="167">
        <v>75600</v>
      </c>
      <c r="AA341" s="167">
        <v>82626.899999999994</v>
      </c>
      <c r="AB341" s="167">
        <v>71150</v>
      </c>
      <c r="AC341" s="168">
        <v>8.3000000000000004E-2</v>
      </c>
      <c r="AD341" s="168">
        <v>4.5999999999999999E-2</v>
      </c>
      <c r="AE341" s="167">
        <v>16981</v>
      </c>
      <c r="AF341" s="167">
        <v>4188.8</v>
      </c>
      <c r="AH341" s="165">
        <f t="shared" si="14"/>
        <v>194</v>
      </c>
      <c r="AI341" s="165">
        <f t="shared" si="15"/>
        <v>11</v>
      </c>
      <c r="AJ341" s="165">
        <f t="shared" si="15"/>
        <v>113</v>
      </c>
      <c r="AK341" s="165">
        <f t="shared" si="16"/>
        <v>72</v>
      </c>
      <c r="AL341" s="165">
        <f t="shared" si="17"/>
        <v>27</v>
      </c>
      <c r="AM341" s="165">
        <f t="shared" si="18"/>
        <v>18</v>
      </c>
      <c r="AN341" s="165">
        <f t="shared" si="19"/>
        <v>170</v>
      </c>
      <c r="AO341" s="165">
        <f t="shared" si="20"/>
        <v>112</v>
      </c>
    </row>
    <row r="342" spans="1:41" x14ac:dyDescent="0.25">
      <c r="A342" s="169">
        <v>540029</v>
      </c>
      <c r="B342" s="169" t="s">
        <v>118</v>
      </c>
      <c r="C342" s="169" t="s">
        <v>518</v>
      </c>
      <c r="D342" s="169" t="s">
        <v>55</v>
      </c>
      <c r="E342" s="166" t="s">
        <v>519</v>
      </c>
      <c r="F342" s="166" t="s">
        <v>519</v>
      </c>
      <c r="G342" s="166">
        <v>55</v>
      </c>
      <c r="H342" s="166">
        <v>0</v>
      </c>
      <c r="I342" s="166">
        <v>13</v>
      </c>
      <c r="J342" s="166">
        <v>6</v>
      </c>
      <c r="K342" s="166">
        <v>74</v>
      </c>
      <c r="L342" s="168">
        <v>0.74299999999999999</v>
      </c>
      <c r="M342" s="168">
        <v>0.17599999999999999</v>
      </c>
      <c r="N342" s="168">
        <v>8.1000000000000003E-2</v>
      </c>
      <c r="O342" s="168">
        <v>1.4E-2</v>
      </c>
      <c r="P342" s="168">
        <v>4.1000000000000002E-2</v>
      </c>
      <c r="Q342" s="168">
        <v>4.1000000000000002E-2</v>
      </c>
      <c r="S342" s="40">
        <v>7</v>
      </c>
      <c r="T342" s="40">
        <v>0</v>
      </c>
      <c r="U342" s="40">
        <v>0</v>
      </c>
      <c r="W342" s="166">
        <v>1949.5</v>
      </c>
      <c r="X342" s="166">
        <v>1945</v>
      </c>
      <c r="Y342" s="167">
        <v>113378</v>
      </c>
      <c r="Z342" s="167">
        <v>36100</v>
      </c>
      <c r="AA342" s="167">
        <v>42806.6</v>
      </c>
      <c r="AB342" s="167">
        <v>29900</v>
      </c>
      <c r="AC342" s="168">
        <v>0.13</v>
      </c>
      <c r="AD342" s="168">
        <v>0.12</v>
      </c>
      <c r="AE342" s="167">
        <v>6164.1</v>
      </c>
      <c r="AF342" s="167">
        <v>3950.6</v>
      </c>
      <c r="AH342" s="165">
        <f t="shared" si="14"/>
        <v>144</v>
      </c>
      <c r="AI342" s="165">
        <f t="shared" si="15"/>
        <v>105</v>
      </c>
      <c r="AJ342" s="165">
        <f t="shared" si="15"/>
        <v>113</v>
      </c>
      <c r="AK342" s="165">
        <f t="shared" si="16"/>
        <v>95</v>
      </c>
      <c r="AL342" s="165">
        <f t="shared" si="17"/>
        <v>128</v>
      </c>
      <c r="AM342" s="165">
        <f t="shared" si="18"/>
        <v>140</v>
      </c>
      <c r="AN342" s="165">
        <f t="shared" si="19"/>
        <v>98</v>
      </c>
      <c r="AO342" s="165">
        <f t="shared" si="20"/>
        <v>118</v>
      </c>
    </row>
    <row r="343" spans="1:41" x14ac:dyDescent="0.25">
      <c r="A343" s="169">
        <v>540081</v>
      </c>
      <c r="B343" s="169" t="s">
        <v>225</v>
      </c>
      <c r="C343" s="169" t="s">
        <v>520</v>
      </c>
      <c r="D343" s="169" t="s">
        <v>55</v>
      </c>
      <c r="E343" s="166" t="s">
        <v>521</v>
      </c>
      <c r="F343" s="166" t="s">
        <v>521</v>
      </c>
      <c r="G343" s="166">
        <v>658</v>
      </c>
      <c r="H343" s="166">
        <v>27</v>
      </c>
      <c r="I343" s="166">
        <v>46</v>
      </c>
      <c r="J343" s="166">
        <v>3</v>
      </c>
      <c r="K343" s="166">
        <v>734</v>
      </c>
      <c r="L343" s="168">
        <v>0.89600000000000002</v>
      </c>
      <c r="M343" s="168">
        <v>6.3E-2</v>
      </c>
      <c r="N343" s="168">
        <v>4.0000000000000001E-3</v>
      </c>
      <c r="O343" s="168">
        <v>1E-3</v>
      </c>
      <c r="P343" s="168">
        <v>0</v>
      </c>
      <c r="Q343" s="168">
        <v>0</v>
      </c>
      <c r="S343" s="40">
        <v>141</v>
      </c>
      <c r="T343" s="40">
        <v>7</v>
      </c>
      <c r="U343" s="40">
        <v>1</v>
      </c>
      <c r="W343" s="166">
        <v>1955.9</v>
      </c>
      <c r="X343" s="166">
        <v>1951</v>
      </c>
      <c r="Y343" s="167">
        <v>73431.899999999994</v>
      </c>
      <c r="Z343" s="167">
        <v>58500</v>
      </c>
      <c r="AA343" s="167">
        <v>66315.600000000006</v>
      </c>
      <c r="AB343" s="167">
        <v>58400</v>
      </c>
      <c r="AC343" s="168">
        <v>0.151</v>
      </c>
      <c r="AD343" s="168">
        <v>0.12</v>
      </c>
      <c r="AE343" s="167">
        <v>9847.4</v>
      </c>
      <c r="AF343" s="167">
        <v>6782.4</v>
      </c>
      <c r="AH343" s="165">
        <f t="shared" si="14"/>
        <v>193</v>
      </c>
      <c r="AI343" s="165">
        <f t="shared" si="15"/>
        <v>8</v>
      </c>
      <c r="AJ343" s="165">
        <f t="shared" si="15"/>
        <v>27</v>
      </c>
      <c r="AK343" s="165">
        <f t="shared" si="16"/>
        <v>128</v>
      </c>
      <c r="AL343" s="165">
        <f t="shared" si="17"/>
        <v>51</v>
      </c>
      <c r="AM343" s="165">
        <f t="shared" si="18"/>
        <v>42</v>
      </c>
      <c r="AN343" s="165">
        <f t="shared" si="19"/>
        <v>98</v>
      </c>
      <c r="AO343" s="165">
        <f t="shared" si="20"/>
        <v>67</v>
      </c>
    </row>
    <row r="344" spans="1:41" x14ac:dyDescent="0.25">
      <c r="A344" s="169">
        <v>540196</v>
      </c>
      <c r="B344" s="169" t="s">
        <v>468</v>
      </c>
      <c r="C344" s="169" t="s">
        <v>522</v>
      </c>
      <c r="D344" s="169" t="s">
        <v>55</v>
      </c>
      <c r="E344" s="166" t="s">
        <v>523</v>
      </c>
      <c r="F344" s="166" t="s">
        <v>523</v>
      </c>
      <c r="G344" s="166">
        <v>3</v>
      </c>
      <c r="H344" s="166">
        <v>1</v>
      </c>
      <c r="I344" s="166">
        <v>1</v>
      </c>
      <c r="J344" s="166">
        <v>2</v>
      </c>
      <c r="K344" s="166">
        <v>7</v>
      </c>
      <c r="L344" s="168">
        <v>0.42899999999999999</v>
      </c>
      <c r="M344" s="168">
        <v>0.14299999999999999</v>
      </c>
      <c r="N344" s="168">
        <v>0.28599999999999998</v>
      </c>
      <c r="O344" s="168">
        <v>0.14299999999999999</v>
      </c>
      <c r="P344" s="168">
        <v>0.14299999999999999</v>
      </c>
      <c r="Q344" s="168">
        <v>0.14299999999999999</v>
      </c>
      <c r="S344" s="40">
        <v>2</v>
      </c>
      <c r="T344" s="40">
        <v>0</v>
      </c>
      <c r="U344" s="40">
        <v>1</v>
      </c>
      <c r="W344" s="166">
        <v>1975.2</v>
      </c>
      <c r="X344" s="166">
        <v>1977</v>
      </c>
      <c r="Y344" s="167">
        <v>321645.7</v>
      </c>
      <c r="Z344" s="167">
        <v>90400</v>
      </c>
      <c r="AA344" s="167">
        <v>73833.3</v>
      </c>
      <c r="AB344" s="167">
        <v>72500</v>
      </c>
      <c r="AC344" s="168">
        <v>0.13900000000000001</v>
      </c>
      <c r="AD344" s="168">
        <v>0.13900000000000001</v>
      </c>
      <c r="AE344" s="167">
        <v>132157.1</v>
      </c>
      <c r="AF344" s="167">
        <v>132157.1</v>
      </c>
      <c r="AH344" s="165">
        <f t="shared" si="14"/>
        <v>40</v>
      </c>
      <c r="AI344" s="165">
        <f t="shared" si="15"/>
        <v>141</v>
      </c>
      <c r="AJ344" s="165">
        <f t="shared" si="15"/>
        <v>113</v>
      </c>
      <c r="AK344" s="165">
        <f t="shared" si="16"/>
        <v>183</v>
      </c>
      <c r="AL344" s="165">
        <f t="shared" si="17"/>
        <v>18</v>
      </c>
      <c r="AM344" s="165">
        <f t="shared" si="18"/>
        <v>17</v>
      </c>
      <c r="AN344" s="165">
        <f t="shared" si="19"/>
        <v>80</v>
      </c>
      <c r="AO344" s="165">
        <f t="shared" si="20"/>
        <v>1</v>
      </c>
    </row>
    <row r="345" spans="1:41" x14ac:dyDescent="0.25">
      <c r="A345" s="169">
        <v>540033</v>
      </c>
      <c r="B345" s="169" t="s">
        <v>125</v>
      </c>
      <c r="C345" s="169" t="s">
        <v>518</v>
      </c>
      <c r="D345" s="169" t="s">
        <v>55</v>
      </c>
      <c r="E345" s="166" t="s">
        <v>519</v>
      </c>
      <c r="F345" s="166" t="s">
        <v>519</v>
      </c>
      <c r="G345" s="166">
        <v>54</v>
      </c>
      <c r="H345" s="166">
        <v>3</v>
      </c>
      <c r="I345" s="166">
        <v>12</v>
      </c>
      <c r="J345" s="166">
        <v>5</v>
      </c>
      <c r="K345" s="166">
        <v>74</v>
      </c>
      <c r="L345" s="168">
        <v>0.73</v>
      </c>
      <c r="M345" s="168">
        <v>0.16200000000000001</v>
      </c>
      <c r="N345" s="168">
        <v>6.8000000000000005E-2</v>
      </c>
      <c r="O345" s="168">
        <v>5.3999999999999999E-2</v>
      </c>
      <c r="P345" s="168">
        <v>0</v>
      </c>
      <c r="Q345" s="168">
        <v>0</v>
      </c>
      <c r="S345" s="40">
        <v>12</v>
      </c>
      <c r="T345" s="40">
        <v>2</v>
      </c>
      <c r="U345" s="40">
        <v>2</v>
      </c>
      <c r="W345" s="166">
        <v>1951.6</v>
      </c>
      <c r="X345" s="166">
        <v>1947.5</v>
      </c>
      <c r="Y345" s="167">
        <v>49968</v>
      </c>
      <c r="Z345" s="167">
        <v>24750</v>
      </c>
      <c r="AA345" s="167">
        <v>33361.5</v>
      </c>
      <c r="AB345" s="167">
        <v>25550</v>
      </c>
      <c r="AC345" s="168">
        <v>0.17599999999999999</v>
      </c>
      <c r="AD345" s="168">
        <v>0.122</v>
      </c>
      <c r="AE345" s="167">
        <v>6126.3</v>
      </c>
      <c r="AF345" s="167">
        <v>2192.4</v>
      </c>
      <c r="AH345" s="165">
        <f t="shared" si="14"/>
        <v>156</v>
      </c>
      <c r="AI345" s="165">
        <f t="shared" si="15"/>
        <v>84</v>
      </c>
      <c r="AJ345" s="165">
        <f t="shared" si="15"/>
        <v>59</v>
      </c>
      <c r="AK345" s="165">
        <f t="shared" si="16"/>
        <v>110</v>
      </c>
      <c r="AL345" s="165">
        <f t="shared" si="17"/>
        <v>174</v>
      </c>
      <c r="AM345" s="165">
        <f t="shared" si="18"/>
        <v>165</v>
      </c>
      <c r="AN345" s="165">
        <f t="shared" si="19"/>
        <v>96</v>
      </c>
      <c r="AO345" s="165">
        <f t="shared" si="20"/>
        <v>156</v>
      </c>
    </row>
    <row r="346" spans="1:41" x14ac:dyDescent="0.25">
      <c r="A346" s="169">
        <v>540014</v>
      </c>
      <c r="B346" s="169" t="s">
        <v>87</v>
      </c>
      <c r="C346" s="169" t="s">
        <v>524</v>
      </c>
      <c r="D346" s="169" t="s">
        <v>55</v>
      </c>
      <c r="E346" s="166" t="s">
        <v>525</v>
      </c>
      <c r="F346" s="166" t="s">
        <v>525</v>
      </c>
      <c r="G346" s="166">
        <v>152</v>
      </c>
      <c r="H346" s="166">
        <v>7</v>
      </c>
      <c r="I346" s="166">
        <v>15</v>
      </c>
      <c r="J346" s="166">
        <v>0</v>
      </c>
      <c r="K346" s="166">
        <v>174</v>
      </c>
      <c r="L346" s="170">
        <f xml:space="preserve"> G346 /K346</f>
        <v>0.87356321839080464</v>
      </c>
      <c r="M346" s="171">
        <f xml:space="preserve"> H346 / K346</f>
        <v>4.0229885057471264E-2</v>
      </c>
      <c r="N346" s="171">
        <f xml:space="preserve"> I346 / K346</f>
        <v>8.6206896551724144E-2</v>
      </c>
      <c r="O346" s="171">
        <f>0</f>
        <v>0</v>
      </c>
      <c r="P346" s="171" t="s">
        <v>228</v>
      </c>
      <c r="Q346" s="172">
        <v>0</v>
      </c>
      <c r="S346" s="40">
        <v>57</v>
      </c>
      <c r="T346" s="40">
        <v>1</v>
      </c>
      <c r="U346" s="40">
        <v>0</v>
      </c>
      <c r="W346" s="166">
        <v>1962.8</v>
      </c>
      <c r="X346" s="166">
        <v>1964</v>
      </c>
      <c r="Y346" s="167">
        <v>257124.9</v>
      </c>
      <c r="Z346" s="167">
        <v>88500</v>
      </c>
      <c r="AA346" s="167">
        <v>92563.1</v>
      </c>
      <c r="AB346" s="167">
        <v>92400</v>
      </c>
      <c r="AC346" s="168">
        <v>0.16200000000000001</v>
      </c>
      <c r="AD346" s="168">
        <v>0.14499999999999999</v>
      </c>
      <c r="AE346" s="167">
        <v>17281.5</v>
      </c>
      <c r="AF346" s="167">
        <v>14209.6</v>
      </c>
      <c r="AH346" s="165">
        <f t="shared" si="14"/>
        <v>142</v>
      </c>
      <c r="AI346" s="165">
        <f t="shared" si="15"/>
        <v>28</v>
      </c>
      <c r="AJ346" s="165">
        <f t="shared" si="15"/>
        <v>84</v>
      </c>
      <c r="AK346" s="165">
        <f t="shared" si="16"/>
        <v>155</v>
      </c>
      <c r="AL346" s="165">
        <f t="shared" si="17"/>
        <v>20</v>
      </c>
      <c r="AM346" s="165">
        <f t="shared" si="18"/>
        <v>10</v>
      </c>
      <c r="AN346" s="165">
        <f t="shared" si="19"/>
        <v>77</v>
      </c>
      <c r="AO346" s="165">
        <f t="shared" si="20"/>
        <v>17</v>
      </c>
    </row>
    <row r="347" spans="1:41" x14ac:dyDescent="0.25">
      <c r="A347" s="169">
        <v>540152</v>
      </c>
      <c r="B347" s="169" t="s">
        <v>281</v>
      </c>
      <c r="C347" s="169" t="s">
        <v>526</v>
      </c>
      <c r="D347" s="169" t="s">
        <v>55</v>
      </c>
      <c r="E347" s="166" t="s">
        <v>527</v>
      </c>
      <c r="F347" s="166" t="s">
        <v>527</v>
      </c>
      <c r="G347" s="166">
        <v>2685</v>
      </c>
      <c r="H347" s="166">
        <v>10</v>
      </c>
      <c r="I347" s="166">
        <v>126</v>
      </c>
      <c r="J347" s="166">
        <v>15</v>
      </c>
      <c r="K347" s="166">
        <v>2836</v>
      </c>
      <c r="L347" s="168">
        <v>0.94699999999999995</v>
      </c>
      <c r="M347" s="168">
        <v>4.3999999999999997E-2</v>
      </c>
      <c r="N347" s="168">
        <v>5.0000000000000001E-3</v>
      </c>
      <c r="O347" s="168">
        <v>3.0000000000000001E-3</v>
      </c>
      <c r="P347" s="168">
        <v>1E-3</v>
      </c>
      <c r="Q347" s="168">
        <v>1E-3</v>
      </c>
      <c r="S347" s="40">
        <v>923</v>
      </c>
      <c r="T347" s="40">
        <v>50</v>
      </c>
      <c r="U347" s="40">
        <v>7</v>
      </c>
      <c r="W347" s="166">
        <v>1922.6</v>
      </c>
      <c r="X347" s="166">
        <v>1920</v>
      </c>
      <c r="Y347" s="167">
        <v>129142.2</v>
      </c>
      <c r="Z347" s="167">
        <v>40600</v>
      </c>
      <c r="AA347" s="167">
        <v>46666.1</v>
      </c>
      <c r="AB347" s="167">
        <v>36850</v>
      </c>
      <c r="AC347" s="168">
        <v>0.224</v>
      </c>
      <c r="AD347" s="168">
        <v>0.20200000000000001</v>
      </c>
      <c r="AE347" s="167">
        <v>14733.6</v>
      </c>
      <c r="AF347" s="167">
        <v>7660.7</v>
      </c>
      <c r="AH347" s="165">
        <f t="shared" si="14"/>
        <v>192</v>
      </c>
      <c r="AI347" s="165">
        <f t="shared" si="15"/>
        <v>1</v>
      </c>
      <c r="AJ347" s="165">
        <f t="shared" si="15"/>
        <v>1</v>
      </c>
      <c r="AK347" s="165">
        <f t="shared" si="16"/>
        <v>21</v>
      </c>
      <c r="AL347" s="165">
        <f t="shared" si="17"/>
        <v>115</v>
      </c>
      <c r="AM347" s="165">
        <f t="shared" si="18"/>
        <v>108</v>
      </c>
      <c r="AN347" s="165">
        <f t="shared" si="19"/>
        <v>47</v>
      </c>
      <c r="AO347" s="165">
        <f t="shared" si="20"/>
        <v>57</v>
      </c>
    </row>
    <row r="349" spans="1:41" x14ac:dyDescent="0.25">
      <c r="A349" s="25"/>
      <c r="B349" s="25"/>
      <c r="C349" s="25" t="s">
        <v>528</v>
      </c>
      <c r="D349" s="25"/>
      <c r="E349" s="26"/>
      <c r="F349" s="26"/>
      <c r="G349" s="26"/>
      <c r="H349" s="26"/>
      <c r="I349" s="26"/>
      <c r="J349" s="26"/>
      <c r="K349" s="26"/>
      <c r="L349" s="27"/>
      <c r="M349" s="27"/>
      <c r="N349" s="27"/>
      <c r="O349" s="27"/>
      <c r="P349" s="27"/>
      <c r="Q349" s="27"/>
      <c r="S349" s="26"/>
      <c r="T349" s="26"/>
      <c r="U349" s="26"/>
      <c r="W349" s="26">
        <v>1959.4</v>
      </c>
      <c r="X349" s="26">
        <v>1961</v>
      </c>
      <c r="Y349" s="28">
        <v>89020</v>
      </c>
      <c r="Z349" s="28">
        <v>37100</v>
      </c>
      <c r="AA349" s="28">
        <v>57488.2</v>
      </c>
      <c r="AB349" s="28">
        <v>44500</v>
      </c>
      <c r="AC349" s="27">
        <v>0.23899999999999999</v>
      </c>
      <c r="AD349" s="27">
        <v>0.16500000000000001</v>
      </c>
      <c r="AE349" s="28">
        <v>13675.5</v>
      </c>
      <c r="AF349" s="28">
        <v>5985</v>
      </c>
      <c r="AH349" s="34"/>
      <c r="AI349" s="34"/>
      <c r="AJ349" s="34"/>
      <c r="AK349" s="34"/>
      <c r="AL349" s="34"/>
      <c r="AM349" s="34"/>
      <c r="AN349" s="34"/>
      <c r="AO349" s="34"/>
    </row>
  </sheetData>
  <autoFilter ref="A6:AO337">
    <filterColumn colId="2">
      <filters>
        <filter val="GREENBRIER"/>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opLeftCell="A7" workbookViewId="0"/>
  </sheetViews>
  <sheetFormatPr defaultRowHeight="15" x14ac:dyDescent="0.25"/>
  <cols>
    <col min="1" max="1" width="53" customWidth="1"/>
    <col min="2" max="2" width="100.7109375" style="84" customWidth="1"/>
    <col min="3" max="3" width="60.85546875" customWidth="1"/>
  </cols>
  <sheetData>
    <row r="1" spans="1:2" s="114" customFormat="1" ht="12" x14ac:dyDescent="0.2">
      <c r="B1" s="91"/>
    </row>
    <row r="2" spans="1:2" x14ac:dyDescent="0.25">
      <c r="A2" s="113" t="s">
        <v>1190</v>
      </c>
      <c r="B2" s="112" t="s">
        <v>1165</v>
      </c>
    </row>
    <row r="3" spans="1:2" x14ac:dyDescent="0.25">
      <c r="A3" s="111" t="s">
        <v>7</v>
      </c>
      <c r="B3" s="110" t="s">
        <v>1189</v>
      </c>
    </row>
    <row r="4" spans="1:2" ht="25.5" x14ac:dyDescent="0.25">
      <c r="A4" s="111" t="s">
        <v>8</v>
      </c>
      <c r="B4" s="110" t="s">
        <v>1188</v>
      </c>
    </row>
    <row r="5" spans="1:2" x14ac:dyDescent="0.25">
      <c r="A5" s="111" t="s">
        <v>2</v>
      </c>
      <c r="B5" s="110" t="s">
        <v>1187</v>
      </c>
    </row>
    <row r="6" spans="1:2" x14ac:dyDescent="0.25">
      <c r="A6" s="111" t="s">
        <v>9</v>
      </c>
      <c r="B6" s="110" t="s">
        <v>1186</v>
      </c>
    </row>
    <row r="7" spans="1:2" x14ac:dyDescent="0.25">
      <c r="A7" s="111" t="s">
        <v>10</v>
      </c>
      <c r="B7" s="110" t="s">
        <v>1185</v>
      </c>
    </row>
    <row r="8" spans="1:2" x14ac:dyDescent="0.25">
      <c r="A8" s="109"/>
    </row>
    <row r="9" spans="1:2" x14ac:dyDescent="0.25">
      <c r="A9" s="108" t="s">
        <v>1184</v>
      </c>
      <c r="B9" s="107" t="s">
        <v>1165</v>
      </c>
    </row>
    <row r="10" spans="1:2" ht="24.75" x14ac:dyDescent="0.25">
      <c r="A10" s="106" t="s">
        <v>11</v>
      </c>
      <c r="B10" s="98" t="s">
        <v>1183</v>
      </c>
    </row>
    <row r="11" spans="1:2" ht="42" customHeight="1" x14ac:dyDescent="0.25">
      <c r="A11" s="105" t="s">
        <v>12</v>
      </c>
      <c r="B11" s="98" t="s">
        <v>1182</v>
      </c>
    </row>
    <row r="12" spans="1:2" ht="60.75" x14ac:dyDescent="0.25">
      <c r="A12" s="104" t="s">
        <v>13</v>
      </c>
      <c r="B12" s="98" t="s">
        <v>1181</v>
      </c>
    </row>
    <row r="13" spans="1:2" ht="48.75" x14ac:dyDescent="0.25">
      <c r="A13" s="103" t="s">
        <v>14</v>
      </c>
      <c r="B13" s="98" t="s">
        <v>1180</v>
      </c>
    </row>
    <row r="14" spans="1:2" x14ac:dyDescent="0.25">
      <c r="A14" s="102" t="s">
        <v>15</v>
      </c>
      <c r="B14" s="98" t="s">
        <v>1179</v>
      </c>
    </row>
    <row r="15" spans="1:2" x14ac:dyDescent="0.25">
      <c r="A15" s="102" t="s">
        <v>1178</v>
      </c>
      <c r="B15" s="98" t="s">
        <v>1177</v>
      </c>
    </row>
    <row r="16" spans="1:2" x14ac:dyDescent="0.25">
      <c r="A16" s="99" t="s">
        <v>17</v>
      </c>
      <c r="B16" s="98" t="s">
        <v>1176</v>
      </c>
    </row>
    <row r="17" spans="1:2" x14ac:dyDescent="0.25">
      <c r="A17" s="101" t="s">
        <v>18</v>
      </c>
      <c r="B17" s="98" t="s">
        <v>1175</v>
      </c>
    </row>
    <row r="18" spans="1:2" x14ac:dyDescent="0.25">
      <c r="A18" s="100" t="s">
        <v>19</v>
      </c>
      <c r="B18" s="98" t="s">
        <v>1174</v>
      </c>
    </row>
    <row r="19" spans="1:2" x14ac:dyDescent="0.25">
      <c r="A19" s="99" t="s">
        <v>20</v>
      </c>
      <c r="B19" s="98" t="s">
        <v>1173</v>
      </c>
    </row>
    <row r="20" spans="1:2" x14ac:dyDescent="0.25">
      <c r="A20" s="99" t="s">
        <v>21</v>
      </c>
      <c r="B20" s="98" t="s">
        <v>1172</v>
      </c>
    </row>
    <row r="21" spans="1:2" ht="20.25" customHeight="1" x14ac:dyDescent="0.25">
      <c r="A21" s="99" t="s">
        <v>22</v>
      </c>
      <c r="B21" s="98" t="s">
        <v>1171</v>
      </c>
    </row>
    <row r="22" spans="1:2" x14ac:dyDescent="0.25">
      <c r="A22" s="97"/>
    </row>
    <row r="23" spans="1:2" x14ac:dyDescent="0.25">
      <c r="A23" s="96" t="s">
        <v>1170</v>
      </c>
      <c r="B23" s="95" t="s">
        <v>1165</v>
      </c>
    </row>
    <row r="24" spans="1:2" ht="36.75" x14ac:dyDescent="0.25">
      <c r="A24" s="94" t="s">
        <v>48</v>
      </c>
      <c r="B24" s="93" t="s">
        <v>1169</v>
      </c>
    </row>
    <row r="25" spans="1:2" x14ac:dyDescent="0.25">
      <c r="A25" s="94" t="s">
        <v>24</v>
      </c>
      <c r="B25" s="93" t="s">
        <v>1168</v>
      </c>
    </row>
    <row r="26" spans="1:2" x14ac:dyDescent="0.25">
      <c r="A26" s="94" t="s">
        <v>25</v>
      </c>
      <c r="B26" s="93" t="s">
        <v>1167</v>
      </c>
    </row>
    <row r="27" spans="1:2" x14ac:dyDescent="0.25">
      <c r="A27" s="92"/>
      <c r="B27" s="91"/>
    </row>
    <row r="28" spans="1:2" x14ac:dyDescent="0.25">
      <c r="A28" s="90" t="s">
        <v>1166</v>
      </c>
      <c r="B28" s="89" t="s">
        <v>1165</v>
      </c>
    </row>
    <row r="29" spans="1:2" ht="24.75" x14ac:dyDescent="0.25">
      <c r="A29" s="88" t="s">
        <v>26</v>
      </c>
      <c r="B29" s="87" t="s">
        <v>1164</v>
      </c>
    </row>
    <row r="30" spans="1:2" ht="24.75" x14ac:dyDescent="0.25">
      <c r="A30" s="88" t="s">
        <v>27</v>
      </c>
      <c r="B30" s="87" t="s">
        <v>1163</v>
      </c>
    </row>
    <row r="31" spans="1:2" x14ac:dyDescent="0.25">
      <c r="A31" s="85" t="s">
        <v>28</v>
      </c>
      <c r="B31" s="85" t="s">
        <v>1162</v>
      </c>
    </row>
    <row r="32" spans="1:2" x14ac:dyDescent="0.25">
      <c r="A32" s="85" t="s">
        <v>29</v>
      </c>
      <c r="B32" s="85" t="s">
        <v>1161</v>
      </c>
    </row>
    <row r="33" spans="1:2" x14ac:dyDescent="0.25">
      <c r="A33" s="85" t="s">
        <v>30</v>
      </c>
      <c r="B33" s="85" t="s">
        <v>1160</v>
      </c>
    </row>
    <row r="34" spans="1:2" x14ac:dyDescent="0.25">
      <c r="A34" s="85" t="s">
        <v>31</v>
      </c>
      <c r="B34" s="85" t="s">
        <v>1159</v>
      </c>
    </row>
    <row r="35" spans="1:2" x14ac:dyDescent="0.25">
      <c r="A35" s="86" t="s">
        <v>32</v>
      </c>
      <c r="B35" s="86" t="s">
        <v>1158</v>
      </c>
    </row>
    <row r="36" spans="1:2" x14ac:dyDescent="0.25">
      <c r="A36" s="86" t="s">
        <v>33</v>
      </c>
      <c r="B36" s="86" t="s">
        <v>1157</v>
      </c>
    </row>
    <row r="37" spans="1:2" x14ac:dyDescent="0.25">
      <c r="A37" s="85" t="s">
        <v>34</v>
      </c>
      <c r="B37" s="85" t="s">
        <v>1156</v>
      </c>
    </row>
    <row r="38" spans="1:2" x14ac:dyDescent="0.25">
      <c r="A38" s="85" t="s">
        <v>35</v>
      </c>
      <c r="B38" s="85" t="s">
        <v>1155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6"/>
  <sheetViews>
    <sheetView workbookViewId="0">
      <selection activeCell="K218" sqref="K218"/>
    </sheetView>
  </sheetViews>
  <sheetFormatPr defaultRowHeight="15" x14ac:dyDescent="0.25"/>
  <cols>
    <col min="1" max="1" width="9.140625" style="41"/>
    <col min="2" max="2" width="28.5703125" style="42" customWidth="1"/>
    <col min="3" max="3" width="18.85546875" style="42" customWidth="1"/>
    <col min="4" max="4" width="14.85546875" style="42" customWidth="1"/>
    <col min="5" max="5" width="6.28515625" style="41" customWidth="1"/>
    <col min="6" max="6" width="14.140625" style="44" customWidth="1"/>
    <col min="7" max="7" width="12.5703125" style="44" customWidth="1"/>
    <col min="8" max="8" width="12.42578125" style="45" customWidth="1"/>
    <col min="9" max="9" width="12.5703125" style="44" customWidth="1"/>
    <col min="10" max="10" width="11.85546875" style="43" customWidth="1"/>
    <col min="11" max="11" width="24.140625" style="42" customWidth="1"/>
    <col min="12" max="12" width="16.5703125" style="41" customWidth="1"/>
  </cols>
  <sheetData>
    <row r="1" spans="1:12" x14ac:dyDescent="0.25">
      <c r="A1" s="77" t="s">
        <v>892</v>
      </c>
    </row>
    <row r="2" spans="1:12" x14ac:dyDescent="0.25">
      <c r="A2" s="44" t="s">
        <v>891</v>
      </c>
      <c r="G2" s="49" t="s">
        <v>890</v>
      </c>
      <c r="H2" s="48"/>
      <c r="I2" s="49"/>
      <c r="K2" s="41" t="s">
        <v>889</v>
      </c>
    </row>
    <row r="3" spans="1:12" ht="32.25" customHeight="1" x14ac:dyDescent="0.25">
      <c r="A3" s="74" t="s">
        <v>7</v>
      </c>
      <c r="B3" s="74" t="s">
        <v>8</v>
      </c>
      <c r="C3" s="74" t="s">
        <v>2</v>
      </c>
      <c r="D3" s="74" t="s">
        <v>9</v>
      </c>
      <c r="E3" s="74" t="s">
        <v>888</v>
      </c>
      <c r="F3" s="74" t="s">
        <v>887</v>
      </c>
      <c r="G3" s="76" t="s">
        <v>886</v>
      </c>
      <c r="H3" s="75" t="s">
        <v>885</v>
      </c>
      <c r="I3" s="74" t="s">
        <v>884</v>
      </c>
      <c r="J3" s="74" t="s">
        <v>883</v>
      </c>
      <c r="K3" s="74" t="s">
        <v>882</v>
      </c>
      <c r="L3" s="74" t="s">
        <v>881</v>
      </c>
    </row>
    <row r="4" spans="1:12" ht="18.75" customHeight="1" x14ac:dyDescent="0.25">
      <c r="A4" s="59">
        <v>540001</v>
      </c>
      <c r="B4" s="60" t="s">
        <v>880</v>
      </c>
      <c r="C4" s="60" t="s">
        <v>876</v>
      </c>
      <c r="D4" s="60" t="s">
        <v>52</v>
      </c>
      <c r="E4" s="59">
        <v>7</v>
      </c>
      <c r="F4" s="64">
        <v>27348</v>
      </c>
      <c r="G4" s="63">
        <v>31959</v>
      </c>
      <c r="H4" s="63">
        <v>40666</v>
      </c>
      <c r="I4" s="62" t="str">
        <f>"07/01/1987"</f>
        <v>07/01/1987</v>
      </c>
      <c r="J4" s="61">
        <v>2</v>
      </c>
      <c r="K4" s="60"/>
      <c r="L4" s="59"/>
    </row>
    <row r="5" spans="1:12" x14ac:dyDescent="0.25">
      <c r="A5" s="53">
        <v>540002</v>
      </c>
      <c r="B5" s="54" t="s">
        <v>879</v>
      </c>
      <c r="C5" s="54" t="s">
        <v>876</v>
      </c>
      <c r="D5" s="54" t="s">
        <v>55</v>
      </c>
      <c r="E5" s="53">
        <v>7</v>
      </c>
      <c r="F5" s="56" t="str">
        <f>"05/31/74"</f>
        <v>05/31/74</v>
      </c>
      <c r="G5" s="57">
        <v>29068</v>
      </c>
      <c r="H5" s="57">
        <v>40666</v>
      </c>
      <c r="I5" s="56" t="str">
        <f>"08/01/1979"</f>
        <v>08/01/1979</v>
      </c>
      <c r="J5" s="55">
        <v>2</v>
      </c>
      <c r="K5" s="54"/>
      <c r="L5" s="53"/>
    </row>
    <row r="6" spans="1:12" x14ac:dyDescent="0.25">
      <c r="A6" s="53">
        <v>540003</v>
      </c>
      <c r="B6" s="54" t="s">
        <v>878</v>
      </c>
      <c r="C6" s="54" t="s">
        <v>876</v>
      </c>
      <c r="D6" s="54" t="s">
        <v>55</v>
      </c>
      <c r="E6" s="53">
        <v>7</v>
      </c>
      <c r="F6" s="56" t="str">
        <f>"06/28/74"</f>
        <v>06/28/74</v>
      </c>
      <c r="G6" s="57">
        <v>31884</v>
      </c>
      <c r="H6" s="57">
        <v>40666</v>
      </c>
      <c r="I6" s="56" t="str">
        <f>"04/17/1987"</f>
        <v>04/17/1987</v>
      </c>
      <c r="J6" s="55">
        <v>2</v>
      </c>
      <c r="K6" s="54"/>
      <c r="L6" s="53"/>
    </row>
    <row r="7" spans="1:12" x14ac:dyDescent="0.25">
      <c r="A7" s="53">
        <v>540004</v>
      </c>
      <c r="B7" s="54" t="s">
        <v>877</v>
      </c>
      <c r="C7" s="54" t="s">
        <v>876</v>
      </c>
      <c r="D7" s="54" t="s">
        <v>55</v>
      </c>
      <c r="E7" s="53">
        <v>7</v>
      </c>
      <c r="F7" s="56" t="str">
        <f>"02/01/74"</f>
        <v>02/01/74</v>
      </c>
      <c r="G7" s="57">
        <v>31659</v>
      </c>
      <c r="H7" s="57">
        <v>40666</v>
      </c>
      <c r="I7" s="56" t="str">
        <f>"09/04/1986"</f>
        <v>09/04/1986</v>
      </c>
      <c r="J7" s="55">
        <v>2</v>
      </c>
      <c r="K7" s="54"/>
      <c r="L7" s="53"/>
    </row>
    <row r="8" spans="1:12" x14ac:dyDescent="0.25">
      <c r="A8" s="59">
        <v>540282</v>
      </c>
      <c r="B8" s="60" t="s">
        <v>875</v>
      </c>
      <c r="C8" s="60" t="s">
        <v>873</v>
      </c>
      <c r="D8" s="60" t="s">
        <v>52</v>
      </c>
      <c r="E8" s="59">
        <v>9</v>
      </c>
      <c r="F8" s="64">
        <v>28475</v>
      </c>
      <c r="G8" s="63">
        <v>32359</v>
      </c>
      <c r="H8" s="63">
        <v>40001</v>
      </c>
      <c r="I8" s="62" t="str">
        <f>"08/04/1988"</f>
        <v>08/04/1988</v>
      </c>
      <c r="J8" s="61">
        <v>2</v>
      </c>
      <c r="K8" s="60" t="s">
        <v>537</v>
      </c>
      <c r="L8" s="59" t="s">
        <v>560</v>
      </c>
    </row>
    <row r="9" spans="1:12" x14ac:dyDescent="0.25">
      <c r="A9" s="53">
        <v>540006</v>
      </c>
      <c r="B9" s="54" t="s">
        <v>874</v>
      </c>
      <c r="C9" s="54" t="s">
        <v>873</v>
      </c>
      <c r="D9" s="54" t="s">
        <v>55</v>
      </c>
      <c r="E9" s="53">
        <v>9</v>
      </c>
      <c r="F9" s="56" t="str">
        <f>"06/07/74"</f>
        <v>06/07/74</v>
      </c>
      <c r="G9" s="57">
        <v>29207</v>
      </c>
      <c r="H9" s="57">
        <v>40001</v>
      </c>
      <c r="I9" s="58">
        <v>29207</v>
      </c>
      <c r="J9" s="55">
        <v>2</v>
      </c>
      <c r="K9" s="54" t="s">
        <v>537</v>
      </c>
      <c r="L9" s="53" t="s">
        <v>560</v>
      </c>
    </row>
    <row r="10" spans="1:12" x14ac:dyDescent="0.25">
      <c r="A10" s="59">
        <v>540007</v>
      </c>
      <c r="B10" s="60" t="s">
        <v>872</v>
      </c>
      <c r="C10" s="60" t="s">
        <v>867</v>
      </c>
      <c r="D10" s="60" t="s">
        <v>52</v>
      </c>
      <c r="E10" s="59">
        <v>3</v>
      </c>
      <c r="F10" s="62" t="str">
        <f>"01/03/75"</f>
        <v>01/03/75</v>
      </c>
      <c r="G10" s="63">
        <v>33344</v>
      </c>
      <c r="H10" s="63">
        <v>41410</v>
      </c>
      <c r="I10" s="62" t="str">
        <f>"04/16/1991"</f>
        <v>04/16/1991</v>
      </c>
      <c r="J10" s="61">
        <v>0</v>
      </c>
      <c r="K10" s="60"/>
      <c r="L10" s="59"/>
    </row>
    <row r="11" spans="1:12" x14ac:dyDescent="0.25">
      <c r="A11" s="53">
        <v>540230</v>
      </c>
      <c r="B11" s="54" t="s">
        <v>871</v>
      </c>
      <c r="C11" s="54" t="s">
        <v>867</v>
      </c>
      <c r="D11" s="54" t="s">
        <v>55</v>
      </c>
      <c r="E11" s="53">
        <v>3</v>
      </c>
      <c r="F11" s="58">
        <v>27348</v>
      </c>
      <c r="G11" s="57">
        <v>33344</v>
      </c>
      <c r="H11" s="57">
        <v>41410</v>
      </c>
      <c r="I11" s="56" t="str">
        <f>"04/16/1991"</f>
        <v>04/16/1991</v>
      </c>
      <c r="J11" s="55">
        <v>0</v>
      </c>
      <c r="K11" s="54"/>
      <c r="L11" s="53"/>
    </row>
    <row r="12" spans="1:12" x14ac:dyDescent="0.25">
      <c r="A12" s="53">
        <v>540008</v>
      </c>
      <c r="B12" s="54" t="s">
        <v>870</v>
      </c>
      <c r="C12" s="54" t="s">
        <v>867</v>
      </c>
      <c r="D12" s="54" t="s">
        <v>55</v>
      </c>
      <c r="E12" s="53">
        <v>3</v>
      </c>
      <c r="F12" s="56" t="str">
        <f>"06/14/74"</f>
        <v>06/14/74</v>
      </c>
      <c r="G12" s="57">
        <v>33344</v>
      </c>
      <c r="H12" s="57">
        <v>41410</v>
      </c>
      <c r="I12" s="56" t="str">
        <f>"04/16/1991"</f>
        <v>04/16/1991</v>
      </c>
      <c r="J12" s="55">
        <v>0</v>
      </c>
      <c r="K12" s="54"/>
      <c r="L12" s="53"/>
    </row>
    <row r="13" spans="1:12" x14ac:dyDescent="0.25">
      <c r="A13" s="53">
        <v>540238</v>
      </c>
      <c r="B13" s="54" t="s">
        <v>869</v>
      </c>
      <c r="C13" s="54" t="s">
        <v>867</v>
      </c>
      <c r="D13" s="54" t="s">
        <v>55</v>
      </c>
      <c r="E13" s="53">
        <v>3</v>
      </c>
      <c r="F13" s="58">
        <v>27348</v>
      </c>
      <c r="G13" s="57">
        <v>33344</v>
      </c>
      <c r="H13" s="57">
        <v>41410</v>
      </c>
      <c r="I13" s="56" t="str">
        <f>"04/16/1991"</f>
        <v>04/16/1991</v>
      </c>
      <c r="J13" s="55">
        <v>0</v>
      </c>
      <c r="K13" s="54"/>
      <c r="L13" s="53"/>
    </row>
    <row r="14" spans="1:12" x14ac:dyDescent="0.25">
      <c r="A14" s="53">
        <v>540229</v>
      </c>
      <c r="B14" s="54" t="s">
        <v>868</v>
      </c>
      <c r="C14" s="54" t="s">
        <v>867</v>
      </c>
      <c r="D14" s="54" t="s">
        <v>55</v>
      </c>
      <c r="E14" s="53">
        <v>3</v>
      </c>
      <c r="F14" s="58">
        <v>27348</v>
      </c>
      <c r="G14" s="57">
        <v>33344</v>
      </c>
      <c r="H14" s="57">
        <v>41410</v>
      </c>
      <c r="I14" s="56" t="str">
        <f>"04/14/1991"</f>
        <v>04/14/1991</v>
      </c>
      <c r="J14" s="55">
        <v>0</v>
      </c>
      <c r="K14" s="54"/>
      <c r="L14" s="53"/>
    </row>
    <row r="15" spans="1:12" x14ac:dyDescent="0.25">
      <c r="A15" s="59">
        <v>540009</v>
      </c>
      <c r="B15" s="60" t="s">
        <v>866</v>
      </c>
      <c r="C15" s="60" t="s">
        <v>861</v>
      </c>
      <c r="D15" s="60" t="s">
        <v>52</v>
      </c>
      <c r="E15" s="59">
        <v>7</v>
      </c>
      <c r="F15" s="62" t="str">
        <f>"01/24/75"</f>
        <v>01/24/75</v>
      </c>
      <c r="G15" s="63">
        <v>40287</v>
      </c>
      <c r="H15" s="63">
        <v>40287</v>
      </c>
      <c r="I15" s="62" t="str">
        <f>"03/18/1991"</f>
        <v>03/18/1991</v>
      </c>
      <c r="J15" s="61">
        <v>2</v>
      </c>
      <c r="K15" s="60"/>
      <c r="L15" s="59"/>
    </row>
    <row r="16" spans="1:12" x14ac:dyDescent="0.25">
      <c r="A16" s="53">
        <v>540010</v>
      </c>
      <c r="B16" s="54" t="s">
        <v>865</v>
      </c>
      <c r="C16" s="54" t="s">
        <v>861</v>
      </c>
      <c r="D16" s="54" t="s">
        <v>55</v>
      </c>
      <c r="E16" s="53">
        <v>7</v>
      </c>
      <c r="F16" s="56" t="str">
        <f>"02/01/74"</f>
        <v>02/01/74</v>
      </c>
      <c r="G16" s="57">
        <v>40287</v>
      </c>
      <c r="H16" s="57">
        <v>40287</v>
      </c>
      <c r="I16" s="56" t="str">
        <f>"09/10/1984"</f>
        <v>09/10/1984</v>
      </c>
      <c r="J16" s="55">
        <v>2</v>
      </c>
      <c r="K16" s="54"/>
      <c r="L16" s="53"/>
    </row>
    <row r="17" spans="1:12" x14ac:dyDescent="0.25">
      <c r="A17" s="53">
        <v>540235</v>
      </c>
      <c r="B17" s="54" t="s">
        <v>864</v>
      </c>
      <c r="C17" s="54" t="s">
        <v>861</v>
      </c>
      <c r="D17" s="54" t="s">
        <v>55</v>
      </c>
      <c r="E17" s="53">
        <v>7</v>
      </c>
      <c r="F17" s="56" t="str">
        <f>"02/18/77"</f>
        <v>02/18/77</v>
      </c>
      <c r="G17" s="57">
        <v>40287</v>
      </c>
      <c r="H17" s="57">
        <v>40287</v>
      </c>
      <c r="I17" s="56" t="str">
        <f>"09/29/1978"</f>
        <v>09/29/1978</v>
      </c>
      <c r="J17" s="55">
        <v>2</v>
      </c>
      <c r="K17" s="54"/>
      <c r="L17" s="53"/>
    </row>
    <row r="18" spans="1:12" x14ac:dyDescent="0.25">
      <c r="A18" s="53">
        <v>540237</v>
      </c>
      <c r="B18" s="54" t="s">
        <v>863</v>
      </c>
      <c r="C18" s="54" t="s">
        <v>861</v>
      </c>
      <c r="D18" s="54" t="s">
        <v>55</v>
      </c>
      <c r="E18" s="53">
        <v>7</v>
      </c>
      <c r="F18" s="56" t="str">
        <f>"01/10/75"</f>
        <v>01/10/75</v>
      </c>
      <c r="G18" s="57">
        <v>40287</v>
      </c>
      <c r="H18" s="57">
        <v>40287</v>
      </c>
      <c r="I18" s="56" t="str">
        <f>"09/10/1984"</f>
        <v>09/10/1984</v>
      </c>
      <c r="J18" s="55">
        <v>2</v>
      </c>
      <c r="K18" s="54"/>
      <c r="L18" s="53"/>
    </row>
    <row r="19" spans="1:12" x14ac:dyDescent="0.25">
      <c r="A19" s="53">
        <v>540236</v>
      </c>
      <c r="B19" s="54" t="s">
        <v>862</v>
      </c>
      <c r="C19" s="54" t="s">
        <v>861</v>
      </c>
      <c r="D19" s="54" t="s">
        <v>55</v>
      </c>
      <c r="E19" s="53">
        <v>7</v>
      </c>
      <c r="F19" s="56" t="str">
        <f>"01/07/75"</f>
        <v>01/07/75</v>
      </c>
      <c r="G19" s="57">
        <v>40287</v>
      </c>
      <c r="H19" s="57">
        <v>40287</v>
      </c>
      <c r="I19" s="56" t="str">
        <f>"09/10/1984"</f>
        <v>09/10/1984</v>
      </c>
      <c r="J19" s="55">
        <v>2</v>
      </c>
      <c r="K19" s="54"/>
      <c r="L19" s="53"/>
    </row>
    <row r="20" spans="1:12" x14ac:dyDescent="0.25">
      <c r="A20" s="59">
        <v>540011</v>
      </c>
      <c r="B20" s="60" t="s">
        <v>860</v>
      </c>
      <c r="C20" s="60" t="s">
        <v>854</v>
      </c>
      <c r="D20" s="60" t="s">
        <v>52</v>
      </c>
      <c r="E20" s="59">
        <v>11</v>
      </c>
      <c r="F20" s="64">
        <v>27355</v>
      </c>
      <c r="G20" s="63">
        <v>30665</v>
      </c>
      <c r="H20" s="63">
        <v>40287</v>
      </c>
      <c r="I20" s="64">
        <v>30665</v>
      </c>
      <c r="J20" s="61">
        <v>2</v>
      </c>
      <c r="K20" s="60"/>
      <c r="L20" s="59"/>
    </row>
    <row r="21" spans="1:12" x14ac:dyDescent="0.25">
      <c r="A21" s="53">
        <v>540093</v>
      </c>
      <c r="B21" s="54" t="s">
        <v>859</v>
      </c>
      <c r="C21" s="54" t="s">
        <v>854</v>
      </c>
      <c r="D21" s="54" t="s">
        <v>55</v>
      </c>
      <c r="E21" s="53">
        <v>11</v>
      </c>
      <c r="F21" s="56"/>
      <c r="G21" s="57">
        <v>40287</v>
      </c>
      <c r="H21" s="57">
        <v>40287</v>
      </c>
      <c r="I21" s="56" t="str">
        <f>"04/26/1911"</f>
        <v>04/26/1911</v>
      </c>
      <c r="J21" s="55">
        <v>2</v>
      </c>
      <c r="K21" s="54"/>
      <c r="L21" s="53"/>
    </row>
    <row r="22" spans="1:12" x14ac:dyDescent="0.25">
      <c r="A22" s="53">
        <v>540012</v>
      </c>
      <c r="B22" s="54" t="s">
        <v>858</v>
      </c>
      <c r="C22" s="54" t="s">
        <v>854</v>
      </c>
      <c r="D22" s="54" t="s">
        <v>55</v>
      </c>
      <c r="E22" s="53">
        <v>11</v>
      </c>
      <c r="F22" s="56" t="str">
        <f>"02/08/74"</f>
        <v>02/08/74</v>
      </c>
      <c r="G22" s="57">
        <v>29126</v>
      </c>
      <c r="H22" s="57">
        <v>40287</v>
      </c>
      <c r="I22" s="56" t="str">
        <f>"09/28/1979"</f>
        <v>09/28/1979</v>
      </c>
      <c r="J22" s="55">
        <v>2</v>
      </c>
      <c r="K22" s="54"/>
      <c r="L22" s="53"/>
    </row>
    <row r="23" spans="1:12" x14ac:dyDescent="0.25">
      <c r="A23" s="53">
        <v>540013</v>
      </c>
      <c r="B23" s="54" t="s">
        <v>857</v>
      </c>
      <c r="C23" s="54" t="s">
        <v>854</v>
      </c>
      <c r="D23" s="54" t="s">
        <v>55</v>
      </c>
      <c r="E23" s="53">
        <v>11</v>
      </c>
      <c r="F23" s="56" t="str">
        <f>"05/24/74"</f>
        <v>05/24/74</v>
      </c>
      <c r="G23" s="57">
        <v>30224</v>
      </c>
      <c r="H23" s="57">
        <v>40287</v>
      </c>
      <c r="I23" s="56" t="str">
        <f>"09/30/1982"</f>
        <v>09/30/1982</v>
      </c>
      <c r="J23" s="55">
        <v>2</v>
      </c>
      <c r="K23" s="54"/>
      <c r="L23" s="53"/>
    </row>
    <row r="24" spans="1:12" x14ac:dyDescent="0.25">
      <c r="A24" s="53">
        <v>540014</v>
      </c>
      <c r="B24" s="54" t="s">
        <v>856</v>
      </c>
      <c r="C24" s="54" t="s">
        <v>854</v>
      </c>
      <c r="D24" s="54" t="s">
        <v>55</v>
      </c>
      <c r="E24" s="53">
        <v>11</v>
      </c>
      <c r="F24" s="56" t="str">
        <f>"01/25/74"</f>
        <v>01/25/74</v>
      </c>
      <c r="G24" s="57">
        <v>29126</v>
      </c>
      <c r="H24" s="57">
        <v>40287</v>
      </c>
      <c r="I24" s="56" t="str">
        <f>"09/28/1979"</f>
        <v>09/28/1979</v>
      </c>
      <c r="J24" s="55">
        <v>2</v>
      </c>
      <c r="K24" s="54"/>
      <c r="L24" s="53"/>
    </row>
    <row r="25" spans="1:12" x14ac:dyDescent="0.25">
      <c r="A25" s="53">
        <v>540015</v>
      </c>
      <c r="B25" s="54" t="s">
        <v>855</v>
      </c>
      <c r="C25" s="54" t="s">
        <v>854</v>
      </c>
      <c r="D25" s="54" t="s">
        <v>55</v>
      </c>
      <c r="E25" s="53">
        <v>11</v>
      </c>
      <c r="F25" s="56" t="str">
        <f>"05/17/74"</f>
        <v>05/17/74</v>
      </c>
      <c r="G25" s="57">
        <v>30272</v>
      </c>
      <c r="H25" s="57">
        <v>40287</v>
      </c>
      <c r="I25" s="58">
        <v>30272</v>
      </c>
      <c r="J25" s="55">
        <v>2</v>
      </c>
      <c r="K25" s="54"/>
      <c r="L25" s="53"/>
    </row>
    <row r="26" spans="1:12" x14ac:dyDescent="0.25">
      <c r="A26" s="59">
        <v>540016</v>
      </c>
      <c r="B26" s="60" t="s">
        <v>853</v>
      </c>
      <c r="C26" s="60" t="s">
        <v>850</v>
      </c>
      <c r="D26" s="60" t="s">
        <v>52</v>
      </c>
      <c r="E26" s="59">
        <v>2</v>
      </c>
      <c r="F26" s="62" t="str">
        <f>"04/25/75"</f>
        <v>04/25/75</v>
      </c>
      <c r="G26" s="63">
        <v>32050</v>
      </c>
      <c r="H26" s="63">
        <v>41689</v>
      </c>
      <c r="I26" s="62" t="str">
        <f>"09/30/1987"</f>
        <v>09/30/1987</v>
      </c>
      <c r="J26" s="61">
        <v>2</v>
      </c>
      <c r="K26" s="60" t="s">
        <v>537</v>
      </c>
      <c r="L26" s="59" t="s">
        <v>536</v>
      </c>
    </row>
    <row r="27" spans="1:12" x14ac:dyDescent="0.25">
      <c r="A27" s="53">
        <v>540017</v>
      </c>
      <c r="B27" s="54" t="s">
        <v>852</v>
      </c>
      <c r="C27" s="54" t="s">
        <v>850</v>
      </c>
      <c r="D27" s="54" t="s">
        <v>55</v>
      </c>
      <c r="E27" s="53">
        <v>2</v>
      </c>
      <c r="F27" s="56" t="str">
        <f>"05/31/74"</f>
        <v>05/31/74</v>
      </c>
      <c r="G27" s="57">
        <v>32297</v>
      </c>
      <c r="H27" s="57">
        <v>41689</v>
      </c>
      <c r="I27" s="56" t="str">
        <f>"06/03/1988"</f>
        <v>06/03/1988</v>
      </c>
      <c r="J27" s="55">
        <v>2</v>
      </c>
      <c r="K27" s="54" t="s">
        <v>537</v>
      </c>
      <c r="L27" s="53" t="s">
        <v>536</v>
      </c>
    </row>
    <row r="28" spans="1:12" x14ac:dyDescent="0.25">
      <c r="A28" s="53">
        <v>540019</v>
      </c>
      <c r="B28" s="54" t="s">
        <v>851</v>
      </c>
      <c r="C28" s="54" t="s">
        <v>850</v>
      </c>
      <c r="D28" s="54" t="s">
        <v>55</v>
      </c>
      <c r="E28" s="53">
        <v>2</v>
      </c>
      <c r="F28" s="56" t="str">
        <f>"05/31/74"</f>
        <v>05/31/74</v>
      </c>
      <c r="G28" s="57">
        <v>32050</v>
      </c>
      <c r="H28" s="57">
        <v>38519</v>
      </c>
      <c r="I28" s="56" t="str">
        <f>"09/30/1987"</f>
        <v>09/30/1987</v>
      </c>
      <c r="J28" s="55">
        <v>2</v>
      </c>
      <c r="K28" s="54" t="s">
        <v>537</v>
      </c>
      <c r="L28" s="53" t="s">
        <v>536</v>
      </c>
    </row>
    <row r="29" spans="1:12" x14ac:dyDescent="0.25">
      <c r="A29" s="59">
        <v>540020</v>
      </c>
      <c r="B29" s="60" t="s">
        <v>849</v>
      </c>
      <c r="C29" s="60" t="s">
        <v>847</v>
      </c>
      <c r="D29" s="60" t="s">
        <v>52</v>
      </c>
      <c r="E29" s="59">
        <v>5</v>
      </c>
      <c r="F29" s="64">
        <v>27362</v>
      </c>
      <c r="G29" s="63">
        <v>33315</v>
      </c>
      <c r="H29" s="63">
        <v>40347</v>
      </c>
      <c r="I29" s="62" t="str">
        <f t="shared" ref="I29:I34" si="0">"03/18/1991"</f>
        <v>03/18/1991</v>
      </c>
      <c r="J29" s="61">
        <v>2</v>
      </c>
      <c r="K29" s="60"/>
      <c r="L29" s="59"/>
    </row>
    <row r="30" spans="1:12" x14ac:dyDescent="0.25">
      <c r="A30" s="53">
        <v>540021</v>
      </c>
      <c r="B30" s="54" t="s">
        <v>848</v>
      </c>
      <c r="C30" s="54" t="s">
        <v>847</v>
      </c>
      <c r="D30" s="54" t="s">
        <v>55</v>
      </c>
      <c r="E30" s="53">
        <v>5</v>
      </c>
      <c r="F30" s="56" t="str">
        <f>"03/01/74"</f>
        <v>03/01/74</v>
      </c>
      <c r="G30" s="57">
        <v>33315</v>
      </c>
      <c r="H30" s="57">
        <v>40347</v>
      </c>
      <c r="I30" s="56" t="str">
        <f t="shared" si="0"/>
        <v>03/18/1991</v>
      </c>
      <c r="J30" s="55">
        <v>2</v>
      </c>
      <c r="K30" s="54"/>
      <c r="L30" s="53"/>
    </row>
    <row r="31" spans="1:12" x14ac:dyDescent="0.25">
      <c r="A31" s="59">
        <v>540022</v>
      </c>
      <c r="B31" s="60" t="s">
        <v>846</v>
      </c>
      <c r="C31" s="60" t="s">
        <v>844</v>
      </c>
      <c r="D31" s="60" t="s">
        <v>52</v>
      </c>
      <c r="E31" s="59">
        <v>3</v>
      </c>
      <c r="F31" s="62" t="str">
        <f>"01/24/75"</f>
        <v>01/24/75</v>
      </c>
      <c r="G31" s="63">
        <v>33315</v>
      </c>
      <c r="H31" s="63">
        <v>41311</v>
      </c>
      <c r="I31" s="62" t="str">
        <f t="shared" si="0"/>
        <v>03/18/1991</v>
      </c>
      <c r="J31" s="61">
        <v>0</v>
      </c>
      <c r="K31" s="60"/>
      <c r="L31" s="59"/>
    </row>
    <row r="32" spans="1:12" x14ac:dyDescent="0.25">
      <c r="A32" s="53">
        <v>540023</v>
      </c>
      <c r="B32" s="54" t="s">
        <v>845</v>
      </c>
      <c r="C32" s="54" t="s">
        <v>844</v>
      </c>
      <c r="D32" s="54" t="s">
        <v>55</v>
      </c>
      <c r="E32" s="53">
        <v>3</v>
      </c>
      <c r="F32" s="58">
        <v>27383</v>
      </c>
      <c r="G32" s="57">
        <v>33315</v>
      </c>
      <c r="H32" s="57">
        <v>41311</v>
      </c>
      <c r="I32" s="56" t="str">
        <f t="shared" si="0"/>
        <v>03/18/1991</v>
      </c>
      <c r="J32" s="55">
        <v>2</v>
      </c>
      <c r="K32" s="54"/>
      <c r="L32" s="53"/>
    </row>
    <row r="33" spans="1:12" x14ac:dyDescent="0.25">
      <c r="A33" s="59">
        <v>540024</v>
      </c>
      <c r="B33" s="60" t="s">
        <v>843</v>
      </c>
      <c r="C33" s="60" t="s">
        <v>841</v>
      </c>
      <c r="D33" s="60" t="s">
        <v>52</v>
      </c>
      <c r="E33" s="59">
        <v>6</v>
      </c>
      <c r="F33" s="64">
        <v>27341</v>
      </c>
      <c r="G33" s="63">
        <v>33315</v>
      </c>
      <c r="H33" s="63">
        <v>40820</v>
      </c>
      <c r="I33" s="62" t="str">
        <f t="shared" si="0"/>
        <v>03/18/1991</v>
      </c>
      <c r="J33" s="61">
        <v>2</v>
      </c>
      <c r="K33" s="60"/>
      <c r="L33" s="59"/>
    </row>
    <row r="34" spans="1:12" x14ac:dyDescent="0.25">
      <c r="A34" s="53">
        <v>540025</v>
      </c>
      <c r="B34" s="54" t="s">
        <v>842</v>
      </c>
      <c r="C34" s="54" t="s">
        <v>841</v>
      </c>
      <c r="D34" s="54" t="s">
        <v>55</v>
      </c>
      <c r="E34" s="53">
        <v>6</v>
      </c>
      <c r="F34" s="56" t="str">
        <f>"03/29/74"</f>
        <v>03/29/74</v>
      </c>
      <c r="G34" s="57">
        <v>33315</v>
      </c>
      <c r="H34" s="57">
        <v>40820</v>
      </c>
      <c r="I34" s="56" t="str">
        <f t="shared" si="0"/>
        <v>03/18/1991</v>
      </c>
      <c r="J34" s="55">
        <v>2</v>
      </c>
      <c r="K34" s="54"/>
      <c r="L34" s="53"/>
    </row>
    <row r="35" spans="1:12" x14ac:dyDescent="0.25">
      <c r="A35" s="59">
        <v>540026</v>
      </c>
      <c r="B35" s="60" t="s">
        <v>840</v>
      </c>
      <c r="C35" s="60" t="s">
        <v>830</v>
      </c>
      <c r="D35" s="60" t="s">
        <v>52</v>
      </c>
      <c r="E35" s="59">
        <v>4</v>
      </c>
      <c r="F35" s="62" t="str">
        <f>"04/11/75"</f>
        <v>04/11/75</v>
      </c>
      <c r="G35" s="63">
        <v>32206</v>
      </c>
      <c r="H35" s="63">
        <v>40424</v>
      </c>
      <c r="I35" s="62" t="str">
        <f>"03/04/1988"</f>
        <v>03/04/1988</v>
      </c>
      <c r="J35" s="61">
        <v>2</v>
      </c>
      <c r="K35" s="60"/>
      <c r="L35" s="59"/>
    </row>
    <row r="36" spans="1:12" x14ac:dyDescent="0.25">
      <c r="A36" s="53">
        <v>540027</v>
      </c>
      <c r="B36" s="54" t="s">
        <v>839</v>
      </c>
      <c r="C36" s="54" t="s">
        <v>830</v>
      </c>
      <c r="D36" s="54" t="s">
        <v>55</v>
      </c>
      <c r="E36" s="53">
        <v>4</v>
      </c>
      <c r="F36" s="56" t="str">
        <f>"02/14/75"</f>
        <v>02/14/75</v>
      </c>
      <c r="G36" s="57">
        <v>29889</v>
      </c>
      <c r="H36" s="57">
        <v>40424</v>
      </c>
      <c r="I36" s="58">
        <v>29889</v>
      </c>
      <c r="J36" s="55">
        <v>2</v>
      </c>
      <c r="K36" s="54"/>
      <c r="L36" s="53"/>
    </row>
    <row r="37" spans="1:12" x14ac:dyDescent="0.25">
      <c r="A37" s="53">
        <v>540293</v>
      </c>
      <c r="B37" s="54" t="s">
        <v>838</v>
      </c>
      <c r="C37" s="54" t="s">
        <v>830</v>
      </c>
      <c r="D37" s="54" t="s">
        <v>55</v>
      </c>
      <c r="E37" s="53">
        <v>4</v>
      </c>
      <c r="F37" s="56" t="str">
        <f>"04/11/75"</f>
        <v>04/11/75</v>
      </c>
      <c r="G37" s="57">
        <v>32206</v>
      </c>
      <c r="H37" s="57">
        <v>40424</v>
      </c>
      <c r="I37" s="56" t="str">
        <f>"02/09/1904"</f>
        <v>02/09/1904</v>
      </c>
      <c r="J37" s="55">
        <v>2</v>
      </c>
      <c r="K37" s="54"/>
      <c r="L37" s="53"/>
    </row>
    <row r="38" spans="1:12" x14ac:dyDescent="0.25">
      <c r="A38" s="53">
        <v>540294</v>
      </c>
      <c r="B38" s="54" t="s">
        <v>837</v>
      </c>
      <c r="C38" s="54" t="s">
        <v>830</v>
      </c>
      <c r="D38" s="54" t="s">
        <v>55</v>
      </c>
      <c r="E38" s="53">
        <v>4</v>
      </c>
      <c r="F38" s="56"/>
      <c r="G38" s="57">
        <v>33499</v>
      </c>
      <c r="H38" s="57">
        <v>40424</v>
      </c>
      <c r="I38" s="56" t="str">
        <f>"09/18/1991"</f>
        <v>09/18/1991</v>
      </c>
      <c r="J38" s="55">
        <v>2</v>
      </c>
      <c r="K38" s="54"/>
      <c r="L38" s="53"/>
    </row>
    <row r="39" spans="1:12" x14ac:dyDescent="0.25">
      <c r="A39" s="53">
        <v>540028</v>
      </c>
      <c r="B39" s="54" t="s">
        <v>836</v>
      </c>
      <c r="C39" s="54" t="s">
        <v>830</v>
      </c>
      <c r="D39" s="54" t="s">
        <v>55</v>
      </c>
      <c r="E39" s="53">
        <v>4</v>
      </c>
      <c r="F39" s="58">
        <v>27383</v>
      </c>
      <c r="G39" s="57">
        <v>33240</v>
      </c>
      <c r="H39" s="57">
        <v>40424</v>
      </c>
      <c r="I39" s="56" t="str">
        <f>"01/02/1991"</f>
        <v>01/02/1991</v>
      </c>
      <c r="J39" s="55">
        <v>2</v>
      </c>
      <c r="K39" s="54"/>
      <c r="L39" s="53"/>
    </row>
    <row r="40" spans="1:12" x14ac:dyDescent="0.25">
      <c r="A40" s="53">
        <v>540029</v>
      </c>
      <c r="B40" s="54" t="s">
        <v>835</v>
      </c>
      <c r="C40" s="54" t="s">
        <v>830</v>
      </c>
      <c r="D40" s="54" t="s">
        <v>55</v>
      </c>
      <c r="E40" s="53">
        <v>4</v>
      </c>
      <c r="F40" s="56" t="str">
        <f>"02/27/76"</f>
        <v>02/27/76</v>
      </c>
      <c r="G40" s="57">
        <v>30103</v>
      </c>
      <c r="H40" s="57">
        <v>40424</v>
      </c>
      <c r="I40" s="56" t="str">
        <f>"06/01/1982"</f>
        <v>06/01/1982</v>
      </c>
      <c r="J40" s="55">
        <v>2</v>
      </c>
      <c r="K40" s="54"/>
      <c r="L40" s="53"/>
    </row>
    <row r="41" spans="1:12" x14ac:dyDescent="0.25">
      <c r="A41" s="53">
        <v>540280</v>
      </c>
      <c r="B41" s="54" t="s">
        <v>834</v>
      </c>
      <c r="C41" s="54" t="s">
        <v>830</v>
      </c>
      <c r="D41" s="54" t="s">
        <v>55</v>
      </c>
      <c r="E41" s="53">
        <v>4</v>
      </c>
      <c r="F41" s="56" t="str">
        <f>"09/13/74"</f>
        <v>09/13/74</v>
      </c>
      <c r="G41" s="57">
        <v>29077</v>
      </c>
      <c r="H41" s="57">
        <v>40424</v>
      </c>
      <c r="I41" s="56" t="str">
        <f>"08/10/1979"</f>
        <v>08/10/1979</v>
      </c>
      <c r="J41" s="55">
        <v>2</v>
      </c>
      <c r="K41" s="54"/>
      <c r="L41" s="53"/>
    </row>
    <row r="42" spans="1:12" x14ac:dyDescent="0.25">
      <c r="A42" s="53">
        <v>540031</v>
      </c>
      <c r="B42" s="54" t="s">
        <v>833</v>
      </c>
      <c r="C42" s="54" t="s">
        <v>830</v>
      </c>
      <c r="D42" s="54" t="s">
        <v>55</v>
      </c>
      <c r="E42" s="53">
        <v>4</v>
      </c>
      <c r="F42" s="56" t="str">
        <f>"06/30/74"</f>
        <v>06/30/74</v>
      </c>
      <c r="G42" s="57">
        <v>29238</v>
      </c>
      <c r="H42" s="57">
        <v>40424</v>
      </c>
      <c r="I42" s="56" t="str">
        <f>"01/18/1980"</f>
        <v>01/18/1980</v>
      </c>
      <c r="J42" s="55">
        <v>2</v>
      </c>
      <c r="K42" s="54"/>
      <c r="L42" s="53"/>
    </row>
    <row r="43" spans="1:12" x14ac:dyDescent="0.25">
      <c r="A43" s="53">
        <v>540032</v>
      </c>
      <c r="B43" s="54" t="s">
        <v>832</v>
      </c>
      <c r="C43" s="54" t="s">
        <v>830</v>
      </c>
      <c r="D43" s="54" t="s">
        <v>55</v>
      </c>
      <c r="E43" s="53">
        <v>4</v>
      </c>
      <c r="F43" s="58">
        <v>27383</v>
      </c>
      <c r="G43" s="57">
        <v>29077</v>
      </c>
      <c r="H43" s="57">
        <v>40424</v>
      </c>
      <c r="I43" s="56" t="str">
        <f>"08/10/1979"</f>
        <v>08/10/1979</v>
      </c>
      <c r="J43" s="55">
        <v>2</v>
      </c>
      <c r="K43" s="54"/>
      <c r="L43" s="53"/>
    </row>
    <row r="44" spans="1:12" x14ac:dyDescent="0.25">
      <c r="A44" s="53">
        <v>540033</v>
      </c>
      <c r="B44" s="54" t="s">
        <v>831</v>
      </c>
      <c r="C44" s="54" t="s">
        <v>830</v>
      </c>
      <c r="D44" s="54" t="s">
        <v>55</v>
      </c>
      <c r="E44" s="53">
        <v>4</v>
      </c>
      <c r="F44" s="56" t="str">
        <f>"05/17/74"</f>
        <v>05/17/74</v>
      </c>
      <c r="G44" s="57">
        <v>30056</v>
      </c>
      <c r="H44" s="57">
        <v>40424</v>
      </c>
      <c r="I44" s="56" t="str">
        <f>"04/15/1982"</f>
        <v>04/15/1982</v>
      </c>
      <c r="J44" s="55">
        <v>2</v>
      </c>
      <c r="K44" s="54"/>
      <c r="L44" s="53"/>
    </row>
    <row r="45" spans="1:12" x14ac:dyDescent="0.25">
      <c r="A45" s="59">
        <v>540035</v>
      </c>
      <c r="B45" s="60" t="s">
        <v>829</v>
      </c>
      <c r="C45" s="60" t="s">
        <v>826</v>
      </c>
      <c r="D45" s="60" t="s">
        <v>52</v>
      </c>
      <c r="E45" s="59">
        <v>7</v>
      </c>
      <c r="F45" s="62" t="str">
        <f>"01/03/75"</f>
        <v>01/03/75</v>
      </c>
      <c r="G45" s="63">
        <v>33344</v>
      </c>
      <c r="H45" s="63">
        <v>39980</v>
      </c>
      <c r="I45" s="62" t="str">
        <f>"04/16/1991"</f>
        <v>04/16/1991</v>
      </c>
      <c r="J45" s="61">
        <v>2</v>
      </c>
      <c r="K45" s="60"/>
      <c r="L45" s="59"/>
    </row>
    <row r="46" spans="1:12" x14ac:dyDescent="0.25">
      <c r="A46" s="53">
        <v>540036</v>
      </c>
      <c r="B46" s="54" t="s">
        <v>828</v>
      </c>
      <c r="C46" s="54" t="s">
        <v>826</v>
      </c>
      <c r="D46" s="54" t="s">
        <v>55</v>
      </c>
      <c r="E46" s="53">
        <v>7</v>
      </c>
      <c r="F46" s="56" t="str">
        <f>"04/05/74"</f>
        <v>04/05/74</v>
      </c>
      <c r="G46" s="57">
        <v>33344</v>
      </c>
      <c r="H46" s="57">
        <v>39980</v>
      </c>
      <c r="I46" s="56" t="str">
        <f>"04/16/1991"</f>
        <v>04/16/1991</v>
      </c>
      <c r="J46" s="55">
        <v>2</v>
      </c>
      <c r="K46" s="54"/>
      <c r="L46" s="53"/>
    </row>
    <row r="47" spans="1:12" x14ac:dyDescent="0.25">
      <c r="A47" s="53">
        <v>540037</v>
      </c>
      <c r="B47" s="54" t="s">
        <v>827</v>
      </c>
      <c r="C47" s="54" t="s">
        <v>826</v>
      </c>
      <c r="D47" s="54" t="s">
        <v>55</v>
      </c>
      <c r="E47" s="53">
        <v>7</v>
      </c>
      <c r="F47" s="56" t="str">
        <f>"08/09/74"</f>
        <v>08/09/74</v>
      </c>
      <c r="G47" s="57">
        <v>33344</v>
      </c>
      <c r="H47" s="57">
        <v>39980</v>
      </c>
      <c r="I47" s="56" t="str">
        <f>"04/16/1991"</f>
        <v>04/16/1991</v>
      </c>
      <c r="J47" s="55">
        <v>2</v>
      </c>
      <c r="K47" s="54"/>
      <c r="L47" s="53"/>
    </row>
    <row r="48" spans="1:12" x14ac:dyDescent="0.25">
      <c r="A48" s="59">
        <v>540038</v>
      </c>
      <c r="B48" s="60" t="s">
        <v>825</v>
      </c>
      <c r="C48" s="60" t="s">
        <v>821</v>
      </c>
      <c r="D48" s="60" t="s">
        <v>52</v>
      </c>
      <c r="E48" s="59">
        <v>8</v>
      </c>
      <c r="F48" s="62" t="str">
        <f>"01/10/75"</f>
        <v>01/10/75</v>
      </c>
      <c r="G48" s="63">
        <v>31990</v>
      </c>
      <c r="H48" s="63">
        <v>43497</v>
      </c>
      <c r="I48" s="62" t="str">
        <f>"08/01/1987"</f>
        <v>08/01/1987</v>
      </c>
      <c r="J48" s="61">
        <v>2</v>
      </c>
      <c r="K48" s="60"/>
      <c r="L48" s="59"/>
    </row>
    <row r="49" spans="1:12" x14ac:dyDescent="0.25">
      <c r="A49" s="53" t="s">
        <v>824</v>
      </c>
      <c r="B49" s="54" t="s">
        <v>823</v>
      </c>
      <c r="C49" s="54" t="s">
        <v>821</v>
      </c>
      <c r="D49" s="54" t="s">
        <v>55</v>
      </c>
      <c r="E49" s="53">
        <v>8</v>
      </c>
      <c r="F49" s="58">
        <v>27355</v>
      </c>
      <c r="G49" s="57">
        <v>29077</v>
      </c>
      <c r="H49" s="57">
        <v>43497</v>
      </c>
      <c r="I49" s="56" t="str">
        <f>"08/10/1979"</f>
        <v>08/10/1979</v>
      </c>
      <c r="J49" s="55">
        <v>2</v>
      </c>
      <c r="K49" s="54"/>
      <c r="L49" s="53"/>
    </row>
    <row r="50" spans="1:12" x14ac:dyDescent="0.25">
      <c r="A50" s="53">
        <v>540039</v>
      </c>
      <c r="B50" s="54" t="s">
        <v>822</v>
      </c>
      <c r="C50" s="54" t="s">
        <v>821</v>
      </c>
      <c r="D50" s="54" t="s">
        <v>55</v>
      </c>
      <c r="E50" s="53">
        <v>8</v>
      </c>
      <c r="F50" s="56" t="str">
        <f>"05/07/74"</f>
        <v>05/07/74</v>
      </c>
      <c r="G50" s="57">
        <v>32996</v>
      </c>
      <c r="H50" s="57">
        <v>40058</v>
      </c>
      <c r="I50" s="56" t="str">
        <f>"06/18/1987"</f>
        <v>06/18/1987</v>
      </c>
      <c r="J50" s="55">
        <v>2</v>
      </c>
      <c r="K50" s="54"/>
      <c r="L50" s="53"/>
    </row>
    <row r="51" spans="1:12" x14ac:dyDescent="0.25">
      <c r="A51" s="59">
        <v>540040</v>
      </c>
      <c r="B51" s="60" t="s">
        <v>820</v>
      </c>
      <c r="C51" s="60" t="s">
        <v>812</v>
      </c>
      <c r="D51" s="60" t="s">
        <v>52</v>
      </c>
      <c r="E51" s="59">
        <v>4</v>
      </c>
      <c r="F51" s="62" t="str">
        <f>"07/18/75"</f>
        <v>07/18/75</v>
      </c>
      <c r="G51" s="63">
        <v>32157</v>
      </c>
      <c r="H51" s="63">
        <v>41198</v>
      </c>
      <c r="I51" s="62" t="str">
        <f>"01/15/1988"</f>
        <v>01/15/1988</v>
      </c>
      <c r="J51" s="61">
        <v>2</v>
      </c>
      <c r="K51" s="60" t="s">
        <v>537</v>
      </c>
      <c r="L51" s="59" t="s">
        <v>536</v>
      </c>
    </row>
    <row r="52" spans="1:12" x14ac:dyDescent="0.25">
      <c r="A52" s="53">
        <v>540041</v>
      </c>
      <c r="B52" s="54" t="s">
        <v>673</v>
      </c>
      <c r="C52" s="54" t="s">
        <v>812</v>
      </c>
      <c r="D52" s="54" t="s">
        <v>55</v>
      </c>
      <c r="E52" s="53">
        <v>4</v>
      </c>
      <c r="F52" s="56" t="str">
        <f>"06/14/74"</f>
        <v>06/14/74</v>
      </c>
      <c r="G52" s="57">
        <v>33508</v>
      </c>
      <c r="H52" s="57">
        <v>37424</v>
      </c>
      <c r="I52" s="56" t="str">
        <f>"09/27/1991"</f>
        <v>09/27/1991</v>
      </c>
      <c r="J52" s="55">
        <v>2</v>
      </c>
      <c r="K52" s="54" t="s">
        <v>537</v>
      </c>
      <c r="L52" s="53" t="s">
        <v>536</v>
      </c>
    </row>
    <row r="53" spans="1:12" x14ac:dyDescent="0.25">
      <c r="A53" s="53">
        <v>540243</v>
      </c>
      <c r="B53" s="54" t="s">
        <v>819</v>
      </c>
      <c r="C53" s="54" t="s">
        <v>812</v>
      </c>
      <c r="D53" s="54" t="s">
        <v>55</v>
      </c>
      <c r="E53" s="53">
        <v>4</v>
      </c>
      <c r="F53" s="58">
        <v>27348</v>
      </c>
      <c r="G53" s="57">
        <v>30949</v>
      </c>
      <c r="H53" s="57">
        <v>41198</v>
      </c>
      <c r="I53" s="56" t="str">
        <f>"09/24/1984"</f>
        <v>09/24/1984</v>
      </c>
      <c r="J53" s="55">
        <v>2</v>
      </c>
      <c r="K53" s="54" t="s">
        <v>537</v>
      </c>
      <c r="L53" s="53" t="s">
        <v>536</v>
      </c>
    </row>
    <row r="54" spans="1:12" x14ac:dyDescent="0.25">
      <c r="A54" s="53">
        <v>540281</v>
      </c>
      <c r="B54" s="54" t="s">
        <v>818</v>
      </c>
      <c r="C54" s="54" t="s">
        <v>812</v>
      </c>
      <c r="D54" s="54" t="s">
        <v>55</v>
      </c>
      <c r="E54" s="53">
        <v>4</v>
      </c>
      <c r="F54" s="56" t="str">
        <f>"03/25/77"</f>
        <v>03/25/77</v>
      </c>
      <c r="G54" s="57">
        <v>41198</v>
      </c>
      <c r="H54" s="57">
        <v>41198</v>
      </c>
      <c r="I54" s="56" t="str">
        <f>"09/29/1978"</f>
        <v>09/29/1978</v>
      </c>
      <c r="J54" s="55">
        <v>2</v>
      </c>
      <c r="K54" s="54" t="s">
        <v>537</v>
      </c>
      <c r="L54" s="53" t="s">
        <v>536</v>
      </c>
    </row>
    <row r="55" spans="1:12" x14ac:dyDescent="0.25">
      <c r="A55" s="53">
        <v>540244</v>
      </c>
      <c r="B55" s="54" t="s">
        <v>817</v>
      </c>
      <c r="C55" s="54" t="s">
        <v>812</v>
      </c>
      <c r="D55" s="54" t="s">
        <v>55</v>
      </c>
      <c r="E55" s="53">
        <v>4</v>
      </c>
      <c r="F55" s="58">
        <v>27348</v>
      </c>
      <c r="G55" s="57">
        <v>29644</v>
      </c>
      <c r="H55" s="57">
        <v>41198</v>
      </c>
      <c r="I55" s="56" t="str">
        <f>"02/27/1981"</f>
        <v>02/27/1981</v>
      </c>
      <c r="J55" s="55">
        <v>2</v>
      </c>
      <c r="K55" s="54" t="s">
        <v>537</v>
      </c>
      <c r="L55" s="53" t="s">
        <v>536</v>
      </c>
    </row>
    <row r="56" spans="1:12" x14ac:dyDescent="0.25">
      <c r="A56" s="53">
        <v>540228</v>
      </c>
      <c r="B56" s="54" t="s">
        <v>816</v>
      </c>
      <c r="C56" s="54" t="s">
        <v>812</v>
      </c>
      <c r="D56" s="54" t="s">
        <v>55</v>
      </c>
      <c r="E56" s="53">
        <v>4</v>
      </c>
      <c r="F56" s="56" t="str">
        <f>"02/11/77"</f>
        <v>02/11/77</v>
      </c>
      <c r="G56" s="57">
        <v>32100</v>
      </c>
      <c r="H56" s="57">
        <v>41198</v>
      </c>
      <c r="I56" s="58">
        <v>32100</v>
      </c>
      <c r="J56" s="55">
        <v>2</v>
      </c>
      <c r="K56" s="54" t="s">
        <v>537</v>
      </c>
      <c r="L56" s="53" t="s">
        <v>536</v>
      </c>
    </row>
    <row r="57" spans="1:12" x14ac:dyDescent="0.25">
      <c r="A57" s="53">
        <v>540043</v>
      </c>
      <c r="B57" s="54" t="s">
        <v>815</v>
      </c>
      <c r="C57" s="54" t="s">
        <v>812</v>
      </c>
      <c r="D57" s="54" t="s">
        <v>55</v>
      </c>
      <c r="E57" s="53">
        <v>4</v>
      </c>
      <c r="F57" s="56" t="str">
        <f>"02/14/75"</f>
        <v>02/14/75</v>
      </c>
      <c r="G57" s="57">
        <v>33010</v>
      </c>
      <c r="H57" s="57">
        <v>41198</v>
      </c>
      <c r="I57" s="56" t="str">
        <f>"05/17/1990"</f>
        <v>05/17/1990</v>
      </c>
      <c r="J57" s="55">
        <v>2</v>
      </c>
      <c r="K57" s="54" t="s">
        <v>537</v>
      </c>
      <c r="L57" s="53" t="s">
        <v>536</v>
      </c>
    </row>
    <row r="58" spans="1:12" x14ac:dyDescent="0.25">
      <c r="A58" s="53">
        <v>540044</v>
      </c>
      <c r="B58" s="54" t="s">
        <v>814</v>
      </c>
      <c r="C58" s="54" t="s">
        <v>812</v>
      </c>
      <c r="D58" s="54" t="s">
        <v>55</v>
      </c>
      <c r="E58" s="53">
        <v>4</v>
      </c>
      <c r="F58" s="56" t="str">
        <f>"06/21/74"</f>
        <v>06/21/74</v>
      </c>
      <c r="G58" s="57">
        <v>30918</v>
      </c>
      <c r="H58" s="57">
        <v>41198</v>
      </c>
      <c r="I58" s="56" t="str">
        <f>"08/24/1984"</f>
        <v>08/24/1984</v>
      </c>
      <c r="J58" s="55">
        <v>2</v>
      </c>
      <c r="K58" s="54" t="s">
        <v>537</v>
      </c>
      <c r="L58" s="53" t="s">
        <v>536</v>
      </c>
    </row>
    <row r="59" spans="1:12" x14ac:dyDescent="0.25">
      <c r="A59" s="53">
        <v>540045</v>
      </c>
      <c r="B59" s="54" t="s">
        <v>813</v>
      </c>
      <c r="C59" s="54" t="s">
        <v>812</v>
      </c>
      <c r="D59" s="54" t="s">
        <v>55</v>
      </c>
      <c r="E59" s="53">
        <v>4</v>
      </c>
      <c r="F59" s="56" t="str">
        <f>"05/31/74"</f>
        <v>05/31/74</v>
      </c>
      <c r="G59" s="57">
        <v>28703</v>
      </c>
      <c r="H59" s="57">
        <v>41198</v>
      </c>
      <c r="I59" s="56" t="str">
        <f>"08/01/1978"</f>
        <v>08/01/1978</v>
      </c>
      <c r="J59" s="55">
        <v>2</v>
      </c>
      <c r="K59" s="54" t="s">
        <v>537</v>
      </c>
      <c r="L59" s="53" t="s">
        <v>536</v>
      </c>
    </row>
    <row r="60" spans="1:12" x14ac:dyDescent="0.25">
      <c r="A60" s="59">
        <v>540226</v>
      </c>
      <c r="B60" s="60" t="s">
        <v>811</v>
      </c>
      <c r="C60" s="60" t="s">
        <v>808</v>
      </c>
      <c r="D60" s="60" t="s">
        <v>52</v>
      </c>
      <c r="E60" s="59">
        <v>8</v>
      </c>
      <c r="F60" s="62" t="str">
        <f>"01/31/75"</f>
        <v>01/31/75</v>
      </c>
      <c r="G60" s="63">
        <v>31990</v>
      </c>
      <c r="H60" s="63">
        <v>37567</v>
      </c>
      <c r="I60" s="62" t="str">
        <f>"08/01/1987"</f>
        <v>08/01/1987</v>
      </c>
      <c r="J60" s="61">
        <v>2</v>
      </c>
      <c r="K60" s="60" t="s">
        <v>537</v>
      </c>
      <c r="L60" s="59"/>
    </row>
    <row r="61" spans="1:12" x14ac:dyDescent="0.25">
      <c r="A61" s="53">
        <v>540046</v>
      </c>
      <c r="B61" s="54" t="s">
        <v>810</v>
      </c>
      <c r="C61" s="54" t="s">
        <v>808</v>
      </c>
      <c r="D61" s="54" t="s">
        <v>55</v>
      </c>
      <c r="E61" s="53">
        <v>8</v>
      </c>
      <c r="F61" s="56" t="str">
        <f>"08/16/74"</f>
        <v>08/16/74</v>
      </c>
      <c r="G61" s="57">
        <v>32234</v>
      </c>
      <c r="H61" s="57">
        <v>37567</v>
      </c>
      <c r="I61" s="56" t="str">
        <f>"04/01/1988"</f>
        <v>04/01/1988</v>
      </c>
      <c r="J61" s="55">
        <v>2</v>
      </c>
      <c r="K61" s="54" t="s">
        <v>537</v>
      </c>
      <c r="L61" s="53"/>
    </row>
    <row r="62" spans="1:12" x14ac:dyDescent="0.25">
      <c r="A62" s="53">
        <v>540276</v>
      </c>
      <c r="B62" s="54" t="s">
        <v>809</v>
      </c>
      <c r="C62" s="54" t="s">
        <v>808</v>
      </c>
      <c r="D62" s="54" t="s">
        <v>55</v>
      </c>
      <c r="E62" s="53">
        <v>8</v>
      </c>
      <c r="F62" s="56" t="str">
        <f>"05/06/77"</f>
        <v>05/06/77</v>
      </c>
      <c r="G62" s="57">
        <v>32309</v>
      </c>
      <c r="H62" s="57">
        <v>37567</v>
      </c>
      <c r="I62" s="56" t="str">
        <f>"06/15/1988"</f>
        <v>06/15/1988</v>
      </c>
      <c r="J62" s="55">
        <v>2</v>
      </c>
      <c r="K62" s="54" t="s">
        <v>537</v>
      </c>
      <c r="L62" s="53"/>
    </row>
    <row r="63" spans="1:12" x14ac:dyDescent="0.25">
      <c r="A63" s="59">
        <v>540047</v>
      </c>
      <c r="B63" s="60" t="s">
        <v>807</v>
      </c>
      <c r="C63" s="60" t="s">
        <v>804</v>
      </c>
      <c r="D63" s="60" t="s">
        <v>52</v>
      </c>
      <c r="E63" s="59">
        <v>11</v>
      </c>
      <c r="F63" s="62" t="str">
        <f>"08/02/74"</f>
        <v>08/02/74</v>
      </c>
      <c r="G63" s="63">
        <v>30848</v>
      </c>
      <c r="H63" s="63">
        <v>40287</v>
      </c>
      <c r="I63" s="62" t="str">
        <f>"06/15/1984"</f>
        <v>06/15/1984</v>
      </c>
      <c r="J63" s="61">
        <v>2</v>
      </c>
      <c r="K63" s="60"/>
      <c r="L63" s="59"/>
    </row>
    <row r="64" spans="1:12" x14ac:dyDescent="0.25">
      <c r="A64" s="53">
        <v>540048</v>
      </c>
      <c r="B64" s="54" t="s">
        <v>806</v>
      </c>
      <c r="C64" s="54" t="s">
        <v>804</v>
      </c>
      <c r="D64" s="54" t="s">
        <v>55</v>
      </c>
      <c r="E64" s="53">
        <v>11</v>
      </c>
      <c r="F64" s="56" t="str">
        <f>"06/07/74"</f>
        <v>06/07/74</v>
      </c>
      <c r="G64" s="57">
        <v>30286</v>
      </c>
      <c r="H64" s="57">
        <v>40287</v>
      </c>
      <c r="I64" s="58">
        <v>30286</v>
      </c>
      <c r="J64" s="55">
        <v>2</v>
      </c>
      <c r="K64" s="54"/>
      <c r="L64" s="53"/>
    </row>
    <row r="65" spans="1:12" x14ac:dyDescent="0.25">
      <c r="A65" s="53">
        <v>540049</v>
      </c>
      <c r="B65" s="54" t="s">
        <v>805</v>
      </c>
      <c r="C65" s="54" t="s">
        <v>804</v>
      </c>
      <c r="D65" s="54" t="s">
        <v>55</v>
      </c>
      <c r="E65" s="53">
        <v>11</v>
      </c>
      <c r="F65" s="56" t="str">
        <f>"03/29/74"</f>
        <v>03/29/74</v>
      </c>
      <c r="G65" s="57">
        <v>29356</v>
      </c>
      <c r="H65" s="57">
        <v>40287</v>
      </c>
      <c r="I65" s="56" t="str">
        <f>"05/15/1980"</f>
        <v>05/15/1980</v>
      </c>
      <c r="J65" s="55">
        <v>2</v>
      </c>
      <c r="K65" s="54"/>
      <c r="L65" s="53"/>
    </row>
    <row r="66" spans="1:12" x14ac:dyDescent="0.25">
      <c r="A66" s="59">
        <v>540051</v>
      </c>
      <c r="B66" s="60" t="s">
        <v>803</v>
      </c>
      <c r="C66" s="60" t="s">
        <v>800</v>
      </c>
      <c r="D66" s="60" t="s">
        <v>52</v>
      </c>
      <c r="E66" s="59">
        <v>8</v>
      </c>
      <c r="F66" s="62" t="str">
        <f>"04/25/75"</f>
        <v>04/25/75</v>
      </c>
      <c r="G66" s="63">
        <v>31217</v>
      </c>
      <c r="H66" s="63">
        <v>40058</v>
      </c>
      <c r="I66" s="62" t="str">
        <f>"06/19/1985"</f>
        <v>06/19/1985</v>
      </c>
      <c r="J66" s="61">
        <v>2</v>
      </c>
      <c r="K66" s="60" t="s">
        <v>537</v>
      </c>
      <c r="L66" s="59" t="s">
        <v>536</v>
      </c>
    </row>
    <row r="67" spans="1:12" x14ac:dyDescent="0.25">
      <c r="A67" s="53">
        <v>540052</v>
      </c>
      <c r="B67" s="54" t="s">
        <v>802</v>
      </c>
      <c r="C67" s="54" t="s">
        <v>800</v>
      </c>
      <c r="D67" s="54" t="s">
        <v>55</v>
      </c>
      <c r="E67" s="53">
        <v>8</v>
      </c>
      <c r="F67" s="56" t="str">
        <f>"05/31/74"</f>
        <v>05/31/74</v>
      </c>
      <c r="G67" s="57">
        <v>33222</v>
      </c>
      <c r="H67" s="57">
        <v>40058</v>
      </c>
      <c r="I67" s="56" t="str">
        <f>"07/01/1987"</f>
        <v>07/01/1987</v>
      </c>
      <c r="J67" s="55">
        <v>2</v>
      </c>
      <c r="K67" s="54" t="s">
        <v>537</v>
      </c>
      <c r="L67" s="53" t="s">
        <v>536</v>
      </c>
    </row>
    <row r="68" spans="1:12" x14ac:dyDescent="0.25">
      <c r="A68" s="53">
        <v>540245</v>
      </c>
      <c r="B68" s="54" t="s">
        <v>801</v>
      </c>
      <c r="C68" s="54" t="s">
        <v>800</v>
      </c>
      <c r="D68" s="54" t="s">
        <v>55</v>
      </c>
      <c r="E68" s="53">
        <v>8</v>
      </c>
      <c r="F68" s="58">
        <v>27348</v>
      </c>
      <c r="G68" s="57">
        <v>31990</v>
      </c>
      <c r="H68" s="57">
        <v>40058</v>
      </c>
      <c r="I68" s="56" t="str">
        <f>"08/01/1987"</f>
        <v>08/01/1987</v>
      </c>
      <c r="J68" s="55">
        <v>2</v>
      </c>
      <c r="K68" s="54" t="s">
        <v>537</v>
      </c>
      <c r="L68" s="53" t="s">
        <v>536</v>
      </c>
    </row>
    <row r="69" spans="1:12" x14ac:dyDescent="0.25">
      <c r="A69" s="59">
        <v>540053</v>
      </c>
      <c r="B69" s="60" t="s">
        <v>799</v>
      </c>
      <c r="C69" s="60" t="s">
        <v>788</v>
      </c>
      <c r="D69" s="60" t="s">
        <v>52</v>
      </c>
      <c r="E69" s="59">
        <v>6</v>
      </c>
      <c r="F69" s="62" t="str">
        <f>"07/11/75"</f>
        <v>07/11/75</v>
      </c>
      <c r="G69" s="63">
        <v>32328</v>
      </c>
      <c r="H69" s="63">
        <v>41184</v>
      </c>
      <c r="I69" s="62" t="str">
        <f>"07/04/1988"</f>
        <v>07/04/1988</v>
      </c>
      <c r="J69" s="61">
        <v>2</v>
      </c>
      <c r="K69" s="60"/>
      <c r="L69" s="59"/>
    </row>
    <row r="70" spans="1:12" x14ac:dyDescent="0.25">
      <c r="A70" s="53">
        <v>540054</v>
      </c>
      <c r="B70" s="54" t="s">
        <v>798</v>
      </c>
      <c r="C70" s="54" t="s">
        <v>788</v>
      </c>
      <c r="D70" s="54" t="s">
        <v>55</v>
      </c>
      <c r="E70" s="53">
        <v>6</v>
      </c>
      <c r="F70" s="56" t="str">
        <f>"07/26/74"</f>
        <v>07/26/74</v>
      </c>
      <c r="G70" s="57">
        <v>29467</v>
      </c>
      <c r="H70" s="57">
        <v>41184</v>
      </c>
      <c r="I70" s="56" t="str">
        <f>"09/03/1980"</f>
        <v>09/03/1980</v>
      </c>
      <c r="J70" s="55">
        <v>2</v>
      </c>
      <c r="K70" s="54"/>
      <c r="L70" s="53"/>
    </row>
    <row r="71" spans="1:12" x14ac:dyDescent="0.25">
      <c r="A71" s="53">
        <v>540055</v>
      </c>
      <c r="B71" s="54" t="s">
        <v>797</v>
      </c>
      <c r="C71" s="54" t="s">
        <v>788</v>
      </c>
      <c r="D71" s="54" t="s">
        <v>55</v>
      </c>
      <c r="E71" s="53">
        <v>6</v>
      </c>
      <c r="F71" s="56" t="str">
        <f>"07/19/74"</f>
        <v>07/19/74</v>
      </c>
      <c r="G71" s="57">
        <v>32206</v>
      </c>
      <c r="H71" s="57">
        <v>41184</v>
      </c>
      <c r="I71" s="56" t="str">
        <f>"03/04/1988"</f>
        <v>03/04/1988</v>
      </c>
      <c r="J71" s="55">
        <v>2</v>
      </c>
      <c r="K71" s="54"/>
      <c r="L71" s="53"/>
    </row>
    <row r="72" spans="1:12" x14ac:dyDescent="0.25">
      <c r="A72" s="53">
        <v>540056</v>
      </c>
      <c r="B72" s="54" t="s">
        <v>796</v>
      </c>
      <c r="C72" s="54" t="s">
        <v>788</v>
      </c>
      <c r="D72" s="54" t="s">
        <v>55</v>
      </c>
      <c r="E72" s="53">
        <v>6</v>
      </c>
      <c r="F72" s="58">
        <v>27026</v>
      </c>
      <c r="G72" s="57">
        <v>28536</v>
      </c>
      <c r="H72" s="57">
        <v>41184</v>
      </c>
      <c r="I72" s="56" t="str">
        <f>"02/15/1978"</f>
        <v>02/15/1978</v>
      </c>
      <c r="J72" s="55">
        <v>2</v>
      </c>
      <c r="K72" s="54"/>
      <c r="L72" s="53"/>
    </row>
    <row r="73" spans="1:12" x14ac:dyDescent="0.25">
      <c r="A73" s="53">
        <v>540057</v>
      </c>
      <c r="B73" s="54" t="s">
        <v>795</v>
      </c>
      <c r="C73" s="54" t="s">
        <v>788</v>
      </c>
      <c r="D73" s="54" t="s">
        <v>55</v>
      </c>
      <c r="E73" s="53">
        <v>6</v>
      </c>
      <c r="F73" s="56" t="str">
        <f>"05/31/74"</f>
        <v>05/31/74</v>
      </c>
      <c r="G73" s="57">
        <v>32206</v>
      </c>
      <c r="H73" s="57">
        <v>41184</v>
      </c>
      <c r="I73" s="56" t="str">
        <f>"03/04/1988"</f>
        <v>03/04/1988</v>
      </c>
      <c r="J73" s="55">
        <v>2</v>
      </c>
      <c r="K73" s="54"/>
      <c r="L73" s="53"/>
    </row>
    <row r="74" spans="1:12" x14ac:dyDescent="0.25">
      <c r="A74" s="53">
        <v>540058</v>
      </c>
      <c r="B74" s="54" t="s">
        <v>794</v>
      </c>
      <c r="C74" s="54" t="s">
        <v>788</v>
      </c>
      <c r="D74" s="54" t="s">
        <v>55</v>
      </c>
      <c r="E74" s="53">
        <v>6</v>
      </c>
      <c r="F74" s="56" t="str">
        <f>"03/08/74"</f>
        <v>03/08/74</v>
      </c>
      <c r="G74" s="57">
        <v>32206</v>
      </c>
      <c r="H74" s="57">
        <v>41184</v>
      </c>
      <c r="I74" s="56" t="str">
        <f>"03/04/1988"</f>
        <v>03/04/1988</v>
      </c>
      <c r="J74" s="55">
        <v>2</v>
      </c>
      <c r="K74" s="54"/>
      <c r="L74" s="53"/>
    </row>
    <row r="75" spans="1:12" x14ac:dyDescent="0.25">
      <c r="A75" s="53">
        <v>540059</v>
      </c>
      <c r="B75" s="54" t="s">
        <v>793</v>
      </c>
      <c r="C75" s="54" t="s">
        <v>788</v>
      </c>
      <c r="D75" s="54" t="s">
        <v>55</v>
      </c>
      <c r="E75" s="53">
        <v>6</v>
      </c>
      <c r="F75" s="56" t="str">
        <f>"03/15/74"</f>
        <v>03/15/74</v>
      </c>
      <c r="G75" s="57">
        <v>29481</v>
      </c>
      <c r="H75" s="57">
        <v>41184</v>
      </c>
      <c r="I75" s="56" t="str">
        <f>"09/17/1980"</f>
        <v>09/17/1980</v>
      </c>
      <c r="J75" s="55">
        <v>2</v>
      </c>
      <c r="K75" s="54"/>
      <c r="L75" s="53"/>
    </row>
    <row r="76" spans="1:12" x14ac:dyDescent="0.25">
      <c r="A76" s="53">
        <v>540242</v>
      </c>
      <c r="B76" s="54" t="s">
        <v>792</v>
      </c>
      <c r="C76" s="54" t="s">
        <v>788</v>
      </c>
      <c r="D76" s="54" t="s">
        <v>55</v>
      </c>
      <c r="E76" s="53">
        <v>6</v>
      </c>
      <c r="F76" s="58">
        <v>27348</v>
      </c>
      <c r="G76" s="57">
        <v>31385</v>
      </c>
      <c r="H76" s="57">
        <v>41184</v>
      </c>
      <c r="I76" s="58">
        <v>31385</v>
      </c>
      <c r="J76" s="55">
        <v>2</v>
      </c>
      <c r="K76" s="54"/>
      <c r="L76" s="53"/>
    </row>
    <row r="77" spans="1:12" x14ac:dyDescent="0.25">
      <c r="A77" s="53">
        <v>540060</v>
      </c>
      <c r="B77" s="54" t="s">
        <v>791</v>
      </c>
      <c r="C77" s="54" t="s">
        <v>788</v>
      </c>
      <c r="D77" s="54" t="s">
        <v>55</v>
      </c>
      <c r="E77" s="53">
        <v>6</v>
      </c>
      <c r="F77" s="56" t="str">
        <f>"04/05/74"</f>
        <v>04/05/74</v>
      </c>
      <c r="G77" s="57">
        <v>32218</v>
      </c>
      <c r="H77" s="57">
        <v>41184</v>
      </c>
      <c r="I77" s="56" t="str">
        <f>"03/16/1988"</f>
        <v>03/16/1988</v>
      </c>
      <c r="J77" s="55">
        <v>2</v>
      </c>
      <c r="K77" s="54"/>
      <c r="L77" s="53"/>
    </row>
    <row r="78" spans="1:12" x14ac:dyDescent="0.25">
      <c r="A78" s="53">
        <v>540061</v>
      </c>
      <c r="B78" s="54" t="s">
        <v>790</v>
      </c>
      <c r="C78" s="54" t="s">
        <v>788</v>
      </c>
      <c r="D78" s="54" t="s">
        <v>55</v>
      </c>
      <c r="E78" s="53">
        <v>6</v>
      </c>
      <c r="F78" s="56" t="str">
        <f>"03/01/74"</f>
        <v>03/01/74</v>
      </c>
      <c r="G78" s="57">
        <v>29103</v>
      </c>
      <c r="H78" s="57">
        <v>41184</v>
      </c>
      <c r="I78" s="56" t="str">
        <f>"09/05/1979"</f>
        <v>09/05/1979</v>
      </c>
      <c r="J78" s="55">
        <v>2</v>
      </c>
      <c r="K78" s="54"/>
      <c r="L78" s="53"/>
    </row>
    <row r="79" spans="1:12" x14ac:dyDescent="0.25">
      <c r="A79" s="53">
        <v>540062</v>
      </c>
      <c r="B79" s="54" t="s">
        <v>789</v>
      </c>
      <c r="C79" s="54" t="s">
        <v>788</v>
      </c>
      <c r="D79" s="54" t="s">
        <v>55</v>
      </c>
      <c r="E79" s="53">
        <v>6</v>
      </c>
      <c r="F79" s="56" t="str">
        <f>"08/09/74"</f>
        <v>08/09/74</v>
      </c>
      <c r="G79" s="57">
        <v>32234</v>
      </c>
      <c r="H79" s="57">
        <v>41184</v>
      </c>
      <c r="I79" s="56" t="str">
        <f>"04/01/1988"</f>
        <v>04/01/1988</v>
      </c>
      <c r="J79" s="55">
        <v>2</v>
      </c>
      <c r="K79" s="54"/>
      <c r="L79" s="53"/>
    </row>
    <row r="80" spans="1:12" x14ac:dyDescent="0.25">
      <c r="A80" s="59">
        <v>540063</v>
      </c>
      <c r="B80" s="60" t="s">
        <v>787</v>
      </c>
      <c r="C80" s="60" t="s">
        <v>784</v>
      </c>
      <c r="D80" s="60" t="s">
        <v>52</v>
      </c>
      <c r="E80" s="59">
        <v>5</v>
      </c>
      <c r="F80" s="62" t="str">
        <f>"01/17/75"</f>
        <v>01/17/75</v>
      </c>
      <c r="G80" s="63">
        <v>31168</v>
      </c>
      <c r="H80" s="63">
        <v>38035</v>
      </c>
      <c r="I80" s="62" t="str">
        <f>"05/01/1985"</f>
        <v>05/01/1985</v>
      </c>
      <c r="J80" s="61">
        <v>2</v>
      </c>
      <c r="K80" s="60"/>
      <c r="L80" s="59"/>
    </row>
    <row r="81" spans="1:12" x14ac:dyDescent="0.25">
      <c r="A81" s="53">
        <v>540241</v>
      </c>
      <c r="B81" s="54" t="s">
        <v>786</v>
      </c>
      <c r="C81" s="54" t="s">
        <v>784</v>
      </c>
      <c r="D81" s="54" t="s">
        <v>55</v>
      </c>
      <c r="E81" s="53">
        <v>5</v>
      </c>
      <c r="F81" s="58">
        <v>27348</v>
      </c>
      <c r="G81" s="57">
        <v>33315</v>
      </c>
      <c r="H81" s="57">
        <v>38035</v>
      </c>
      <c r="I81" s="56" t="str">
        <f>"03/18/1991"</f>
        <v>03/18/1991</v>
      </c>
      <c r="J81" s="55">
        <v>2</v>
      </c>
      <c r="K81" s="54"/>
      <c r="L81" s="53"/>
    </row>
    <row r="82" spans="1:12" x14ac:dyDescent="0.25">
      <c r="A82" s="53">
        <v>540064</v>
      </c>
      <c r="B82" s="54" t="s">
        <v>785</v>
      </c>
      <c r="C82" s="54" t="s">
        <v>784</v>
      </c>
      <c r="D82" s="54" t="s">
        <v>55</v>
      </c>
      <c r="E82" s="53">
        <v>5</v>
      </c>
      <c r="F82" s="56" t="str">
        <f>"05/17/74"</f>
        <v>05/17/74</v>
      </c>
      <c r="G82" s="57">
        <v>28369</v>
      </c>
      <c r="H82" s="57">
        <v>38035</v>
      </c>
      <c r="I82" s="56" t="str">
        <f>"09/01/1977"</f>
        <v>09/01/1977</v>
      </c>
      <c r="J82" s="55">
        <v>2</v>
      </c>
      <c r="K82" s="54"/>
      <c r="L82" s="53"/>
    </row>
    <row r="83" spans="1:12" x14ac:dyDescent="0.25">
      <c r="A83" s="59">
        <v>540065</v>
      </c>
      <c r="B83" s="60" t="s">
        <v>783</v>
      </c>
      <c r="C83" s="60" t="s">
        <v>777</v>
      </c>
      <c r="D83" s="60" t="s">
        <v>52</v>
      </c>
      <c r="E83" s="59">
        <v>9</v>
      </c>
      <c r="F83" s="64">
        <v>27383</v>
      </c>
      <c r="G83" s="63">
        <v>29509</v>
      </c>
      <c r="H83" s="63">
        <v>40165</v>
      </c>
      <c r="I83" s="64">
        <v>29509</v>
      </c>
      <c r="J83" s="61">
        <v>3</v>
      </c>
      <c r="K83" s="60" t="s">
        <v>537</v>
      </c>
      <c r="L83" s="59" t="s">
        <v>560</v>
      </c>
    </row>
    <row r="84" spans="1:12" x14ac:dyDescent="0.25">
      <c r="A84" s="53">
        <v>540030</v>
      </c>
      <c r="B84" s="54" t="s">
        <v>782</v>
      </c>
      <c r="C84" s="54" t="s">
        <v>777</v>
      </c>
      <c r="D84" s="54" t="s">
        <v>55</v>
      </c>
      <c r="E84" s="53">
        <v>9</v>
      </c>
      <c r="F84" s="56"/>
      <c r="G84" s="57">
        <v>40165</v>
      </c>
      <c r="H84" s="57">
        <v>40165</v>
      </c>
      <c r="I84" s="56" t="str">
        <f>"07/07/1910"</f>
        <v>07/07/1910</v>
      </c>
      <c r="J84" s="55">
        <v>2</v>
      </c>
      <c r="K84" s="54" t="s">
        <v>537</v>
      </c>
      <c r="L84" s="53" t="s">
        <v>560</v>
      </c>
    </row>
    <row r="85" spans="1:12" x14ac:dyDescent="0.25">
      <c r="A85" s="53">
        <v>540066</v>
      </c>
      <c r="B85" s="54" t="s">
        <v>781</v>
      </c>
      <c r="C85" s="54" t="s">
        <v>777</v>
      </c>
      <c r="D85" s="54" t="s">
        <v>55</v>
      </c>
      <c r="E85" s="53">
        <v>9</v>
      </c>
      <c r="F85" s="56" t="str">
        <f>"02/01/74"</f>
        <v>02/01/74</v>
      </c>
      <c r="G85" s="57">
        <v>29193</v>
      </c>
      <c r="H85" s="57">
        <v>40165</v>
      </c>
      <c r="I85" s="58">
        <v>29193</v>
      </c>
      <c r="J85" s="55">
        <v>2</v>
      </c>
      <c r="K85" s="54" t="s">
        <v>537</v>
      </c>
      <c r="L85" s="53" t="s">
        <v>560</v>
      </c>
    </row>
    <row r="86" spans="1:12" x14ac:dyDescent="0.25">
      <c r="A86" s="53">
        <v>540067</v>
      </c>
      <c r="B86" s="54" t="s">
        <v>780</v>
      </c>
      <c r="C86" s="54" t="s">
        <v>777</v>
      </c>
      <c r="D86" s="54" t="s">
        <v>55</v>
      </c>
      <c r="E86" s="53">
        <v>9</v>
      </c>
      <c r="F86" s="56" t="str">
        <f>"02/27/76"</f>
        <v>02/27/76</v>
      </c>
      <c r="G86" s="57">
        <v>30918</v>
      </c>
      <c r="H86" s="57">
        <v>40165</v>
      </c>
      <c r="I86" s="56" t="str">
        <f>"08/24/1984"</f>
        <v>08/24/1984</v>
      </c>
      <c r="J86" s="55">
        <v>2</v>
      </c>
      <c r="K86" s="54" t="s">
        <v>537</v>
      </c>
      <c r="L86" s="53" t="s">
        <v>560</v>
      </c>
    </row>
    <row r="87" spans="1:12" x14ac:dyDescent="0.25">
      <c r="A87" s="53">
        <v>540068</v>
      </c>
      <c r="B87" s="54" t="s">
        <v>779</v>
      </c>
      <c r="C87" s="54" t="s">
        <v>777</v>
      </c>
      <c r="D87" s="54" t="s">
        <v>55</v>
      </c>
      <c r="E87" s="53">
        <v>9</v>
      </c>
      <c r="F87" s="56" t="str">
        <f>"05/03/74"</f>
        <v>05/03/74</v>
      </c>
      <c r="G87" s="57">
        <v>29021</v>
      </c>
      <c r="H87" s="57">
        <v>40165</v>
      </c>
      <c r="I87" s="56" t="str">
        <f>"06/15/1979"</f>
        <v>06/15/1979</v>
      </c>
      <c r="J87" s="55">
        <v>2</v>
      </c>
      <c r="K87" s="54" t="s">
        <v>537</v>
      </c>
      <c r="L87" s="53" t="s">
        <v>560</v>
      </c>
    </row>
    <row r="88" spans="1:12" x14ac:dyDescent="0.25">
      <c r="A88" s="53">
        <v>540069</v>
      </c>
      <c r="B88" s="54" t="s">
        <v>778</v>
      </c>
      <c r="C88" s="54" t="s">
        <v>777</v>
      </c>
      <c r="D88" s="54" t="s">
        <v>55</v>
      </c>
      <c r="E88" s="53">
        <v>9</v>
      </c>
      <c r="F88" s="56" t="str">
        <f>"02/01/74"</f>
        <v>02/01/74</v>
      </c>
      <c r="G88" s="57">
        <v>29298</v>
      </c>
      <c r="H88" s="57">
        <v>40165</v>
      </c>
      <c r="I88" s="56" t="str">
        <f>"03/18/1980"</f>
        <v>03/18/1980</v>
      </c>
      <c r="J88" s="55">
        <v>2</v>
      </c>
      <c r="K88" s="54" t="s">
        <v>537</v>
      </c>
      <c r="L88" s="53" t="s">
        <v>560</v>
      </c>
    </row>
    <row r="89" spans="1:12" x14ac:dyDescent="0.25">
      <c r="A89" s="59">
        <v>540070</v>
      </c>
      <c r="B89" s="60" t="s">
        <v>776</v>
      </c>
      <c r="C89" s="60" t="s">
        <v>761</v>
      </c>
      <c r="D89" s="60" t="s">
        <v>52</v>
      </c>
      <c r="E89" s="59">
        <v>3</v>
      </c>
      <c r="F89" s="62" t="str">
        <f>"04/25/75"</f>
        <v>04/25/75</v>
      </c>
      <c r="G89" s="63">
        <v>31124</v>
      </c>
      <c r="H89" s="63">
        <v>39484</v>
      </c>
      <c r="I89" s="62" t="str">
        <f>"03/18/1985"</f>
        <v>03/18/1985</v>
      </c>
      <c r="J89" s="61">
        <v>2</v>
      </c>
      <c r="K89" s="60" t="s">
        <v>563</v>
      </c>
      <c r="L89" s="59" t="s">
        <v>536</v>
      </c>
    </row>
    <row r="90" spans="1:12" x14ac:dyDescent="0.25">
      <c r="A90" s="53">
        <v>540071</v>
      </c>
      <c r="B90" s="54" t="s">
        <v>775</v>
      </c>
      <c r="C90" s="54" t="s">
        <v>761</v>
      </c>
      <c r="D90" s="54" t="s">
        <v>55</v>
      </c>
      <c r="E90" s="53">
        <v>3</v>
      </c>
      <c r="F90" s="58">
        <v>27698</v>
      </c>
      <c r="G90" s="57">
        <v>30056</v>
      </c>
      <c r="H90" s="57">
        <v>39484</v>
      </c>
      <c r="I90" s="56" t="str">
        <f>"04/15/1982"</f>
        <v>04/15/1982</v>
      </c>
      <c r="J90" s="55">
        <v>2</v>
      </c>
      <c r="K90" s="54"/>
      <c r="L90" s="53"/>
    </row>
    <row r="91" spans="1:12" x14ac:dyDescent="0.25">
      <c r="A91" s="53">
        <v>540072</v>
      </c>
      <c r="B91" s="54" t="s">
        <v>774</v>
      </c>
      <c r="C91" s="54" t="s">
        <v>761</v>
      </c>
      <c r="D91" s="54" t="s">
        <v>55</v>
      </c>
      <c r="E91" s="53">
        <v>3</v>
      </c>
      <c r="F91" s="56" t="str">
        <f>"03/08/74"</f>
        <v>03/08/74</v>
      </c>
      <c r="G91" s="57">
        <v>30103</v>
      </c>
      <c r="H91" s="57">
        <v>39484</v>
      </c>
      <c r="I91" s="56" t="str">
        <f>"06/01/1982"</f>
        <v>06/01/1982</v>
      </c>
      <c r="J91" s="55">
        <v>2</v>
      </c>
      <c r="K91" s="54"/>
      <c r="L91" s="53"/>
    </row>
    <row r="92" spans="1:12" x14ac:dyDescent="0.25">
      <c r="A92" s="53">
        <v>540073</v>
      </c>
      <c r="B92" s="54" t="s">
        <v>773</v>
      </c>
      <c r="C92" s="54" t="s">
        <v>761</v>
      </c>
      <c r="D92" s="54" t="s">
        <v>55</v>
      </c>
      <c r="E92" s="53">
        <v>3</v>
      </c>
      <c r="F92" s="56" t="str">
        <f>"05/10/74"</f>
        <v>05/10/74</v>
      </c>
      <c r="G92" s="57">
        <v>30482</v>
      </c>
      <c r="H92" s="57">
        <v>39484</v>
      </c>
      <c r="I92" s="56" t="str">
        <f>"06/15/1983"</f>
        <v>06/15/1983</v>
      </c>
      <c r="J92" s="55">
        <v>2</v>
      </c>
      <c r="K92" s="54"/>
      <c r="L92" s="53"/>
    </row>
    <row r="93" spans="1:12" x14ac:dyDescent="0.25">
      <c r="A93" s="53">
        <v>540074</v>
      </c>
      <c r="B93" s="54" t="s">
        <v>772</v>
      </c>
      <c r="C93" s="54" t="s">
        <v>761</v>
      </c>
      <c r="D93" s="54" t="s">
        <v>55</v>
      </c>
      <c r="E93" s="53">
        <v>3</v>
      </c>
      <c r="F93" s="56" t="str">
        <f>"03/15/74"</f>
        <v>03/15/74</v>
      </c>
      <c r="G93" s="57">
        <v>30103</v>
      </c>
      <c r="H93" s="57">
        <v>39484</v>
      </c>
      <c r="I93" s="56" t="str">
        <f>"06/01/1982"</f>
        <v>06/01/1982</v>
      </c>
      <c r="J93" s="55">
        <v>2</v>
      </c>
      <c r="K93" s="54"/>
      <c r="L93" s="53"/>
    </row>
    <row r="94" spans="1:12" x14ac:dyDescent="0.25">
      <c r="A94" s="53">
        <v>540075</v>
      </c>
      <c r="B94" s="54" t="s">
        <v>771</v>
      </c>
      <c r="C94" s="54" t="s">
        <v>761</v>
      </c>
      <c r="D94" s="54" t="s">
        <v>55</v>
      </c>
      <c r="E94" s="53">
        <v>3</v>
      </c>
      <c r="F94" s="56" t="str">
        <f>"06/11/76"</f>
        <v>06/11/76</v>
      </c>
      <c r="G94" s="57">
        <v>30879</v>
      </c>
      <c r="H94" s="57">
        <v>39484</v>
      </c>
      <c r="I94" s="56" t="str">
        <f>"07/16/1984"</f>
        <v>07/16/1984</v>
      </c>
      <c r="J94" s="55">
        <v>2</v>
      </c>
      <c r="K94" s="54" t="s">
        <v>561</v>
      </c>
      <c r="L94" s="53" t="s">
        <v>536</v>
      </c>
    </row>
    <row r="95" spans="1:12" x14ac:dyDescent="0.25">
      <c r="A95" s="53">
        <v>540076</v>
      </c>
      <c r="B95" s="54" t="s">
        <v>770</v>
      </c>
      <c r="C95" s="54" t="s">
        <v>761</v>
      </c>
      <c r="D95" s="54" t="s">
        <v>55</v>
      </c>
      <c r="E95" s="53">
        <v>3</v>
      </c>
      <c r="F95" s="56" t="str">
        <f>"03/01/74"</f>
        <v>03/01/74</v>
      </c>
      <c r="G95" s="57">
        <v>30103</v>
      </c>
      <c r="H95" s="57">
        <v>39484</v>
      </c>
      <c r="I95" s="56" t="str">
        <f>"06/01/1982"</f>
        <v>06/01/1982</v>
      </c>
      <c r="J95" s="55">
        <v>2</v>
      </c>
      <c r="K95" s="54"/>
      <c r="L95" s="53"/>
    </row>
    <row r="96" spans="1:12" x14ac:dyDescent="0.25">
      <c r="A96" s="53">
        <v>540077</v>
      </c>
      <c r="B96" s="54" t="s">
        <v>769</v>
      </c>
      <c r="C96" s="54" t="s">
        <v>761</v>
      </c>
      <c r="D96" s="54" t="s">
        <v>55</v>
      </c>
      <c r="E96" s="53">
        <v>3</v>
      </c>
      <c r="F96" s="56" t="str">
        <f>"03/22/74"</f>
        <v>03/22/74</v>
      </c>
      <c r="G96" s="57">
        <v>30103</v>
      </c>
      <c r="H96" s="57">
        <v>39484</v>
      </c>
      <c r="I96" s="56" t="str">
        <f>"06/01/1982"</f>
        <v>06/01/1982</v>
      </c>
      <c r="J96" s="55">
        <v>2</v>
      </c>
      <c r="K96" s="54"/>
      <c r="L96" s="53"/>
    </row>
    <row r="97" spans="1:12" x14ac:dyDescent="0.25">
      <c r="A97" s="53">
        <v>540078</v>
      </c>
      <c r="B97" s="54" t="s">
        <v>768</v>
      </c>
      <c r="C97" s="54" t="s">
        <v>761</v>
      </c>
      <c r="D97" s="54" t="s">
        <v>55</v>
      </c>
      <c r="E97" s="53">
        <v>3</v>
      </c>
      <c r="F97" s="56" t="str">
        <f>"03/08/74"</f>
        <v>03/08/74</v>
      </c>
      <c r="G97" s="57">
        <v>30117</v>
      </c>
      <c r="H97" s="57">
        <v>39484</v>
      </c>
      <c r="I97" s="56" t="str">
        <f>"06/15/1982"</f>
        <v>06/15/1982</v>
      </c>
      <c r="J97" s="55">
        <v>2</v>
      </c>
      <c r="K97" s="54"/>
      <c r="L97" s="53"/>
    </row>
    <row r="98" spans="1:12" x14ac:dyDescent="0.25">
      <c r="A98" s="53">
        <v>540279</v>
      </c>
      <c r="B98" s="54" t="s">
        <v>767</v>
      </c>
      <c r="C98" s="54" t="s">
        <v>761</v>
      </c>
      <c r="D98" s="54" t="s">
        <v>55</v>
      </c>
      <c r="E98" s="53">
        <v>3</v>
      </c>
      <c r="F98" s="56" t="str">
        <f>"01/17/75"</f>
        <v>01/17/75</v>
      </c>
      <c r="G98" s="57">
        <v>30868</v>
      </c>
      <c r="H98" s="57">
        <v>39484</v>
      </c>
      <c r="I98" s="56" t="str">
        <f>"07/05/1984"</f>
        <v>07/05/1984</v>
      </c>
      <c r="J98" s="55">
        <v>2</v>
      </c>
      <c r="K98" s="54"/>
      <c r="L98" s="53"/>
    </row>
    <row r="99" spans="1:12" x14ac:dyDescent="0.25">
      <c r="A99" s="53">
        <v>540079</v>
      </c>
      <c r="B99" s="54" t="s">
        <v>766</v>
      </c>
      <c r="C99" s="54" t="s">
        <v>761</v>
      </c>
      <c r="D99" s="54" t="s">
        <v>55</v>
      </c>
      <c r="E99" s="53">
        <v>3</v>
      </c>
      <c r="F99" s="56" t="str">
        <f>"04/12/74"</f>
        <v>04/12/74</v>
      </c>
      <c r="G99" s="57">
        <v>30056</v>
      </c>
      <c r="H99" s="57">
        <v>39484</v>
      </c>
      <c r="I99" s="56" t="str">
        <f>"04/15/1982"</f>
        <v>04/15/1982</v>
      </c>
      <c r="J99" s="55">
        <v>2</v>
      </c>
      <c r="K99" s="54"/>
      <c r="L99" s="53"/>
    </row>
    <row r="100" spans="1:12" x14ac:dyDescent="0.25">
      <c r="A100" s="53">
        <v>540029</v>
      </c>
      <c r="B100" s="54" t="s">
        <v>765</v>
      </c>
      <c r="C100" s="54" t="s">
        <v>761</v>
      </c>
      <c r="D100" s="54" t="s">
        <v>55</v>
      </c>
      <c r="E100" s="53">
        <v>3</v>
      </c>
      <c r="F100" s="56" t="str">
        <f>"02/27/76"</f>
        <v>02/27/76</v>
      </c>
      <c r="G100" s="57">
        <v>30103</v>
      </c>
      <c r="H100" s="57">
        <v>40424</v>
      </c>
      <c r="I100" s="56" t="str">
        <f>"06/01/1982"</f>
        <v>06/01/1982</v>
      </c>
      <c r="J100" s="55">
        <v>2</v>
      </c>
      <c r="K100" s="54"/>
      <c r="L100" s="53"/>
    </row>
    <row r="101" spans="1:12" x14ac:dyDescent="0.25">
      <c r="A101" s="53">
        <v>540082</v>
      </c>
      <c r="B101" s="54" t="s">
        <v>764</v>
      </c>
      <c r="C101" s="54" t="s">
        <v>761</v>
      </c>
      <c r="D101" s="54" t="s">
        <v>55</v>
      </c>
      <c r="E101" s="53">
        <v>3</v>
      </c>
      <c r="F101" s="56" t="str">
        <f>"03/08/74"</f>
        <v>03/08/74</v>
      </c>
      <c r="G101" s="57">
        <v>30803</v>
      </c>
      <c r="H101" s="57">
        <v>39484</v>
      </c>
      <c r="I101" s="56" t="str">
        <f>"05/01/1984"</f>
        <v>05/01/1984</v>
      </c>
      <c r="J101" s="55">
        <v>2</v>
      </c>
      <c r="K101" s="54"/>
      <c r="L101" s="53"/>
    </row>
    <row r="102" spans="1:12" x14ac:dyDescent="0.25">
      <c r="A102" s="53">
        <v>540223</v>
      </c>
      <c r="B102" s="54" t="s">
        <v>763</v>
      </c>
      <c r="C102" s="54" t="s">
        <v>761</v>
      </c>
      <c r="D102" s="54" t="s">
        <v>55</v>
      </c>
      <c r="E102" s="53">
        <v>3</v>
      </c>
      <c r="F102" s="58">
        <v>27334</v>
      </c>
      <c r="G102" s="57">
        <v>30117</v>
      </c>
      <c r="H102" s="57">
        <v>39484</v>
      </c>
      <c r="I102" s="56" t="str">
        <f>"06/15/1982"</f>
        <v>06/15/1982</v>
      </c>
      <c r="J102" s="55">
        <v>2</v>
      </c>
      <c r="K102" s="54"/>
      <c r="L102" s="53"/>
    </row>
    <row r="103" spans="1:12" x14ac:dyDescent="0.25">
      <c r="A103" s="53">
        <v>540083</v>
      </c>
      <c r="B103" s="54" t="s">
        <v>762</v>
      </c>
      <c r="C103" s="54" t="s">
        <v>761</v>
      </c>
      <c r="D103" s="54" t="s">
        <v>55</v>
      </c>
      <c r="E103" s="53">
        <v>3</v>
      </c>
      <c r="F103" s="56" t="str">
        <f>"03/08/74"</f>
        <v>03/08/74</v>
      </c>
      <c r="G103" s="57">
        <v>30117</v>
      </c>
      <c r="H103" s="57">
        <v>39484</v>
      </c>
      <c r="I103" s="56" t="str">
        <f>"06/15/1982"</f>
        <v>06/15/1982</v>
      </c>
      <c r="J103" s="55">
        <v>2</v>
      </c>
      <c r="K103" s="54"/>
      <c r="L103" s="53"/>
    </row>
    <row r="104" spans="1:12" x14ac:dyDescent="0.25">
      <c r="A104" s="59">
        <v>540085</v>
      </c>
      <c r="B104" s="60" t="s">
        <v>760</v>
      </c>
      <c r="C104" s="60" t="s">
        <v>757</v>
      </c>
      <c r="D104" s="60" t="s">
        <v>52</v>
      </c>
      <c r="E104" s="59">
        <v>7</v>
      </c>
      <c r="F104" s="62" t="str">
        <f>"02/21/75"</f>
        <v>02/21/75</v>
      </c>
      <c r="G104" s="63">
        <v>31959</v>
      </c>
      <c r="H104" s="63">
        <v>40287</v>
      </c>
      <c r="I104" s="62" t="str">
        <f>"07/01/1987"</f>
        <v>07/01/1987</v>
      </c>
      <c r="J104" s="61">
        <v>2</v>
      </c>
      <c r="K104" s="60"/>
      <c r="L104" s="59"/>
    </row>
    <row r="105" spans="1:12" x14ac:dyDescent="0.25">
      <c r="A105" s="53">
        <v>540086</v>
      </c>
      <c r="B105" s="54" t="s">
        <v>759</v>
      </c>
      <c r="C105" s="54" t="s">
        <v>757</v>
      </c>
      <c r="D105" s="54" t="s">
        <v>55</v>
      </c>
      <c r="E105" s="53">
        <v>7</v>
      </c>
      <c r="F105" s="56" t="str">
        <f>"08/09/74"</f>
        <v>08/09/74</v>
      </c>
      <c r="G105" s="57">
        <v>30949</v>
      </c>
      <c r="H105" s="57">
        <v>40287</v>
      </c>
      <c r="I105" s="56" t="str">
        <f>"09/24/1984"</f>
        <v>09/24/1984</v>
      </c>
      <c r="J105" s="55">
        <v>2</v>
      </c>
      <c r="K105" s="54"/>
      <c r="L105" s="53"/>
    </row>
    <row r="106" spans="1:12" x14ac:dyDescent="0.25">
      <c r="A106" s="53">
        <v>540087</v>
      </c>
      <c r="B106" s="54" t="s">
        <v>758</v>
      </c>
      <c r="C106" s="54" t="s">
        <v>757</v>
      </c>
      <c r="D106" s="54" t="s">
        <v>55</v>
      </c>
      <c r="E106" s="53">
        <v>7</v>
      </c>
      <c r="F106" s="56" t="str">
        <f>"04/05/74"</f>
        <v>04/05/74</v>
      </c>
      <c r="G106" s="57">
        <v>30056</v>
      </c>
      <c r="H106" s="57">
        <v>40287</v>
      </c>
      <c r="I106" s="56" t="str">
        <f>"04/15/1982"</f>
        <v>04/15/1982</v>
      </c>
      <c r="J106" s="55">
        <v>2</v>
      </c>
      <c r="K106" s="54"/>
      <c r="L106" s="53"/>
    </row>
    <row r="107" spans="1:12" x14ac:dyDescent="0.25">
      <c r="A107" s="59">
        <v>540088</v>
      </c>
      <c r="B107" s="60" t="s">
        <v>756</v>
      </c>
      <c r="C107" s="60" t="s">
        <v>753</v>
      </c>
      <c r="D107" s="60" t="s">
        <v>52</v>
      </c>
      <c r="E107" s="59">
        <v>2</v>
      </c>
      <c r="F107" s="62" t="str">
        <f>"07/18/75"</f>
        <v>07/18/75</v>
      </c>
      <c r="G107" s="63">
        <v>32038</v>
      </c>
      <c r="H107" s="63">
        <v>41563</v>
      </c>
      <c r="I107" s="62" t="str">
        <f>"09/18/1987"</f>
        <v>09/18/1987</v>
      </c>
      <c r="J107" s="61">
        <v>2</v>
      </c>
      <c r="K107" s="60" t="s">
        <v>621</v>
      </c>
      <c r="L107" s="59" t="s">
        <v>536</v>
      </c>
    </row>
    <row r="108" spans="1:12" x14ac:dyDescent="0.25">
      <c r="A108" s="53">
        <v>540089</v>
      </c>
      <c r="B108" s="54" t="s">
        <v>755</v>
      </c>
      <c r="C108" s="54" t="s">
        <v>753</v>
      </c>
      <c r="D108" s="54" t="s">
        <v>55</v>
      </c>
      <c r="E108" s="53">
        <v>2</v>
      </c>
      <c r="F108" s="56" t="str">
        <f>"05/17/74"</f>
        <v>05/17/74</v>
      </c>
      <c r="G108" s="57">
        <v>32024</v>
      </c>
      <c r="H108" s="57">
        <v>41563</v>
      </c>
      <c r="I108" s="56" t="str">
        <f>"09/04/1987"</f>
        <v>09/04/1987</v>
      </c>
      <c r="J108" s="55">
        <v>2</v>
      </c>
      <c r="K108" s="54" t="s">
        <v>537</v>
      </c>
      <c r="L108" s="53" t="s">
        <v>536</v>
      </c>
    </row>
    <row r="109" spans="1:12" x14ac:dyDescent="0.25">
      <c r="A109" s="53">
        <v>540090</v>
      </c>
      <c r="B109" s="54" t="s">
        <v>754</v>
      </c>
      <c r="C109" s="54" t="s">
        <v>753</v>
      </c>
      <c r="D109" s="54" t="s">
        <v>55</v>
      </c>
      <c r="E109" s="53">
        <v>2</v>
      </c>
      <c r="F109" s="56" t="str">
        <f>"05/31/74"</f>
        <v>05/31/74</v>
      </c>
      <c r="G109" s="57">
        <v>32024</v>
      </c>
      <c r="H109" s="57">
        <v>41563</v>
      </c>
      <c r="I109" s="56" t="str">
        <f>"09/04/1987"</f>
        <v>09/04/1987</v>
      </c>
      <c r="J109" s="55">
        <v>2</v>
      </c>
      <c r="K109" s="54" t="s">
        <v>537</v>
      </c>
      <c r="L109" s="53" t="s">
        <v>536</v>
      </c>
    </row>
    <row r="110" spans="1:12" x14ac:dyDescent="0.25">
      <c r="A110" s="59">
        <v>545536</v>
      </c>
      <c r="B110" s="60" t="s">
        <v>752</v>
      </c>
      <c r="C110" s="60" t="s">
        <v>746</v>
      </c>
      <c r="D110" s="60" t="s">
        <v>52</v>
      </c>
      <c r="E110" s="59">
        <v>2</v>
      </c>
      <c r="F110" s="62"/>
      <c r="G110" s="72">
        <v>26396</v>
      </c>
      <c r="H110" s="63">
        <v>39484</v>
      </c>
      <c r="I110" s="62" t="str">
        <f>"04/07/1972"</f>
        <v>04/07/1972</v>
      </c>
      <c r="J110" s="61">
        <v>2</v>
      </c>
      <c r="K110" s="60" t="s">
        <v>621</v>
      </c>
      <c r="L110" s="59" t="s">
        <v>536</v>
      </c>
    </row>
    <row r="111" spans="1:12" x14ac:dyDescent="0.25">
      <c r="A111" s="53">
        <v>540092</v>
      </c>
      <c r="B111" s="54" t="s">
        <v>751</v>
      </c>
      <c r="C111" s="54" t="s">
        <v>746</v>
      </c>
      <c r="D111" s="54" t="s">
        <v>55</v>
      </c>
      <c r="E111" s="53">
        <v>2</v>
      </c>
      <c r="F111" s="56" t="str">
        <f>"02/09/71"</f>
        <v>02/09/71</v>
      </c>
      <c r="G111" s="70">
        <v>26172</v>
      </c>
      <c r="H111" s="57">
        <v>39484</v>
      </c>
      <c r="I111" s="56" t="str">
        <f>"08/27/1971"</f>
        <v>08/27/1971</v>
      </c>
      <c r="J111" s="55">
        <v>2</v>
      </c>
      <c r="K111" s="54" t="s">
        <v>537</v>
      </c>
      <c r="L111" s="53" t="s">
        <v>536</v>
      </c>
    </row>
    <row r="112" spans="1:12" x14ac:dyDescent="0.25">
      <c r="A112" s="53">
        <v>545535</v>
      </c>
      <c r="B112" s="54" t="s">
        <v>750</v>
      </c>
      <c r="C112" s="54" t="s">
        <v>746</v>
      </c>
      <c r="D112" s="54" t="s">
        <v>55</v>
      </c>
      <c r="E112" s="53">
        <v>2</v>
      </c>
      <c r="F112" s="56" t="str">
        <f>"02/09/71"</f>
        <v>02/09/71</v>
      </c>
      <c r="G112" s="70">
        <v>26130</v>
      </c>
      <c r="H112" s="57">
        <v>39484</v>
      </c>
      <c r="I112" s="56" t="str">
        <f>"07/16/1971"</f>
        <v>07/16/1971</v>
      </c>
      <c r="J112" s="55">
        <v>2</v>
      </c>
      <c r="K112" s="54" t="s">
        <v>537</v>
      </c>
      <c r="L112" s="53" t="s">
        <v>536</v>
      </c>
    </row>
    <row r="113" spans="1:12" x14ac:dyDescent="0.25">
      <c r="A113" s="53">
        <v>545537</v>
      </c>
      <c r="B113" s="54" t="s">
        <v>749</v>
      </c>
      <c r="C113" s="54" t="s">
        <v>746</v>
      </c>
      <c r="D113" s="54" t="s">
        <v>55</v>
      </c>
      <c r="E113" s="53">
        <v>2</v>
      </c>
      <c r="F113" s="56" t="str">
        <f>"09/15/71"</f>
        <v>09/15/71</v>
      </c>
      <c r="G113" s="70">
        <v>26186</v>
      </c>
      <c r="H113" s="57">
        <v>39484</v>
      </c>
      <c r="I113" s="56" t="str">
        <f>"09/10/1971"</f>
        <v>09/10/1971</v>
      </c>
      <c r="J113" s="55">
        <v>2</v>
      </c>
      <c r="K113" s="54" t="s">
        <v>537</v>
      </c>
      <c r="L113" s="53" t="s">
        <v>536</v>
      </c>
    </row>
    <row r="114" spans="1:12" x14ac:dyDescent="0.25">
      <c r="A114" s="53">
        <v>540095</v>
      </c>
      <c r="B114" s="54" t="s">
        <v>748</v>
      </c>
      <c r="C114" s="54" t="s">
        <v>746</v>
      </c>
      <c r="D114" s="54" t="s">
        <v>55</v>
      </c>
      <c r="E114" s="53">
        <v>2</v>
      </c>
      <c r="F114" s="56" t="str">
        <f>"08/17/71"</f>
        <v>08/17/71</v>
      </c>
      <c r="G114" s="70">
        <v>26158</v>
      </c>
      <c r="H114" s="57">
        <v>39484</v>
      </c>
      <c r="I114" s="56" t="str">
        <f>"08/13/1971"</f>
        <v>08/13/1971</v>
      </c>
      <c r="J114" s="55">
        <v>2</v>
      </c>
      <c r="K114" s="54" t="s">
        <v>537</v>
      </c>
      <c r="L114" s="53" t="s">
        <v>536</v>
      </c>
    </row>
    <row r="115" spans="1:12" x14ac:dyDescent="0.25">
      <c r="A115" s="53">
        <v>545539</v>
      </c>
      <c r="B115" s="54" t="s">
        <v>747</v>
      </c>
      <c r="C115" s="54" t="s">
        <v>746</v>
      </c>
      <c r="D115" s="54" t="s">
        <v>55</v>
      </c>
      <c r="E115" s="53">
        <v>2</v>
      </c>
      <c r="F115" s="56" t="str">
        <f>"06/03/72"</f>
        <v>06/03/72</v>
      </c>
      <c r="G115" s="70">
        <v>26452</v>
      </c>
      <c r="H115" s="57">
        <v>39484</v>
      </c>
      <c r="I115" s="56" t="str">
        <f>"06/02/1972"</f>
        <v>06/02/1972</v>
      </c>
      <c r="J115" s="55">
        <v>2</v>
      </c>
      <c r="K115" s="54" t="s">
        <v>537</v>
      </c>
      <c r="L115" s="53" t="s">
        <v>536</v>
      </c>
    </row>
    <row r="116" spans="1:12" x14ac:dyDescent="0.25">
      <c r="A116" s="73">
        <v>540097</v>
      </c>
      <c r="B116" s="60" t="s">
        <v>745</v>
      </c>
      <c r="C116" s="60" t="s">
        <v>733</v>
      </c>
      <c r="D116" s="60" t="s">
        <v>52</v>
      </c>
      <c r="E116" s="59">
        <v>6</v>
      </c>
      <c r="F116" s="62" t="str">
        <f>"08/30/74"</f>
        <v>08/30/74</v>
      </c>
      <c r="G116" s="63">
        <v>32328</v>
      </c>
      <c r="H116" s="63">
        <v>43560</v>
      </c>
      <c r="I116" s="62" t="str">
        <f>"07/04/1988"</f>
        <v>07/04/1988</v>
      </c>
      <c r="J116" s="61">
        <v>3</v>
      </c>
      <c r="K116" s="60"/>
      <c r="L116" s="59"/>
    </row>
    <row r="117" spans="1:12" x14ac:dyDescent="0.25">
      <c r="A117" s="53">
        <v>540098</v>
      </c>
      <c r="B117" s="54" t="s">
        <v>744</v>
      </c>
      <c r="C117" s="54" t="s">
        <v>733</v>
      </c>
      <c r="D117" s="54" t="s">
        <v>55</v>
      </c>
      <c r="E117" s="53">
        <v>6</v>
      </c>
      <c r="F117" s="56" t="str">
        <f>"03/10/78"</f>
        <v>03/10/78</v>
      </c>
      <c r="G117" s="57">
        <v>32218</v>
      </c>
      <c r="H117" s="57">
        <v>41079</v>
      </c>
      <c r="I117" s="56" t="str">
        <f>"03/16/1988"</f>
        <v>03/16/1988</v>
      </c>
      <c r="J117" s="55">
        <v>2</v>
      </c>
      <c r="K117" s="54"/>
      <c r="L117" s="53"/>
    </row>
    <row r="118" spans="1:12" x14ac:dyDescent="0.25">
      <c r="A118" s="53" t="s">
        <v>743</v>
      </c>
      <c r="B118" s="54" t="s">
        <v>742</v>
      </c>
      <c r="C118" s="54" t="s">
        <v>733</v>
      </c>
      <c r="D118" s="54" t="s">
        <v>55</v>
      </c>
      <c r="E118" s="53">
        <v>6</v>
      </c>
      <c r="F118" s="56" t="str">
        <f>"07/23/76"</f>
        <v>07/23/76</v>
      </c>
      <c r="G118" s="57">
        <v>31960</v>
      </c>
      <c r="H118" s="57">
        <v>43560</v>
      </c>
      <c r="I118" s="56" t="str">
        <f>"07/02/1987"</f>
        <v>07/02/1987</v>
      </c>
      <c r="J118" s="55">
        <v>2</v>
      </c>
      <c r="K118" s="54"/>
      <c r="L118" s="53"/>
    </row>
    <row r="119" spans="1:12" x14ac:dyDescent="0.25">
      <c r="A119" s="53">
        <v>540100</v>
      </c>
      <c r="B119" s="54" t="s">
        <v>741</v>
      </c>
      <c r="C119" s="54" t="s">
        <v>733</v>
      </c>
      <c r="D119" s="54" t="s">
        <v>55</v>
      </c>
      <c r="E119" s="53">
        <v>6</v>
      </c>
      <c r="F119" s="56" t="str">
        <f>"05/31/74"</f>
        <v>05/31/74</v>
      </c>
      <c r="G119" s="57">
        <v>32218</v>
      </c>
      <c r="H119" s="57">
        <v>41079</v>
      </c>
      <c r="I119" s="56" t="str">
        <f>"03/16/1988"</f>
        <v>03/16/1988</v>
      </c>
      <c r="J119" s="55">
        <v>2</v>
      </c>
      <c r="K119" s="54"/>
      <c r="L119" s="53"/>
    </row>
    <row r="120" spans="1:12" x14ac:dyDescent="0.25">
      <c r="A120" s="53">
        <v>540101</v>
      </c>
      <c r="B120" s="54" t="s">
        <v>740</v>
      </c>
      <c r="C120" s="54" t="s">
        <v>733</v>
      </c>
      <c r="D120" s="54" t="s">
        <v>55</v>
      </c>
      <c r="E120" s="53">
        <v>6</v>
      </c>
      <c r="F120" s="56" t="str">
        <f>"05/31/74"</f>
        <v>05/31/74</v>
      </c>
      <c r="G120" s="57">
        <v>32218</v>
      </c>
      <c r="H120" s="57">
        <v>41079</v>
      </c>
      <c r="I120" s="56" t="str">
        <f>"03/16/1988"</f>
        <v>03/16/1988</v>
      </c>
      <c r="J120" s="55">
        <v>2</v>
      </c>
      <c r="K120" s="54"/>
      <c r="L120" s="53"/>
    </row>
    <row r="121" spans="1:12" x14ac:dyDescent="0.25">
      <c r="A121" s="53">
        <v>540102</v>
      </c>
      <c r="B121" s="54" t="s">
        <v>739</v>
      </c>
      <c r="C121" s="54" t="s">
        <v>733</v>
      </c>
      <c r="D121" s="54" t="s">
        <v>55</v>
      </c>
      <c r="E121" s="53">
        <v>6</v>
      </c>
      <c r="F121" s="56" t="str">
        <f>"05/31/74"</f>
        <v>05/31/74</v>
      </c>
      <c r="G121" s="57">
        <v>32206</v>
      </c>
      <c r="H121" s="57">
        <v>41079</v>
      </c>
      <c r="I121" s="56" t="str">
        <f>"03/04/1988"</f>
        <v>03/04/1988</v>
      </c>
      <c r="J121" s="55">
        <v>2</v>
      </c>
      <c r="K121" s="54"/>
      <c r="L121" s="53"/>
    </row>
    <row r="122" spans="1:12" x14ac:dyDescent="0.25">
      <c r="A122" s="53">
        <v>540103</v>
      </c>
      <c r="B122" s="54" t="s">
        <v>738</v>
      </c>
      <c r="C122" s="54" t="s">
        <v>733</v>
      </c>
      <c r="D122" s="54" t="s">
        <v>55</v>
      </c>
      <c r="E122" s="53">
        <v>6</v>
      </c>
      <c r="F122" s="56" t="str">
        <f>"05/31/74"</f>
        <v>05/31/74</v>
      </c>
      <c r="G122" s="57">
        <v>31735</v>
      </c>
      <c r="H122" s="57">
        <v>41079</v>
      </c>
      <c r="I122" s="58">
        <v>31735</v>
      </c>
      <c r="J122" s="55">
        <v>2</v>
      </c>
      <c r="K122" s="54"/>
      <c r="L122" s="53"/>
    </row>
    <row r="123" spans="1:12" x14ac:dyDescent="0.25">
      <c r="A123" s="53">
        <v>540104</v>
      </c>
      <c r="B123" s="54" t="s">
        <v>737</v>
      </c>
      <c r="C123" s="54" t="s">
        <v>733</v>
      </c>
      <c r="D123" s="54" t="s">
        <v>55</v>
      </c>
      <c r="E123" s="53">
        <v>6</v>
      </c>
      <c r="F123" s="56" t="str">
        <f>"05/31/74"</f>
        <v>05/31/74</v>
      </c>
      <c r="G123" s="57">
        <v>32218</v>
      </c>
      <c r="H123" s="57">
        <v>41079</v>
      </c>
      <c r="I123" s="56" t="str">
        <f>"03/16/1988"</f>
        <v>03/16/1988</v>
      </c>
      <c r="J123" s="55">
        <v>2</v>
      </c>
      <c r="K123" s="54"/>
      <c r="L123" s="53"/>
    </row>
    <row r="124" spans="1:12" x14ac:dyDescent="0.25">
      <c r="A124" s="53">
        <v>540292</v>
      </c>
      <c r="B124" s="54" t="s">
        <v>736</v>
      </c>
      <c r="C124" s="54" t="s">
        <v>733</v>
      </c>
      <c r="D124" s="54" t="s">
        <v>55</v>
      </c>
      <c r="E124" s="53">
        <v>6</v>
      </c>
      <c r="F124" s="56"/>
      <c r="G124" s="57">
        <v>41079</v>
      </c>
      <c r="H124" s="57">
        <v>41079</v>
      </c>
      <c r="I124" s="56" t="str">
        <f>"03/29/1904"</f>
        <v>03/29/1904</v>
      </c>
      <c r="J124" s="55">
        <v>2</v>
      </c>
      <c r="K124" s="54"/>
      <c r="L124" s="53"/>
    </row>
    <row r="125" spans="1:12" x14ac:dyDescent="0.25">
      <c r="A125" s="53">
        <v>540105</v>
      </c>
      <c r="B125" s="54" t="s">
        <v>735</v>
      </c>
      <c r="C125" s="54" t="s">
        <v>733</v>
      </c>
      <c r="D125" s="54" t="s">
        <v>55</v>
      </c>
      <c r="E125" s="53">
        <v>6</v>
      </c>
      <c r="F125" s="56" t="str">
        <f>"05/31/74"</f>
        <v>05/31/74</v>
      </c>
      <c r="G125" s="57">
        <v>32218</v>
      </c>
      <c r="H125" s="57">
        <v>41079</v>
      </c>
      <c r="I125" s="56" t="str">
        <f>"03/16/1988"</f>
        <v>03/16/1988</v>
      </c>
      <c r="J125" s="55">
        <v>2</v>
      </c>
      <c r="K125" s="54"/>
      <c r="L125" s="53"/>
    </row>
    <row r="126" spans="1:12" x14ac:dyDescent="0.25">
      <c r="A126" s="53">
        <v>540106</v>
      </c>
      <c r="B126" s="54" t="s">
        <v>734</v>
      </c>
      <c r="C126" s="54" t="s">
        <v>733</v>
      </c>
      <c r="D126" s="54" t="s">
        <v>55</v>
      </c>
      <c r="E126" s="53">
        <v>6</v>
      </c>
      <c r="F126" s="56" t="str">
        <f>"08/02/74"</f>
        <v>08/02/74</v>
      </c>
      <c r="G126" s="57">
        <v>32218</v>
      </c>
      <c r="H126" s="57">
        <v>41079</v>
      </c>
      <c r="I126" s="56" t="str">
        <f>"03/16/1988"</f>
        <v>03/16/1988</v>
      </c>
      <c r="J126" s="55">
        <v>2</v>
      </c>
      <c r="K126" s="54"/>
      <c r="L126" s="53"/>
    </row>
    <row r="127" spans="1:12" x14ac:dyDescent="0.25">
      <c r="A127" s="59">
        <v>540107</v>
      </c>
      <c r="B127" s="60" t="s">
        <v>732</v>
      </c>
      <c r="C127" s="60" t="s">
        <v>726</v>
      </c>
      <c r="D127" s="60" t="s">
        <v>52</v>
      </c>
      <c r="E127" s="59">
        <v>10</v>
      </c>
      <c r="F127" s="64">
        <v>27383</v>
      </c>
      <c r="G127" s="72">
        <v>27383</v>
      </c>
      <c r="H127" s="63">
        <v>40081</v>
      </c>
      <c r="I127" s="62" t="str">
        <f>"04/17/1984"</f>
        <v>04/17/1984</v>
      </c>
      <c r="J127" s="61">
        <v>2</v>
      </c>
      <c r="K127" s="60"/>
      <c r="L127" s="59"/>
    </row>
    <row r="128" spans="1:12" x14ac:dyDescent="0.25">
      <c r="A128" s="53">
        <v>540108</v>
      </c>
      <c r="B128" s="54" t="s">
        <v>731</v>
      </c>
      <c r="C128" s="54" t="s">
        <v>726</v>
      </c>
      <c r="D128" s="54" t="s">
        <v>55</v>
      </c>
      <c r="E128" s="53">
        <v>10</v>
      </c>
      <c r="F128" s="56" t="str">
        <f>"04/05/74"</f>
        <v>04/05/74</v>
      </c>
      <c r="G128" s="57">
        <v>29342</v>
      </c>
      <c r="H128" s="57">
        <v>40081</v>
      </c>
      <c r="I128" s="56" t="str">
        <f>"05/01/1980"</f>
        <v>05/01/1980</v>
      </c>
      <c r="J128" s="55">
        <v>2</v>
      </c>
      <c r="K128" s="54"/>
      <c r="L128" s="53"/>
    </row>
    <row r="129" spans="1:12" x14ac:dyDescent="0.25">
      <c r="A129" s="53">
        <v>540287</v>
      </c>
      <c r="B129" s="54" t="s">
        <v>730</v>
      </c>
      <c r="C129" s="54" t="s">
        <v>726</v>
      </c>
      <c r="D129" s="54" t="s">
        <v>55</v>
      </c>
      <c r="E129" s="53">
        <v>10</v>
      </c>
      <c r="F129" s="58">
        <v>27355</v>
      </c>
      <c r="G129" s="57">
        <v>40081</v>
      </c>
      <c r="H129" s="57">
        <v>40081</v>
      </c>
      <c r="I129" s="56" t="str">
        <f>"09/04/1986"</f>
        <v>09/04/1986</v>
      </c>
      <c r="J129" s="55">
        <v>2</v>
      </c>
      <c r="K129" s="54"/>
      <c r="L129" s="53"/>
    </row>
    <row r="130" spans="1:12" x14ac:dyDescent="0.25">
      <c r="A130" s="53">
        <v>540109</v>
      </c>
      <c r="B130" s="54" t="s">
        <v>729</v>
      </c>
      <c r="C130" s="54" t="s">
        <v>726</v>
      </c>
      <c r="D130" s="54" t="s">
        <v>55</v>
      </c>
      <c r="E130" s="53">
        <v>10</v>
      </c>
      <c r="F130" s="56" t="str">
        <f>"06/28/74"</f>
        <v>06/28/74</v>
      </c>
      <c r="G130" s="70">
        <v>27208</v>
      </c>
      <c r="H130" s="57">
        <v>40081</v>
      </c>
      <c r="I130" s="56" t="str">
        <f>"04/01/1980"</f>
        <v>04/01/1980</v>
      </c>
      <c r="J130" s="55">
        <v>2</v>
      </c>
      <c r="K130" s="54"/>
      <c r="L130" s="53"/>
    </row>
    <row r="131" spans="1:12" x14ac:dyDescent="0.25">
      <c r="A131" s="53">
        <v>540110</v>
      </c>
      <c r="B131" s="54" t="s">
        <v>728</v>
      </c>
      <c r="C131" s="54" t="s">
        <v>726</v>
      </c>
      <c r="D131" s="54" t="s">
        <v>55</v>
      </c>
      <c r="E131" s="53">
        <v>10</v>
      </c>
      <c r="F131" s="56" t="str">
        <f>"03/29/74"</f>
        <v>03/29/74</v>
      </c>
      <c r="G131" s="57">
        <v>40081</v>
      </c>
      <c r="H131" s="57">
        <v>40081</v>
      </c>
      <c r="I131" s="56" t="str">
        <f>"04/15/1980"</f>
        <v>04/15/1980</v>
      </c>
      <c r="J131" s="55">
        <v>2</v>
      </c>
      <c r="K131" s="54"/>
      <c r="L131" s="53"/>
    </row>
    <row r="132" spans="1:12" x14ac:dyDescent="0.25">
      <c r="A132" s="53">
        <v>540111</v>
      </c>
      <c r="B132" s="54" t="s">
        <v>727</v>
      </c>
      <c r="C132" s="54" t="s">
        <v>726</v>
      </c>
      <c r="D132" s="54" t="s">
        <v>55</v>
      </c>
      <c r="E132" s="53">
        <v>10</v>
      </c>
      <c r="F132" s="56" t="str">
        <f>"03/22/74"</f>
        <v>03/22/74</v>
      </c>
      <c r="G132" s="70">
        <v>27110</v>
      </c>
      <c r="H132" s="57">
        <v>40081</v>
      </c>
      <c r="I132" s="56" t="str">
        <f>"05/15/1980"</f>
        <v>05/15/1980</v>
      </c>
      <c r="J132" s="55">
        <v>1.5</v>
      </c>
      <c r="K132" s="54"/>
      <c r="L132" s="53"/>
    </row>
    <row r="133" spans="1:12" x14ac:dyDescent="0.25">
      <c r="A133" s="59">
        <v>540112</v>
      </c>
      <c r="B133" s="60" t="s">
        <v>725</v>
      </c>
      <c r="C133" s="60" t="s">
        <v>718</v>
      </c>
      <c r="D133" s="60" t="s">
        <v>52</v>
      </c>
      <c r="E133" s="59">
        <v>2</v>
      </c>
      <c r="F133" s="62" t="str">
        <f>"04/25/75"</f>
        <v>04/25/75</v>
      </c>
      <c r="G133" s="63">
        <v>29222</v>
      </c>
      <c r="H133" s="63">
        <v>41611</v>
      </c>
      <c r="I133" s="62" t="str">
        <f>"01/02/1980"</f>
        <v>01/02/1980</v>
      </c>
      <c r="J133" s="61">
        <v>2</v>
      </c>
      <c r="K133" s="60" t="s">
        <v>621</v>
      </c>
      <c r="L133" s="59" t="s">
        <v>536</v>
      </c>
    </row>
    <row r="134" spans="1:12" x14ac:dyDescent="0.25">
      <c r="A134" s="53">
        <v>540247</v>
      </c>
      <c r="B134" s="54" t="s">
        <v>724</v>
      </c>
      <c r="C134" s="54" t="s">
        <v>718</v>
      </c>
      <c r="D134" s="54" t="s">
        <v>55</v>
      </c>
      <c r="E134" s="53">
        <v>2</v>
      </c>
      <c r="F134" s="58">
        <v>27355</v>
      </c>
      <c r="G134" s="57">
        <v>28536</v>
      </c>
      <c r="H134" s="57">
        <v>41611</v>
      </c>
      <c r="I134" s="56" t="str">
        <f>"02/15/1978"</f>
        <v>02/15/1978</v>
      </c>
      <c r="J134" s="55">
        <v>2</v>
      </c>
      <c r="K134" s="54"/>
      <c r="L134" s="53"/>
    </row>
    <row r="135" spans="1:12" x14ac:dyDescent="0.25">
      <c r="A135" s="53">
        <v>540251</v>
      </c>
      <c r="B135" s="54" t="s">
        <v>723</v>
      </c>
      <c r="C135" s="54" t="s">
        <v>718</v>
      </c>
      <c r="D135" s="54" t="s">
        <v>55</v>
      </c>
      <c r="E135" s="53">
        <v>2</v>
      </c>
      <c r="F135" s="58">
        <v>27390</v>
      </c>
      <c r="G135" s="57">
        <v>28625</v>
      </c>
      <c r="H135" s="57">
        <v>41611</v>
      </c>
      <c r="I135" s="56" t="str">
        <f>"05/15/1978"</f>
        <v>05/15/1978</v>
      </c>
      <c r="J135" s="55">
        <v>2</v>
      </c>
      <c r="K135" s="54" t="s">
        <v>621</v>
      </c>
      <c r="L135" s="53" t="s">
        <v>536</v>
      </c>
    </row>
    <row r="136" spans="1:12" x14ac:dyDescent="0.25">
      <c r="A136" s="53">
        <v>540113</v>
      </c>
      <c r="B136" s="54" t="s">
        <v>722</v>
      </c>
      <c r="C136" s="54" t="s">
        <v>718</v>
      </c>
      <c r="D136" s="54" t="s">
        <v>55</v>
      </c>
      <c r="E136" s="53">
        <v>2</v>
      </c>
      <c r="F136" s="56" t="str">
        <f>"09/06/74"</f>
        <v>09/06/74</v>
      </c>
      <c r="G136" s="57">
        <v>28717</v>
      </c>
      <c r="H136" s="57">
        <v>41611</v>
      </c>
      <c r="I136" s="56" t="str">
        <f>"08/15/1978"</f>
        <v>08/15/1978</v>
      </c>
      <c r="J136" s="55">
        <v>2</v>
      </c>
      <c r="K136" s="54"/>
      <c r="L136" s="53"/>
    </row>
    <row r="137" spans="1:12" x14ac:dyDescent="0.25">
      <c r="A137" s="53">
        <v>540248</v>
      </c>
      <c r="B137" s="54" t="s">
        <v>721</v>
      </c>
      <c r="C137" s="54" t="s">
        <v>718</v>
      </c>
      <c r="D137" s="54" t="s">
        <v>55</v>
      </c>
      <c r="E137" s="53">
        <v>2</v>
      </c>
      <c r="F137" s="58">
        <v>27348</v>
      </c>
      <c r="G137" s="57">
        <v>28536</v>
      </c>
      <c r="H137" s="57">
        <v>41611</v>
      </c>
      <c r="I137" s="56" t="str">
        <f>"02/15/1978"</f>
        <v>02/15/1978</v>
      </c>
      <c r="J137" s="55">
        <v>2</v>
      </c>
      <c r="K137" s="54"/>
      <c r="L137" s="53"/>
    </row>
    <row r="138" spans="1:12" x14ac:dyDescent="0.25">
      <c r="A138" s="53">
        <v>540249</v>
      </c>
      <c r="B138" s="54" t="s">
        <v>720</v>
      </c>
      <c r="C138" s="54" t="s">
        <v>718</v>
      </c>
      <c r="D138" s="54" t="s">
        <v>55</v>
      </c>
      <c r="E138" s="53">
        <v>2</v>
      </c>
      <c r="F138" s="58">
        <v>27348</v>
      </c>
      <c r="G138" s="57">
        <v>28674</v>
      </c>
      <c r="H138" s="57">
        <v>41611</v>
      </c>
      <c r="I138" s="56" t="str">
        <f>"07/03/1978"</f>
        <v>07/03/1978</v>
      </c>
      <c r="J138" s="55">
        <v>2</v>
      </c>
      <c r="K138" s="54"/>
      <c r="L138" s="53"/>
    </row>
    <row r="139" spans="1:12" x14ac:dyDescent="0.25">
      <c r="A139" s="53">
        <v>540250</v>
      </c>
      <c r="B139" s="54" t="s">
        <v>719</v>
      </c>
      <c r="C139" s="54" t="s">
        <v>718</v>
      </c>
      <c r="D139" s="54" t="s">
        <v>55</v>
      </c>
      <c r="E139" s="53">
        <v>2</v>
      </c>
      <c r="F139" s="56" t="str">
        <f>"02/07/75"</f>
        <v>02/07/75</v>
      </c>
      <c r="G139" s="57">
        <v>28625</v>
      </c>
      <c r="H139" s="57">
        <v>41611</v>
      </c>
      <c r="I139" s="56" t="str">
        <f>"05/15/1978"</f>
        <v>05/15/1978</v>
      </c>
      <c r="J139" s="55">
        <v>2</v>
      </c>
      <c r="K139" s="54" t="s">
        <v>621</v>
      </c>
      <c r="L139" s="53" t="s">
        <v>536</v>
      </c>
    </row>
    <row r="140" spans="1:12" x14ac:dyDescent="0.25">
      <c r="A140" s="59">
        <v>540114</v>
      </c>
      <c r="B140" s="60" t="s">
        <v>717</v>
      </c>
      <c r="C140" s="60" t="s">
        <v>706</v>
      </c>
      <c r="D140" s="60" t="s">
        <v>52</v>
      </c>
      <c r="E140" s="59">
        <v>1</v>
      </c>
      <c r="F140" s="62" t="str">
        <f>"01/10/75"</f>
        <v>01/10/75</v>
      </c>
      <c r="G140" s="63">
        <v>31673</v>
      </c>
      <c r="H140" s="63">
        <v>38519</v>
      </c>
      <c r="I140" s="62" t="str">
        <f>"09/18/1986"</f>
        <v>09/18/1986</v>
      </c>
      <c r="J140" s="61">
        <v>1</v>
      </c>
      <c r="K140" s="60" t="s">
        <v>537</v>
      </c>
      <c r="L140" s="59" t="s">
        <v>536</v>
      </c>
    </row>
    <row r="141" spans="1:12" x14ac:dyDescent="0.25">
      <c r="A141" s="53">
        <v>540115</v>
      </c>
      <c r="B141" s="54" t="s">
        <v>716</v>
      </c>
      <c r="C141" s="54" t="s">
        <v>706</v>
      </c>
      <c r="D141" s="54" t="s">
        <v>55</v>
      </c>
      <c r="E141" s="53">
        <v>1</v>
      </c>
      <c r="F141" s="56" t="str">
        <f>"05/31/74"</f>
        <v>05/31/74</v>
      </c>
      <c r="G141" s="57">
        <v>31079</v>
      </c>
      <c r="H141" s="57">
        <v>38519</v>
      </c>
      <c r="I141" s="56" t="str">
        <f>"02/01/1985"</f>
        <v>02/01/1985</v>
      </c>
      <c r="J141" s="55">
        <v>1</v>
      </c>
      <c r="K141" s="54" t="s">
        <v>537</v>
      </c>
      <c r="L141" s="53" t="s">
        <v>536</v>
      </c>
    </row>
    <row r="142" spans="1:12" x14ac:dyDescent="0.25">
      <c r="A142" s="53">
        <v>540291</v>
      </c>
      <c r="B142" s="54" t="s">
        <v>715</v>
      </c>
      <c r="C142" s="54" t="s">
        <v>706</v>
      </c>
      <c r="D142" s="54" t="s">
        <v>55</v>
      </c>
      <c r="E142" s="53">
        <v>1</v>
      </c>
      <c r="F142" s="56"/>
      <c r="G142" s="57">
        <v>31673</v>
      </c>
      <c r="H142" s="57">
        <v>38519</v>
      </c>
      <c r="I142" s="56" t="str">
        <f>"07/08/1902"</f>
        <v>07/08/1902</v>
      </c>
      <c r="J142" s="55">
        <v>1</v>
      </c>
      <c r="K142" s="54" t="s">
        <v>537</v>
      </c>
      <c r="L142" s="53" t="s">
        <v>536</v>
      </c>
    </row>
    <row r="143" spans="1:12" x14ac:dyDescent="0.25">
      <c r="A143" s="53">
        <v>540116</v>
      </c>
      <c r="B143" s="54" t="s">
        <v>714</v>
      </c>
      <c r="C143" s="54" t="s">
        <v>706</v>
      </c>
      <c r="D143" s="54" t="s">
        <v>55</v>
      </c>
      <c r="E143" s="53">
        <v>1</v>
      </c>
      <c r="F143" s="56" t="str">
        <f>"09/06/74"</f>
        <v>09/06/74</v>
      </c>
      <c r="G143" s="57">
        <v>30953</v>
      </c>
      <c r="H143" s="57">
        <v>38519</v>
      </c>
      <c r="I143" s="56" t="str">
        <f>"09/28/1984"</f>
        <v>09/28/1984</v>
      </c>
      <c r="J143" s="55">
        <v>1</v>
      </c>
      <c r="K143" s="54" t="s">
        <v>537</v>
      </c>
      <c r="L143" s="53" t="s">
        <v>536</v>
      </c>
    </row>
    <row r="144" spans="1:12" x14ac:dyDescent="0.25">
      <c r="A144" s="53">
        <v>540117</v>
      </c>
      <c r="B144" s="54" t="s">
        <v>713</v>
      </c>
      <c r="C144" s="54" t="s">
        <v>706</v>
      </c>
      <c r="D144" s="54" t="s">
        <v>55</v>
      </c>
      <c r="E144" s="53">
        <v>1</v>
      </c>
      <c r="F144" s="56" t="str">
        <f>"07/19/74"</f>
        <v>07/19/74</v>
      </c>
      <c r="G144" s="57">
        <v>31079</v>
      </c>
      <c r="H144" s="57">
        <v>38519</v>
      </c>
      <c r="I144" s="56" t="str">
        <f>"02/01/1985"</f>
        <v>02/01/1985</v>
      </c>
      <c r="J144" s="55">
        <v>1</v>
      </c>
      <c r="K144" s="54" t="s">
        <v>537</v>
      </c>
      <c r="L144" s="53" t="s">
        <v>536</v>
      </c>
    </row>
    <row r="145" spans="1:12" x14ac:dyDescent="0.25">
      <c r="A145" s="53">
        <v>540118</v>
      </c>
      <c r="B145" s="54" t="s">
        <v>712</v>
      </c>
      <c r="C145" s="54" t="s">
        <v>706</v>
      </c>
      <c r="D145" s="54" t="s">
        <v>55</v>
      </c>
      <c r="E145" s="53">
        <v>1</v>
      </c>
      <c r="F145" s="56" t="str">
        <f>"05/24/74"</f>
        <v>05/24/74</v>
      </c>
      <c r="G145" s="57">
        <v>30953</v>
      </c>
      <c r="H145" s="57">
        <v>38519</v>
      </c>
      <c r="I145" s="56" t="str">
        <f>"09/28/1984"</f>
        <v>09/28/1984</v>
      </c>
      <c r="J145" s="55">
        <v>1</v>
      </c>
      <c r="K145" s="54" t="s">
        <v>537</v>
      </c>
      <c r="L145" s="53" t="s">
        <v>536</v>
      </c>
    </row>
    <row r="146" spans="1:12" x14ac:dyDescent="0.25">
      <c r="A146" s="53">
        <v>540119</v>
      </c>
      <c r="B146" s="54" t="s">
        <v>711</v>
      </c>
      <c r="C146" s="54" t="s">
        <v>706</v>
      </c>
      <c r="D146" s="54" t="s">
        <v>55</v>
      </c>
      <c r="E146" s="53">
        <v>1</v>
      </c>
      <c r="F146" s="56" t="str">
        <f>"05/17/74"</f>
        <v>05/17/74</v>
      </c>
      <c r="G146" s="57">
        <v>31079</v>
      </c>
      <c r="H146" s="57">
        <v>38519</v>
      </c>
      <c r="I146" s="56" t="str">
        <f>"02/01/1985"</f>
        <v>02/01/1985</v>
      </c>
      <c r="J146" s="55">
        <v>1</v>
      </c>
      <c r="K146" s="54" t="s">
        <v>537</v>
      </c>
      <c r="L146" s="53" t="s">
        <v>536</v>
      </c>
    </row>
    <row r="147" spans="1:12" x14ac:dyDescent="0.25">
      <c r="A147" s="53">
        <v>540120</v>
      </c>
      <c r="B147" s="54" t="s">
        <v>710</v>
      </c>
      <c r="C147" s="54" t="s">
        <v>706</v>
      </c>
      <c r="D147" s="54" t="s">
        <v>55</v>
      </c>
      <c r="E147" s="53">
        <v>1</v>
      </c>
      <c r="F147" s="56" t="str">
        <f>"05/17/74"</f>
        <v>05/17/74</v>
      </c>
      <c r="G147" s="57">
        <v>31079</v>
      </c>
      <c r="H147" s="57">
        <v>38519</v>
      </c>
      <c r="I147" s="56" t="str">
        <f>"02/01/1985"</f>
        <v>02/01/1985</v>
      </c>
      <c r="J147" s="55">
        <v>1</v>
      </c>
      <c r="K147" s="54" t="s">
        <v>537</v>
      </c>
      <c r="L147" s="53" t="s">
        <v>536</v>
      </c>
    </row>
    <row r="148" spans="1:12" x14ac:dyDescent="0.25">
      <c r="A148" s="53">
        <v>540121</v>
      </c>
      <c r="B148" s="54" t="s">
        <v>709</v>
      </c>
      <c r="C148" s="54" t="s">
        <v>706</v>
      </c>
      <c r="D148" s="54" t="s">
        <v>55</v>
      </c>
      <c r="E148" s="53">
        <v>1</v>
      </c>
      <c r="F148" s="56" t="str">
        <f>"05/24/74"</f>
        <v>05/24/74</v>
      </c>
      <c r="G148" s="57">
        <v>31140</v>
      </c>
      <c r="H148" s="57">
        <v>38519</v>
      </c>
      <c r="I148" s="56" t="str">
        <f>"04/03/1985"</f>
        <v>04/03/1985</v>
      </c>
      <c r="J148" s="55">
        <v>1</v>
      </c>
      <c r="K148" s="54" t="s">
        <v>537</v>
      </c>
      <c r="L148" s="53" t="s">
        <v>536</v>
      </c>
    </row>
    <row r="149" spans="1:12" x14ac:dyDescent="0.25">
      <c r="A149" s="53">
        <v>540122</v>
      </c>
      <c r="B149" s="54" t="s">
        <v>708</v>
      </c>
      <c r="C149" s="54" t="s">
        <v>706</v>
      </c>
      <c r="D149" s="54" t="s">
        <v>55</v>
      </c>
      <c r="E149" s="53">
        <v>1</v>
      </c>
      <c r="F149" s="56" t="str">
        <f>"05/31/74"</f>
        <v>05/31/74</v>
      </c>
      <c r="G149" s="57">
        <v>30953</v>
      </c>
      <c r="H149" s="57">
        <v>38519</v>
      </c>
      <c r="I149" s="56" t="str">
        <f>"09/28/1984"</f>
        <v>09/28/1984</v>
      </c>
      <c r="J149" s="55">
        <v>1</v>
      </c>
      <c r="K149" s="54" t="s">
        <v>537</v>
      </c>
      <c r="L149" s="53" t="s">
        <v>536</v>
      </c>
    </row>
    <row r="150" spans="1:12" x14ac:dyDescent="0.25">
      <c r="A150" s="53">
        <v>540123</v>
      </c>
      <c r="B150" s="54" t="s">
        <v>707</v>
      </c>
      <c r="C150" s="54" t="s">
        <v>706</v>
      </c>
      <c r="D150" s="54" t="s">
        <v>55</v>
      </c>
      <c r="E150" s="53">
        <v>1</v>
      </c>
      <c r="F150" s="56" t="str">
        <f>"05/31/74"</f>
        <v>05/31/74</v>
      </c>
      <c r="G150" s="57">
        <v>30560</v>
      </c>
      <c r="H150" s="57">
        <v>38519</v>
      </c>
      <c r="I150" s="56" t="str">
        <f>"09/01/1983"</f>
        <v>09/01/1983</v>
      </c>
      <c r="J150" s="55">
        <v>1</v>
      </c>
      <c r="K150" s="54" t="s">
        <v>537</v>
      </c>
      <c r="L150" s="53" t="s">
        <v>536</v>
      </c>
    </row>
    <row r="151" spans="1:12" x14ac:dyDescent="0.25">
      <c r="A151" s="59">
        <v>540124</v>
      </c>
      <c r="B151" s="60" t="s">
        <v>705</v>
      </c>
      <c r="C151" s="60" t="s">
        <v>697</v>
      </c>
      <c r="D151" s="60" t="s">
        <v>52</v>
      </c>
      <c r="E151" s="59">
        <v>1</v>
      </c>
      <c r="F151" s="64">
        <v>27376</v>
      </c>
      <c r="G151" s="63">
        <v>31079</v>
      </c>
      <c r="H151" s="63">
        <v>38413</v>
      </c>
      <c r="I151" s="62" t="str">
        <f>"02/01/1985"</f>
        <v>02/01/1985</v>
      </c>
      <c r="J151" s="61">
        <v>2</v>
      </c>
      <c r="K151" s="60" t="s">
        <v>537</v>
      </c>
      <c r="L151" s="59" t="s">
        <v>536</v>
      </c>
    </row>
    <row r="152" spans="1:12" x14ac:dyDescent="0.25">
      <c r="A152" s="53">
        <v>540172</v>
      </c>
      <c r="B152" s="54" t="s">
        <v>704</v>
      </c>
      <c r="C152" s="54" t="s">
        <v>697</v>
      </c>
      <c r="D152" s="54" t="s">
        <v>55</v>
      </c>
      <c r="E152" s="53">
        <v>1</v>
      </c>
      <c r="F152" s="56"/>
      <c r="G152" s="57">
        <v>38413</v>
      </c>
      <c r="H152" s="57">
        <v>38413</v>
      </c>
      <c r="I152" s="56" t="str">
        <f>"04/26/1913"</f>
        <v>04/26/1913</v>
      </c>
      <c r="J152" s="55">
        <v>2</v>
      </c>
      <c r="K152" s="54" t="s">
        <v>537</v>
      </c>
      <c r="L152" s="53" t="s">
        <v>536</v>
      </c>
    </row>
    <row r="153" spans="1:12" x14ac:dyDescent="0.25">
      <c r="A153" s="53">
        <v>540285</v>
      </c>
      <c r="B153" s="54" t="s">
        <v>703</v>
      </c>
      <c r="C153" s="54" t="s">
        <v>697</v>
      </c>
      <c r="D153" s="54" t="s">
        <v>55</v>
      </c>
      <c r="E153" s="53">
        <v>1</v>
      </c>
      <c r="F153" s="56"/>
      <c r="G153" s="57">
        <v>38413</v>
      </c>
      <c r="H153" s="57">
        <v>38413</v>
      </c>
      <c r="I153" s="56" t="str">
        <f>"05/26/1978"</f>
        <v>05/26/1978</v>
      </c>
      <c r="J153" s="55">
        <v>2</v>
      </c>
      <c r="K153" s="54" t="s">
        <v>537</v>
      </c>
      <c r="L153" s="53" t="s">
        <v>536</v>
      </c>
    </row>
    <row r="154" spans="1:12" x14ac:dyDescent="0.25">
      <c r="A154" s="53">
        <v>540125</v>
      </c>
      <c r="B154" s="54" t="s">
        <v>702</v>
      </c>
      <c r="C154" s="54" t="s">
        <v>697</v>
      </c>
      <c r="D154" s="54" t="s">
        <v>55</v>
      </c>
      <c r="E154" s="53">
        <v>1</v>
      </c>
      <c r="F154" s="56" t="str">
        <f>"05/24/74"</f>
        <v>05/24/74</v>
      </c>
      <c r="G154" s="57">
        <v>30651</v>
      </c>
      <c r="H154" s="57">
        <v>38413</v>
      </c>
      <c r="I154" s="58">
        <v>30651</v>
      </c>
      <c r="J154" s="55">
        <v>2</v>
      </c>
      <c r="K154" s="54" t="s">
        <v>537</v>
      </c>
      <c r="L154" s="53" t="s">
        <v>536</v>
      </c>
    </row>
    <row r="155" spans="1:12" x14ac:dyDescent="0.25">
      <c r="A155" s="65">
        <v>540126</v>
      </c>
      <c r="B155" s="66" t="s">
        <v>701</v>
      </c>
      <c r="C155" s="66" t="s">
        <v>697</v>
      </c>
      <c r="D155" s="66" t="s">
        <v>55</v>
      </c>
      <c r="E155" s="65">
        <v>1</v>
      </c>
      <c r="F155" s="68" t="str">
        <f>"07/30/76"</f>
        <v>07/30/76</v>
      </c>
      <c r="G155" s="69">
        <v>30665</v>
      </c>
      <c r="H155" s="69">
        <v>38413</v>
      </c>
      <c r="I155" s="71">
        <v>30665</v>
      </c>
      <c r="J155" s="67">
        <v>2</v>
      </c>
      <c r="K155" s="66" t="s">
        <v>700</v>
      </c>
      <c r="L155" s="65" t="s">
        <v>536</v>
      </c>
    </row>
    <row r="156" spans="1:12" x14ac:dyDescent="0.25">
      <c r="A156" s="53">
        <v>540127</v>
      </c>
      <c r="B156" s="54" t="s">
        <v>699</v>
      </c>
      <c r="C156" s="54" t="s">
        <v>697</v>
      </c>
      <c r="D156" s="54" t="s">
        <v>55</v>
      </c>
      <c r="E156" s="53">
        <v>1</v>
      </c>
      <c r="F156" s="58">
        <v>27327</v>
      </c>
      <c r="G156" s="57">
        <v>30665</v>
      </c>
      <c r="H156" s="57">
        <v>38413</v>
      </c>
      <c r="I156" s="58">
        <v>30665</v>
      </c>
      <c r="J156" s="55">
        <v>2</v>
      </c>
      <c r="K156" s="54" t="s">
        <v>537</v>
      </c>
      <c r="L156" s="53" t="s">
        <v>536</v>
      </c>
    </row>
    <row r="157" spans="1:12" x14ac:dyDescent="0.25">
      <c r="A157" s="53">
        <v>540128</v>
      </c>
      <c r="B157" s="54" t="s">
        <v>698</v>
      </c>
      <c r="C157" s="54" t="s">
        <v>697</v>
      </c>
      <c r="D157" s="54" t="s">
        <v>55</v>
      </c>
      <c r="E157" s="53">
        <v>1</v>
      </c>
      <c r="F157" s="56" t="str">
        <f>"07/19/74"</f>
        <v>07/19/74</v>
      </c>
      <c r="G157" s="57">
        <v>30713</v>
      </c>
      <c r="H157" s="57">
        <v>38413</v>
      </c>
      <c r="I157" s="56" t="str">
        <f>"02/01/1984"</f>
        <v>02/01/1984</v>
      </c>
      <c r="J157" s="55">
        <v>0</v>
      </c>
      <c r="K157" s="54" t="s">
        <v>537</v>
      </c>
      <c r="L157" s="53" t="s">
        <v>536</v>
      </c>
    </row>
    <row r="158" spans="1:12" x14ac:dyDescent="0.25">
      <c r="A158" s="59">
        <v>540129</v>
      </c>
      <c r="B158" s="60" t="s">
        <v>696</v>
      </c>
      <c r="C158" s="60" t="s">
        <v>692</v>
      </c>
      <c r="D158" s="60" t="s">
        <v>52</v>
      </c>
      <c r="E158" s="59">
        <v>8</v>
      </c>
      <c r="F158" s="62" t="str">
        <f>"01/31/75"</f>
        <v>01/31/75</v>
      </c>
      <c r="G158" s="63">
        <v>33508</v>
      </c>
      <c r="H158" s="63">
        <v>41352</v>
      </c>
      <c r="I158" s="62" t="str">
        <f>"09/27/1991"</f>
        <v>09/27/1991</v>
      </c>
      <c r="J158" s="61">
        <v>2</v>
      </c>
      <c r="K158" s="60"/>
      <c r="L158" s="59"/>
    </row>
    <row r="159" spans="1:12" x14ac:dyDescent="0.25">
      <c r="A159" s="53">
        <v>540130</v>
      </c>
      <c r="B159" s="54" t="s">
        <v>695</v>
      </c>
      <c r="C159" s="54" t="s">
        <v>692</v>
      </c>
      <c r="D159" s="54" t="s">
        <v>55</v>
      </c>
      <c r="E159" s="53">
        <v>8</v>
      </c>
      <c r="F159" s="56" t="str">
        <f>"06/28/74"</f>
        <v>06/28/74</v>
      </c>
      <c r="G159" s="57">
        <v>33508</v>
      </c>
      <c r="H159" s="57">
        <v>41352</v>
      </c>
      <c r="I159" s="56" t="str">
        <f>"09/27/1991"</f>
        <v>09/27/1991</v>
      </c>
      <c r="J159" s="55">
        <v>2</v>
      </c>
      <c r="K159" s="54"/>
      <c r="L159" s="53"/>
    </row>
    <row r="160" spans="1:12" x14ac:dyDescent="0.25">
      <c r="A160" s="53">
        <v>540131</v>
      </c>
      <c r="B160" s="54" t="s">
        <v>694</v>
      </c>
      <c r="C160" s="54" t="s">
        <v>692</v>
      </c>
      <c r="D160" s="54" t="s">
        <v>55</v>
      </c>
      <c r="E160" s="53">
        <v>8</v>
      </c>
      <c r="F160" s="56" t="str">
        <f>"08/23/74"</f>
        <v>08/23/74</v>
      </c>
      <c r="G160" s="57">
        <v>33508</v>
      </c>
      <c r="H160" s="57">
        <v>41352</v>
      </c>
      <c r="I160" s="56" t="str">
        <f>"09/27/1991"</f>
        <v>09/27/1991</v>
      </c>
      <c r="J160" s="55">
        <v>2</v>
      </c>
      <c r="K160" s="54"/>
      <c r="L160" s="53"/>
    </row>
    <row r="161" spans="1:12" x14ac:dyDescent="0.25">
      <c r="A161" s="53">
        <v>540155</v>
      </c>
      <c r="B161" s="54" t="s">
        <v>693</v>
      </c>
      <c r="C161" s="54" t="s">
        <v>692</v>
      </c>
      <c r="D161" s="54" t="s">
        <v>55</v>
      </c>
      <c r="E161" s="53">
        <v>8</v>
      </c>
      <c r="F161" s="56" t="str">
        <f>"01/31/75"</f>
        <v>01/31/75</v>
      </c>
      <c r="G161" s="57">
        <v>33508</v>
      </c>
      <c r="H161" s="57">
        <v>41352</v>
      </c>
      <c r="I161" s="56" t="str">
        <f>"04/03/1913"</f>
        <v>04/03/1913</v>
      </c>
      <c r="J161" s="55">
        <v>2</v>
      </c>
      <c r="K161" s="54"/>
      <c r="L161" s="53"/>
    </row>
    <row r="162" spans="1:12" x14ac:dyDescent="0.25">
      <c r="A162" s="59">
        <v>540133</v>
      </c>
      <c r="B162" s="60" t="s">
        <v>691</v>
      </c>
      <c r="C162" s="60" t="s">
        <v>682</v>
      </c>
      <c r="D162" s="60" t="s">
        <v>52</v>
      </c>
      <c r="E162" s="59">
        <v>2</v>
      </c>
      <c r="F162" s="64">
        <v>27383</v>
      </c>
      <c r="G162" s="63">
        <v>29557</v>
      </c>
      <c r="H162" s="63">
        <v>42599</v>
      </c>
      <c r="I162" s="64">
        <v>29557</v>
      </c>
      <c r="J162" s="61">
        <v>2</v>
      </c>
      <c r="K162" s="60" t="s">
        <v>537</v>
      </c>
      <c r="L162" s="59" t="s">
        <v>536</v>
      </c>
    </row>
    <row r="163" spans="1:12" x14ac:dyDescent="0.25">
      <c r="A163" s="53">
        <v>540134</v>
      </c>
      <c r="B163" s="54" t="s">
        <v>690</v>
      </c>
      <c r="C163" s="54" t="s">
        <v>682</v>
      </c>
      <c r="D163" s="54" t="s">
        <v>55</v>
      </c>
      <c r="E163" s="53">
        <v>2</v>
      </c>
      <c r="F163" s="56" t="str">
        <f>"03/02/73"</f>
        <v>03/02/73</v>
      </c>
      <c r="G163" s="57">
        <v>28199</v>
      </c>
      <c r="H163" s="57">
        <v>41184</v>
      </c>
      <c r="I163" s="56" t="str">
        <f>"03/15/1977"</f>
        <v>03/15/1977</v>
      </c>
      <c r="J163" s="55">
        <v>2</v>
      </c>
      <c r="K163" s="54" t="s">
        <v>537</v>
      </c>
      <c r="L163" s="53" t="s">
        <v>536</v>
      </c>
    </row>
    <row r="164" spans="1:12" x14ac:dyDescent="0.25">
      <c r="A164" s="53">
        <v>540135</v>
      </c>
      <c r="B164" s="54" t="s">
        <v>689</v>
      </c>
      <c r="C164" s="54" t="s">
        <v>682</v>
      </c>
      <c r="D164" s="54" t="s">
        <v>55</v>
      </c>
      <c r="E164" s="53">
        <v>2</v>
      </c>
      <c r="F164" s="56" t="str">
        <f>"05/31/74"</f>
        <v>05/31/74</v>
      </c>
      <c r="G164" s="57">
        <v>28247</v>
      </c>
      <c r="H164" s="57">
        <v>41184</v>
      </c>
      <c r="I164" s="56" t="str">
        <f>"05/02/1977"</f>
        <v>05/02/1977</v>
      </c>
      <c r="J164" s="55">
        <v>2</v>
      </c>
      <c r="K164" s="54" t="s">
        <v>537</v>
      </c>
      <c r="L164" s="53" t="s">
        <v>536</v>
      </c>
    </row>
    <row r="165" spans="1:12" x14ac:dyDescent="0.25">
      <c r="A165" s="53" t="s">
        <v>688</v>
      </c>
      <c r="B165" s="54" t="s">
        <v>687</v>
      </c>
      <c r="C165" s="54" t="s">
        <v>682</v>
      </c>
      <c r="D165" s="54" t="s">
        <v>55</v>
      </c>
      <c r="E165" s="53">
        <v>2</v>
      </c>
      <c r="F165" s="56" t="str">
        <f>"01/04/74"</f>
        <v>01/04/74</v>
      </c>
      <c r="G165" s="57">
        <v>28550</v>
      </c>
      <c r="H165" s="57">
        <v>42599</v>
      </c>
      <c r="I165" s="56" t="str">
        <f>"03/01/1978"</f>
        <v>03/01/1978</v>
      </c>
      <c r="J165" s="55">
        <v>2</v>
      </c>
      <c r="K165" s="54" t="s">
        <v>537</v>
      </c>
      <c r="L165" s="53" t="s">
        <v>536</v>
      </c>
    </row>
    <row r="166" spans="1:12" x14ac:dyDescent="0.25">
      <c r="A166" s="53" t="s">
        <v>686</v>
      </c>
      <c r="B166" s="54" t="s">
        <v>685</v>
      </c>
      <c r="C166" s="54" t="s">
        <v>682</v>
      </c>
      <c r="D166" s="54" t="s">
        <v>55</v>
      </c>
      <c r="E166" s="53">
        <v>2</v>
      </c>
      <c r="F166" s="56"/>
      <c r="G166" s="70">
        <v>25602</v>
      </c>
      <c r="H166" s="57">
        <v>42599</v>
      </c>
      <c r="I166" s="56" t="str">
        <f>"02/03/1970"</f>
        <v>02/03/1970</v>
      </c>
      <c r="J166" s="55">
        <v>2</v>
      </c>
      <c r="K166" s="54" t="s">
        <v>537</v>
      </c>
      <c r="L166" s="53" t="s">
        <v>536</v>
      </c>
    </row>
    <row r="167" spans="1:12" x14ac:dyDescent="0.25">
      <c r="A167" s="53" t="s">
        <v>684</v>
      </c>
      <c r="B167" s="54" t="s">
        <v>683</v>
      </c>
      <c r="C167" s="54" t="s">
        <v>682</v>
      </c>
      <c r="D167" s="54" t="s">
        <v>55</v>
      </c>
      <c r="E167" s="53">
        <v>2</v>
      </c>
      <c r="F167" s="56" t="str">
        <f>"05/31/74"</f>
        <v>05/31/74</v>
      </c>
      <c r="G167" s="57">
        <v>29602</v>
      </c>
      <c r="H167" s="57">
        <v>42599</v>
      </c>
      <c r="I167" s="56" t="str">
        <f>"01/16/1981"</f>
        <v>01/16/1981</v>
      </c>
      <c r="J167" s="55">
        <v>2</v>
      </c>
      <c r="K167" s="54" t="s">
        <v>537</v>
      </c>
      <c r="L167" s="53" t="s">
        <v>536</v>
      </c>
    </row>
    <row r="168" spans="1:12" x14ac:dyDescent="0.25">
      <c r="A168" s="59">
        <v>540139</v>
      </c>
      <c r="B168" s="60" t="s">
        <v>681</v>
      </c>
      <c r="C168" s="60" t="s">
        <v>675</v>
      </c>
      <c r="D168" s="60" t="s">
        <v>52</v>
      </c>
      <c r="E168" s="59">
        <v>6</v>
      </c>
      <c r="F168" s="62"/>
      <c r="G168" s="63">
        <v>40198</v>
      </c>
      <c r="H168" s="63">
        <v>43560</v>
      </c>
      <c r="I168" s="62" t="str">
        <f>"05/01/1984"</f>
        <v>05/01/1984</v>
      </c>
      <c r="J168" s="61">
        <v>2</v>
      </c>
      <c r="K168" s="60"/>
      <c r="L168" s="59"/>
    </row>
    <row r="169" spans="1:12" x14ac:dyDescent="0.25">
      <c r="A169" s="53">
        <v>540140</v>
      </c>
      <c r="B169" s="54" t="s">
        <v>680</v>
      </c>
      <c r="C169" s="54" t="s">
        <v>675</v>
      </c>
      <c r="D169" s="54" t="s">
        <v>55</v>
      </c>
      <c r="E169" s="53">
        <v>6</v>
      </c>
      <c r="F169" s="58">
        <v>27327</v>
      </c>
      <c r="G169" s="57">
        <v>40198</v>
      </c>
      <c r="H169" s="57">
        <v>40198</v>
      </c>
      <c r="I169" s="58">
        <v>28850</v>
      </c>
      <c r="J169" s="55">
        <v>2</v>
      </c>
      <c r="K169" s="54"/>
      <c r="L169" s="53"/>
    </row>
    <row r="170" spans="1:12" x14ac:dyDescent="0.25">
      <c r="A170" s="53">
        <v>540272</v>
      </c>
      <c r="B170" s="54" t="s">
        <v>679</v>
      </c>
      <c r="C170" s="54" t="s">
        <v>675</v>
      </c>
      <c r="D170" s="54" t="s">
        <v>55</v>
      </c>
      <c r="E170" s="53">
        <v>6</v>
      </c>
      <c r="F170" s="58">
        <v>27362</v>
      </c>
      <c r="G170" s="57">
        <v>30665</v>
      </c>
      <c r="H170" s="57">
        <v>43560</v>
      </c>
      <c r="I170" s="58">
        <v>30665</v>
      </c>
      <c r="J170" s="55">
        <v>2</v>
      </c>
      <c r="K170" s="54"/>
      <c r="L170" s="53"/>
    </row>
    <row r="171" spans="1:12" x14ac:dyDescent="0.25">
      <c r="A171" s="53">
        <v>540141</v>
      </c>
      <c r="B171" s="54" t="s">
        <v>678</v>
      </c>
      <c r="C171" s="54" t="s">
        <v>675</v>
      </c>
      <c r="D171" s="54" t="s">
        <v>55</v>
      </c>
      <c r="E171" s="53">
        <v>6</v>
      </c>
      <c r="F171" s="56" t="str">
        <f>"08/02/74"</f>
        <v>08/02/74</v>
      </c>
      <c r="G171" s="57">
        <v>29068</v>
      </c>
      <c r="H171" s="57">
        <v>43560</v>
      </c>
      <c r="I171" s="56" t="str">
        <f>"08/01/1979"</f>
        <v>08/01/1979</v>
      </c>
      <c r="J171" s="55">
        <v>2</v>
      </c>
      <c r="K171" s="54"/>
      <c r="L171" s="53"/>
    </row>
    <row r="172" spans="1:12" x14ac:dyDescent="0.25">
      <c r="A172" s="53">
        <v>540273</v>
      </c>
      <c r="B172" s="54" t="s">
        <v>677</v>
      </c>
      <c r="C172" s="54" t="s">
        <v>675</v>
      </c>
      <c r="D172" s="54" t="s">
        <v>55</v>
      </c>
      <c r="E172" s="53">
        <v>6</v>
      </c>
      <c r="F172" s="58">
        <v>27355</v>
      </c>
      <c r="G172" s="57">
        <v>28703</v>
      </c>
      <c r="H172" s="57">
        <v>43560</v>
      </c>
      <c r="I172" s="56" t="str">
        <f>"08/01/1978"</f>
        <v>08/01/1978</v>
      </c>
      <c r="J172" s="55">
        <v>2</v>
      </c>
      <c r="K172" s="54"/>
      <c r="L172" s="53"/>
    </row>
    <row r="173" spans="1:12" x14ac:dyDescent="0.25">
      <c r="A173" s="53">
        <v>540274</v>
      </c>
      <c r="B173" s="54" t="s">
        <v>676</v>
      </c>
      <c r="C173" s="54" t="s">
        <v>675</v>
      </c>
      <c r="D173" s="54" t="s">
        <v>55</v>
      </c>
      <c r="E173" s="53">
        <v>6</v>
      </c>
      <c r="F173" s="58">
        <v>27355</v>
      </c>
      <c r="G173" s="57">
        <v>28703</v>
      </c>
      <c r="H173" s="57">
        <v>43560</v>
      </c>
      <c r="I173" s="56" t="str">
        <f>"08/01/1978"</f>
        <v>08/01/1978</v>
      </c>
      <c r="J173" s="55">
        <v>2</v>
      </c>
      <c r="K173" s="54"/>
      <c r="L173" s="53"/>
    </row>
    <row r="174" spans="1:12" x14ac:dyDescent="0.25">
      <c r="A174" s="59">
        <v>540278</v>
      </c>
      <c r="B174" s="60" t="s">
        <v>674</v>
      </c>
      <c r="C174" s="60" t="s">
        <v>670</v>
      </c>
      <c r="D174" s="60" t="s">
        <v>52</v>
      </c>
      <c r="E174" s="59">
        <v>1</v>
      </c>
      <c r="F174" s="62" t="str">
        <f>"07/25/75"</f>
        <v>07/25/75</v>
      </c>
      <c r="G174" s="63">
        <v>30330</v>
      </c>
      <c r="H174" s="63">
        <v>37424</v>
      </c>
      <c r="I174" s="62" t="str">
        <f>"01/14/1983"</f>
        <v>01/14/1983</v>
      </c>
      <c r="J174" s="61">
        <v>2</v>
      </c>
      <c r="K174" s="60" t="s">
        <v>537</v>
      </c>
      <c r="L174" s="59" t="s">
        <v>560</v>
      </c>
    </row>
    <row r="175" spans="1:12" x14ac:dyDescent="0.25">
      <c r="A175" s="53">
        <v>540041</v>
      </c>
      <c r="B175" s="54" t="s">
        <v>673</v>
      </c>
      <c r="C175" s="54" t="s">
        <v>670</v>
      </c>
      <c r="D175" s="54" t="s">
        <v>55</v>
      </c>
      <c r="E175" s="53">
        <v>1</v>
      </c>
      <c r="F175" s="56" t="str">
        <f>"06/14/74"</f>
        <v>06/14/74</v>
      </c>
      <c r="G175" s="57">
        <v>33508</v>
      </c>
      <c r="H175" s="57">
        <v>37424</v>
      </c>
      <c r="I175" s="56" t="str">
        <f>"09/27/1991"</f>
        <v>09/27/1991</v>
      </c>
      <c r="J175" s="55">
        <v>2</v>
      </c>
      <c r="K175" s="54" t="s">
        <v>537</v>
      </c>
      <c r="L175" s="53" t="s">
        <v>560</v>
      </c>
    </row>
    <row r="176" spans="1:12" x14ac:dyDescent="0.25">
      <c r="A176" s="53">
        <v>540143</v>
      </c>
      <c r="B176" s="54" t="s">
        <v>672</v>
      </c>
      <c r="C176" s="54" t="s">
        <v>670</v>
      </c>
      <c r="D176" s="54" t="s">
        <v>55</v>
      </c>
      <c r="E176" s="53">
        <v>1</v>
      </c>
      <c r="F176" s="56" t="str">
        <f>"06/28/74"</f>
        <v>06/28/74</v>
      </c>
      <c r="G176" s="57">
        <v>29068</v>
      </c>
      <c r="H176" s="57">
        <v>37424</v>
      </c>
      <c r="I176" s="56" t="str">
        <f>"08/01/1979"</f>
        <v>08/01/1979</v>
      </c>
      <c r="J176" s="55">
        <v>2</v>
      </c>
      <c r="K176" s="54" t="s">
        <v>537</v>
      </c>
      <c r="L176" s="53" t="s">
        <v>560</v>
      </c>
    </row>
    <row r="177" spans="1:12" x14ac:dyDescent="0.25">
      <c r="A177" s="53">
        <v>540290</v>
      </c>
      <c r="B177" s="54" t="s">
        <v>671</v>
      </c>
      <c r="C177" s="54" t="s">
        <v>670</v>
      </c>
      <c r="D177" s="54" t="s">
        <v>55</v>
      </c>
      <c r="E177" s="53">
        <v>1</v>
      </c>
      <c r="F177" s="56"/>
      <c r="G177" s="57">
        <v>37424</v>
      </c>
      <c r="H177" s="57">
        <v>37424</v>
      </c>
      <c r="I177" s="58">
        <v>39020</v>
      </c>
      <c r="J177" s="55">
        <v>2</v>
      </c>
      <c r="K177" s="54" t="s">
        <v>537</v>
      </c>
      <c r="L177" s="53" t="s">
        <v>560</v>
      </c>
    </row>
    <row r="178" spans="1:12" x14ac:dyDescent="0.25">
      <c r="A178" s="59">
        <v>540144</v>
      </c>
      <c r="B178" s="60" t="s">
        <v>669</v>
      </c>
      <c r="C178" s="60" t="s">
        <v>666</v>
      </c>
      <c r="D178" s="60" t="s">
        <v>52</v>
      </c>
      <c r="E178" s="59">
        <v>9</v>
      </c>
      <c r="F178" s="62" t="str">
        <f>"05/20/77"</f>
        <v>05/20/77</v>
      </c>
      <c r="G178" s="63">
        <v>31959</v>
      </c>
      <c r="H178" s="63">
        <v>40081</v>
      </c>
      <c r="I178" s="62" t="str">
        <f>"07/01/1987"</f>
        <v>07/01/1987</v>
      </c>
      <c r="J178" s="61">
        <v>2</v>
      </c>
      <c r="K178" s="60" t="s">
        <v>537</v>
      </c>
      <c r="L178" s="59" t="s">
        <v>560</v>
      </c>
    </row>
    <row r="179" spans="1:12" x14ac:dyDescent="0.25">
      <c r="A179" s="53">
        <v>540005</v>
      </c>
      <c r="B179" s="54" t="s">
        <v>668</v>
      </c>
      <c r="C179" s="54" t="s">
        <v>666</v>
      </c>
      <c r="D179" s="54" t="s">
        <v>55</v>
      </c>
      <c r="E179" s="53">
        <v>9</v>
      </c>
      <c r="F179" s="56" t="str">
        <f>"02/27/76"</f>
        <v>02/27/76</v>
      </c>
      <c r="G179" s="57">
        <v>29222</v>
      </c>
      <c r="H179" s="57">
        <v>40081</v>
      </c>
      <c r="I179" s="56" t="str">
        <f>"01/02/1980"</f>
        <v>01/02/1980</v>
      </c>
      <c r="J179" s="55">
        <v>2</v>
      </c>
      <c r="K179" s="54" t="s">
        <v>537</v>
      </c>
      <c r="L179" s="53" t="s">
        <v>560</v>
      </c>
    </row>
    <row r="180" spans="1:12" x14ac:dyDescent="0.25">
      <c r="A180" s="53">
        <v>540252</v>
      </c>
      <c r="B180" s="54" t="s">
        <v>667</v>
      </c>
      <c r="C180" s="54" t="s">
        <v>666</v>
      </c>
      <c r="D180" s="54" t="s">
        <v>55</v>
      </c>
      <c r="E180" s="53">
        <v>9</v>
      </c>
      <c r="F180" s="58">
        <v>27348</v>
      </c>
      <c r="G180" s="57">
        <v>30988</v>
      </c>
      <c r="H180" s="57">
        <v>40081</v>
      </c>
      <c r="I180" s="58">
        <v>30988</v>
      </c>
      <c r="J180" s="55">
        <v>2</v>
      </c>
      <c r="K180" s="54" t="s">
        <v>537</v>
      </c>
      <c r="L180" s="53" t="s">
        <v>560</v>
      </c>
    </row>
    <row r="181" spans="1:12" x14ac:dyDescent="0.25">
      <c r="A181" s="59">
        <v>540146</v>
      </c>
      <c r="B181" s="60" t="s">
        <v>665</v>
      </c>
      <c r="C181" s="60" t="s">
        <v>662</v>
      </c>
      <c r="D181" s="60" t="s">
        <v>52</v>
      </c>
      <c r="E181" s="59">
        <v>4</v>
      </c>
      <c r="F181" s="62" t="str">
        <f>"07/25/75"</f>
        <v>07/25/75</v>
      </c>
      <c r="G181" s="63">
        <v>33548</v>
      </c>
      <c r="H181" s="63">
        <v>40728</v>
      </c>
      <c r="I181" s="62" t="str">
        <f>"04/05/1994"</f>
        <v>04/05/1994</v>
      </c>
      <c r="J181" s="61">
        <v>2</v>
      </c>
      <c r="K181" s="60" t="s">
        <v>563</v>
      </c>
      <c r="L181" s="59" t="s">
        <v>560</v>
      </c>
    </row>
    <row r="182" spans="1:12" x14ac:dyDescent="0.25">
      <c r="A182" s="53">
        <v>540147</v>
      </c>
      <c r="B182" s="54" t="s">
        <v>664</v>
      </c>
      <c r="C182" s="54" t="s">
        <v>662</v>
      </c>
      <c r="D182" s="54" t="s">
        <v>55</v>
      </c>
      <c r="E182" s="53">
        <v>4</v>
      </c>
      <c r="F182" s="56" t="str">
        <f>"05/31/74"</f>
        <v>05/31/74</v>
      </c>
      <c r="G182" s="57">
        <v>33508</v>
      </c>
      <c r="H182" s="57">
        <v>40728</v>
      </c>
      <c r="I182" s="56" t="str">
        <f>"09/27/1991"</f>
        <v>09/27/1991</v>
      </c>
      <c r="J182" s="55">
        <v>2</v>
      </c>
      <c r="K182" s="54" t="s">
        <v>561</v>
      </c>
      <c r="L182" s="53" t="s">
        <v>560</v>
      </c>
    </row>
    <row r="183" spans="1:12" x14ac:dyDescent="0.25">
      <c r="A183" s="53">
        <v>540148</v>
      </c>
      <c r="B183" s="54" t="s">
        <v>663</v>
      </c>
      <c r="C183" s="54" t="s">
        <v>662</v>
      </c>
      <c r="D183" s="54" t="s">
        <v>55</v>
      </c>
      <c r="E183" s="53">
        <v>4</v>
      </c>
      <c r="F183" s="56" t="str">
        <f>"06/28/74"</f>
        <v>06/28/74</v>
      </c>
      <c r="G183" s="57">
        <v>30918</v>
      </c>
      <c r="H183" s="57">
        <v>40728</v>
      </c>
      <c r="I183" s="56" t="str">
        <f>"08/24/1984"</f>
        <v>08/24/1984</v>
      </c>
      <c r="J183" s="55">
        <v>2</v>
      </c>
      <c r="K183" s="54"/>
      <c r="L183" s="53"/>
    </row>
    <row r="184" spans="1:12" x14ac:dyDescent="0.25">
      <c r="A184" s="59">
        <v>540149</v>
      </c>
      <c r="B184" s="60" t="s">
        <v>661</v>
      </c>
      <c r="C184" s="60" t="s">
        <v>654</v>
      </c>
      <c r="D184" s="60" t="s">
        <v>52</v>
      </c>
      <c r="E184" s="59">
        <v>10</v>
      </c>
      <c r="F184" s="64">
        <v>27362</v>
      </c>
      <c r="G184" s="63">
        <v>30410</v>
      </c>
      <c r="H184" s="63">
        <v>38915</v>
      </c>
      <c r="I184" s="62" t="str">
        <f>"04/04/1983"</f>
        <v>04/04/1983</v>
      </c>
      <c r="J184" s="61">
        <v>2</v>
      </c>
      <c r="K184" s="60"/>
      <c r="L184" s="59"/>
    </row>
    <row r="185" spans="1:12" x14ac:dyDescent="0.25">
      <c r="A185" s="53">
        <v>540275</v>
      </c>
      <c r="B185" s="54" t="s">
        <v>660</v>
      </c>
      <c r="C185" s="54" t="s">
        <v>654</v>
      </c>
      <c r="D185" s="54" t="s">
        <v>55</v>
      </c>
      <c r="E185" s="53">
        <v>10</v>
      </c>
      <c r="F185" s="56"/>
      <c r="G185" s="57">
        <v>38915</v>
      </c>
      <c r="H185" s="57">
        <v>38915</v>
      </c>
      <c r="I185" s="56" t="str">
        <f>"08/26/1977"</f>
        <v>08/26/1977</v>
      </c>
      <c r="J185" s="55">
        <v>2</v>
      </c>
      <c r="K185" s="54"/>
      <c r="L185" s="53"/>
    </row>
    <row r="186" spans="1:12" x14ac:dyDescent="0.25">
      <c r="A186" s="53">
        <v>540080</v>
      </c>
      <c r="B186" s="54" t="s">
        <v>659</v>
      </c>
      <c r="C186" s="54" t="s">
        <v>654</v>
      </c>
      <c r="D186" s="54" t="s">
        <v>55</v>
      </c>
      <c r="E186" s="53">
        <v>10</v>
      </c>
      <c r="F186" s="56"/>
      <c r="G186" s="57">
        <v>38915</v>
      </c>
      <c r="H186" s="57">
        <v>38915</v>
      </c>
      <c r="I186" s="56" t="str">
        <f>"03/16/1907"</f>
        <v>03/16/1907</v>
      </c>
      <c r="J186" s="55">
        <v>2</v>
      </c>
      <c r="K186" s="54"/>
      <c r="L186" s="53"/>
    </row>
    <row r="187" spans="1:12" x14ac:dyDescent="0.25">
      <c r="A187" s="53">
        <v>540150</v>
      </c>
      <c r="B187" s="54" t="s">
        <v>658</v>
      </c>
      <c r="C187" s="54" t="s">
        <v>654</v>
      </c>
      <c r="D187" s="54" t="s">
        <v>55</v>
      </c>
      <c r="E187" s="53">
        <v>10</v>
      </c>
      <c r="F187" s="56" t="str">
        <f>"02/08/74"</f>
        <v>02/08/74</v>
      </c>
      <c r="G187" s="57">
        <v>30699</v>
      </c>
      <c r="H187" s="57">
        <v>38915</v>
      </c>
      <c r="I187" s="56" t="str">
        <f>"01/18/1984"</f>
        <v>01/18/1984</v>
      </c>
      <c r="J187" s="55">
        <v>2</v>
      </c>
      <c r="K187" s="54"/>
      <c r="L187" s="53"/>
    </row>
    <row r="188" spans="1:12" x14ac:dyDescent="0.25">
      <c r="A188" s="53">
        <v>540151</v>
      </c>
      <c r="B188" s="54" t="s">
        <v>657</v>
      </c>
      <c r="C188" s="54" t="s">
        <v>654</v>
      </c>
      <c r="D188" s="54" t="s">
        <v>55</v>
      </c>
      <c r="E188" s="53">
        <v>10</v>
      </c>
      <c r="F188" s="56" t="str">
        <f>"02/01/74"</f>
        <v>02/01/74</v>
      </c>
      <c r="G188" s="57">
        <v>29126</v>
      </c>
      <c r="H188" s="57">
        <v>38915</v>
      </c>
      <c r="I188" s="56" t="str">
        <f>"09/28/1979"</f>
        <v>09/28/1979</v>
      </c>
      <c r="J188" s="55">
        <v>2</v>
      </c>
      <c r="K188" s="54"/>
      <c r="L188" s="53"/>
    </row>
    <row r="189" spans="1:12" x14ac:dyDescent="0.25">
      <c r="A189" s="53">
        <v>540094</v>
      </c>
      <c r="B189" s="54" t="s">
        <v>656</v>
      </c>
      <c r="C189" s="54" t="s">
        <v>654</v>
      </c>
      <c r="D189" s="54" t="s">
        <v>55</v>
      </c>
      <c r="E189" s="53">
        <v>10</v>
      </c>
      <c r="F189" s="56"/>
      <c r="G189" s="57">
        <v>38915</v>
      </c>
      <c r="H189" s="57">
        <v>38915</v>
      </c>
      <c r="I189" s="56" t="str">
        <f>"07/17/1906"</f>
        <v>07/17/1906</v>
      </c>
      <c r="J189" s="55">
        <v>2</v>
      </c>
      <c r="K189" s="54"/>
      <c r="L189" s="53"/>
    </row>
    <row r="190" spans="1:12" x14ac:dyDescent="0.25">
      <c r="A190" s="53">
        <v>540152</v>
      </c>
      <c r="B190" s="54" t="s">
        <v>655</v>
      </c>
      <c r="C190" s="54" t="s">
        <v>654</v>
      </c>
      <c r="D190" s="54" t="s">
        <v>55</v>
      </c>
      <c r="E190" s="53">
        <v>10</v>
      </c>
      <c r="F190" s="58">
        <v>27376</v>
      </c>
      <c r="G190" s="57">
        <v>29635</v>
      </c>
      <c r="H190" s="57">
        <v>38915</v>
      </c>
      <c r="I190" s="56" t="str">
        <f>"02/18/1981"</f>
        <v>02/18/1981</v>
      </c>
      <c r="J190" s="55">
        <v>2</v>
      </c>
      <c r="K190" s="54"/>
      <c r="L190" s="53"/>
    </row>
    <row r="191" spans="1:12" x14ac:dyDescent="0.25">
      <c r="A191" s="59">
        <v>540153</v>
      </c>
      <c r="B191" s="60" t="s">
        <v>653</v>
      </c>
      <c r="C191" s="60" t="s">
        <v>651</v>
      </c>
      <c r="D191" s="60" t="s">
        <v>52</v>
      </c>
      <c r="E191" s="59">
        <v>8</v>
      </c>
      <c r="F191" s="62" t="str">
        <f>"04/25/75"</f>
        <v>04/25/75</v>
      </c>
      <c r="G191" s="63">
        <v>31959</v>
      </c>
      <c r="H191" s="63">
        <v>40239</v>
      </c>
      <c r="I191" s="62" t="str">
        <f>"07/01/1987"</f>
        <v>07/01/1987</v>
      </c>
      <c r="J191" s="61">
        <v>2</v>
      </c>
      <c r="K191" s="60" t="s">
        <v>537</v>
      </c>
      <c r="L191" s="59" t="s">
        <v>560</v>
      </c>
    </row>
    <row r="192" spans="1:12" x14ac:dyDescent="0.25">
      <c r="A192" s="53">
        <v>540154</v>
      </c>
      <c r="B192" s="54" t="s">
        <v>652</v>
      </c>
      <c r="C192" s="54" t="s">
        <v>651</v>
      </c>
      <c r="D192" s="54" t="s">
        <v>55</v>
      </c>
      <c r="E192" s="53">
        <v>8</v>
      </c>
      <c r="F192" s="56" t="str">
        <f>"05/31/74"</f>
        <v>05/31/74</v>
      </c>
      <c r="G192" s="57">
        <v>32021</v>
      </c>
      <c r="H192" s="57">
        <v>40239</v>
      </c>
      <c r="I192" s="56" t="str">
        <f>"09/01/1987"</f>
        <v>09/01/1987</v>
      </c>
      <c r="J192" s="55">
        <v>2</v>
      </c>
      <c r="K192" s="54" t="s">
        <v>537</v>
      </c>
      <c r="L192" s="53" t="s">
        <v>560</v>
      </c>
    </row>
    <row r="193" spans="1:12" x14ac:dyDescent="0.25">
      <c r="A193" s="59">
        <v>540225</v>
      </c>
      <c r="B193" s="60" t="s">
        <v>650</v>
      </c>
      <c r="C193" s="60" t="s">
        <v>647</v>
      </c>
      <c r="D193" s="60" t="s">
        <v>52</v>
      </c>
      <c r="E193" s="59">
        <v>5</v>
      </c>
      <c r="F193" s="62" t="str">
        <f>"01/03/75"</f>
        <v>01/03/75</v>
      </c>
      <c r="G193" s="63">
        <v>33392</v>
      </c>
      <c r="H193" s="63">
        <v>41764</v>
      </c>
      <c r="I193" s="62" t="str">
        <f>"06/03/1991"</f>
        <v>06/03/1991</v>
      </c>
      <c r="J193" s="61">
        <v>2</v>
      </c>
      <c r="K193" s="60"/>
      <c r="L193" s="59"/>
    </row>
    <row r="194" spans="1:12" x14ac:dyDescent="0.25">
      <c r="A194" s="53">
        <v>540253</v>
      </c>
      <c r="B194" s="54" t="s">
        <v>649</v>
      </c>
      <c r="C194" s="54" t="s">
        <v>647</v>
      </c>
      <c r="D194" s="54" t="s">
        <v>55</v>
      </c>
      <c r="E194" s="53">
        <v>5</v>
      </c>
      <c r="F194" s="56" t="str">
        <f>"02/21/75"</f>
        <v>02/21/75</v>
      </c>
      <c r="G194" s="57">
        <v>33392</v>
      </c>
      <c r="H194" s="57">
        <v>41764</v>
      </c>
      <c r="I194" s="56" t="str">
        <f>"06/03/1991"</f>
        <v>06/03/1991</v>
      </c>
      <c r="J194" s="55">
        <v>2</v>
      </c>
      <c r="K194" s="54"/>
      <c r="L194" s="53"/>
    </row>
    <row r="195" spans="1:12" x14ac:dyDescent="0.25">
      <c r="A195" s="53">
        <v>540156</v>
      </c>
      <c r="B195" s="54" t="s">
        <v>648</v>
      </c>
      <c r="C195" s="54" t="s">
        <v>647</v>
      </c>
      <c r="D195" s="54" t="s">
        <v>55</v>
      </c>
      <c r="E195" s="53">
        <v>5</v>
      </c>
      <c r="F195" s="56" t="str">
        <f>"03/29/74"</f>
        <v>03/29/74</v>
      </c>
      <c r="G195" s="57">
        <v>33392</v>
      </c>
      <c r="H195" s="57">
        <v>41764</v>
      </c>
      <c r="I195" s="56" t="str">
        <f>"06/03/1991"</f>
        <v>06/03/1991</v>
      </c>
      <c r="J195" s="55">
        <v>2</v>
      </c>
      <c r="K195" s="54"/>
      <c r="L195" s="53"/>
    </row>
    <row r="196" spans="1:12" x14ac:dyDescent="0.25">
      <c r="A196" s="59">
        <v>540283</v>
      </c>
      <c r="B196" s="60" t="s">
        <v>646</v>
      </c>
      <c r="C196" s="60" t="s">
        <v>643</v>
      </c>
      <c r="D196" s="60" t="s">
        <v>52</v>
      </c>
      <c r="E196" s="59">
        <v>4</v>
      </c>
      <c r="F196" s="62" t="str">
        <f>"01/24/75"</f>
        <v>01/24/75</v>
      </c>
      <c r="G196" s="63">
        <v>32798</v>
      </c>
      <c r="H196" s="63">
        <v>40486</v>
      </c>
      <c r="I196" s="64">
        <v>32798</v>
      </c>
      <c r="J196" s="61">
        <v>2</v>
      </c>
      <c r="K196" s="60" t="s">
        <v>537</v>
      </c>
      <c r="L196" s="59" t="s">
        <v>560</v>
      </c>
    </row>
    <row r="197" spans="1:12" x14ac:dyDescent="0.25">
      <c r="A197" s="53">
        <v>540158</v>
      </c>
      <c r="B197" s="54" t="s">
        <v>645</v>
      </c>
      <c r="C197" s="54" t="s">
        <v>643</v>
      </c>
      <c r="D197" s="54" t="s">
        <v>55</v>
      </c>
      <c r="E197" s="53">
        <v>4</v>
      </c>
      <c r="F197" s="56" t="str">
        <f>"08/09/74"</f>
        <v>08/09/74</v>
      </c>
      <c r="G197" s="57">
        <v>30918</v>
      </c>
      <c r="H197" s="57">
        <v>40486</v>
      </c>
      <c r="I197" s="56" t="str">
        <f>"08/24/1984"</f>
        <v>08/24/1984</v>
      </c>
      <c r="J197" s="55">
        <v>2</v>
      </c>
      <c r="K197" s="54" t="s">
        <v>537</v>
      </c>
      <c r="L197" s="53" t="s">
        <v>560</v>
      </c>
    </row>
    <row r="198" spans="1:12" x14ac:dyDescent="0.25">
      <c r="A198" s="53">
        <v>540159</v>
      </c>
      <c r="B198" s="54" t="s">
        <v>644</v>
      </c>
      <c r="C198" s="54" t="s">
        <v>643</v>
      </c>
      <c r="D198" s="54" t="s">
        <v>55</v>
      </c>
      <c r="E198" s="53">
        <v>4</v>
      </c>
      <c r="F198" s="56" t="str">
        <f>"06/07/74"</f>
        <v>06/07/74</v>
      </c>
      <c r="G198" s="57">
        <v>32798</v>
      </c>
      <c r="H198" s="57">
        <v>40486</v>
      </c>
      <c r="I198" s="58">
        <v>32798</v>
      </c>
      <c r="J198" s="55">
        <v>2</v>
      </c>
      <c r="K198" s="54" t="s">
        <v>537</v>
      </c>
      <c r="L198" s="53" t="s">
        <v>560</v>
      </c>
    </row>
    <row r="199" spans="1:12" x14ac:dyDescent="0.25">
      <c r="A199" s="59">
        <v>540160</v>
      </c>
      <c r="B199" s="60" t="s">
        <v>642</v>
      </c>
      <c r="C199" s="60" t="s">
        <v>632</v>
      </c>
      <c r="D199" s="60" t="s">
        <v>52</v>
      </c>
      <c r="E199" s="59">
        <v>6</v>
      </c>
      <c r="F199" s="62" t="str">
        <f>"07/25/75"</f>
        <v>07/25/75</v>
      </c>
      <c r="G199" s="63">
        <v>31837</v>
      </c>
      <c r="H199" s="63">
        <v>41065</v>
      </c>
      <c r="I199" s="62" t="str">
        <f>"03/01/1987"</f>
        <v>03/01/1987</v>
      </c>
      <c r="J199" s="61">
        <v>2</v>
      </c>
      <c r="K199" s="60"/>
      <c r="L199" s="59"/>
    </row>
    <row r="200" spans="1:12" x14ac:dyDescent="0.25">
      <c r="A200" s="53">
        <v>540161</v>
      </c>
      <c r="B200" s="54" t="s">
        <v>641</v>
      </c>
      <c r="C200" s="54" t="s">
        <v>632</v>
      </c>
      <c r="D200" s="54" t="s">
        <v>55</v>
      </c>
      <c r="E200" s="53">
        <v>6</v>
      </c>
      <c r="F200" s="58">
        <v>27327</v>
      </c>
      <c r="G200" s="57">
        <v>31990</v>
      </c>
      <c r="H200" s="57">
        <v>41065</v>
      </c>
      <c r="I200" s="56" t="str">
        <f>"08/01/1987"</f>
        <v>08/01/1987</v>
      </c>
      <c r="J200" s="55">
        <v>2</v>
      </c>
      <c r="K200" s="54"/>
      <c r="L200" s="53"/>
    </row>
    <row r="201" spans="1:12" x14ac:dyDescent="0.25">
      <c r="A201" s="53">
        <v>540162</v>
      </c>
      <c r="B201" s="54" t="s">
        <v>640</v>
      </c>
      <c r="C201" s="54" t="s">
        <v>632</v>
      </c>
      <c r="D201" s="54" t="s">
        <v>55</v>
      </c>
      <c r="E201" s="53">
        <v>6</v>
      </c>
      <c r="F201" s="56" t="str">
        <f>"08/09/74"</f>
        <v>08/09/74</v>
      </c>
      <c r="G201" s="57">
        <v>31990</v>
      </c>
      <c r="H201" s="57">
        <v>41065</v>
      </c>
      <c r="I201" s="56" t="str">
        <f>"08/01/1987"</f>
        <v>08/01/1987</v>
      </c>
      <c r="J201" s="55">
        <v>2</v>
      </c>
      <c r="K201" s="54"/>
      <c r="L201" s="53"/>
    </row>
    <row r="202" spans="1:12" x14ac:dyDescent="0.25">
      <c r="A202" s="53">
        <v>540254</v>
      </c>
      <c r="B202" s="54" t="s">
        <v>639</v>
      </c>
      <c r="C202" s="54" t="s">
        <v>632</v>
      </c>
      <c r="D202" s="54" t="s">
        <v>55</v>
      </c>
      <c r="E202" s="53">
        <v>6</v>
      </c>
      <c r="F202" s="56" t="str">
        <f>"09/03/76"</f>
        <v>09/03/76</v>
      </c>
      <c r="G202" s="57">
        <v>41065</v>
      </c>
      <c r="H202" s="57">
        <v>41065</v>
      </c>
      <c r="I202" s="58">
        <v>31728</v>
      </c>
      <c r="J202" s="55">
        <v>2</v>
      </c>
      <c r="K202" s="54"/>
      <c r="L202" s="53"/>
    </row>
    <row r="203" spans="1:12" x14ac:dyDescent="0.25">
      <c r="A203" s="53">
        <v>540270</v>
      </c>
      <c r="B203" s="54" t="s">
        <v>638</v>
      </c>
      <c r="C203" s="54" t="s">
        <v>632</v>
      </c>
      <c r="D203" s="54" t="s">
        <v>55</v>
      </c>
      <c r="E203" s="53">
        <v>6</v>
      </c>
      <c r="F203" s="58">
        <v>27348</v>
      </c>
      <c r="G203" s="57">
        <v>41065</v>
      </c>
      <c r="H203" s="57">
        <v>41065</v>
      </c>
      <c r="I203" s="56" t="str">
        <f>"09/26/1912"</f>
        <v>09/26/1912</v>
      </c>
      <c r="J203" s="55">
        <v>2</v>
      </c>
      <c r="K203" s="54"/>
      <c r="L203" s="53"/>
    </row>
    <row r="204" spans="1:12" x14ac:dyDescent="0.25">
      <c r="A204" s="53">
        <v>540268</v>
      </c>
      <c r="B204" s="54" t="s">
        <v>637</v>
      </c>
      <c r="C204" s="54" t="s">
        <v>632</v>
      </c>
      <c r="D204" s="54" t="s">
        <v>55</v>
      </c>
      <c r="E204" s="53">
        <v>6</v>
      </c>
      <c r="F204" s="58">
        <v>27348</v>
      </c>
      <c r="G204" s="57">
        <v>31990</v>
      </c>
      <c r="H204" s="57">
        <v>41065</v>
      </c>
      <c r="I204" s="56" t="str">
        <f>"08/01/1987"</f>
        <v>08/01/1987</v>
      </c>
      <c r="J204" s="55">
        <v>2</v>
      </c>
      <c r="K204" s="54"/>
      <c r="L204" s="53"/>
    </row>
    <row r="205" spans="1:12" x14ac:dyDescent="0.25">
      <c r="A205" s="53">
        <v>540269</v>
      </c>
      <c r="B205" s="54" t="s">
        <v>636</v>
      </c>
      <c r="C205" s="54" t="s">
        <v>632</v>
      </c>
      <c r="D205" s="54" t="s">
        <v>55</v>
      </c>
      <c r="E205" s="53">
        <v>6</v>
      </c>
      <c r="F205" s="58">
        <v>27348</v>
      </c>
      <c r="G205" s="57">
        <v>31990</v>
      </c>
      <c r="H205" s="57">
        <v>41065</v>
      </c>
      <c r="I205" s="56" t="str">
        <f>"08/01/1987"</f>
        <v>08/01/1987</v>
      </c>
      <c r="J205" s="55">
        <v>2</v>
      </c>
      <c r="K205" s="54"/>
      <c r="L205" s="53"/>
    </row>
    <row r="206" spans="1:12" x14ac:dyDescent="0.25">
      <c r="A206" s="53">
        <v>540163</v>
      </c>
      <c r="B206" s="54" t="s">
        <v>635</v>
      </c>
      <c r="C206" s="54" t="s">
        <v>632</v>
      </c>
      <c r="D206" s="54" t="s">
        <v>55</v>
      </c>
      <c r="E206" s="53">
        <v>6</v>
      </c>
      <c r="F206" s="56" t="str">
        <f>"02/01/74"</f>
        <v>02/01/74</v>
      </c>
      <c r="G206" s="57">
        <v>29068</v>
      </c>
      <c r="H206" s="57">
        <v>41065</v>
      </c>
      <c r="I206" s="56" t="str">
        <f>"08/01/1979"</f>
        <v>08/01/1979</v>
      </c>
      <c r="J206" s="55">
        <v>2</v>
      </c>
      <c r="K206" s="54"/>
      <c r="L206" s="53"/>
    </row>
    <row r="207" spans="1:12" x14ac:dyDescent="0.25">
      <c r="A207" s="53">
        <v>540257</v>
      </c>
      <c r="B207" s="54" t="s">
        <v>634</v>
      </c>
      <c r="C207" s="54" t="s">
        <v>632</v>
      </c>
      <c r="D207" s="54" t="s">
        <v>55</v>
      </c>
      <c r="E207" s="53">
        <v>6</v>
      </c>
      <c r="F207" s="58">
        <v>27348</v>
      </c>
      <c r="G207" s="57">
        <v>31990</v>
      </c>
      <c r="H207" s="57">
        <v>41065</v>
      </c>
      <c r="I207" s="56" t="str">
        <f>"08/25/1987"</f>
        <v>08/25/1987</v>
      </c>
      <c r="J207" s="55">
        <v>2</v>
      </c>
      <c r="K207" s="54"/>
      <c r="L207" s="53"/>
    </row>
    <row r="208" spans="1:12" x14ac:dyDescent="0.25">
      <c r="A208" s="53">
        <v>540137</v>
      </c>
      <c r="B208" s="54" t="s">
        <v>633</v>
      </c>
      <c r="C208" s="54" t="s">
        <v>632</v>
      </c>
      <c r="D208" s="54" t="s">
        <v>55</v>
      </c>
      <c r="E208" s="53">
        <v>6</v>
      </c>
      <c r="F208" s="56"/>
      <c r="G208" s="57">
        <v>41065</v>
      </c>
      <c r="H208" s="57">
        <v>41065</v>
      </c>
      <c r="I208" s="56" t="str">
        <f>"06/05/1912"</f>
        <v>06/05/1912</v>
      </c>
      <c r="J208" s="55">
        <v>2</v>
      </c>
      <c r="K208" s="54"/>
      <c r="L208" s="53"/>
    </row>
    <row r="209" spans="1:12" x14ac:dyDescent="0.25">
      <c r="A209" s="59">
        <v>540164</v>
      </c>
      <c r="B209" s="60" t="s">
        <v>631</v>
      </c>
      <c r="C209" s="60" t="s">
        <v>623</v>
      </c>
      <c r="D209" s="60" t="s">
        <v>52</v>
      </c>
      <c r="E209" s="59">
        <v>3</v>
      </c>
      <c r="F209" s="62" t="str">
        <f>"04/18/75"</f>
        <v>04/18/75</v>
      </c>
      <c r="G209" s="63">
        <v>31946</v>
      </c>
      <c r="H209" s="63">
        <v>40941</v>
      </c>
      <c r="I209" s="62" t="str">
        <f>"06/18/1987"</f>
        <v>06/18/1987</v>
      </c>
      <c r="J209" s="61">
        <v>2</v>
      </c>
      <c r="K209" s="60"/>
      <c r="L209" s="59"/>
    </row>
    <row r="210" spans="1:12" x14ac:dyDescent="0.25">
      <c r="A210" s="53">
        <v>540165</v>
      </c>
      <c r="B210" s="54" t="s">
        <v>630</v>
      </c>
      <c r="C210" s="54" t="s">
        <v>623</v>
      </c>
      <c r="D210" s="54" t="s">
        <v>55</v>
      </c>
      <c r="E210" s="53">
        <v>3</v>
      </c>
      <c r="F210" s="56" t="str">
        <f>"08/09/74"</f>
        <v>08/09/74</v>
      </c>
      <c r="G210" s="57">
        <v>31399</v>
      </c>
      <c r="H210" s="57">
        <v>40941</v>
      </c>
      <c r="I210" s="58">
        <v>31399</v>
      </c>
      <c r="J210" s="55">
        <v>2</v>
      </c>
      <c r="K210" s="54"/>
      <c r="L210" s="53"/>
    </row>
    <row r="211" spans="1:12" x14ac:dyDescent="0.25">
      <c r="A211" s="53">
        <v>540166</v>
      </c>
      <c r="B211" s="54" t="s">
        <v>629</v>
      </c>
      <c r="C211" s="54" t="s">
        <v>623</v>
      </c>
      <c r="D211" s="54" t="s">
        <v>55</v>
      </c>
      <c r="E211" s="53">
        <v>3</v>
      </c>
      <c r="F211" s="56" t="str">
        <f>"02/01/74"</f>
        <v>02/01/74</v>
      </c>
      <c r="G211" s="57">
        <v>31399</v>
      </c>
      <c r="H211" s="57">
        <v>40941</v>
      </c>
      <c r="I211" s="58">
        <v>31399</v>
      </c>
      <c r="J211" s="55">
        <v>0</v>
      </c>
      <c r="K211" s="54"/>
      <c r="L211" s="53"/>
    </row>
    <row r="212" spans="1:12" x14ac:dyDescent="0.25">
      <c r="A212" s="53">
        <v>540222</v>
      </c>
      <c r="B212" s="54" t="s">
        <v>628</v>
      </c>
      <c r="C212" s="54" t="s">
        <v>623</v>
      </c>
      <c r="D212" s="54" t="s">
        <v>55</v>
      </c>
      <c r="E212" s="53">
        <v>3</v>
      </c>
      <c r="F212" s="58">
        <v>27383</v>
      </c>
      <c r="G212" s="57">
        <v>30718</v>
      </c>
      <c r="H212" s="57">
        <v>40941</v>
      </c>
      <c r="I212" s="56" t="str">
        <f>"02/06/1984"</f>
        <v>02/06/1984</v>
      </c>
      <c r="J212" s="55">
        <v>2</v>
      </c>
      <c r="K212" s="54"/>
      <c r="L212" s="53"/>
    </row>
    <row r="213" spans="1:12" x14ac:dyDescent="0.25">
      <c r="A213" s="53">
        <v>540167</v>
      </c>
      <c r="B213" s="54" t="s">
        <v>627</v>
      </c>
      <c r="C213" s="54" t="s">
        <v>623</v>
      </c>
      <c r="D213" s="54" t="s">
        <v>55</v>
      </c>
      <c r="E213" s="53">
        <v>3</v>
      </c>
      <c r="F213" s="56" t="str">
        <f>"04/09/76"</f>
        <v>04/09/76</v>
      </c>
      <c r="G213" s="57">
        <v>31475</v>
      </c>
      <c r="H213" s="57">
        <v>40941</v>
      </c>
      <c r="I213" s="56" t="str">
        <f>"03/04/1986"</f>
        <v>03/04/1986</v>
      </c>
      <c r="J213" s="55">
        <v>2</v>
      </c>
      <c r="K213" s="54"/>
      <c r="L213" s="53"/>
    </row>
    <row r="214" spans="1:12" x14ac:dyDescent="0.25">
      <c r="A214" s="53">
        <v>540081</v>
      </c>
      <c r="B214" s="54" t="s">
        <v>626</v>
      </c>
      <c r="C214" s="54" t="s">
        <v>623</v>
      </c>
      <c r="D214" s="54" t="s">
        <v>55</v>
      </c>
      <c r="E214" s="53">
        <v>3</v>
      </c>
      <c r="F214" s="56" t="str">
        <f>"03/15/74"</f>
        <v>03/15/74</v>
      </c>
      <c r="G214" s="57">
        <v>30056</v>
      </c>
      <c r="H214" s="57">
        <v>39484</v>
      </c>
      <c r="I214" s="56" t="str">
        <f>"04/15/1982"</f>
        <v>04/15/1982</v>
      </c>
      <c r="J214" s="55">
        <v>2</v>
      </c>
      <c r="K214" s="54"/>
      <c r="L214" s="53"/>
    </row>
    <row r="215" spans="1:12" x14ac:dyDescent="0.25">
      <c r="A215" s="53">
        <v>540168</v>
      </c>
      <c r="B215" s="54" t="s">
        <v>625</v>
      </c>
      <c r="C215" s="54" t="s">
        <v>623</v>
      </c>
      <c r="D215" s="54" t="s">
        <v>55</v>
      </c>
      <c r="E215" s="53">
        <v>3</v>
      </c>
      <c r="F215" s="56" t="str">
        <f>"03/29/74"</f>
        <v>03/29/74</v>
      </c>
      <c r="G215" s="57">
        <v>31399</v>
      </c>
      <c r="H215" s="57">
        <v>40941</v>
      </c>
      <c r="I215" s="58">
        <v>31399</v>
      </c>
      <c r="J215" s="55">
        <v>2</v>
      </c>
      <c r="K215" s="54"/>
      <c r="L215" s="53"/>
    </row>
    <row r="216" spans="1:12" x14ac:dyDescent="0.25">
      <c r="A216" s="53">
        <v>540271</v>
      </c>
      <c r="B216" s="54" t="s">
        <v>624</v>
      </c>
      <c r="C216" s="54" t="s">
        <v>623</v>
      </c>
      <c r="D216" s="54" t="s">
        <v>55</v>
      </c>
      <c r="E216" s="53">
        <v>3</v>
      </c>
      <c r="F216" s="58">
        <v>27348</v>
      </c>
      <c r="G216" s="57">
        <v>31399</v>
      </c>
      <c r="H216" s="57">
        <v>40941</v>
      </c>
      <c r="I216" s="58">
        <v>31399</v>
      </c>
      <c r="J216" s="55">
        <v>2</v>
      </c>
      <c r="K216" s="54"/>
      <c r="L216" s="53"/>
    </row>
    <row r="217" spans="1:12" x14ac:dyDescent="0.25">
      <c r="A217" s="59">
        <v>540169</v>
      </c>
      <c r="B217" s="60" t="s">
        <v>622</v>
      </c>
      <c r="C217" s="60" t="s">
        <v>615</v>
      </c>
      <c r="D217" s="60" t="s">
        <v>52</v>
      </c>
      <c r="E217" s="59">
        <v>1</v>
      </c>
      <c r="F217" s="62" t="str">
        <f>"04/25/75"</f>
        <v>04/25/75</v>
      </c>
      <c r="G217" s="63">
        <v>31034</v>
      </c>
      <c r="H217" s="63">
        <v>39980</v>
      </c>
      <c r="I217" s="64">
        <v>31034</v>
      </c>
      <c r="J217" s="61">
        <v>1</v>
      </c>
      <c r="K217" s="60" t="s">
        <v>621</v>
      </c>
      <c r="L217" s="59" t="s">
        <v>536</v>
      </c>
    </row>
    <row r="218" spans="1:12" x14ac:dyDescent="0.25">
      <c r="A218" s="53">
        <v>540170</v>
      </c>
      <c r="B218" s="54" t="s">
        <v>620</v>
      </c>
      <c r="C218" s="54" t="s">
        <v>615</v>
      </c>
      <c r="D218" s="54" t="s">
        <v>55</v>
      </c>
      <c r="E218" s="53">
        <v>1</v>
      </c>
      <c r="F218" s="56" t="str">
        <f>"06/07/74"</f>
        <v>06/07/74</v>
      </c>
      <c r="G218" s="57">
        <v>30987</v>
      </c>
      <c r="H218" s="57">
        <v>38989</v>
      </c>
      <c r="I218" s="58">
        <v>30987</v>
      </c>
      <c r="J218" s="55">
        <v>2</v>
      </c>
      <c r="K218" s="54"/>
      <c r="L218" s="53"/>
    </row>
    <row r="219" spans="1:12" x14ac:dyDescent="0.25">
      <c r="A219" s="53">
        <v>540171</v>
      </c>
      <c r="B219" s="54" t="s">
        <v>619</v>
      </c>
      <c r="C219" s="54" t="s">
        <v>615</v>
      </c>
      <c r="D219" s="54" t="s">
        <v>55</v>
      </c>
      <c r="E219" s="53">
        <v>1</v>
      </c>
      <c r="F219" s="56" t="str">
        <f>"06/28/74"</f>
        <v>06/28/74</v>
      </c>
      <c r="G219" s="57">
        <v>32234</v>
      </c>
      <c r="H219" s="57">
        <v>38989</v>
      </c>
      <c r="I219" s="56" t="str">
        <f>"04/01/1988"</f>
        <v>04/01/1988</v>
      </c>
      <c r="J219" s="55">
        <v>2</v>
      </c>
      <c r="K219" s="54"/>
      <c r="L219" s="53"/>
    </row>
    <row r="220" spans="1:12" x14ac:dyDescent="0.25">
      <c r="A220" s="53">
        <v>540286</v>
      </c>
      <c r="B220" s="54" t="s">
        <v>618</v>
      </c>
      <c r="C220" s="54" t="s">
        <v>615</v>
      </c>
      <c r="D220" s="54" t="s">
        <v>55</v>
      </c>
      <c r="E220" s="53">
        <v>1</v>
      </c>
      <c r="F220" s="58">
        <v>29910</v>
      </c>
      <c r="G220" s="57">
        <v>31110</v>
      </c>
      <c r="H220" s="57">
        <v>38989</v>
      </c>
      <c r="I220" s="56" t="str">
        <f>"03/04/1985"</f>
        <v>03/04/1985</v>
      </c>
      <c r="J220" s="55">
        <v>2</v>
      </c>
      <c r="K220" s="54"/>
      <c r="L220" s="53"/>
    </row>
    <row r="221" spans="1:12" x14ac:dyDescent="0.25">
      <c r="A221" s="65">
        <v>540173</v>
      </c>
      <c r="B221" s="66" t="s">
        <v>617</v>
      </c>
      <c r="C221" s="66" t="s">
        <v>615</v>
      </c>
      <c r="D221" s="66" t="s">
        <v>55</v>
      </c>
      <c r="E221" s="65">
        <v>1</v>
      </c>
      <c r="F221" s="68" t="str">
        <f>"05/21/76"</f>
        <v>05/21/76</v>
      </c>
      <c r="G221" s="69">
        <v>32021</v>
      </c>
      <c r="H221" s="69">
        <v>38989</v>
      </c>
      <c r="I221" s="68" t="str">
        <f>"09/01/1987"</f>
        <v>09/01/1987</v>
      </c>
      <c r="J221" s="67">
        <v>2</v>
      </c>
      <c r="K221" s="66"/>
      <c r="L221" s="65"/>
    </row>
    <row r="222" spans="1:12" x14ac:dyDescent="0.25">
      <c r="A222" s="53">
        <v>540174</v>
      </c>
      <c r="B222" s="54" t="s">
        <v>616</v>
      </c>
      <c r="C222" s="54" t="s">
        <v>615</v>
      </c>
      <c r="D222" s="54" t="s">
        <v>55</v>
      </c>
      <c r="E222" s="53">
        <v>1</v>
      </c>
      <c r="F222" s="56" t="str">
        <f>"06/28/74"</f>
        <v>06/28/74</v>
      </c>
      <c r="G222" s="57">
        <v>33344</v>
      </c>
      <c r="H222" s="57">
        <v>39980</v>
      </c>
      <c r="I222" s="56" t="str">
        <f>"04/16/1991"</f>
        <v>04/16/1991</v>
      </c>
      <c r="J222" s="55">
        <v>2</v>
      </c>
      <c r="K222" s="54"/>
      <c r="L222" s="53"/>
    </row>
    <row r="223" spans="1:12" x14ac:dyDescent="0.25">
      <c r="A223" s="59">
        <v>540175</v>
      </c>
      <c r="B223" s="60" t="s">
        <v>614</v>
      </c>
      <c r="C223" s="60" t="s">
        <v>606</v>
      </c>
      <c r="D223" s="60" t="s">
        <v>52</v>
      </c>
      <c r="E223" s="59">
        <v>7</v>
      </c>
      <c r="F223" s="62" t="str">
        <f>"04/18/75"</f>
        <v>04/18/75</v>
      </c>
      <c r="G223" s="63">
        <v>33508</v>
      </c>
      <c r="H223" s="63">
        <v>40450</v>
      </c>
      <c r="I223" s="62" t="str">
        <f>"09/27/1991"</f>
        <v>09/27/1991</v>
      </c>
      <c r="J223" s="61">
        <v>1</v>
      </c>
      <c r="K223" s="60"/>
      <c r="L223" s="59"/>
    </row>
    <row r="224" spans="1:12" x14ac:dyDescent="0.25">
      <c r="A224" s="53">
        <v>540267</v>
      </c>
      <c r="B224" s="54" t="s">
        <v>613</v>
      </c>
      <c r="C224" s="54" t="s">
        <v>606</v>
      </c>
      <c r="D224" s="54" t="s">
        <v>55</v>
      </c>
      <c r="E224" s="53">
        <v>7</v>
      </c>
      <c r="F224" s="58">
        <v>27355</v>
      </c>
      <c r="G224" s="57">
        <v>33575</v>
      </c>
      <c r="H224" s="57">
        <v>40450</v>
      </c>
      <c r="I224" s="58">
        <v>33575</v>
      </c>
      <c r="J224" s="55">
        <v>1</v>
      </c>
      <c r="K224" s="54"/>
      <c r="L224" s="53"/>
    </row>
    <row r="225" spans="1:12" x14ac:dyDescent="0.25">
      <c r="A225" s="53">
        <v>540177</v>
      </c>
      <c r="B225" s="54" t="s">
        <v>612</v>
      </c>
      <c r="C225" s="54" t="s">
        <v>606</v>
      </c>
      <c r="D225" s="54" t="s">
        <v>55</v>
      </c>
      <c r="E225" s="53">
        <v>7</v>
      </c>
      <c r="F225" s="56" t="str">
        <f>"02/15/74"</f>
        <v>02/15/74</v>
      </c>
      <c r="G225" s="57">
        <v>31870</v>
      </c>
      <c r="H225" s="57">
        <v>40450</v>
      </c>
      <c r="I225" s="56" t="str">
        <f>"04/03/1987"</f>
        <v>04/03/1987</v>
      </c>
      <c r="J225" s="55">
        <v>1</v>
      </c>
      <c r="K225" s="54"/>
      <c r="L225" s="53"/>
    </row>
    <row r="226" spans="1:12" x14ac:dyDescent="0.25">
      <c r="A226" s="53">
        <v>540178</v>
      </c>
      <c r="B226" s="54" t="s">
        <v>611</v>
      </c>
      <c r="C226" s="54" t="s">
        <v>606</v>
      </c>
      <c r="D226" s="54" t="s">
        <v>55</v>
      </c>
      <c r="E226" s="53">
        <v>7</v>
      </c>
      <c r="F226" s="56" t="str">
        <f>"04/01/77"</f>
        <v>04/01/77</v>
      </c>
      <c r="G226" s="57">
        <v>30918</v>
      </c>
      <c r="H226" s="57">
        <v>40450</v>
      </c>
      <c r="I226" s="56" t="str">
        <f>"08/24/1984"</f>
        <v>08/24/1984</v>
      </c>
      <c r="J226" s="55">
        <v>1</v>
      </c>
      <c r="K226" s="54"/>
      <c r="L226" s="53"/>
    </row>
    <row r="227" spans="1:12" x14ac:dyDescent="0.25">
      <c r="A227" s="53">
        <v>540264</v>
      </c>
      <c r="B227" s="54" t="s">
        <v>610</v>
      </c>
      <c r="C227" s="54" t="s">
        <v>606</v>
      </c>
      <c r="D227" s="54" t="s">
        <v>55</v>
      </c>
      <c r="E227" s="53">
        <v>7</v>
      </c>
      <c r="F227" s="58">
        <v>27348</v>
      </c>
      <c r="G227" s="57">
        <v>30918</v>
      </c>
      <c r="H227" s="57">
        <v>40450</v>
      </c>
      <c r="I227" s="56" t="str">
        <f>"08/24/1984"</f>
        <v>08/24/1984</v>
      </c>
      <c r="J227" s="55">
        <v>1</v>
      </c>
      <c r="K227" s="54"/>
      <c r="L227" s="53"/>
    </row>
    <row r="228" spans="1:12" x14ac:dyDescent="0.25">
      <c r="A228" s="53">
        <v>540266</v>
      </c>
      <c r="B228" s="54" t="s">
        <v>609</v>
      </c>
      <c r="C228" s="54" t="s">
        <v>606</v>
      </c>
      <c r="D228" s="54" t="s">
        <v>55</v>
      </c>
      <c r="E228" s="53">
        <v>7</v>
      </c>
      <c r="F228" s="56" t="str">
        <f>"01/10/75"</f>
        <v>01/10/75</v>
      </c>
      <c r="G228" s="57">
        <v>30918</v>
      </c>
      <c r="H228" s="57">
        <v>40450</v>
      </c>
      <c r="I228" s="56" t="str">
        <f>"08/24/1984"</f>
        <v>08/24/1984</v>
      </c>
      <c r="J228" s="55">
        <v>1</v>
      </c>
      <c r="K228" s="54"/>
      <c r="L228" s="53"/>
    </row>
    <row r="229" spans="1:12" x14ac:dyDescent="0.25">
      <c r="A229" s="53">
        <v>540265</v>
      </c>
      <c r="B229" s="54" t="s">
        <v>608</v>
      </c>
      <c r="C229" s="54" t="s">
        <v>606</v>
      </c>
      <c r="D229" s="54" t="s">
        <v>55</v>
      </c>
      <c r="E229" s="53">
        <v>7</v>
      </c>
      <c r="F229" s="58">
        <v>27348</v>
      </c>
      <c r="G229" s="57">
        <v>30949</v>
      </c>
      <c r="H229" s="57">
        <v>40450</v>
      </c>
      <c r="I229" s="56" t="str">
        <f>"09/24/1984"</f>
        <v>09/24/1984</v>
      </c>
      <c r="J229" s="55">
        <v>1</v>
      </c>
      <c r="K229" s="54"/>
      <c r="L229" s="53"/>
    </row>
    <row r="230" spans="1:12" x14ac:dyDescent="0.25">
      <c r="A230" s="53">
        <v>540176</v>
      </c>
      <c r="B230" s="54" t="s">
        <v>607</v>
      </c>
      <c r="C230" s="54" t="s">
        <v>606</v>
      </c>
      <c r="D230" s="54" t="s">
        <v>55</v>
      </c>
      <c r="E230" s="53">
        <v>7</v>
      </c>
      <c r="F230" s="56" t="str">
        <f>"08/09/74"</f>
        <v>08/09/74</v>
      </c>
      <c r="G230" s="57">
        <v>30935</v>
      </c>
      <c r="H230" s="57">
        <v>40450</v>
      </c>
      <c r="I230" s="56" t="str">
        <f>"09/10/1984"</f>
        <v>09/10/1984</v>
      </c>
      <c r="J230" s="55">
        <v>1</v>
      </c>
      <c r="K230" s="54"/>
      <c r="L230" s="53"/>
    </row>
    <row r="231" spans="1:12" x14ac:dyDescent="0.25">
      <c r="A231" s="59">
        <v>540224</v>
      </c>
      <c r="B231" s="60" t="s">
        <v>605</v>
      </c>
      <c r="C231" s="60" t="s">
        <v>598</v>
      </c>
      <c r="D231" s="60" t="s">
        <v>52</v>
      </c>
      <c r="E231" s="59">
        <v>5</v>
      </c>
      <c r="F231" s="62" t="str">
        <f>"04/25/75"</f>
        <v>04/25/75</v>
      </c>
      <c r="G231" s="63">
        <v>33239</v>
      </c>
      <c r="H231" s="63">
        <v>40941</v>
      </c>
      <c r="I231" s="62" t="str">
        <f>"01/01/1991"</f>
        <v>01/01/1991</v>
      </c>
      <c r="J231" s="61">
        <v>2</v>
      </c>
      <c r="K231" s="60"/>
      <c r="L231" s="59"/>
    </row>
    <row r="232" spans="1:12" x14ac:dyDescent="0.25">
      <c r="A232" s="53">
        <v>540262</v>
      </c>
      <c r="B232" s="54" t="s">
        <v>604</v>
      </c>
      <c r="C232" s="54" t="s">
        <v>598</v>
      </c>
      <c r="D232" s="54" t="s">
        <v>55</v>
      </c>
      <c r="E232" s="53">
        <v>5</v>
      </c>
      <c r="F232" s="56" t="str">
        <f>"01/24/74"</f>
        <v>01/24/74</v>
      </c>
      <c r="G232" s="57">
        <v>30949</v>
      </c>
      <c r="H232" s="57">
        <v>40941</v>
      </c>
      <c r="I232" s="56" t="str">
        <f>"09/24/1984"</f>
        <v>09/24/1984</v>
      </c>
      <c r="J232" s="55">
        <v>2</v>
      </c>
      <c r="K232" s="54"/>
      <c r="L232" s="53"/>
    </row>
    <row r="233" spans="1:12" x14ac:dyDescent="0.25">
      <c r="A233" s="53">
        <v>540179</v>
      </c>
      <c r="B233" s="54" t="s">
        <v>603</v>
      </c>
      <c r="C233" s="54" t="s">
        <v>598</v>
      </c>
      <c r="D233" s="54" t="s">
        <v>55</v>
      </c>
      <c r="E233" s="53">
        <v>5</v>
      </c>
      <c r="F233" s="56" t="str">
        <f>"08/09/74"</f>
        <v>08/09/74</v>
      </c>
      <c r="G233" s="57">
        <v>33315</v>
      </c>
      <c r="H233" s="57">
        <v>40941</v>
      </c>
      <c r="I233" s="56" t="str">
        <f>"03/18/1991"</f>
        <v>03/18/1991</v>
      </c>
      <c r="J233" s="55">
        <v>2</v>
      </c>
      <c r="K233" s="54"/>
      <c r="L233" s="53"/>
    </row>
    <row r="234" spans="1:12" x14ac:dyDescent="0.25">
      <c r="A234" s="53">
        <v>540180</v>
      </c>
      <c r="B234" s="54" t="s">
        <v>602</v>
      </c>
      <c r="C234" s="54" t="s">
        <v>598</v>
      </c>
      <c r="D234" s="54" t="s">
        <v>55</v>
      </c>
      <c r="E234" s="53">
        <v>5</v>
      </c>
      <c r="F234" s="56" t="str">
        <f>"08/09/74"</f>
        <v>08/09/74</v>
      </c>
      <c r="G234" s="57">
        <v>30918</v>
      </c>
      <c r="H234" s="57">
        <v>40941</v>
      </c>
      <c r="I234" s="56" t="str">
        <f>"08/24/1984"</f>
        <v>08/24/1984</v>
      </c>
      <c r="J234" s="55">
        <v>2</v>
      </c>
      <c r="K234" s="54"/>
      <c r="L234" s="53"/>
    </row>
    <row r="235" spans="1:12" x14ac:dyDescent="0.25">
      <c r="A235" s="53">
        <v>540132</v>
      </c>
      <c r="B235" s="54" t="s">
        <v>601</v>
      </c>
      <c r="C235" s="54" t="s">
        <v>598</v>
      </c>
      <c r="D235" s="54" t="s">
        <v>55</v>
      </c>
      <c r="E235" s="53">
        <v>5</v>
      </c>
      <c r="F235" s="56" t="str">
        <f>"01/31/75"</f>
        <v>01/31/75</v>
      </c>
      <c r="G235" s="57">
        <v>38755</v>
      </c>
      <c r="H235" s="57">
        <v>40941</v>
      </c>
      <c r="I235" s="56" t="str">
        <f>"02/07/1906"</f>
        <v>02/07/1906</v>
      </c>
      <c r="J235" s="55">
        <v>2</v>
      </c>
      <c r="K235" s="54"/>
      <c r="L235" s="53"/>
    </row>
    <row r="236" spans="1:12" x14ac:dyDescent="0.25">
      <c r="A236" s="53">
        <v>540182</v>
      </c>
      <c r="B236" s="54" t="s">
        <v>600</v>
      </c>
      <c r="C236" s="54" t="s">
        <v>598</v>
      </c>
      <c r="D236" s="54" t="s">
        <v>55</v>
      </c>
      <c r="E236" s="53">
        <v>5</v>
      </c>
      <c r="F236" s="56" t="str">
        <f>"05/31/74"</f>
        <v>05/31/74</v>
      </c>
      <c r="G236" s="57">
        <v>32402</v>
      </c>
      <c r="H236" s="57">
        <v>40941</v>
      </c>
      <c r="I236" s="56" t="str">
        <f>"09/16/1988"</f>
        <v>09/16/1988</v>
      </c>
      <c r="J236" s="55">
        <v>2</v>
      </c>
      <c r="K236" s="54"/>
      <c r="L236" s="53"/>
    </row>
    <row r="237" spans="1:12" x14ac:dyDescent="0.25">
      <c r="A237" s="53">
        <v>540263</v>
      </c>
      <c r="B237" s="54" t="s">
        <v>599</v>
      </c>
      <c r="C237" s="54" t="s">
        <v>598</v>
      </c>
      <c r="D237" s="54" t="s">
        <v>55</v>
      </c>
      <c r="E237" s="53">
        <v>5</v>
      </c>
      <c r="F237" s="56" t="str">
        <f>"02/25/77"</f>
        <v>02/25/77</v>
      </c>
      <c r="G237" s="57">
        <v>30935</v>
      </c>
      <c r="H237" s="57">
        <v>40941</v>
      </c>
      <c r="I237" s="56" t="str">
        <f>"09/10/1984"</f>
        <v>09/10/1984</v>
      </c>
      <c r="J237" s="55">
        <v>2</v>
      </c>
      <c r="K237" s="54"/>
      <c r="L237" s="53"/>
    </row>
    <row r="238" spans="1:12" x14ac:dyDescent="0.25">
      <c r="A238" s="59">
        <v>540183</v>
      </c>
      <c r="B238" s="60" t="s">
        <v>597</v>
      </c>
      <c r="C238" s="60" t="s">
        <v>594</v>
      </c>
      <c r="D238" s="60" t="s">
        <v>52</v>
      </c>
      <c r="E238" s="59">
        <v>5</v>
      </c>
      <c r="F238" s="62" t="str">
        <f>"04/25/75"</f>
        <v>04/25/75</v>
      </c>
      <c r="G238" s="63">
        <v>30935</v>
      </c>
      <c r="H238" s="63">
        <v>40970</v>
      </c>
      <c r="I238" s="62" t="str">
        <f>"09/10/1984"</f>
        <v>09/10/1984</v>
      </c>
      <c r="J238" s="61">
        <v>2</v>
      </c>
      <c r="K238" s="60"/>
      <c r="L238" s="59"/>
    </row>
    <row r="239" spans="1:12" x14ac:dyDescent="0.25">
      <c r="A239" s="53">
        <v>540184</v>
      </c>
      <c r="B239" s="54" t="s">
        <v>596</v>
      </c>
      <c r="C239" s="54" t="s">
        <v>594</v>
      </c>
      <c r="D239" s="54" t="s">
        <v>55</v>
      </c>
      <c r="E239" s="53">
        <v>5</v>
      </c>
      <c r="F239" s="56" t="str">
        <f>"08/09/74"</f>
        <v>08/09/74</v>
      </c>
      <c r="G239" s="57">
        <v>28825</v>
      </c>
      <c r="H239" s="57">
        <v>40970</v>
      </c>
      <c r="I239" s="58">
        <v>28825</v>
      </c>
      <c r="J239" s="55">
        <v>2</v>
      </c>
      <c r="K239" s="54"/>
      <c r="L239" s="53"/>
    </row>
    <row r="240" spans="1:12" x14ac:dyDescent="0.25">
      <c r="A240" s="53">
        <v>540185</v>
      </c>
      <c r="B240" s="54" t="s">
        <v>595</v>
      </c>
      <c r="C240" s="54" t="s">
        <v>594</v>
      </c>
      <c r="D240" s="54" t="s">
        <v>55</v>
      </c>
      <c r="E240" s="53">
        <v>5</v>
      </c>
      <c r="F240" s="56" t="str">
        <f>"06/28/74"</f>
        <v>06/28/74</v>
      </c>
      <c r="G240" s="57">
        <v>28858</v>
      </c>
      <c r="H240" s="57">
        <v>40970</v>
      </c>
      <c r="I240" s="56" t="str">
        <f>"01/03/1979"</f>
        <v>01/03/1979</v>
      </c>
      <c r="J240" s="55">
        <v>2</v>
      </c>
      <c r="K240" s="54"/>
      <c r="L240" s="53"/>
    </row>
    <row r="241" spans="1:12" x14ac:dyDescent="0.25">
      <c r="A241" s="59">
        <v>540186</v>
      </c>
      <c r="B241" s="60" t="s">
        <v>593</v>
      </c>
      <c r="C241" s="60" t="s">
        <v>591</v>
      </c>
      <c r="D241" s="60" t="s">
        <v>52</v>
      </c>
      <c r="E241" s="59">
        <v>1</v>
      </c>
      <c r="F241" s="62" t="str">
        <f>"01/03/75"</f>
        <v>01/03/75</v>
      </c>
      <c r="G241" s="63">
        <v>29530</v>
      </c>
      <c r="H241" s="63">
        <v>40212</v>
      </c>
      <c r="I241" s="64">
        <v>29530</v>
      </c>
      <c r="J241" s="61">
        <v>2</v>
      </c>
      <c r="K241" s="60" t="s">
        <v>537</v>
      </c>
      <c r="L241" s="59" t="s">
        <v>560</v>
      </c>
    </row>
    <row r="242" spans="1:12" x14ac:dyDescent="0.25">
      <c r="A242" s="53">
        <v>540187</v>
      </c>
      <c r="B242" s="54" t="s">
        <v>592</v>
      </c>
      <c r="C242" s="54" t="s">
        <v>591</v>
      </c>
      <c r="D242" s="54" t="s">
        <v>55</v>
      </c>
      <c r="E242" s="53">
        <v>1</v>
      </c>
      <c r="F242" s="56" t="str">
        <f>"05/31/74"</f>
        <v>05/31/74</v>
      </c>
      <c r="G242" s="57">
        <v>29068</v>
      </c>
      <c r="H242" s="57">
        <v>40212</v>
      </c>
      <c r="I242" s="56" t="str">
        <f>"08/01/1979"</f>
        <v>08/01/1979</v>
      </c>
      <c r="J242" s="55">
        <v>2</v>
      </c>
      <c r="K242" s="54" t="s">
        <v>537</v>
      </c>
      <c r="L242" s="53" t="s">
        <v>560</v>
      </c>
    </row>
    <row r="243" spans="1:12" x14ac:dyDescent="0.25">
      <c r="A243" s="59">
        <v>540188</v>
      </c>
      <c r="B243" s="60" t="s">
        <v>590</v>
      </c>
      <c r="C243" s="60" t="s">
        <v>587</v>
      </c>
      <c r="D243" s="60" t="s">
        <v>52</v>
      </c>
      <c r="E243" s="59">
        <v>6</v>
      </c>
      <c r="F243" s="64">
        <v>27376</v>
      </c>
      <c r="G243" s="63">
        <v>31959</v>
      </c>
      <c r="H243" s="63">
        <v>40757</v>
      </c>
      <c r="I243" s="62" t="str">
        <f>"07/01/1987"</f>
        <v>07/01/1987</v>
      </c>
      <c r="J243" s="61">
        <v>2</v>
      </c>
      <c r="K243" s="60"/>
      <c r="L243" s="59"/>
    </row>
    <row r="244" spans="1:12" x14ac:dyDescent="0.25">
      <c r="A244" s="53">
        <v>540189</v>
      </c>
      <c r="B244" s="54" t="s">
        <v>589</v>
      </c>
      <c r="C244" s="54" t="s">
        <v>587</v>
      </c>
      <c r="D244" s="54" t="s">
        <v>55</v>
      </c>
      <c r="E244" s="53">
        <v>6</v>
      </c>
      <c r="F244" s="56" t="str">
        <f>"08/09/74"</f>
        <v>08/09/74</v>
      </c>
      <c r="G244" s="57">
        <v>40081</v>
      </c>
      <c r="H244" s="57">
        <v>40757</v>
      </c>
      <c r="I244" s="58">
        <v>28850</v>
      </c>
      <c r="J244" s="55">
        <v>2</v>
      </c>
      <c r="K244" s="54"/>
      <c r="L244" s="53"/>
    </row>
    <row r="245" spans="1:12" x14ac:dyDescent="0.25">
      <c r="A245" s="53">
        <v>540190</v>
      </c>
      <c r="B245" s="54" t="s">
        <v>588</v>
      </c>
      <c r="C245" s="54" t="s">
        <v>587</v>
      </c>
      <c r="D245" s="54" t="s">
        <v>55</v>
      </c>
      <c r="E245" s="53">
        <v>6</v>
      </c>
      <c r="F245" s="56" t="str">
        <f>"06/28/74"</f>
        <v>06/28/74</v>
      </c>
      <c r="G245" s="57">
        <v>31990</v>
      </c>
      <c r="H245" s="57">
        <v>40081</v>
      </c>
      <c r="I245" s="56" t="str">
        <f>"08/01/1987"</f>
        <v>08/01/1987</v>
      </c>
      <c r="J245" s="55">
        <v>2</v>
      </c>
      <c r="K245" s="54"/>
      <c r="L245" s="53"/>
    </row>
    <row r="246" spans="1:12" x14ac:dyDescent="0.25">
      <c r="A246" s="59">
        <v>540191</v>
      </c>
      <c r="B246" s="60" t="s">
        <v>586</v>
      </c>
      <c r="C246" s="60" t="s">
        <v>580</v>
      </c>
      <c r="D246" s="60" t="s">
        <v>52</v>
      </c>
      <c r="E246" s="59">
        <v>7</v>
      </c>
      <c r="F246" s="64">
        <v>27376</v>
      </c>
      <c r="G246" s="63">
        <v>31959</v>
      </c>
      <c r="H246" s="63">
        <v>40365</v>
      </c>
      <c r="I246" s="62" t="str">
        <f>"07/01/1987"</f>
        <v>07/01/1987</v>
      </c>
      <c r="J246" s="61">
        <v>2</v>
      </c>
      <c r="K246" s="60"/>
      <c r="L246" s="59"/>
    </row>
    <row r="247" spans="1:12" x14ac:dyDescent="0.25">
      <c r="A247" s="53">
        <v>540260</v>
      </c>
      <c r="B247" s="54" t="s">
        <v>585</v>
      </c>
      <c r="C247" s="54" t="s">
        <v>580</v>
      </c>
      <c r="D247" s="54" t="s">
        <v>55</v>
      </c>
      <c r="E247" s="53">
        <v>7</v>
      </c>
      <c r="F247" s="58">
        <v>27355</v>
      </c>
      <c r="G247" s="57">
        <v>30883</v>
      </c>
      <c r="H247" s="57">
        <v>40365</v>
      </c>
      <c r="I247" s="56" t="str">
        <f>"07/20/1984"</f>
        <v>07/20/1984</v>
      </c>
      <c r="J247" s="55">
        <v>2</v>
      </c>
      <c r="K247" s="54"/>
      <c r="L247" s="53"/>
    </row>
    <row r="248" spans="1:12" x14ac:dyDescent="0.25">
      <c r="A248" s="53">
        <v>540192</v>
      </c>
      <c r="B248" s="54" t="s">
        <v>584</v>
      </c>
      <c r="C248" s="54" t="s">
        <v>580</v>
      </c>
      <c r="D248" s="54" t="s">
        <v>55</v>
      </c>
      <c r="E248" s="53">
        <v>7</v>
      </c>
      <c r="F248" s="56" t="str">
        <f>"02/01/74"</f>
        <v>02/01/74</v>
      </c>
      <c r="G248" s="57">
        <v>30883</v>
      </c>
      <c r="H248" s="57">
        <v>40365</v>
      </c>
      <c r="I248" s="56" t="str">
        <f>"07/20/1984"</f>
        <v>07/20/1984</v>
      </c>
      <c r="J248" s="55">
        <v>2</v>
      </c>
      <c r="K248" s="54"/>
      <c r="L248" s="53"/>
    </row>
    <row r="249" spans="1:12" x14ac:dyDescent="0.25">
      <c r="A249" s="53">
        <v>540193</v>
      </c>
      <c r="B249" s="54" t="s">
        <v>583</v>
      </c>
      <c r="C249" s="54" t="s">
        <v>580</v>
      </c>
      <c r="D249" s="54" t="s">
        <v>55</v>
      </c>
      <c r="E249" s="53">
        <v>7</v>
      </c>
      <c r="F249" s="58">
        <v>27390</v>
      </c>
      <c r="G249" s="57">
        <v>31990</v>
      </c>
      <c r="H249" s="57">
        <v>40365</v>
      </c>
      <c r="I249" s="56" t="str">
        <f>"08/01/1987"</f>
        <v>08/01/1987</v>
      </c>
      <c r="J249" s="55">
        <v>2</v>
      </c>
      <c r="K249" s="54"/>
      <c r="L249" s="53"/>
    </row>
    <row r="250" spans="1:12" x14ac:dyDescent="0.25">
      <c r="A250" s="53">
        <v>540194</v>
      </c>
      <c r="B250" s="54" t="s">
        <v>582</v>
      </c>
      <c r="C250" s="54" t="s">
        <v>580</v>
      </c>
      <c r="D250" s="54" t="s">
        <v>55</v>
      </c>
      <c r="E250" s="53">
        <v>7</v>
      </c>
      <c r="F250" s="56" t="str">
        <f>"02/08/74"</f>
        <v>02/08/74</v>
      </c>
      <c r="G250" s="57">
        <v>29082</v>
      </c>
      <c r="H250" s="57">
        <v>40365</v>
      </c>
      <c r="I250" s="56" t="str">
        <f>"08/15/1979"</f>
        <v>08/15/1979</v>
      </c>
      <c r="J250" s="55">
        <v>2</v>
      </c>
      <c r="K250" s="54"/>
      <c r="L250" s="53"/>
    </row>
    <row r="251" spans="1:12" x14ac:dyDescent="0.25">
      <c r="A251" s="53">
        <v>540261</v>
      </c>
      <c r="B251" s="54" t="s">
        <v>581</v>
      </c>
      <c r="C251" s="54" t="s">
        <v>580</v>
      </c>
      <c r="D251" s="54" t="s">
        <v>55</v>
      </c>
      <c r="E251" s="53">
        <v>7</v>
      </c>
      <c r="F251" s="58">
        <v>27383</v>
      </c>
      <c r="G251" s="57">
        <v>30935</v>
      </c>
      <c r="H251" s="57">
        <v>40365</v>
      </c>
      <c r="I251" s="56" t="str">
        <f>"09/10/1984"</f>
        <v>09/10/1984</v>
      </c>
      <c r="J251" s="55">
        <v>2</v>
      </c>
      <c r="K251" s="54"/>
      <c r="L251" s="53"/>
    </row>
    <row r="252" spans="1:12" x14ac:dyDescent="0.25">
      <c r="A252" s="59">
        <v>540277</v>
      </c>
      <c r="B252" s="60" t="s">
        <v>579</v>
      </c>
      <c r="C252" s="60" t="s">
        <v>575</v>
      </c>
      <c r="D252" s="60" t="s">
        <v>52</v>
      </c>
      <c r="E252" s="59">
        <v>5</v>
      </c>
      <c r="F252" s="64">
        <v>27383</v>
      </c>
      <c r="G252" s="63">
        <v>32451</v>
      </c>
      <c r="H252" s="63">
        <v>40301</v>
      </c>
      <c r="I252" s="64">
        <v>32451</v>
      </c>
      <c r="J252" s="61">
        <v>2</v>
      </c>
      <c r="K252" s="60"/>
      <c r="L252" s="59"/>
    </row>
    <row r="253" spans="1:12" x14ac:dyDescent="0.25">
      <c r="A253" s="53">
        <v>540259</v>
      </c>
      <c r="B253" s="54" t="s">
        <v>578</v>
      </c>
      <c r="C253" s="54" t="s">
        <v>575</v>
      </c>
      <c r="D253" s="54" t="s">
        <v>55</v>
      </c>
      <c r="E253" s="53">
        <v>5</v>
      </c>
      <c r="F253" s="58">
        <v>27362</v>
      </c>
      <c r="G253" s="57">
        <v>32451</v>
      </c>
      <c r="H253" s="57">
        <v>40301</v>
      </c>
      <c r="I253" s="58">
        <v>32451</v>
      </c>
      <c r="J253" s="55">
        <v>2</v>
      </c>
      <c r="K253" s="54"/>
      <c r="L253" s="53"/>
    </row>
    <row r="254" spans="1:12" x14ac:dyDescent="0.25">
      <c r="A254" s="53">
        <v>540195</v>
      </c>
      <c r="B254" s="54" t="s">
        <v>577</v>
      </c>
      <c r="C254" s="54" t="s">
        <v>575</v>
      </c>
      <c r="D254" s="54" t="s">
        <v>55</v>
      </c>
      <c r="E254" s="53">
        <v>5</v>
      </c>
      <c r="F254" s="56" t="str">
        <f>"05/24/74"</f>
        <v>05/24/74</v>
      </c>
      <c r="G254" s="57">
        <v>32451</v>
      </c>
      <c r="H254" s="57">
        <v>40301</v>
      </c>
      <c r="I254" s="58">
        <v>32451</v>
      </c>
      <c r="J254" s="55">
        <v>2</v>
      </c>
      <c r="K254" s="54"/>
      <c r="L254" s="53"/>
    </row>
    <row r="255" spans="1:12" x14ac:dyDescent="0.25">
      <c r="A255" s="53">
        <v>540197</v>
      </c>
      <c r="B255" s="54" t="s">
        <v>576</v>
      </c>
      <c r="C255" s="54" t="s">
        <v>575</v>
      </c>
      <c r="D255" s="54" t="s">
        <v>55</v>
      </c>
      <c r="E255" s="53">
        <v>5</v>
      </c>
      <c r="F255" s="56" t="str">
        <f>"06/21/74"</f>
        <v>06/21/74</v>
      </c>
      <c r="G255" s="57">
        <v>32451</v>
      </c>
      <c r="H255" s="57">
        <v>40301</v>
      </c>
      <c r="I255" s="58">
        <v>32451</v>
      </c>
      <c r="J255" s="55">
        <v>2</v>
      </c>
      <c r="K255" s="54"/>
      <c r="L255" s="53"/>
    </row>
    <row r="256" spans="1:12" x14ac:dyDescent="0.25">
      <c r="A256" s="59">
        <v>540198</v>
      </c>
      <c r="B256" s="60" t="s">
        <v>574</v>
      </c>
      <c r="C256" s="60" t="s">
        <v>572</v>
      </c>
      <c r="D256" s="60" t="s">
        <v>52</v>
      </c>
      <c r="E256" s="59">
        <v>7</v>
      </c>
      <c r="F256" s="62" t="str">
        <f>"01/17/75"</f>
        <v>01/17/75</v>
      </c>
      <c r="G256" s="63">
        <v>31959</v>
      </c>
      <c r="H256" s="63">
        <v>40450</v>
      </c>
      <c r="I256" s="62" t="str">
        <f>"07/01/1987"</f>
        <v>07/01/1987</v>
      </c>
      <c r="J256" s="61">
        <v>2</v>
      </c>
      <c r="K256" s="60"/>
      <c r="L256" s="59"/>
    </row>
    <row r="257" spans="1:12" x14ac:dyDescent="0.25">
      <c r="A257" s="53">
        <v>540199</v>
      </c>
      <c r="B257" s="54" t="s">
        <v>573</v>
      </c>
      <c r="C257" s="54" t="s">
        <v>572</v>
      </c>
      <c r="D257" s="54" t="s">
        <v>55</v>
      </c>
      <c r="E257" s="53">
        <v>7</v>
      </c>
      <c r="F257" s="56" t="str">
        <f>"06/28/74"</f>
        <v>06/28/74</v>
      </c>
      <c r="G257" s="57">
        <v>31659</v>
      </c>
      <c r="H257" s="57">
        <v>40450</v>
      </c>
      <c r="I257" s="56" t="str">
        <f>"09/04/1986"</f>
        <v>09/04/1986</v>
      </c>
      <c r="J257" s="55">
        <v>1.5</v>
      </c>
      <c r="K257" s="54"/>
      <c r="L257" s="53"/>
    </row>
    <row r="258" spans="1:12" x14ac:dyDescent="0.25">
      <c r="A258" s="59">
        <v>540200</v>
      </c>
      <c r="B258" s="60" t="s">
        <v>571</v>
      </c>
      <c r="C258" s="60" t="s">
        <v>565</v>
      </c>
      <c r="D258" s="60" t="s">
        <v>52</v>
      </c>
      <c r="E258" s="59">
        <v>2</v>
      </c>
      <c r="F258" s="62" t="str">
        <f>"02/21/75"</f>
        <v>02/21/75</v>
      </c>
      <c r="G258" s="63">
        <v>32038</v>
      </c>
      <c r="H258" s="63">
        <v>42615</v>
      </c>
      <c r="I258" s="62" t="str">
        <f>"09/18/1987"</f>
        <v>09/18/1987</v>
      </c>
      <c r="J258" s="61">
        <v>2</v>
      </c>
      <c r="K258" s="60" t="s">
        <v>537</v>
      </c>
      <c r="L258" s="59" t="s">
        <v>536</v>
      </c>
    </row>
    <row r="259" spans="1:12" x14ac:dyDescent="0.25">
      <c r="A259" s="53">
        <v>540232</v>
      </c>
      <c r="B259" s="54" t="s">
        <v>570</v>
      </c>
      <c r="C259" s="54" t="s">
        <v>565</v>
      </c>
      <c r="D259" s="54" t="s">
        <v>55</v>
      </c>
      <c r="E259" s="53">
        <v>2</v>
      </c>
      <c r="F259" s="56" t="str">
        <f>"01/03/75"</f>
        <v>01/03/75</v>
      </c>
      <c r="G259" s="57">
        <v>32645</v>
      </c>
      <c r="H259" s="57">
        <v>42615</v>
      </c>
      <c r="I259" s="56" t="str">
        <f>"05/17/1989"</f>
        <v>05/17/1989</v>
      </c>
      <c r="J259" s="55">
        <v>2</v>
      </c>
      <c r="K259" s="54" t="s">
        <v>537</v>
      </c>
      <c r="L259" s="53" t="s">
        <v>536</v>
      </c>
    </row>
    <row r="260" spans="1:12" x14ac:dyDescent="0.25">
      <c r="A260" s="53">
        <v>540202</v>
      </c>
      <c r="B260" s="54" t="s">
        <v>569</v>
      </c>
      <c r="C260" s="54" t="s">
        <v>565</v>
      </c>
      <c r="D260" s="54" t="s">
        <v>55</v>
      </c>
      <c r="E260" s="53">
        <v>2</v>
      </c>
      <c r="F260" s="56" t="str">
        <f>"09/13/74"</f>
        <v>09/13/74</v>
      </c>
      <c r="G260" s="57">
        <v>28858</v>
      </c>
      <c r="H260" s="57">
        <v>42615</v>
      </c>
      <c r="I260" s="56" t="str">
        <f>"01/03/1979"</f>
        <v>01/03/1979</v>
      </c>
      <c r="J260" s="55">
        <v>2</v>
      </c>
      <c r="K260" s="54" t="s">
        <v>537</v>
      </c>
      <c r="L260" s="53" t="s">
        <v>536</v>
      </c>
    </row>
    <row r="261" spans="1:12" x14ac:dyDescent="0.25">
      <c r="A261" s="53">
        <v>540018</v>
      </c>
      <c r="B261" s="54" t="s">
        <v>568</v>
      </c>
      <c r="C261" s="54" t="s">
        <v>565</v>
      </c>
      <c r="D261" s="54" t="s">
        <v>55</v>
      </c>
      <c r="E261" s="53">
        <v>2</v>
      </c>
      <c r="F261" s="56" t="str">
        <f>"05/06/77"</f>
        <v>05/06/77</v>
      </c>
      <c r="G261" s="57">
        <v>32890</v>
      </c>
      <c r="H261" s="57">
        <v>41689</v>
      </c>
      <c r="I261" s="56" t="str">
        <f>"08/17/1981"</f>
        <v>08/17/1981</v>
      </c>
      <c r="J261" s="55">
        <v>2</v>
      </c>
      <c r="K261" s="54" t="s">
        <v>537</v>
      </c>
      <c r="L261" s="53" t="s">
        <v>536</v>
      </c>
    </row>
    <row r="262" spans="1:12" x14ac:dyDescent="0.25">
      <c r="A262" s="53">
        <v>540221</v>
      </c>
      <c r="B262" s="54" t="s">
        <v>567</v>
      </c>
      <c r="C262" s="54" t="s">
        <v>565</v>
      </c>
      <c r="D262" s="54" t="s">
        <v>55</v>
      </c>
      <c r="E262" s="53">
        <v>2</v>
      </c>
      <c r="F262" s="56" t="str">
        <f>"05/03/74"</f>
        <v>05/03/74</v>
      </c>
      <c r="G262" s="57">
        <v>32645</v>
      </c>
      <c r="H262" s="57">
        <v>42615</v>
      </c>
      <c r="I262" s="56" t="str">
        <f>"05/17/1989"</f>
        <v>05/17/1989</v>
      </c>
      <c r="J262" s="55">
        <v>2</v>
      </c>
      <c r="K262" s="54" t="s">
        <v>537</v>
      </c>
      <c r="L262" s="53" t="s">
        <v>536</v>
      </c>
    </row>
    <row r="263" spans="1:12" x14ac:dyDescent="0.25">
      <c r="A263" s="53">
        <v>540231</v>
      </c>
      <c r="B263" s="54" t="s">
        <v>566</v>
      </c>
      <c r="C263" s="54" t="s">
        <v>565</v>
      </c>
      <c r="D263" s="54" t="s">
        <v>55</v>
      </c>
      <c r="E263" s="53">
        <v>2</v>
      </c>
      <c r="F263" s="56" t="str">
        <f>"01/10/75"</f>
        <v>01/10/75</v>
      </c>
      <c r="G263" s="57">
        <v>32050</v>
      </c>
      <c r="H263" s="57">
        <v>41276</v>
      </c>
      <c r="I263" s="56" t="str">
        <f>"09/30/1987"</f>
        <v>09/30/1987</v>
      </c>
      <c r="J263" s="55">
        <v>2</v>
      </c>
      <c r="K263" s="54" t="s">
        <v>537</v>
      </c>
      <c r="L263" s="53" t="s">
        <v>536</v>
      </c>
    </row>
    <row r="264" spans="1:12" x14ac:dyDescent="0.25">
      <c r="A264" s="59">
        <v>540203</v>
      </c>
      <c r="B264" s="60" t="s">
        <v>564</v>
      </c>
      <c r="C264" s="60" t="s">
        <v>558</v>
      </c>
      <c r="D264" s="60" t="s">
        <v>52</v>
      </c>
      <c r="E264" s="59">
        <v>4</v>
      </c>
      <c r="F264" s="64">
        <v>27376</v>
      </c>
      <c r="G264" s="63">
        <v>32920</v>
      </c>
      <c r="H264" s="63">
        <v>40914</v>
      </c>
      <c r="I264" s="62" t="str">
        <f>"02/16/1990"</f>
        <v>02/16/1990</v>
      </c>
      <c r="J264" s="61">
        <v>2</v>
      </c>
      <c r="K264" s="60" t="s">
        <v>563</v>
      </c>
      <c r="L264" s="59" t="s">
        <v>560</v>
      </c>
    </row>
    <row r="265" spans="1:12" x14ac:dyDescent="0.25">
      <c r="A265" s="53">
        <v>540205</v>
      </c>
      <c r="B265" s="54" t="s">
        <v>562</v>
      </c>
      <c r="C265" s="54" t="s">
        <v>558</v>
      </c>
      <c r="D265" s="54" t="s">
        <v>55</v>
      </c>
      <c r="E265" s="53">
        <v>4</v>
      </c>
      <c r="F265" s="56" t="str">
        <f>"08/09/74"</f>
        <v>08/09/74</v>
      </c>
      <c r="G265" s="57">
        <v>30918</v>
      </c>
      <c r="H265" s="57">
        <v>40914</v>
      </c>
      <c r="I265" s="56" t="str">
        <f>"08/24/1984"</f>
        <v>08/24/1984</v>
      </c>
      <c r="J265" s="55">
        <v>2</v>
      </c>
      <c r="K265" s="54" t="s">
        <v>561</v>
      </c>
      <c r="L265" s="53" t="s">
        <v>560</v>
      </c>
    </row>
    <row r="266" spans="1:12" x14ac:dyDescent="0.25">
      <c r="A266" s="53">
        <v>540206</v>
      </c>
      <c r="B266" s="54" t="s">
        <v>559</v>
      </c>
      <c r="C266" s="54" t="s">
        <v>558</v>
      </c>
      <c r="D266" s="54" t="s">
        <v>55</v>
      </c>
      <c r="E266" s="53">
        <v>4</v>
      </c>
      <c r="F266" s="56" t="str">
        <f>"08/09/74"</f>
        <v>08/09/74</v>
      </c>
      <c r="G266" s="57">
        <v>30918</v>
      </c>
      <c r="H266" s="57">
        <v>40914</v>
      </c>
      <c r="I266" s="56" t="str">
        <f>"08/24/1984"</f>
        <v>08/24/1984</v>
      </c>
      <c r="J266" s="55">
        <v>2</v>
      </c>
      <c r="K266" s="54"/>
      <c r="L266" s="53"/>
    </row>
    <row r="267" spans="1:12" x14ac:dyDescent="0.25">
      <c r="A267" s="59">
        <v>540207</v>
      </c>
      <c r="B267" s="60" t="s">
        <v>557</v>
      </c>
      <c r="C267" s="60" t="s">
        <v>551</v>
      </c>
      <c r="D267" s="60" t="s">
        <v>52</v>
      </c>
      <c r="E267" s="59">
        <v>10</v>
      </c>
      <c r="F267" s="64">
        <v>27383</v>
      </c>
      <c r="G267" s="63">
        <v>30410</v>
      </c>
      <c r="H267" s="63">
        <v>40081</v>
      </c>
      <c r="I267" s="62" t="str">
        <f>"04/04/1983"</f>
        <v>04/04/1983</v>
      </c>
      <c r="J267" s="61">
        <v>2</v>
      </c>
      <c r="K267" s="60"/>
      <c r="L267" s="59"/>
    </row>
    <row r="268" spans="1:12" x14ac:dyDescent="0.25">
      <c r="A268" s="53">
        <v>540256</v>
      </c>
      <c r="B268" s="54" t="s">
        <v>556</v>
      </c>
      <c r="C268" s="54" t="s">
        <v>551</v>
      </c>
      <c r="D268" s="54" t="s">
        <v>55</v>
      </c>
      <c r="E268" s="53">
        <v>10</v>
      </c>
      <c r="F268" s="58">
        <v>27355</v>
      </c>
      <c r="G268" s="57">
        <v>32234</v>
      </c>
      <c r="H268" s="57">
        <v>40081</v>
      </c>
      <c r="I268" s="56" t="str">
        <f>"04/01/1988"</f>
        <v>04/01/1988</v>
      </c>
      <c r="J268" s="55">
        <v>2</v>
      </c>
      <c r="K268" s="54"/>
      <c r="L268" s="53"/>
    </row>
    <row r="269" spans="1:12" x14ac:dyDescent="0.25">
      <c r="A269" s="53">
        <v>540208</v>
      </c>
      <c r="B269" s="54" t="s">
        <v>555</v>
      </c>
      <c r="C269" s="54" t="s">
        <v>551</v>
      </c>
      <c r="D269" s="54" t="s">
        <v>55</v>
      </c>
      <c r="E269" s="53">
        <v>10</v>
      </c>
      <c r="F269" s="56" t="str">
        <f>"06/28/74"</f>
        <v>06/28/74</v>
      </c>
      <c r="G269" s="57">
        <v>30196</v>
      </c>
      <c r="H269" s="57">
        <v>40081</v>
      </c>
      <c r="I269" s="56" t="str">
        <f>"09/02/1982"</f>
        <v>09/02/1982</v>
      </c>
      <c r="J269" s="55">
        <v>2</v>
      </c>
      <c r="K269" s="54"/>
      <c r="L269" s="53"/>
    </row>
    <row r="270" spans="1:12" x14ac:dyDescent="0.25">
      <c r="A270" s="53">
        <v>540196</v>
      </c>
      <c r="B270" s="54" t="s">
        <v>554</v>
      </c>
      <c r="C270" s="54" t="s">
        <v>551</v>
      </c>
      <c r="D270" s="54" t="s">
        <v>55</v>
      </c>
      <c r="E270" s="53">
        <v>10</v>
      </c>
      <c r="F270" s="56" t="str">
        <f>"05/24/74"</f>
        <v>05/24/74</v>
      </c>
      <c r="G270" s="57">
        <v>32583</v>
      </c>
      <c r="H270" s="57">
        <v>40081</v>
      </c>
      <c r="I270" s="56" t="str">
        <f>"03/16/1989"</f>
        <v>03/16/1989</v>
      </c>
      <c r="J270" s="55">
        <v>2</v>
      </c>
      <c r="K270" s="54"/>
      <c r="L270" s="53"/>
    </row>
    <row r="271" spans="1:12" x14ac:dyDescent="0.25">
      <c r="A271" s="53">
        <v>540210</v>
      </c>
      <c r="B271" s="54" t="s">
        <v>553</v>
      </c>
      <c r="C271" s="54" t="s">
        <v>551</v>
      </c>
      <c r="D271" s="54" t="s">
        <v>55</v>
      </c>
      <c r="E271" s="53">
        <v>10</v>
      </c>
      <c r="F271" s="56" t="str">
        <f>"05/24/74"</f>
        <v>05/24/74</v>
      </c>
      <c r="G271" s="57">
        <v>32234</v>
      </c>
      <c r="H271" s="57">
        <v>40081</v>
      </c>
      <c r="I271" s="56" t="str">
        <f>"04/01/1988"</f>
        <v>04/01/1988</v>
      </c>
      <c r="J271" s="55">
        <v>2</v>
      </c>
      <c r="K271" s="54"/>
      <c r="L271" s="53"/>
    </row>
    <row r="272" spans="1:12" x14ac:dyDescent="0.25">
      <c r="A272" s="53">
        <v>540258</v>
      </c>
      <c r="B272" s="54" t="s">
        <v>552</v>
      </c>
      <c r="C272" s="54" t="s">
        <v>551</v>
      </c>
      <c r="D272" s="54" t="s">
        <v>55</v>
      </c>
      <c r="E272" s="53">
        <v>10</v>
      </c>
      <c r="F272" s="58">
        <v>27348</v>
      </c>
      <c r="G272" s="57">
        <v>32234</v>
      </c>
      <c r="H272" s="57">
        <v>40081</v>
      </c>
      <c r="I272" s="56" t="str">
        <f>"04/01/1988"</f>
        <v>04/01/1988</v>
      </c>
      <c r="J272" s="55">
        <v>2</v>
      </c>
      <c r="K272" s="54"/>
      <c r="L272" s="53"/>
    </row>
    <row r="273" spans="1:12" ht="18" customHeight="1" x14ac:dyDescent="0.25">
      <c r="A273" s="59">
        <v>540211</v>
      </c>
      <c r="B273" s="60" t="s">
        <v>550</v>
      </c>
      <c r="C273" s="60" t="s">
        <v>548</v>
      </c>
      <c r="D273" s="60" t="s">
        <v>52</v>
      </c>
      <c r="E273" s="59">
        <v>5</v>
      </c>
      <c r="F273" s="62" t="str">
        <f>"01/17/75"</f>
        <v>01/17/75</v>
      </c>
      <c r="G273" s="63">
        <v>32234</v>
      </c>
      <c r="H273" s="63">
        <v>41123</v>
      </c>
      <c r="I273" s="62" t="str">
        <f>"04/01/1988"</f>
        <v>04/01/1988</v>
      </c>
      <c r="J273" s="61">
        <v>2</v>
      </c>
      <c r="K273" s="60"/>
      <c r="L273" s="59"/>
    </row>
    <row r="274" spans="1:12" x14ac:dyDescent="0.25">
      <c r="A274" s="53">
        <v>540212</v>
      </c>
      <c r="B274" s="54" t="s">
        <v>549</v>
      </c>
      <c r="C274" s="54" t="s">
        <v>548</v>
      </c>
      <c r="D274" s="54" t="s">
        <v>55</v>
      </c>
      <c r="E274" s="53">
        <v>5</v>
      </c>
      <c r="F274" s="56" t="str">
        <f>"04/05/74"</f>
        <v>04/05/74</v>
      </c>
      <c r="G274" s="57">
        <v>33255</v>
      </c>
      <c r="H274" s="57">
        <v>41123</v>
      </c>
      <c r="I274" s="56" t="str">
        <f>"01/17/1991"</f>
        <v>01/17/1991</v>
      </c>
      <c r="J274" s="55">
        <v>2</v>
      </c>
      <c r="K274" s="54"/>
      <c r="L274" s="53"/>
    </row>
    <row r="275" spans="1:12" x14ac:dyDescent="0.25">
      <c r="A275" s="59">
        <v>540213</v>
      </c>
      <c r="B275" s="60" t="s">
        <v>547</v>
      </c>
      <c r="C275" s="60" t="s">
        <v>543</v>
      </c>
      <c r="D275" s="60" t="s">
        <v>52</v>
      </c>
      <c r="E275" s="59">
        <v>5</v>
      </c>
      <c r="F275" s="62" t="str">
        <f>"01/17/75"</f>
        <v>01/17/75</v>
      </c>
      <c r="G275" s="63">
        <v>31110</v>
      </c>
      <c r="H275" s="63">
        <v>41584</v>
      </c>
      <c r="I275" s="62" t="str">
        <f>"03/04/1985"</f>
        <v>03/04/1985</v>
      </c>
      <c r="J275" s="61">
        <v>2</v>
      </c>
      <c r="K275" s="60"/>
      <c r="L275" s="59"/>
    </row>
    <row r="276" spans="1:12" x14ac:dyDescent="0.25">
      <c r="A276" s="53">
        <v>540214</v>
      </c>
      <c r="B276" s="54" t="s">
        <v>546</v>
      </c>
      <c r="C276" s="54" t="s">
        <v>543</v>
      </c>
      <c r="D276" s="54" t="s">
        <v>55</v>
      </c>
      <c r="E276" s="53">
        <v>5</v>
      </c>
      <c r="F276" s="56" t="str">
        <f>"06/14/74"</f>
        <v>06/14/74</v>
      </c>
      <c r="G276" s="57">
        <v>31659</v>
      </c>
      <c r="H276" s="57">
        <v>41584</v>
      </c>
      <c r="I276" s="56" t="str">
        <f>"09/04/1986"</f>
        <v>09/04/1986</v>
      </c>
      <c r="J276" s="55">
        <v>2</v>
      </c>
      <c r="K276" s="54"/>
      <c r="L276" s="53"/>
    </row>
    <row r="277" spans="1:12" x14ac:dyDescent="0.25">
      <c r="A277" s="53">
        <v>540215</v>
      </c>
      <c r="B277" s="54" t="s">
        <v>545</v>
      </c>
      <c r="C277" s="54" t="s">
        <v>543</v>
      </c>
      <c r="D277" s="54" t="s">
        <v>55</v>
      </c>
      <c r="E277" s="53">
        <v>5</v>
      </c>
      <c r="F277" s="58">
        <v>27376</v>
      </c>
      <c r="G277" s="57">
        <v>31399</v>
      </c>
      <c r="H277" s="57">
        <v>41584</v>
      </c>
      <c r="I277" s="58">
        <v>31399</v>
      </c>
      <c r="J277" s="55">
        <v>2</v>
      </c>
      <c r="K277" s="54"/>
      <c r="L277" s="53"/>
    </row>
    <row r="278" spans="1:12" x14ac:dyDescent="0.25">
      <c r="A278" s="53">
        <v>540216</v>
      </c>
      <c r="B278" s="54" t="s">
        <v>544</v>
      </c>
      <c r="C278" s="54" t="s">
        <v>543</v>
      </c>
      <c r="D278" s="54" t="s">
        <v>55</v>
      </c>
      <c r="E278" s="53">
        <v>5</v>
      </c>
      <c r="F278" s="56" t="str">
        <f>"05/17/74"</f>
        <v>05/17/74</v>
      </c>
      <c r="G278" s="57">
        <v>30607</v>
      </c>
      <c r="H278" s="57">
        <v>41584</v>
      </c>
      <c r="I278" s="58">
        <v>30607</v>
      </c>
      <c r="J278" s="55">
        <v>2</v>
      </c>
      <c r="K278" s="54"/>
      <c r="L278" s="53"/>
    </row>
    <row r="279" spans="1:12" x14ac:dyDescent="0.25">
      <c r="A279" s="59">
        <v>540217</v>
      </c>
      <c r="B279" s="60" t="s">
        <v>542</v>
      </c>
      <c r="C279" s="60" t="s">
        <v>538</v>
      </c>
      <c r="D279" s="60" t="s">
        <v>52</v>
      </c>
      <c r="E279" s="59">
        <v>1</v>
      </c>
      <c r="F279" s="62" t="str">
        <f>"01/17/75"</f>
        <v>01/17/75</v>
      </c>
      <c r="G279" s="63">
        <v>30756</v>
      </c>
      <c r="H279" s="63">
        <v>38853</v>
      </c>
      <c r="I279" s="62" t="str">
        <f>"03/15/1984"</f>
        <v>03/15/1984</v>
      </c>
      <c r="J279" s="61">
        <v>2</v>
      </c>
      <c r="K279" s="60" t="s">
        <v>537</v>
      </c>
      <c r="L279" s="59" t="s">
        <v>536</v>
      </c>
    </row>
    <row r="280" spans="1:12" x14ac:dyDescent="0.25">
      <c r="A280" s="53">
        <v>540218</v>
      </c>
      <c r="B280" s="54" t="s">
        <v>541</v>
      </c>
      <c r="C280" s="54" t="s">
        <v>538</v>
      </c>
      <c r="D280" s="54" t="s">
        <v>55</v>
      </c>
      <c r="E280" s="53">
        <v>1</v>
      </c>
      <c r="F280" s="56" t="str">
        <f>"06/28/74"</f>
        <v>06/28/74</v>
      </c>
      <c r="G280" s="57">
        <v>29068</v>
      </c>
      <c r="H280" s="57">
        <v>38853</v>
      </c>
      <c r="I280" s="56" t="str">
        <f>"08/01/1979"</f>
        <v>08/01/1979</v>
      </c>
      <c r="J280" s="55">
        <v>2</v>
      </c>
      <c r="K280" s="54" t="s">
        <v>537</v>
      </c>
      <c r="L280" s="53" t="s">
        <v>536</v>
      </c>
    </row>
    <row r="281" spans="1:12" x14ac:dyDescent="0.25">
      <c r="A281" s="53">
        <v>540219</v>
      </c>
      <c r="B281" s="54" t="s">
        <v>540</v>
      </c>
      <c r="C281" s="54" t="s">
        <v>538</v>
      </c>
      <c r="D281" s="54" t="s">
        <v>55</v>
      </c>
      <c r="E281" s="53">
        <v>1</v>
      </c>
      <c r="F281" s="56" t="str">
        <f>"06/28/74"</f>
        <v>06/28/74</v>
      </c>
      <c r="G281" s="57">
        <v>29144</v>
      </c>
      <c r="H281" s="57">
        <v>38853</v>
      </c>
      <c r="I281" s="58">
        <v>29144</v>
      </c>
      <c r="J281" s="55">
        <v>2</v>
      </c>
      <c r="K281" s="54" t="s">
        <v>537</v>
      </c>
      <c r="L281" s="53" t="s">
        <v>536</v>
      </c>
    </row>
    <row r="282" spans="1:12" x14ac:dyDescent="0.25">
      <c r="A282" s="53">
        <v>540220</v>
      </c>
      <c r="B282" s="54" t="s">
        <v>539</v>
      </c>
      <c r="C282" s="54" t="s">
        <v>538</v>
      </c>
      <c r="D282" s="54" t="s">
        <v>55</v>
      </c>
      <c r="E282" s="53">
        <v>1</v>
      </c>
      <c r="F282" s="56" t="str">
        <f>"07/26/74"</f>
        <v>07/26/74</v>
      </c>
      <c r="G282" s="57">
        <v>30589</v>
      </c>
      <c r="H282" s="57">
        <v>38853</v>
      </c>
      <c r="I282" s="56" t="str">
        <f>"09/30/1983"</f>
        <v>09/30/1983</v>
      </c>
      <c r="J282" s="55">
        <v>2</v>
      </c>
      <c r="K282" s="54" t="s">
        <v>537</v>
      </c>
      <c r="L282" s="53" t="s">
        <v>536</v>
      </c>
    </row>
    <row r="284" spans="1:12" x14ac:dyDescent="0.25">
      <c r="A284" s="51" t="s">
        <v>535</v>
      </c>
      <c r="C284" s="51"/>
      <c r="D284" s="51"/>
      <c r="E284" s="50"/>
    </row>
    <row r="285" spans="1:12" x14ac:dyDescent="0.25">
      <c r="B285" s="52" t="s">
        <v>534</v>
      </c>
      <c r="C285" s="51"/>
      <c r="D285" s="51"/>
      <c r="E285" s="50"/>
      <c r="F285" s="49"/>
      <c r="G285" s="49"/>
      <c r="H285" s="48"/>
    </row>
    <row r="286" spans="1:12" x14ac:dyDescent="0.25">
      <c r="B286" s="52" t="s">
        <v>533</v>
      </c>
      <c r="C286" s="51"/>
      <c r="D286" s="51"/>
      <c r="E286" s="50"/>
      <c r="F286" s="49"/>
      <c r="G286" s="49"/>
      <c r="H286" s="48"/>
    </row>
    <row r="287" spans="1:12" x14ac:dyDescent="0.25">
      <c r="B287" s="52" t="s">
        <v>532</v>
      </c>
      <c r="C287" s="51"/>
      <c r="D287" s="51"/>
      <c r="E287" s="50"/>
      <c r="F287" s="49"/>
      <c r="G287" s="49"/>
      <c r="H287" s="48"/>
    </row>
    <row r="290" spans="1:10" x14ac:dyDescent="0.25">
      <c r="A290" s="47" t="s">
        <v>531</v>
      </c>
      <c r="B290" s="46"/>
    </row>
    <row r="291" spans="1:10" ht="50.25" customHeight="1" x14ac:dyDescent="0.25">
      <c r="A291" s="175" t="s">
        <v>530</v>
      </c>
      <c r="B291" s="175"/>
      <c r="C291" s="175"/>
      <c r="D291" s="175"/>
      <c r="E291" s="175"/>
      <c r="F291" s="175"/>
      <c r="G291" s="175"/>
      <c r="H291" s="175"/>
      <c r="I291" s="175"/>
      <c r="J291" s="175"/>
    </row>
    <row r="292" spans="1:10" ht="15" customHeight="1" x14ac:dyDescent="0.25">
      <c r="A292" s="176" t="s">
        <v>529</v>
      </c>
      <c r="B292" s="176"/>
      <c r="C292" s="176"/>
      <c r="D292" s="176"/>
      <c r="E292" s="176"/>
      <c r="F292" s="176"/>
      <c r="G292" s="176"/>
      <c r="H292" s="176"/>
      <c r="I292" s="176"/>
      <c r="J292" s="176"/>
    </row>
    <row r="293" spans="1:10" x14ac:dyDescent="0.25">
      <c r="A293" s="176"/>
      <c r="B293" s="176"/>
      <c r="C293" s="176"/>
      <c r="D293" s="176"/>
      <c r="E293" s="176"/>
      <c r="F293" s="176"/>
      <c r="G293" s="176"/>
      <c r="H293" s="176"/>
      <c r="I293" s="176"/>
      <c r="J293" s="176"/>
    </row>
    <row r="294" spans="1:10" x14ac:dyDescent="0.25">
      <c r="A294" s="176"/>
      <c r="B294" s="176"/>
      <c r="C294" s="176"/>
      <c r="D294" s="176"/>
      <c r="E294" s="176"/>
      <c r="F294" s="176"/>
      <c r="G294" s="176"/>
      <c r="H294" s="176"/>
      <c r="I294" s="176"/>
      <c r="J294" s="176"/>
    </row>
    <row r="295" spans="1:10" ht="14.25" customHeight="1" x14ac:dyDescent="0.25">
      <c r="A295" s="176"/>
      <c r="B295" s="176"/>
      <c r="C295" s="176"/>
      <c r="D295" s="176"/>
      <c r="E295" s="176"/>
      <c r="F295" s="176"/>
      <c r="G295" s="176"/>
      <c r="H295" s="176"/>
      <c r="I295" s="176"/>
      <c r="J295" s="176"/>
    </row>
    <row r="296" spans="1:10" ht="15" customHeight="1" x14ac:dyDescent="0.25">
      <c r="A296" s="176"/>
      <c r="B296" s="176"/>
      <c r="C296" s="176"/>
      <c r="D296" s="176"/>
      <c r="E296" s="176"/>
      <c r="F296" s="176"/>
      <c r="G296" s="176"/>
      <c r="H296" s="176"/>
      <c r="I296" s="176"/>
      <c r="J296" s="176"/>
    </row>
  </sheetData>
  <autoFilter ref="A3:L282"/>
  <mergeCells count="2">
    <mergeCell ref="A291:J291"/>
    <mergeCell ref="A292:J29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0"/>
  <sheetViews>
    <sheetView workbookViewId="0">
      <selection activeCell="C12" sqref="C12"/>
    </sheetView>
  </sheetViews>
  <sheetFormatPr defaultRowHeight="15" x14ac:dyDescent="0.25"/>
  <cols>
    <col min="1" max="1" width="9.140625" style="2"/>
    <col min="2" max="2" width="25.85546875" customWidth="1"/>
    <col min="3" max="3" width="23.5703125" customWidth="1"/>
    <col min="4" max="4" width="19.42578125" customWidth="1"/>
    <col min="5" max="5" width="6.28515625" style="2" customWidth="1"/>
    <col min="6" max="6" width="25" style="2" customWidth="1"/>
  </cols>
  <sheetData>
    <row r="1" spans="1:6" s="42" customFormat="1" x14ac:dyDescent="0.25">
      <c r="A1" s="44" t="s">
        <v>891</v>
      </c>
      <c r="E1" s="41"/>
      <c r="F1" s="50"/>
    </row>
    <row r="2" spans="1:6" s="42" customFormat="1" ht="32.25" customHeight="1" x14ac:dyDescent="0.25">
      <c r="A2" s="74" t="s">
        <v>7</v>
      </c>
      <c r="B2" s="74" t="s">
        <v>8</v>
      </c>
      <c r="C2" s="74" t="s">
        <v>2</v>
      </c>
      <c r="D2" s="74" t="s">
        <v>1154</v>
      </c>
      <c r="E2" s="74" t="s">
        <v>888</v>
      </c>
      <c r="F2" s="76" t="s">
        <v>1153</v>
      </c>
    </row>
    <row r="3" spans="1:6" s="42" customFormat="1" ht="18.75" customHeight="1" x14ac:dyDescent="0.25">
      <c r="A3" s="59">
        <v>540001</v>
      </c>
      <c r="B3" s="60" t="s">
        <v>880</v>
      </c>
      <c r="C3" s="60" t="s">
        <v>50</v>
      </c>
      <c r="D3" s="60" t="s">
        <v>52</v>
      </c>
      <c r="E3" s="59">
        <v>7</v>
      </c>
      <c r="F3" s="79">
        <v>31959</v>
      </c>
    </row>
    <row r="4" spans="1:6" s="42" customFormat="1" x14ac:dyDescent="0.25">
      <c r="A4" s="53">
        <v>540002</v>
      </c>
      <c r="B4" s="54" t="s">
        <v>879</v>
      </c>
      <c r="C4" s="54" t="s">
        <v>1152</v>
      </c>
      <c r="D4" s="54" t="s">
        <v>55</v>
      </c>
      <c r="E4" s="53">
        <v>7</v>
      </c>
      <c r="F4" s="78">
        <v>29068</v>
      </c>
    </row>
    <row r="5" spans="1:6" s="42" customFormat="1" x14ac:dyDescent="0.25">
      <c r="A5" s="53">
        <v>540003</v>
      </c>
      <c r="B5" s="54" t="s">
        <v>878</v>
      </c>
      <c r="C5" s="54" t="s">
        <v>1151</v>
      </c>
      <c r="D5" s="54" t="s">
        <v>55</v>
      </c>
      <c r="E5" s="53">
        <v>7</v>
      </c>
      <c r="F5" s="78">
        <v>31884</v>
      </c>
    </row>
    <row r="6" spans="1:6" s="42" customFormat="1" x14ac:dyDescent="0.25">
      <c r="A6" s="53">
        <v>540004</v>
      </c>
      <c r="B6" s="54" t="s">
        <v>877</v>
      </c>
      <c r="C6" s="54" t="s">
        <v>1150</v>
      </c>
      <c r="D6" s="54" t="s">
        <v>55</v>
      </c>
      <c r="E6" s="53">
        <v>7</v>
      </c>
      <c r="F6" s="78">
        <v>31659</v>
      </c>
    </row>
    <row r="7" spans="1:6" s="42" customFormat="1" x14ac:dyDescent="0.25">
      <c r="A7" s="59">
        <v>540282</v>
      </c>
      <c r="B7" s="60" t="s">
        <v>875</v>
      </c>
      <c r="C7" s="60" t="s">
        <v>1149</v>
      </c>
      <c r="D7" s="60" t="s">
        <v>52</v>
      </c>
      <c r="E7" s="59">
        <v>9</v>
      </c>
      <c r="F7" s="79">
        <v>32359</v>
      </c>
    </row>
    <row r="8" spans="1:6" s="42" customFormat="1" x14ac:dyDescent="0.25">
      <c r="A8" s="53">
        <v>540006</v>
      </c>
      <c r="B8" s="54" t="s">
        <v>874</v>
      </c>
      <c r="C8" s="54" t="s">
        <v>1148</v>
      </c>
      <c r="D8" s="54" t="s">
        <v>55</v>
      </c>
      <c r="E8" s="53">
        <v>9</v>
      </c>
      <c r="F8" s="78">
        <v>29207</v>
      </c>
    </row>
    <row r="9" spans="1:6" s="42" customFormat="1" x14ac:dyDescent="0.25">
      <c r="A9" s="59">
        <v>540007</v>
      </c>
      <c r="B9" s="60" t="s">
        <v>872</v>
      </c>
      <c r="C9" s="60" t="s">
        <v>1147</v>
      </c>
      <c r="D9" s="60" t="s">
        <v>52</v>
      </c>
      <c r="E9" s="59">
        <v>3</v>
      </c>
      <c r="F9" s="79">
        <v>33344</v>
      </c>
    </row>
    <row r="10" spans="1:6" s="42" customFormat="1" x14ac:dyDescent="0.25">
      <c r="A10" s="53">
        <v>540230</v>
      </c>
      <c r="B10" s="54" t="s">
        <v>871</v>
      </c>
      <c r="C10" s="54" t="s">
        <v>1146</v>
      </c>
      <c r="D10" s="54" t="s">
        <v>55</v>
      </c>
      <c r="E10" s="53">
        <v>3</v>
      </c>
      <c r="F10" s="78">
        <v>33344</v>
      </c>
    </row>
    <row r="11" spans="1:6" s="42" customFormat="1" x14ac:dyDescent="0.25">
      <c r="A11" s="53">
        <v>540008</v>
      </c>
      <c r="B11" s="54" t="s">
        <v>870</v>
      </c>
      <c r="C11" s="54" t="s">
        <v>1145</v>
      </c>
      <c r="D11" s="54" t="s">
        <v>55</v>
      </c>
      <c r="E11" s="53">
        <v>3</v>
      </c>
      <c r="F11" s="78">
        <v>33344</v>
      </c>
    </row>
    <row r="12" spans="1:6" s="42" customFormat="1" x14ac:dyDescent="0.25">
      <c r="A12" s="53">
        <v>540238</v>
      </c>
      <c r="B12" s="54" t="s">
        <v>869</v>
      </c>
      <c r="C12" s="54" t="s">
        <v>1144</v>
      </c>
      <c r="D12" s="54" t="s">
        <v>55</v>
      </c>
      <c r="E12" s="53">
        <v>3</v>
      </c>
      <c r="F12" s="78">
        <v>33344</v>
      </c>
    </row>
    <row r="13" spans="1:6" s="42" customFormat="1" x14ac:dyDescent="0.25">
      <c r="A13" s="53">
        <v>540229</v>
      </c>
      <c r="B13" s="54" t="s">
        <v>868</v>
      </c>
      <c r="C13" s="54" t="s">
        <v>1143</v>
      </c>
      <c r="D13" s="54" t="s">
        <v>55</v>
      </c>
      <c r="E13" s="53">
        <v>3</v>
      </c>
      <c r="F13" s="78">
        <v>33344</v>
      </c>
    </row>
    <row r="14" spans="1:6" s="42" customFormat="1" x14ac:dyDescent="0.25">
      <c r="A14" s="59">
        <v>540009</v>
      </c>
      <c r="B14" s="60" t="s">
        <v>866</v>
      </c>
      <c r="C14" s="60" t="s">
        <v>1142</v>
      </c>
      <c r="D14" s="60" t="s">
        <v>52</v>
      </c>
      <c r="E14" s="59">
        <v>7</v>
      </c>
      <c r="F14" s="79">
        <v>40287</v>
      </c>
    </row>
    <row r="15" spans="1:6" s="42" customFormat="1" x14ac:dyDescent="0.25">
      <c r="A15" s="53">
        <v>540010</v>
      </c>
      <c r="B15" s="54" t="s">
        <v>865</v>
      </c>
      <c r="C15" s="54" t="s">
        <v>1141</v>
      </c>
      <c r="D15" s="54" t="s">
        <v>55</v>
      </c>
      <c r="E15" s="53">
        <v>7</v>
      </c>
      <c r="F15" s="78">
        <v>40287</v>
      </c>
    </row>
    <row r="16" spans="1:6" s="42" customFormat="1" x14ac:dyDescent="0.25">
      <c r="A16" s="53">
        <v>540235</v>
      </c>
      <c r="B16" s="54" t="s">
        <v>864</v>
      </c>
      <c r="C16" s="54" t="s">
        <v>1140</v>
      </c>
      <c r="D16" s="54" t="s">
        <v>55</v>
      </c>
      <c r="E16" s="53">
        <v>7</v>
      </c>
      <c r="F16" s="78">
        <v>40287</v>
      </c>
    </row>
    <row r="17" spans="1:6" s="42" customFormat="1" x14ac:dyDescent="0.25">
      <c r="A17" s="53">
        <v>540237</v>
      </c>
      <c r="B17" s="54" t="s">
        <v>863</v>
      </c>
      <c r="C17" s="54" t="s">
        <v>1139</v>
      </c>
      <c r="D17" s="54" t="s">
        <v>55</v>
      </c>
      <c r="E17" s="53">
        <v>7</v>
      </c>
      <c r="F17" s="78">
        <v>40287</v>
      </c>
    </row>
    <row r="18" spans="1:6" s="42" customFormat="1" x14ac:dyDescent="0.25">
      <c r="A18" s="53">
        <v>540236</v>
      </c>
      <c r="B18" s="54" t="s">
        <v>862</v>
      </c>
      <c r="C18" s="54" t="s">
        <v>1138</v>
      </c>
      <c r="D18" s="54" t="s">
        <v>55</v>
      </c>
      <c r="E18" s="53">
        <v>7</v>
      </c>
      <c r="F18" s="78">
        <v>40287</v>
      </c>
    </row>
    <row r="19" spans="1:6" s="42" customFormat="1" x14ac:dyDescent="0.25">
      <c r="A19" s="59">
        <v>540011</v>
      </c>
      <c r="B19" s="60" t="s">
        <v>860</v>
      </c>
      <c r="C19" s="60" t="s">
        <v>1137</v>
      </c>
      <c r="D19" s="60" t="s">
        <v>52</v>
      </c>
      <c r="E19" s="59">
        <v>11</v>
      </c>
      <c r="F19" s="79">
        <v>30665</v>
      </c>
    </row>
    <row r="20" spans="1:6" s="42" customFormat="1" x14ac:dyDescent="0.25">
      <c r="A20" s="53">
        <v>540093</v>
      </c>
      <c r="B20" s="54" t="s">
        <v>859</v>
      </c>
      <c r="C20" s="54" t="s">
        <v>1136</v>
      </c>
      <c r="D20" s="54" t="s">
        <v>55</v>
      </c>
      <c r="E20" s="53">
        <v>11</v>
      </c>
      <c r="F20" s="78">
        <v>40287</v>
      </c>
    </row>
    <row r="21" spans="1:6" s="42" customFormat="1" x14ac:dyDescent="0.25">
      <c r="A21" s="53">
        <v>540012</v>
      </c>
      <c r="B21" s="54" t="s">
        <v>858</v>
      </c>
      <c r="C21" s="54" t="s">
        <v>1135</v>
      </c>
      <c r="D21" s="54" t="s">
        <v>55</v>
      </c>
      <c r="E21" s="53">
        <v>11</v>
      </c>
      <c r="F21" s="78">
        <v>29126</v>
      </c>
    </row>
    <row r="22" spans="1:6" s="42" customFormat="1" x14ac:dyDescent="0.25">
      <c r="A22" s="53">
        <v>540013</v>
      </c>
      <c r="B22" s="54" t="s">
        <v>857</v>
      </c>
      <c r="C22" s="54" t="s">
        <v>1134</v>
      </c>
      <c r="D22" s="54" t="s">
        <v>55</v>
      </c>
      <c r="E22" s="53">
        <v>11</v>
      </c>
      <c r="F22" s="78">
        <v>30224</v>
      </c>
    </row>
    <row r="23" spans="1:6" s="42" customFormat="1" x14ac:dyDescent="0.25">
      <c r="A23" s="53">
        <v>540015</v>
      </c>
      <c r="B23" s="54" t="s">
        <v>855</v>
      </c>
      <c r="C23" s="54" t="s">
        <v>1133</v>
      </c>
      <c r="D23" s="54" t="s">
        <v>55</v>
      </c>
      <c r="E23" s="53">
        <v>11</v>
      </c>
      <c r="F23" s="78">
        <v>30272</v>
      </c>
    </row>
    <row r="24" spans="1:6" s="42" customFormat="1" x14ac:dyDescent="0.25">
      <c r="A24" s="53">
        <v>540014</v>
      </c>
      <c r="B24" s="54" t="s">
        <v>856</v>
      </c>
      <c r="C24" s="54" t="s">
        <v>1132</v>
      </c>
      <c r="D24" s="54" t="s">
        <v>55</v>
      </c>
      <c r="E24" s="53">
        <v>11</v>
      </c>
      <c r="F24" s="78">
        <v>29126</v>
      </c>
    </row>
    <row r="25" spans="1:6" s="42" customFormat="1" x14ac:dyDescent="0.25">
      <c r="A25" s="59">
        <v>540016</v>
      </c>
      <c r="B25" s="60" t="s">
        <v>853</v>
      </c>
      <c r="C25" s="60" t="s">
        <v>94</v>
      </c>
      <c r="D25" s="60" t="s">
        <v>52</v>
      </c>
      <c r="E25" s="59">
        <v>2</v>
      </c>
      <c r="F25" s="79">
        <v>32050</v>
      </c>
    </row>
    <row r="26" spans="1:6" s="42" customFormat="1" x14ac:dyDescent="0.25">
      <c r="A26" s="53">
        <v>540017</v>
      </c>
      <c r="B26" s="54" t="s">
        <v>852</v>
      </c>
      <c r="C26" s="54" t="s">
        <v>1131</v>
      </c>
      <c r="D26" s="54" t="s">
        <v>55</v>
      </c>
      <c r="E26" s="53">
        <v>2</v>
      </c>
      <c r="F26" s="78">
        <v>32297</v>
      </c>
    </row>
    <row r="27" spans="1:6" s="42" customFormat="1" x14ac:dyDescent="0.25">
      <c r="A27" s="53">
        <v>540019</v>
      </c>
      <c r="B27" s="54" t="s">
        <v>851</v>
      </c>
      <c r="C27" s="54" t="s">
        <v>1130</v>
      </c>
      <c r="D27" s="54" t="s">
        <v>55</v>
      </c>
      <c r="E27" s="53">
        <v>2</v>
      </c>
      <c r="F27" s="78">
        <v>32050</v>
      </c>
    </row>
    <row r="28" spans="1:6" s="42" customFormat="1" x14ac:dyDescent="0.25">
      <c r="A28" s="59">
        <v>540020</v>
      </c>
      <c r="B28" s="60" t="s">
        <v>849</v>
      </c>
      <c r="C28" s="60" t="s">
        <v>1129</v>
      </c>
      <c r="D28" s="60" t="s">
        <v>52</v>
      </c>
      <c r="E28" s="59">
        <v>5</v>
      </c>
      <c r="F28" s="79">
        <v>33315</v>
      </c>
    </row>
    <row r="29" spans="1:6" s="42" customFormat="1" x14ac:dyDescent="0.25">
      <c r="A29" s="53">
        <v>540021</v>
      </c>
      <c r="B29" s="54" t="s">
        <v>848</v>
      </c>
      <c r="C29" s="54" t="s">
        <v>1128</v>
      </c>
      <c r="D29" s="54" t="s">
        <v>55</v>
      </c>
      <c r="E29" s="53">
        <v>5</v>
      </c>
      <c r="F29" s="78">
        <v>33315</v>
      </c>
    </row>
    <row r="30" spans="1:6" s="42" customFormat="1" x14ac:dyDescent="0.25">
      <c r="A30" s="59">
        <v>540022</v>
      </c>
      <c r="B30" s="60" t="s">
        <v>846</v>
      </c>
      <c r="C30" s="60" t="s">
        <v>1127</v>
      </c>
      <c r="D30" s="60" t="s">
        <v>52</v>
      </c>
      <c r="E30" s="59">
        <v>3</v>
      </c>
      <c r="F30" s="79">
        <v>33315</v>
      </c>
    </row>
    <row r="31" spans="1:6" s="42" customFormat="1" x14ac:dyDescent="0.25">
      <c r="A31" s="53">
        <v>540023</v>
      </c>
      <c r="B31" s="54" t="s">
        <v>845</v>
      </c>
      <c r="C31" s="54" t="s">
        <v>1126</v>
      </c>
      <c r="D31" s="54" t="s">
        <v>55</v>
      </c>
      <c r="E31" s="53">
        <v>3</v>
      </c>
      <c r="F31" s="78">
        <v>33315</v>
      </c>
    </row>
    <row r="32" spans="1:6" s="42" customFormat="1" x14ac:dyDescent="0.25">
      <c r="A32" s="59">
        <v>540024</v>
      </c>
      <c r="B32" s="60" t="s">
        <v>843</v>
      </c>
      <c r="C32" s="60" t="s">
        <v>1125</v>
      </c>
      <c r="D32" s="60" t="s">
        <v>52</v>
      </c>
      <c r="E32" s="59">
        <v>6</v>
      </c>
      <c r="F32" s="79">
        <v>33315</v>
      </c>
    </row>
    <row r="33" spans="1:6" s="42" customFormat="1" x14ac:dyDescent="0.25">
      <c r="A33" s="53">
        <v>540025</v>
      </c>
      <c r="B33" s="54" t="s">
        <v>842</v>
      </c>
      <c r="C33" s="54" t="s">
        <v>1124</v>
      </c>
      <c r="D33" s="54" t="s">
        <v>55</v>
      </c>
      <c r="E33" s="53">
        <v>6</v>
      </c>
      <c r="F33" s="78">
        <v>33315</v>
      </c>
    </row>
    <row r="34" spans="1:6" s="42" customFormat="1" x14ac:dyDescent="0.25">
      <c r="A34" s="59">
        <v>540026</v>
      </c>
      <c r="B34" s="60" t="s">
        <v>840</v>
      </c>
      <c r="C34" s="60" t="s">
        <v>112</v>
      </c>
      <c r="D34" s="60" t="s">
        <v>52</v>
      </c>
      <c r="E34" s="59">
        <v>4</v>
      </c>
      <c r="F34" s="79">
        <v>32206</v>
      </c>
    </row>
    <row r="35" spans="1:6" s="42" customFormat="1" x14ac:dyDescent="0.25">
      <c r="A35" s="53">
        <v>540027</v>
      </c>
      <c r="B35" s="54" t="s">
        <v>839</v>
      </c>
      <c r="C35" s="54" t="s">
        <v>1123</v>
      </c>
      <c r="D35" s="54" t="s">
        <v>55</v>
      </c>
      <c r="E35" s="53">
        <v>4</v>
      </c>
      <c r="F35" s="78">
        <v>29889</v>
      </c>
    </row>
    <row r="36" spans="1:6" s="42" customFormat="1" x14ac:dyDescent="0.25">
      <c r="A36" s="53">
        <v>540293</v>
      </c>
      <c r="B36" s="54" t="s">
        <v>838</v>
      </c>
      <c r="C36" s="54" t="s">
        <v>1122</v>
      </c>
      <c r="D36" s="54" t="s">
        <v>55</v>
      </c>
      <c r="E36" s="53">
        <v>4</v>
      </c>
      <c r="F36" s="78">
        <v>32206</v>
      </c>
    </row>
    <row r="37" spans="1:6" s="42" customFormat="1" x14ac:dyDescent="0.25">
      <c r="A37" s="53">
        <v>540294</v>
      </c>
      <c r="B37" s="54" t="s">
        <v>837</v>
      </c>
      <c r="C37" s="54" t="s">
        <v>1121</v>
      </c>
      <c r="D37" s="54" t="s">
        <v>55</v>
      </c>
      <c r="E37" s="53">
        <v>4</v>
      </c>
      <c r="F37" s="78">
        <v>33499</v>
      </c>
    </row>
    <row r="38" spans="1:6" s="42" customFormat="1" x14ac:dyDescent="0.25">
      <c r="A38" s="53">
        <v>540028</v>
      </c>
      <c r="B38" s="54" t="s">
        <v>836</v>
      </c>
      <c r="C38" s="54" t="s">
        <v>1120</v>
      </c>
      <c r="D38" s="54" t="s">
        <v>55</v>
      </c>
      <c r="E38" s="53">
        <v>4</v>
      </c>
      <c r="F38" s="78">
        <v>33240</v>
      </c>
    </row>
    <row r="39" spans="1:6" s="42" customFormat="1" x14ac:dyDescent="0.25">
      <c r="A39" s="53">
        <v>540280</v>
      </c>
      <c r="B39" s="54" t="s">
        <v>834</v>
      </c>
      <c r="C39" s="54" t="s">
        <v>1119</v>
      </c>
      <c r="D39" s="54" t="s">
        <v>55</v>
      </c>
      <c r="E39" s="53">
        <v>4</v>
      </c>
      <c r="F39" s="78">
        <v>29077</v>
      </c>
    </row>
    <row r="40" spans="1:6" s="42" customFormat="1" x14ac:dyDescent="0.25">
      <c r="A40" s="53">
        <v>540031</v>
      </c>
      <c r="B40" s="54" t="s">
        <v>833</v>
      </c>
      <c r="C40" s="54" t="s">
        <v>1118</v>
      </c>
      <c r="D40" s="54" t="s">
        <v>55</v>
      </c>
      <c r="E40" s="53">
        <v>4</v>
      </c>
      <c r="F40" s="78">
        <v>29238</v>
      </c>
    </row>
    <row r="41" spans="1:6" s="42" customFormat="1" x14ac:dyDescent="0.25">
      <c r="A41" s="53">
        <v>540032</v>
      </c>
      <c r="B41" s="54" t="s">
        <v>832</v>
      </c>
      <c r="C41" s="54" t="s">
        <v>1117</v>
      </c>
      <c r="D41" s="54" t="s">
        <v>55</v>
      </c>
      <c r="E41" s="53">
        <v>4</v>
      </c>
      <c r="F41" s="78">
        <v>29077</v>
      </c>
    </row>
    <row r="42" spans="1:6" s="42" customFormat="1" x14ac:dyDescent="0.25">
      <c r="A42" s="53">
        <v>540033</v>
      </c>
      <c r="B42" s="54" t="s">
        <v>1116</v>
      </c>
      <c r="C42" s="54" t="s">
        <v>1115</v>
      </c>
      <c r="D42" s="54" t="s">
        <v>55</v>
      </c>
      <c r="E42" s="53">
        <v>4</v>
      </c>
      <c r="F42" s="78">
        <v>30056</v>
      </c>
    </row>
    <row r="43" spans="1:6" s="42" customFormat="1" x14ac:dyDescent="0.25">
      <c r="A43" s="59">
        <v>540035</v>
      </c>
      <c r="B43" s="60" t="s">
        <v>829</v>
      </c>
      <c r="C43" s="60" t="s">
        <v>1114</v>
      </c>
      <c r="D43" s="60" t="s">
        <v>52</v>
      </c>
      <c r="E43" s="59">
        <v>7</v>
      </c>
      <c r="F43" s="79">
        <v>33344</v>
      </c>
    </row>
    <row r="44" spans="1:6" s="42" customFormat="1" x14ac:dyDescent="0.25">
      <c r="A44" s="53">
        <v>540036</v>
      </c>
      <c r="B44" s="54" t="s">
        <v>828</v>
      </c>
      <c r="C44" s="54" t="s">
        <v>1113</v>
      </c>
      <c r="D44" s="54" t="s">
        <v>55</v>
      </c>
      <c r="E44" s="53">
        <v>7</v>
      </c>
      <c r="F44" s="78">
        <v>33344</v>
      </c>
    </row>
    <row r="45" spans="1:6" s="42" customFormat="1" x14ac:dyDescent="0.25">
      <c r="A45" s="53">
        <v>540037</v>
      </c>
      <c r="B45" s="54" t="s">
        <v>827</v>
      </c>
      <c r="C45" s="54" t="s">
        <v>1112</v>
      </c>
      <c r="D45" s="54" t="s">
        <v>55</v>
      </c>
      <c r="E45" s="53">
        <v>7</v>
      </c>
      <c r="F45" s="78">
        <v>33344</v>
      </c>
    </row>
    <row r="46" spans="1:6" s="42" customFormat="1" x14ac:dyDescent="0.25">
      <c r="A46" s="59">
        <v>540038</v>
      </c>
      <c r="B46" s="60" t="s">
        <v>825</v>
      </c>
      <c r="C46" s="60" t="s">
        <v>133</v>
      </c>
      <c r="D46" s="60" t="s">
        <v>52</v>
      </c>
      <c r="E46" s="59">
        <v>8</v>
      </c>
      <c r="F46" s="79">
        <v>31990</v>
      </c>
    </row>
    <row r="47" spans="1:6" s="42" customFormat="1" x14ac:dyDescent="0.25">
      <c r="A47" s="53" t="s">
        <v>824</v>
      </c>
      <c r="B47" s="54" t="s">
        <v>823</v>
      </c>
      <c r="C47" s="54" t="s">
        <v>1111</v>
      </c>
      <c r="D47" s="54" t="s">
        <v>55</v>
      </c>
      <c r="E47" s="53">
        <v>8</v>
      </c>
      <c r="F47" s="78">
        <v>29077</v>
      </c>
    </row>
    <row r="48" spans="1:6" s="42" customFormat="1" x14ac:dyDescent="0.25">
      <c r="A48" s="53">
        <v>540039</v>
      </c>
      <c r="B48" s="54" t="s">
        <v>822</v>
      </c>
      <c r="C48" s="54" t="s">
        <v>1110</v>
      </c>
      <c r="D48" s="54" t="s">
        <v>55</v>
      </c>
      <c r="E48" s="53">
        <v>8</v>
      </c>
      <c r="F48" s="78">
        <v>32996</v>
      </c>
    </row>
    <row r="49" spans="1:6" s="42" customFormat="1" x14ac:dyDescent="0.25">
      <c r="A49" s="59">
        <v>540040</v>
      </c>
      <c r="B49" s="60" t="s">
        <v>820</v>
      </c>
      <c r="C49" s="60" t="s">
        <v>142</v>
      </c>
      <c r="D49" s="60" t="s">
        <v>52</v>
      </c>
      <c r="E49" s="59">
        <v>4</v>
      </c>
      <c r="F49" s="79">
        <v>32157</v>
      </c>
    </row>
    <row r="50" spans="1:6" s="42" customFormat="1" x14ac:dyDescent="0.25">
      <c r="A50" s="53">
        <v>540243</v>
      </c>
      <c r="B50" s="54" t="s">
        <v>819</v>
      </c>
      <c r="C50" s="54" t="s">
        <v>1109</v>
      </c>
      <c r="D50" s="54" t="s">
        <v>55</v>
      </c>
      <c r="E50" s="53">
        <v>4</v>
      </c>
      <c r="F50" s="78">
        <v>30949</v>
      </c>
    </row>
    <row r="51" spans="1:6" s="42" customFormat="1" x14ac:dyDescent="0.25">
      <c r="A51" s="53">
        <v>540281</v>
      </c>
      <c r="B51" s="54" t="s">
        <v>818</v>
      </c>
      <c r="C51" s="54" t="s">
        <v>1108</v>
      </c>
      <c r="D51" s="54" t="s">
        <v>55</v>
      </c>
      <c r="E51" s="53">
        <v>4</v>
      </c>
      <c r="F51" s="78">
        <v>41198</v>
      </c>
    </row>
    <row r="52" spans="1:6" s="42" customFormat="1" x14ac:dyDescent="0.25">
      <c r="A52" s="53">
        <v>540244</v>
      </c>
      <c r="B52" s="54" t="s">
        <v>817</v>
      </c>
      <c r="C52" s="54" t="s">
        <v>1107</v>
      </c>
      <c r="D52" s="54" t="s">
        <v>55</v>
      </c>
      <c r="E52" s="53">
        <v>4</v>
      </c>
      <c r="F52" s="78">
        <v>29644</v>
      </c>
    </row>
    <row r="53" spans="1:6" s="42" customFormat="1" x14ac:dyDescent="0.25">
      <c r="A53" s="53">
        <v>540228</v>
      </c>
      <c r="B53" s="54" t="s">
        <v>816</v>
      </c>
      <c r="C53" s="54" t="s">
        <v>1106</v>
      </c>
      <c r="D53" s="54" t="s">
        <v>55</v>
      </c>
      <c r="E53" s="53">
        <v>4</v>
      </c>
      <c r="F53" s="78">
        <v>32100</v>
      </c>
    </row>
    <row r="54" spans="1:6" s="42" customFormat="1" x14ac:dyDescent="0.25">
      <c r="A54" s="53">
        <v>540043</v>
      </c>
      <c r="B54" s="54" t="s">
        <v>815</v>
      </c>
      <c r="C54" s="54" t="s">
        <v>1105</v>
      </c>
      <c r="D54" s="54" t="s">
        <v>55</v>
      </c>
      <c r="E54" s="53">
        <v>4</v>
      </c>
      <c r="F54" s="78">
        <v>33010</v>
      </c>
    </row>
    <row r="55" spans="1:6" s="42" customFormat="1" x14ac:dyDescent="0.25">
      <c r="A55" s="53">
        <v>540044</v>
      </c>
      <c r="B55" s="54" t="s">
        <v>814</v>
      </c>
      <c r="C55" s="54" t="s">
        <v>1104</v>
      </c>
      <c r="D55" s="54" t="s">
        <v>55</v>
      </c>
      <c r="E55" s="53">
        <v>4</v>
      </c>
      <c r="F55" s="78">
        <v>30918</v>
      </c>
    </row>
    <row r="56" spans="1:6" s="42" customFormat="1" x14ac:dyDescent="0.25">
      <c r="A56" s="53">
        <v>540045</v>
      </c>
      <c r="B56" s="54" t="s">
        <v>813</v>
      </c>
      <c r="C56" s="54" t="s">
        <v>1103</v>
      </c>
      <c r="D56" s="54" t="s">
        <v>55</v>
      </c>
      <c r="E56" s="53">
        <v>4</v>
      </c>
      <c r="F56" s="78">
        <v>28703</v>
      </c>
    </row>
    <row r="57" spans="1:6" s="42" customFormat="1" x14ac:dyDescent="0.25">
      <c r="A57" s="59">
        <v>540226</v>
      </c>
      <c r="B57" s="60" t="s">
        <v>811</v>
      </c>
      <c r="C57" s="60" t="s">
        <v>155</v>
      </c>
      <c r="D57" s="60" t="s">
        <v>52</v>
      </c>
      <c r="E57" s="59">
        <v>8</v>
      </c>
      <c r="F57" s="79">
        <v>31990</v>
      </c>
    </row>
    <row r="58" spans="1:6" s="42" customFormat="1" x14ac:dyDescent="0.25">
      <c r="A58" s="53">
        <v>540046</v>
      </c>
      <c r="B58" s="54" t="s">
        <v>810</v>
      </c>
      <c r="C58" s="54" t="s">
        <v>1102</v>
      </c>
      <c r="D58" s="54" t="s">
        <v>55</v>
      </c>
      <c r="E58" s="53">
        <v>8</v>
      </c>
      <c r="F58" s="78">
        <v>32234</v>
      </c>
    </row>
    <row r="59" spans="1:6" s="42" customFormat="1" x14ac:dyDescent="0.25">
      <c r="A59" s="53">
        <v>540276</v>
      </c>
      <c r="B59" s="54" t="s">
        <v>809</v>
      </c>
      <c r="C59" s="54" t="s">
        <v>1101</v>
      </c>
      <c r="D59" s="54" t="s">
        <v>55</v>
      </c>
      <c r="E59" s="53">
        <v>8</v>
      </c>
      <c r="F59" s="78">
        <v>32309</v>
      </c>
    </row>
    <row r="60" spans="1:6" s="42" customFormat="1" x14ac:dyDescent="0.25">
      <c r="A60" s="59">
        <v>540047</v>
      </c>
      <c r="B60" s="60" t="s">
        <v>807</v>
      </c>
      <c r="C60" s="60" t="s">
        <v>1100</v>
      </c>
      <c r="D60" s="60" t="s">
        <v>52</v>
      </c>
      <c r="E60" s="59">
        <v>11</v>
      </c>
      <c r="F60" s="79">
        <v>30848</v>
      </c>
    </row>
    <row r="61" spans="1:6" s="42" customFormat="1" x14ac:dyDescent="0.25">
      <c r="A61" s="53">
        <v>540048</v>
      </c>
      <c r="B61" s="54" t="s">
        <v>806</v>
      </c>
      <c r="C61" s="54" t="s">
        <v>1099</v>
      </c>
      <c r="D61" s="54" t="s">
        <v>55</v>
      </c>
      <c r="E61" s="53">
        <v>11</v>
      </c>
      <c r="F61" s="78">
        <v>30286</v>
      </c>
    </row>
    <row r="62" spans="1:6" s="42" customFormat="1" x14ac:dyDescent="0.25">
      <c r="A62" s="53">
        <v>540049</v>
      </c>
      <c r="B62" s="54" t="s">
        <v>805</v>
      </c>
      <c r="C62" s="54" t="s">
        <v>1098</v>
      </c>
      <c r="D62" s="54" t="s">
        <v>55</v>
      </c>
      <c r="E62" s="53">
        <v>11</v>
      </c>
      <c r="F62" s="78">
        <v>29356</v>
      </c>
    </row>
    <row r="63" spans="1:6" s="42" customFormat="1" x14ac:dyDescent="0.25">
      <c r="A63" s="59">
        <v>540051</v>
      </c>
      <c r="B63" s="60" t="s">
        <v>803</v>
      </c>
      <c r="C63" s="60" t="s">
        <v>1097</v>
      </c>
      <c r="D63" s="60" t="s">
        <v>52</v>
      </c>
      <c r="E63" s="59">
        <v>8</v>
      </c>
      <c r="F63" s="79">
        <v>31217</v>
      </c>
    </row>
    <row r="64" spans="1:6" s="42" customFormat="1" x14ac:dyDescent="0.25">
      <c r="A64" s="53">
        <v>540052</v>
      </c>
      <c r="B64" s="54" t="s">
        <v>802</v>
      </c>
      <c r="C64" s="54" t="s">
        <v>1096</v>
      </c>
      <c r="D64" s="54" t="s">
        <v>55</v>
      </c>
      <c r="E64" s="53">
        <v>8</v>
      </c>
      <c r="F64" s="78">
        <v>33222</v>
      </c>
    </row>
    <row r="65" spans="1:6" s="42" customFormat="1" x14ac:dyDescent="0.25">
      <c r="A65" s="53">
        <v>540245</v>
      </c>
      <c r="B65" s="54" t="s">
        <v>801</v>
      </c>
      <c r="C65" s="54" t="s">
        <v>1095</v>
      </c>
      <c r="D65" s="54" t="s">
        <v>55</v>
      </c>
      <c r="E65" s="53">
        <v>8</v>
      </c>
      <c r="F65" s="78">
        <v>31990</v>
      </c>
    </row>
    <row r="66" spans="1:6" s="42" customFormat="1" x14ac:dyDescent="0.25">
      <c r="A66" s="59">
        <v>540053</v>
      </c>
      <c r="B66" s="60" t="s">
        <v>799</v>
      </c>
      <c r="C66" s="60" t="s">
        <v>177</v>
      </c>
      <c r="D66" s="60" t="s">
        <v>52</v>
      </c>
      <c r="E66" s="59">
        <v>6</v>
      </c>
      <c r="F66" s="79">
        <v>32328</v>
      </c>
    </row>
    <row r="67" spans="1:6" s="42" customFormat="1" x14ac:dyDescent="0.25">
      <c r="A67" s="53">
        <v>540054</v>
      </c>
      <c r="B67" s="54" t="s">
        <v>798</v>
      </c>
      <c r="C67" s="54" t="s">
        <v>1094</v>
      </c>
      <c r="D67" s="54" t="s">
        <v>55</v>
      </c>
      <c r="E67" s="53">
        <v>6</v>
      </c>
      <c r="F67" s="78">
        <v>29467</v>
      </c>
    </row>
    <row r="68" spans="1:6" s="42" customFormat="1" x14ac:dyDescent="0.25">
      <c r="A68" s="53">
        <v>540055</v>
      </c>
      <c r="B68" s="54" t="s">
        <v>797</v>
      </c>
      <c r="C68" s="54" t="s">
        <v>1093</v>
      </c>
      <c r="D68" s="54" t="s">
        <v>55</v>
      </c>
      <c r="E68" s="53">
        <v>6</v>
      </c>
      <c r="F68" s="78">
        <v>32206</v>
      </c>
    </row>
    <row r="69" spans="1:6" s="42" customFormat="1" x14ac:dyDescent="0.25">
      <c r="A69" s="53">
        <v>540056</v>
      </c>
      <c r="B69" s="54" t="s">
        <v>796</v>
      </c>
      <c r="C69" s="54" t="s">
        <v>1092</v>
      </c>
      <c r="D69" s="54" t="s">
        <v>55</v>
      </c>
      <c r="E69" s="53">
        <v>6</v>
      </c>
      <c r="F69" s="78">
        <v>28536</v>
      </c>
    </row>
    <row r="70" spans="1:6" s="42" customFormat="1" x14ac:dyDescent="0.25">
      <c r="A70" s="53">
        <v>540057</v>
      </c>
      <c r="B70" s="54" t="s">
        <v>795</v>
      </c>
      <c r="C70" s="54" t="s">
        <v>1091</v>
      </c>
      <c r="D70" s="54" t="s">
        <v>55</v>
      </c>
      <c r="E70" s="53">
        <v>6</v>
      </c>
      <c r="F70" s="78">
        <v>32206</v>
      </c>
    </row>
    <row r="71" spans="1:6" s="42" customFormat="1" x14ac:dyDescent="0.25">
      <c r="A71" s="53">
        <v>540058</v>
      </c>
      <c r="B71" s="54" t="s">
        <v>794</v>
      </c>
      <c r="C71" s="54" t="s">
        <v>1090</v>
      </c>
      <c r="D71" s="54" t="s">
        <v>55</v>
      </c>
      <c r="E71" s="53">
        <v>6</v>
      </c>
      <c r="F71" s="78">
        <v>32206</v>
      </c>
    </row>
    <row r="72" spans="1:6" s="42" customFormat="1" x14ac:dyDescent="0.25">
      <c r="A72" s="53">
        <v>540059</v>
      </c>
      <c r="B72" s="54" t="s">
        <v>793</v>
      </c>
      <c r="C72" s="54" t="s">
        <v>1089</v>
      </c>
      <c r="D72" s="54" t="s">
        <v>55</v>
      </c>
      <c r="E72" s="53">
        <v>6</v>
      </c>
      <c r="F72" s="78">
        <v>29481</v>
      </c>
    </row>
    <row r="73" spans="1:6" s="42" customFormat="1" x14ac:dyDescent="0.25">
      <c r="A73" s="53">
        <v>540242</v>
      </c>
      <c r="B73" s="54" t="s">
        <v>792</v>
      </c>
      <c r="C73" s="54" t="s">
        <v>1088</v>
      </c>
      <c r="D73" s="54" t="s">
        <v>55</v>
      </c>
      <c r="E73" s="53">
        <v>6</v>
      </c>
      <c r="F73" s="78">
        <v>31385</v>
      </c>
    </row>
    <row r="74" spans="1:6" s="42" customFormat="1" x14ac:dyDescent="0.25">
      <c r="A74" s="53">
        <v>540060</v>
      </c>
      <c r="B74" s="54" t="s">
        <v>791</v>
      </c>
      <c r="C74" s="54" t="s">
        <v>1087</v>
      </c>
      <c r="D74" s="54" t="s">
        <v>55</v>
      </c>
      <c r="E74" s="53">
        <v>6</v>
      </c>
      <c r="F74" s="78">
        <v>32218</v>
      </c>
    </row>
    <row r="75" spans="1:6" s="42" customFormat="1" x14ac:dyDescent="0.25">
      <c r="A75" s="53">
        <v>540061</v>
      </c>
      <c r="B75" s="54" t="s">
        <v>790</v>
      </c>
      <c r="C75" s="54" t="s">
        <v>1086</v>
      </c>
      <c r="D75" s="54" t="s">
        <v>55</v>
      </c>
      <c r="E75" s="53">
        <v>6</v>
      </c>
      <c r="F75" s="78">
        <v>29103</v>
      </c>
    </row>
    <row r="76" spans="1:6" s="42" customFormat="1" x14ac:dyDescent="0.25">
      <c r="A76" s="53">
        <v>540062</v>
      </c>
      <c r="B76" s="54" t="s">
        <v>789</v>
      </c>
      <c r="C76" s="54" t="s">
        <v>1085</v>
      </c>
      <c r="D76" s="54" t="s">
        <v>55</v>
      </c>
      <c r="E76" s="53">
        <v>6</v>
      </c>
      <c r="F76" s="78">
        <v>32234</v>
      </c>
    </row>
    <row r="77" spans="1:6" s="42" customFormat="1" x14ac:dyDescent="0.25">
      <c r="A77" s="59">
        <v>540063</v>
      </c>
      <c r="B77" s="60" t="s">
        <v>787</v>
      </c>
      <c r="C77" s="60" t="s">
        <v>1084</v>
      </c>
      <c r="D77" s="60" t="s">
        <v>52</v>
      </c>
      <c r="E77" s="59">
        <v>5</v>
      </c>
      <c r="F77" s="79">
        <v>31168</v>
      </c>
    </row>
    <row r="78" spans="1:6" s="42" customFormat="1" x14ac:dyDescent="0.25">
      <c r="A78" s="53">
        <v>540241</v>
      </c>
      <c r="B78" s="54" t="s">
        <v>786</v>
      </c>
      <c r="C78" s="54" t="s">
        <v>1083</v>
      </c>
      <c r="D78" s="54" t="s">
        <v>55</v>
      </c>
      <c r="E78" s="53">
        <v>5</v>
      </c>
      <c r="F78" s="78">
        <v>33315</v>
      </c>
    </row>
    <row r="79" spans="1:6" s="42" customFormat="1" x14ac:dyDescent="0.25">
      <c r="A79" s="53">
        <v>540064</v>
      </c>
      <c r="B79" s="54" t="s">
        <v>785</v>
      </c>
      <c r="C79" s="54" t="s">
        <v>1082</v>
      </c>
      <c r="D79" s="54" t="s">
        <v>55</v>
      </c>
      <c r="E79" s="53">
        <v>5</v>
      </c>
      <c r="F79" s="78">
        <v>28369</v>
      </c>
    </row>
    <row r="80" spans="1:6" s="42" customFormat="1" x14ac:dyDescent="0.25">
      <c r="A80" s="59">
        <v>540065</v>
      </c>
      <c r="B80" s="60" t="s">
        <v>783</v>
      </c>
      <c r="C80" s="60" t="s">
        <v>1081</v>
      </c>
      <c r="D80" s="60" t="s">
        <v>52</v>
      </c>
      <c r="E80" s="59">
        <v>9</v>
      </c>
      <c r="F80" s="79">
        <v>29509</v>
      </c>
    </row>
    <row r="81" spans="1:6" s="42" customFormat="1" x14ac:dyDescent="0.25">
      <c r="A81" s="53">
        <v>540030</v>
      </c>
      <c r="B81" s="54" t="s">
        <v>782</v>
      </c>
      <c r="C81" s="54" t="s">
        <v>1080</v>
      </c>
      <c r="D81" s="54" t="s">
        <v>55</v>
      </c>
      <c r="E81" s="53">
        <v>9</v>
      </c>
      <c r="F81" s="78">
        <v>40165</v>
      </c>
    </row>
    <row r="82" spans="1:6" s="42" customFormat="1" x14ac:dyDescent="0.25">
      <c r="A82" s="53">
        <v>540066</v>
      </c>
      <c r="B82" s="54" t="s">
        <v>781</v>
      </c>
      <c r="C82" s="54" t="s">
        <v>1079</v>
      </c>
      <c r="D82" s="54" t="s">
        <v>55</v>
      </c>
      <c r="E82" s="53">
        <v>9</v>
      </c>
      <c r="F82" s="78">
        <v>29193</v>
      </c>
    </row>
    <row r="83" spans="1:6" s="42" customFormat="1" x14ac:dyDescent="0.25">
      <c r="A83" s="53">
        <v>540067</v>
      </c>
      <c r="B83" s="54" t="s">
        <v>780</v>
      </c>
      <c r="C83" s="54" t="s">
        <v>1078</v>
      </c>
      <c r="D83" s="54" t="s">
        <v>55</v>
      </c>
      <c r="E83" s="53">
        <v>9</v>
      </c>
      <c r="F83" s="78">
        <v>30918</v>
      </c>
    </row>
    <row r="84" spans="1:6" s="42" customFormat="1" x14ac:dyDescent="0.25">
      <c r="A84" s="53">
        <v>540068</v>
      </c>
      <c r="B84" s="54" t="s">
        <v>779</v>
      </c>
      <c r="C84" s="54" t="s">
        <v>1077</v>
      </c>
      <c r="D84" s="54" t="s">
        <v>55</v>
      </c>
      <c r="E84" s="53">
        <v>9</v>
      </c>
      <c r="F84" s="78">
        <v>29021</v>
      </c>
    </row>
    <row r="85" spans="1:6" s="42" customFormat="1" x14ac:dyDescent="0.25">
      <c r="A85" s="53">
        <v>540069</v>
      </c>
      <c r="B85" s="54" t="s">
        <v>778</v>
      </c>
      <c r="C85" s="54" t="s">
        <v>1076</v>
      </c>
      <c r="D85" s="54" t="s">
        <v>55</v>
      </c>
      <c r="E85" s="53">
        <v>9</v>
      </c>
      <c r="F85" s="78">
        <v>29298</v>
      </c>
    </row>
    <row r="86" spans="1:6" s="42" customFormat="1" x14ac:dyDescent="0.25">
      <c r="A86" s="59">
        <v>540070</v>
      </c>
      <c r="B86" s="60" t="s">
        <v>776</v>
      </c>
      <c r="C86" s="60" t="s">
        <v>1075</v>
      </c>
      <c r="D86" s="60" t="s">
        <v>52</v>
      </c>
      <c r="E86" s="59">
        <v>3</v>
      </c>
      <c r="F86" s="79">
        <v>31124</v>
      </c>
    </row>
    <row r="87" spans="1:6" s="42" customFormat="1" x14ac:dyDescent="0.25">
      <c r="A87" s="53">
        <v>540071</v>
      </c>
      <c r="B87" s="54" t="s">
        <v>775</v>
      </c>
      <c r="C87" s="54" t="s">
        <v>1074</v>
      </c>
      <c r="D87" s="54" t="s">
        <v>55</v>
      </c>
      <c r="E87" s="53">
        <v>3</v>
      </c>
      <c r="F87" s="78">
        <v>30056</v>
      </c>
    </row>
    <row r="88" spans="1:6" s="42" customFormat="1" x14ac:dyDescent="0.25">
      <c r="A88" s="53">
        <v>540072</v>
      </c>
      <c r="B88" s="54" t="s">
        <v>774</v>
      </c>
      <c r="C88" s="54" t="s">
        <v>1073</v>
      </c>
      <c r="D88" s="54" t="s">
        <v>55</v>
      </c>
      <c r="E88" s="53">
        <v>3</v>
      </c>
      <c r="F88" s="78">
        <v>30103</v>
      </c>
    </row>
    <row r="89" spans="1:6" s="42" customFormat="1" x14ac:dyDescent="0.25">
      <c r="A89" s="53">
        <v>540073</v>
      </c>
      <c r="B89" s="54" t="s">
        <v>773</v>
      </c>
      <c r="C89" s="54" t="s">
        <v>1072</v>
      </c>
      <c r="D89" s="54" t="s">
        <v>55</v>
      </c>
      <c r="E89" s="53">
        <v>3</v>
      </c>
      <c r="F89" s="78">
        <v>30482</v>
      </c>
    </row>
    <row r="90" spans="1:6" s="42" customFormat="1" x14ac:dyDescent="0.25">
      <c r="A90" s="53">
        <v>540074</v>
      </c>
      <c r="B90" s="54" t="s">
        <v>772</v>
      </c>
      <c r="C90" s="54" t="s">
        <v>1071</v>
      </c>
      <c r="D90" s="54" t="s">
        <v>55</v>
      </c>
      <c r="E90" s="53">
        <v>3</v>
      </c>
      <c r="F90" s="78">
        <v>30103</v>
      </c>
    </row>
    <row r="91" spans="1:6" s="42" customFormat="1" x14ac:dyDescent="0.25">
      <c r="A91" s="53">
        <v>540075</v>
      </c>
      <c r="B91" s="54" t="s">
        <v>771</v>
      </c>
      <c r="C91" s="54" t="s">
        <v>1070</v>
      </c>
      <c r="D91" s="54" t="s">
        <v>55</v>
      </c>
      <c r="E91" s="53">
        <v>3</v>
      </c>
      <c r="F91" s="78">
        <v>30879</v>
      </c>
    </row>
    <row r="92" spans="1:6" s="42" customFormat="1" x14ac:dyDescent="0.25">
      <c r="A92" s="53">
        <v>540076</v>
      </c>
      <c r="B92" s="54" t="s">
        <v>770</v>
      </c>
      <c r="C92" s="54" t="s">
        <v>1069</v>
      </c>
      <c r="D92" s="54" t="s">
        <v>55</v>
      </c>
      <c r="E92" s="53">
        <v>3</v>
      </c>
      <c r="F92" s="78">
        <v>30103</v>
      </c>
    </row>
    <row r="93" spans="1:6" s="42" customFormat="1" x14ac:dyDescent="0.25">
      <c r="A93" s="53">
        <v>540077</v>
      </c>
      <c r="B93" s="54" t="s">
        <v>769</v>
      </c>
      <c r="C93" s="54" t="s">
        <v>1068</v>
      </c>
      <c r="D93" s="54" t="s">
        <v>55</v>
      </c>
      <c r="E93" s="53">
        <v>3</v>
      </c>
      <c r="F93" s="78">
        <v>30103</v>
      </c>
    </row>
    <row r="94" spans="1:6" s="42" customFormat="1" x14ac:dyDescent="0.25">
      <c r="A94" s="53">
        <v>540078</v>
      </c>
      <c r="B94" s="54" t="s">
        <v>768</v>
      </c>
      <c r="C94" s="54" t="s">
        <v>1067</v>
      </c>
      <c r="D94" s="54" t="s">
        <v>55</v>
      </c>
      <c r="E94" s="53">
        <v>3</v>
      </c>
      <c r="F94" s="78">
        <v>30117</v>
      </c>
    </row>
    <row r="95" spans="1:6" s="42" customFormat="1" x14ac:dyDescent="0.25">
      <c r="A95" s="53">
        <v>540279</v>
      </c>
      <c r="B95" s="54" t="s">
        <v>767</v>
      </c>
      <c r="C95" s="54" t="s">
        <v>1066</v>
      </c>
      <c r="D95" s="54" t="s">
        <v>55</v>
      </c>
      <c r="E95" s="53">
        <v>3</v>
      </c>
      <c r="F95" s="78">
        <v>30868</v>
      </c>
    </row>
    <row r="96" spans="1:6" s="42" customFormat="1" x14ac:dyDescent="0.25">
      <c r="A96" s="53">
        <v>540079</v>
      </c>
      <c r="B96" s="54" t="s">
        <v>766</v>
      </c>
      <c r="C96" s="54" t="s">
        <v>1065</v>
      </c>
      <c r="D96" s="54" t="s">
        <v>55</v>
      </c>
      <c r="E96" s="53">
        <v>3</v>
      </c>
      <c r="F96" s="78">
        <v>30056</v>
      </c>
    </row>
    <row r="97" spans="1:6" s="42" customFormat="1" x14ac:dyDescent="0.25">
      <c r="A97" s="53">
        <v>540082</v>
      </c>
      <c r="B97" s="54" t="s">
        <v>764</v>
      </c>
      <c r="C97" s="54" t="s">
        <v>1064</v>
      </c>
      <c r="D97" s="54" t="s">
        <v>55</v>
      </c>
      <c r="E97" s="53">
        <v>3</v>
      </c>
      <c r="F97" s="78">
        <v>30803</v>
      </c>
    </row>
    <row r="98" spans="1:6" s="42" customFormat="1" x14ac:dyDescent="0.25">
      <c r="A98" s="53">
        <v>540223</v>
      </c>
      <c r="B98" s="54" t="s">
        <v>763</v>
      </c>
      <c r="C98" s="54" t="s">
        <v>1063</v>
      </c>
      <c r="D98" s="54" t="s">
        <v>55</v>
      </c>
      <c r="E98" s="53">
        <v>3</v>
      </c>
      <c r="F98" s="78">
        <v>30117</v>
      </c>
    </row>
    <row r="99" spans="1:6" s="42" customFormat="1" x14ac:dyDescent="0.25">
      <c r="A99" s="53">
        <v>540083</v>
      </c>
      <c r="B99" s="54" t="s">
        <v>762</v>
      </c>
      <c r="C99" s="54" t="s">
        <v>1062</v>
      </c>
      <c r="D99" s="54" t="s">
        <v>55</v>
      </c>
      <c r="E99" s="53">
        <v>3</v>
      </c>
      <c r="F99" s="78">
        <v>30117</v>
      </c>
    </row>
    <row r="100" spans="1:6" s="42" customFormat="1" x14ac:dyDescent="0.25">
      <c r="A100" s="53">
        <v>540029</v>
      </c>
      <c r="B100" s="54" t="s">
        <v>765</v>
      </c>
      <c r="C100" s="54" t="s">
        <v>1061</v>
      </c>
      <c r="D100" s="54" t="s">
        <v>55</v>
      </c>
      <c r="E100" s="53">
        <v>3</v>
      </c>
      <c r="F100" s="78">
        <v>30103</v>
      </c>
    </row>
    <row r="101" spans="1:6" s="42" customFormat="1" x14ac:dyDescent="0.25">
      <c r="A101" s="59">
        <v>540085</v>
      </c>
      <c r="B101" s="60" t="s">
        <v>760</v>
      </c>
      <c r="C101" s="60" t="s">
        <v>233</v>
      </c>
      <c r="D101" s="60" t="s">
        <v>52</v>
      </c>
      <c r="E101" s="59">
        <v>7</v>
      </c>
      <c r="F101" s="79">
        <v>31959</v>
      </c>
    </row>
    <row r="102" spans="1:6" s="42" customFormat="1" x14ac:dyDescent="0.25">
      <c r="A102" s="53">
        <v>540086</v>
      </c>
      <c r="B102" s="54" t="s">
        <v>759</v>
      </c>
      <c r="C102" s="54" t="s">
        <v>1060</v>
      </c>
      <c r="D102" s="54" t="s">
        <v>55</v>
      </c>
      <c r="E102" s="53">
        <v>7</v>
      </c>
      <c r="F102" s="78">
        <v>30949</v>
      </c>
    </row>
    <row r="103" spans="1:6" s="42" customFormat="1" x14ac:dyDescent="0.25">
      <c r="A103" s="53">
        <v>540087</v>
      </c>
      <c r="B103" s="54" t="s">
        <v>758</v>
      </c>
      <c r="C103" s="54" t="s">
        <v>1059</v>
      </c>
      <c r="D103" s="54" t="s">
        <v>55</v>
      </c>
      <c r="E103" s="53">
        <v>7</v>
      </c>
      <c r="F103" s="78">
        <v>30056</v>
      </c>
    </row>
    <row r="104" spans="1:6" s="42" customFormat="1" x14ac:dyDescent="0.25">
      <c r="A104" s="59">
        <v>540088</v>
      </c>
      <c r="B104" s="60" t="s">
        <v>756</v>
      </c>
      <c r="C104" s="60" t="s">
        <v>238</v>
      </c>
      <c r="D104" s="60" t="s">
        <v>52</v>
      </c>
      <c r="E104" s="59">
        <v>2</v>
      </c>
      <c r="F104" s="79">
        <v>32038</v>
      </c>
    </row>
    <row r="105" spans="1:6" s="42" customFormat="1" x14ac:dyDescent="0.25">
      <c r="A105" s="53">
        <v>540089</v>
      </c>
      <c r="B105" s="54" t="s">
        <v>755</v>
      </c>
      <c r="C105" s="54" t="s">
        <v>1058</v>
      </c>
      <c r="D105" s="54" t="s">
        <v>55</v>
      </c>
      <c r="E105" s="53">
        <v>2</v>
      </c>
      <c r="F105" s="78">
        <v>32024</v>
      </c>
    </row>
    <row r="106" spans="1:6" s="42" customFormat="1" x14ac:dyDescent="0.25">
      <c r="A106" s="53">
        <v>540090</v>
      </c>
      <c r="B106" s="54" t="s">
        <v>754</v>
      </c>
      <c r="C106" s="54" t="s">
        <v>1057</v>
      </c>
      <c r="D106" s="54" t="s">
        <v>55</v>
      </c>
      <c r="E106" s="53">
        <v>2</v>
      </c>
      <c r="F106" s="78">
        <v>32024</v>
      </c>
    </row>
    <row r="107" spans="1:6" s="42" customFormat="1" x14ac:dyDescent="0.25">
      <c r="A107" s="59">
        <v>545536</v>
      </c>
      <c r="B107" s="60" t="s">
        <v>752</v>
      </c>
      <c r="C107" s="60" t="s">
        <v>1056</v>
      </c>
      <c r="D107" s="60" t="s">
        <v>52</v>
      </c>
      <c r="E107" s="59">
        <v>2</v>
      </c>
      <c r="F107" s="79">
        <v>26396</v>
      </c>
    </row>
    <row r="108" spans="1:6" s="42" customFormat="1" x14ac:dyDescent="0.25">
      <c r="A108" s="53">
        <v>540092</v>
      </c>
      <c r="B108" s="54" t="s">
        <v>751</v>
      </c>
      <c r="C108" s="54" t="s">
        <v>1055</v>
      </c>
      <c r="D108" s="54" t="s">
        <v>55</v>
      </c>
      <c r="E108" s="53">
        <v>2</v>
      </c>
      <c r="F108" s="78">
        <v>26172</v>
      </c>
    </row>
    <row r="109" spans="1:6" s="42" customFormat="1" x14ac:dyDescent="0.25">
      <c r="A109" s="53">
        <v>545535</v>
      </c>
      <c r="B109" s="54" t="s">
        <v>750</v>
      </c>
      <c r="C109" s="54" t="s">
        <v>1054</v>
      </c>
      <c r="D109" s="54" t="s">
        <v>55</v>
      </c>
      <c r="E109" s="53">
        <v>2</v>
      </c>
      <c r="F109" s="78">
        <v>26130</v>
      </c>
    </row>
    <row r="110" spans="1:6" s="42" customFormat="1" x14ac:dyDescent="0.25">
      <c r="A110" s="53">
        <v>545537</v>
      </c>
      <c r="B110" s="54" t="s">
        <v>749</v>
      </c>
      <c r="C110" s="54" t="s">
        <v>1053</v>
      </c>
      <c r="D110" s="54" t="s">
        <v>55</v>
      </c>
      <c r="E110" s="53">
        <v>2</v>
      </c>
      <c r="F110" s="78">
        <v>26186</v>
      </c>
    </row>
    <row r="111" spans="1:6" s="42" customFormat="1" x14ac:dyDescent="0.25">
      <c r="A111" s="53">
        <v>540095</v>
      </c>
      <c r="B111" s="54" t="s">
        <v>748</v>
      </c>
      <c r="C111" s="54" t="s">
        <v>1052</v>
      </c>
      <c r="D111" s="54" t="s">
        <v>55</v>
      </c>
      <c r="E111" s="53">
        <v>2</v>
      </c>
      <c r="F111" s="78">
        <v>26158</v>
      </c>
    </row>
    <row r="112" spans="1:6" s="42" customFormat="1" x14ac:dyDescent="0.25">
      <c r="A112" s="53">
        <v>545539</v>
      </c>
      <c r="B112" s="54" t="s">
        <v>747</v>
      </c>
      <c r="C112" s="54" t="s">
        <v>1051</v>
      </c>
      <c r="D112" s="54" t="s">
        <v>55</v>
      </c>
      <c r="E112" s="53">
        <v>2</v>
      </c>
      <c r="F112" s="78">
        <v>26452</v>
      </c>
    </row>
    <row r="113" spans="1:6" s="42" customFormat="1" x14ac:dyDescent="0.25">
      <c r="A113" s="83">
        <v>540097</v>
      </c>
      <c r="B113" s="60" t="s">
        <v>745</v>
      </c>
      <c r="C113" s="60" t="s">
        <v>263</v>
      </c>
      <c r="D113" s="60" t="s">
        <v>52</v>
      </c>
      <c r="E113" s="59">
        <v>6</v>
      </c>
      <c r="F113" s="79">
        <v>32328</v>
      </c>
    </row>
    <row r="114" spans="1:6" s="42" customFormat="1" x14ac:dyDescent="0.25">
      <c r="A114" s="53">
        <v>540098</v>
      </c>
      <c r="B114" s="54" t="s">
        <v>744</v>
      </c>
      <c r="C114" s="54" t="s">
        <v>1050</v>
      </c>
      <c r="D114" s="54" t="s">
        <v>55</v>
      </c>
      <c r="E114" s="53">
        <v>6</v>
      </c>
      <c r="F114" s="78">
        <v>32218</v>
      </c>
    </row>
    <row r="115" spans="1:6" s="42" customFormat="1" x14ac:dyDescent="0.25">
      <c r="A115" s="53" t="s">
        <v>743</v>
      </c>
      <c r="B115" s="54" t="s">
        <v>742</v>
      </c>
      <c r="C115" s="54" t="s">
        <v>1049</v>
      </c>
      <c r="D115" s="54" t="s">
        <v>55</v>
      </c>
      <c r="E115" s="53">
        <v>6</v>
      </c>
      <c r="F115" s="78">
        <v>31960</v>
      </c>
    </row>
    <row r="116" spans="1:6" s="42" customFormat="1" x14ac:dyDescent="0.25">
      <c r="A116" s="53">
        <v>540100</v>
      </c>
      <c r="B116" s="54" t="s">
        <v>741</v>
      </c>
      <c r="C116" s="54" t="s">
        <v>1048</v>
      </c>
      <c r="D116" s="54" t="s">
        <v>55</v>
      </c>
      <c r="E116" s="53">
        <v>6</v>
      </c>
      <c r="F116" s="78">
        <v>32218</v>
      </c>
    </row>
    <row r="117" spans="1:6" s="42" customFormat="1" x14ac:dyDescent="0.25">
      <c r="A117" s="53">
        <v>540101</v>
      </c>
      <c r="B117" s="54" t="s">
        <v>740</v>
      </c>
      <c r="C117" s="54" t="s">
        <v>1047</v>
      </c>
      <c r="D117" s="54" t="s">
        <v>55</v>
      </c>
      <c r="E117" s="53">
        <v>6</v>
      </c>
      <c r="F117" s="78">
        <v>32218</v>
      </c>
    </row>
    <row r="118" spans="1:6" s="42" customFormat="1" x14ac:dyDescent="0.25">
      <c r="A118" s="53">
        <v>540102</v>
      </c>
      <c r="B118" s="54" t="s">
        <v>739</v>
      </c>
      <c r="C118" s="54" t="s">
        <v>1046</v>
      </c>
      <c r="D118" s="54" t="s">
        <v>55</v>
      </c>
      <c r="E118" s="53">
        <v>6</v>
      </c>
      <c r="F118" s="78">
        <v>32206</v>
      </c>
    </row>
    <row r="119" spans="1:6" s="42" customFormat="1" x14ac:dyDescent="0.25">
      <c r="A119" s="53">
        <v>540103</v>
      </c>
      <c r="B119" s="54" t="s">
        <v>738</v>
      </c>
      <c r="C119" s="54" t="s">
        <v>1045</v>
      </c>
      <c r="D119" s="54" t="s">
        <v>55</v>
      </c>
      <c r="E119" s="53">
        <v>6</v>
      </c>
      <c r="F119" s="78">
        <v>31735</v>
      </c>
    </row>
    <row r="120" spans="1:6" s="42" customFormat="1" x14ac:dyDescent="0.25">
      <c r="A120" s="53">
        <v>540104</v>
      </c>
      <c r="B120" s="54" t="s">
        <v>737</v>
      </c>
      <c r="C120" s="54" t="s">
        <v>1044</v>
      </c>
      <c r="D120" s="54" t="s">
        <v>55</v>
      </c>
      <c r="E120" s="53">
        <v>6</v>
      </c>
      <c r="F120" s="78">
        <v>32218</v>
      </c>
    </row>
    <row r="121" spans="1:6" s="42" customFormat="1" x14ac:dyDescent="0.25">
      <c r="A121" s="53">
        <v>540292</v>
      </c>
      <c r="B121" s="54" t="s">
        <v>736</v>
      </c>
      <c r="C121" s="54" t="s">
        <v>1043</v>
      </c>
      <c r="D121" s="54" t="s">
        <v>55</v>
      </c>
      <c r="E121" s="53">
        <v>6</v>
      </c>
      <c r="F121" s="78">
        <v>41079</v>
      </c>
    </row>
    <row r="122" spans="1:6" s="42" customFormat="1" x14ac:dyDescent="0.25">
      <c r="A122" s="53">
        <v>540105</v>
      </c>
      <c r="B122" s="54" t="s">
        <v>735</v>
      </c>
      <c r="C122" s="54" t="s">
        <v>1042</v>
      </c>
      <c r="D122" s="54" t="s">
        <v>55</v>
      </c>
      <c r="E122" s="53">
        <v>6</v>
      </c>
      <c r="F122" s="78">
        <v>32218</v>
      </c>
    </row>
    <row r="123" spans="1:6" s="42" customFormat="1" x14ac:dyDescent="0.25">
      <c r="A123" s="53">
        <v>540106</v>
      </c>
      <c r="B123" s="54" t="s">
        <v>734</v>
      </c>
      <c r="C123" s="54" t="s">
        <v>1041</v>
      </c>
      <c r="D123" s="54" t="s">
        <v>55</v>
      </c>
      <c r="E123" s="53">
        <v>6</v>
      </c>
      <c r="F123" s="78">
        <v>32218</v>
      </c>
    </row>
    <row r="124" spans="1:6" s="42" customFormat="1" x14ac:dyDescent="0.25">
      <c r="A124" s="59">
        <v>540107</v>
      </c>
      <c r="B124" s="60" t="s">
        <v>732</v>
      </c>
      <c r="C124" s="60" t="s">
        <v>1040</v>
      </c>
      <c r="D124" s="60" t="s">
        <v>52</v>
      </c>
      <c r="E124" s="59">
        <v>10</v>
      </c>
      <c r="F124" s="79">
        <v>27383</v>
      </c>
    </row>
    <row r="125" spans="1:6" s="42" customFormat="1" x14ac:dyDescent="0.25">
      <c r="A125" s="53">
        <v>540108</v>
      </c>
      <c r="B125" s="54" t="s">
        <v>731</v>
      </c>
      <c r="C125" s="54" t="s">
        <v>1039</v>
      </c>
      <c r="D125" s="54" t="s">
        <v>55</v>
      </c>
      <c r="E125" s="53">
        <v>10</v>
      </c>
      <c r="F125" s="78">
        <v>29342</v>
      </c>
    </row>
    <row r="126" spans="1:6" s="42" customFormat="1" x14ac:dyDescent="0.25">
      <c r="A126" s="53">
        <v>540287</v>
      </c>
      <c r="B126" s="54" t="s">
        <v>730</v>
      </c>
      <c r="C126" s="54" t="s">
        <v>1038</v>
      </c>
      <c r="D126" s="54" t="s">
        <v>55</v>
      </c>
      <c r="E126" s="53">
        <v>10</v>
      </c>
      <c r="F126" s="78">
        <v>40081</v>
      </c>
    </row>
    <row r="127" spans="1:6" s="42" customFormat="1" x14ac:dyDescent="0.25">
      <c r="A127" s="53">
        <v>540109</v>
      </c>
      <c r="B127" s="54" t="s">
        <v>729</v>
      </c>
      <c r="C127" s="54" t="s">
        <v>1037</v>
      </c>
      <c r="D127" s="54" t="s">
        <v>55</v>
      </c>
      <c r="E127" s="53">
        <v>10</v>
      </c>
      <c r="F127" s="78">
        <v>27208</v>
      </c>
    </row>
    <row r="128" spans="1:6" s="42" customFormat="1" x14ac:dyDescent="0.25">
      <c r="A128" s="53">
        <v>540110</v>
      </c>
      <c r="B128" s="54" t="s">
        <v>728</v>
      </c>
      <c r="C128" s="54" t="s">
        <v>1036</v>
      </c>
      <c r="D128" s="54" t="s">
        <v>55</v>
      </c>
      <c r="E128" s="53">
        <v>10</v>
      </c>
      <c r="F128" s="78">
        <v>40081</v>
      </c>
    </row>
    <row r="129" spans="1:6" s="42" customFormat="1" x14ac:dyDescent="0.25">
      <c r="A129" s="53">
        <v>540111</v>
      </c>
      <c r="B129" s="54" t="s">
        <v>727</v>
      </c>
      <c r="C129" s="54" t="s">
        <v>1035</v>
      </c>
      <c r="D129" s="54" t="s">
        <v>55</v>
      </c>
      <c r="E129" s="53">
        <v>10</v>
      </c>
      <c r="F129" s="78">
        <v>27110</v>
      </c>
    </row>
    <row r="130" spans="1:6" s="42" customFormat="1" x14ac:dyDescent="0.25">
      <c r="A130" s="59">
        <v>540112</v>
      </c>
      <c r="B130" s="60" t="s">
        <v>725</v>
      </c>
      <c r="C130" s="60" t="s">
        <v>1034</v>
      </c>
      <c r="D130" s="60" t="s">
        <v>52</v>
      </c>
      <c r="E130" s="59">
        <v>2</v>
      </c>
      <c r="F130" s="79">
        <v>29222</v>
      </c>
    </row>
    <row r="131" spans="1:6" s="42" customFormat="1" x14ac:dyDescent="0.25">
      <c r="A131" s="53">
        <v>540247</v>
      </c>
      <c r="B131" s="54" t="s">
        <v>724</v>
      </c>
      <c r="C131" s="54" t="s">
        <v>1033</v>
      </c>
      <c r="D131" s="54" t="s">
        <v>55</v>
      </c>
      <c r="E131" s="53">
        <v>2</v>
      </c>
      <c r="F131" s="78">
        <v>28536</v>
      </c>
    </row>
    <row r="132" spans="1:6" s="42" customFormat="1" x14ac:dyDescent="0.25">
      <c r="A132" s="53">
        <v>540251</v>
      </c>
      <c r="B132" s="54" t="s">
        <v>723</v>
      </c>
      <c r="C132" s="54" t="s">
        <v>1032</v>
      </c>
      <c r="D132" s="54" t="s">
        <v>55</v>
      </c>
      <c r="E132" s="53">
        <v>2</v>
      </c>
      <c r="F132" s="78">
        <v>28625</v>
      </c>
    </row>
    <row r="133" spans="1:6" s="42" customFormat="1" x14ac:dyDescent="0.25">
      <c r="A133" s="53">
        <v>540113</v>
      </c>
      <c r="B133" s="54" t="s">
        <v>722</v>
      </c>
      <c r="C133" s="54" t="s">
        <v>1031</v>
      </c>
      <c r="D133" s="54" t="s">
        <v>55</v>
      </c>
      <c r="E133" s="53">
        <v>2</v>
      </c>
      <c r="F133" s="78">
        <v>28717</v>
      </c>
    </row>
    <row r="134" spans="1:6" s="42" customFormat="1" x14ac:dyDescent="0.25">
      <c r="A134" s="53">
        <v>540248</v>
      </c>
      <c r="B134" s="54" t="s">
        <v>721</v>
      </c>
      <c r="C134" s="54" t="s">
        <v>1030</v>
      </c>
      <c r="D134" s="54" t="s">
        <v>55</v>
      </c>
      <c r="E134" s="53">
        <v>2</v>
      </c>
      <c r="F134" s="78">
        <v>28536</v>
      </c>
    </row>
    <row r="135" spans="1:6" s="42" customFormat="1" x14ac:dyDescent="0.25">
      <c r="A135" s="53">
        <v>540249</v>
      </c>
      <c r="B135" s="54" t="s">
        <v>720</v>
      </c>
      <c r="C135" s="54" t="s">
        <v>1029</v>
      </c>
      <c r="D135" s="54" t="s">
        <v>55</v>
      </c>
      <c r="E135" s="53">
        <v>2</v>
      </c>
      <c r="F135" s="78">
        <v>28674</v>
      </c>
    </row>
    <row r="136" spans="1:6" s="42" customFormat="1" x14ac:dyDescent="0.25">
      <c r="A136" s="53">
        <v>540250</v>
      </c>
      <c r="B136" s="54" t="s">
        <v>719</v>
      </c>
      <c r="C136" s="54" t="s">
        <v>1028</v>
      </c>
      <c r="D136" s="54" t="s">
        <v>55</v>
      </c>
      <c r="E136" s="53">
        <v>2</v>
      </c>
      <c r="F136" s="78">
        <v>28625</v>
      </c>
    </row>
    <row r="137" spans="1:6" s="42" customFormat="1" x14ac:dyDescent="0.25">
      <c r="A137" s="59">
        <v>540114</v>
      </c>
      <c r="B137" s="60" t="s">
        <v>717</v>
      </c>
      <c r="C137" s="60" t="s">
        <v>1027</v>
      </c>
      <c r="D137" s="60" t="s">
        <v>52</v>
      </c>
      <c r="E137" s="59">
        <v>1</v>
      </c>
      <c r="F137" s="79">
        <v>31673</v>
      </c>
    </row>
    <row r="138" spans="1:6" s="42" customFormat="1" x14ac:dyDescent="0.25">
      <c r="A138" s="53">
        <v>540115</v>
      </c>
      <c r="B138" s="54" t="s">
        <v>716</v>
      </c>
      <c r="C138" s="54" t="s">
        <v>1026</v>
      </c>
      <c r="D138" s="54" t="s">
        <v>55</v>
      </c>
      <c r="E138" s="53">
        <v>1</v>
      </c>
      <c r="F138" s="78">
        <v>31079</v>
      </c>
    </row>
    <row r="139" spans="1:6" s="42" customFormat="1" x14ac:dyDescent="0.25">
      <c r="A139" s="53">
        <v>540291</v>
      </c>
      <c r="B139" s="54" t="s">
        <v>715</v>
      </c>
      <c r="C139" s="54" t="s">
        <v>1025</v>
      </c>
      <c r="D139" s="54" t="s">
        <v>55</v>
      </c>
      <c r="E139" s="53">
        <v>1</v>
      </c>
      <c r="F139" s="78">
        <v>31673</v>
      </c>
    </row>
    <row r="140" spans="1:6" s="42" customFormat="1" x14ac:dyDescent="0.25">
      <c r="A140" s="53">
        <v>540116</v>
      </c>
      <c r="B140" s="54" t="s">
        <v>714</v>
      </c>
      <c r="C140" s="54" t="s">
        <v>1024</v>
      </c>
      <c r="D140" s="54" t="s">
        <v>55</v>
      </c>
      <c r="E140" s="53">
        <v>1</v>
      </c>
      <c r="F140" s="78">
        <v>30953</v>
      </c>
    </row>
    <row r="141" spans="1:6" s="42" customFormat="1" x14ac:dyDescent="0.25">
      <c r="A141" s="53">
        <v>540117</v>
      </c>
      <c r="B141" s="54" t="s">
        <v>713</v>
      </c>
      <c r="C141" s="54" t="s">
        <v>1023</v>
      </c>
      <c r="D141" s="54" t="s">
        <v>55</v>
      </c>
      <c r="E141" s="53">
        <v>1</v>
      </c>
      <c r="F141" s="78">
        <v>31079</v>
      </c>
    </row>
    <row r="142" spans="1:6" s="42" customFormat="1" x14ac:dyDescent="0.25">
      <c r="A142" s="53">
        <v>540118</v>
      </c>
      <c r="B142" s="54" t="s">
        <v>712</v>
      </c>
      <c r="C142" s="54" t="s">
        <v>1022</v>
      </c>
      <c r="D142" s="54" t="s">
        <v>55</v>
      </c>
      <c r="E142" s="53">
        <v>1</v>
      </c>
      <c r="F142" s="78">
        <v>30953</v>
      </c>
    </row>
    <row r="143" spans="1:6" s="42" customFormat="1" x14ac:dyDescent="0.25">
      <c r="A143" s="53">
        <v>540119</v>
      </c>
      <c r="B143" s="54" t="s">
        <v>711</v>
      </c>
      <c r="C143" s="54" t="s">
        <v>1021</v>
      </c>
      <c r="D143" s="54" t="s">
        <v>55</v>
      </c>
      <c r="E143" s="53">
        <v>1</v>
      </c>
      <c r="F143" s="78">
        <v>31079</v>
      </c>
    </row>
    <row r="144" spans="1:6" s="42" customFormat="1" x14ac:dyDescent="0.25">
      <c r="A144" s="53">
        <v>540120</v>
      </c>
      <c r="B144" s="54" t="s">
        <v>710</v>
      </c>
      <c r="C144" s="54" t="s">
        <v>1020</v>
      </c>
      <c r="D144" s="54" t="s">
        <v>55</v>
      </c>
      <c r="E144" s="53">
        <v>1</v>
      </c>
      <c r="F144" s="78">
        <v>31079</v>
      </c>
    </row>
    <row r="145" spans="1:6" s="42" customFormat="1" x14ac:dyDescent="0.25">
      <c r="A145" s="53">
        <v>540121</v>
      </c>
      <c r="B145" s="54" t="s">
        <v>709</v>
      </c>
      <c r="C145" s="54" t="s">
        <v>1019</v>
      </c>
      <c r="D145" s="54" t="s">
        <v>55</v>
      </c>
      <c r="E145" s="53">
        <v>1</v>
      </c>
      <c r="F145" s="78">
        <v>31140</v>
      </c>
    </row>
    <row r="146" spans="1:6" s="42" customFormat="1" x14ac:dyDescent="0.25">
      <c r="A146" s="53">
        <v>540122</v>
      </c>
      <c r="B146" s="54" t="s">
        <v>708</v>
      </c>
      <c r="C146" s="54" t="s">
        <v>1018</v>
      </c>
      <c r="D146" s="54" t="s">
        <v>55</v>
      </c>
      <c r="E146" s="53">
        <v>1</v>
      </c>
      <c r="F146" s="78">
        <v>30953</v>
      </c>
    </row>
    <row r="147" spans="1:6" s="42" customFormat="1" x14ac:dyDescent="0.25">
      <c r="A147" s="53">
        <v>540123</v>
      </c>
      <c r="B147" s="54" t="s">
        <v>707</v>
      </c>
      <c r="C147" s="54" t="s">
        <v>1017</v>
      </c>
      <c r="D147" s="54" t="s">
        <v>55</v>
      </c>
      <c r="E147" s="53">
        <v>1</v>
      </c>
      <c r="F147" s="78">
        <v>30560</v>
      </c>
    </row>
    <row r="148" spans="1:6" s="42" customFormat="1" x14ac:dyDescent="0.25">
      <c r="A148" s="59">
        <v>540124</v>
      </c>
      <c r="B148" s="60" t="s">
        <v>705</v>
      </c>
      <c r="C148" s="60" t="s">
        <v>317</v>
      </c>
      <c r="D148" s="60" t="s">
        <v>52</v>
      </c>
      <c r="E148" s="59">
        <v>1</v>
      </c>
      <c r="F148" s="79">
        <v>31079</v>
      </c>
    </row>
    <row r="149" spans="1:6" s="42" customFormat="1" x14ac:dyDescent="0.25">
      <c r="A149" s="53">
        <v>540172</v>
      </c>
      <c r="B149" s="54" t="s">
        <v>704</v>
      </c>
      <c r="C149" s="54" t="s">
        <v>1016</v>
      </c>
      <c r="D149" s="54" t="s">
        <v>55</v>
      </c>
      <c r="E149" s="53">
        <v>1</v>
      </c>
      <c r="F149" s="78">
        <v>38413</v>
      </c>
    </row>
    <row r="150" spans="1:6" s="42" customFormat="1" x14ac:dyDescent="0.25">
      <c r="A150" s="53">
        <v>540285</v>
      </c>
      <c r="B150" s="54" t="s">
        <v>703</v>
      </c>
      <c r="C150" s="54" t="s">
        <v>1015</v>
      </c>
      <c r="D150" s="54" t="s">
        <v>55</v>
      </c>
      <c r="E150" s="53">
        <v>1</v>
      </c>
      <c r="F150" s="78">
        <v>38413</v>
      </c>
    </row>
    <row r="151" spans="1:6" s="42" customFormat="1" x14ac:dyDescent="0.25">
      <c r="A151" s="53">
        <v>540125</v>
      </c>
      <c r="B151" s="54" t="s">
        <v>702</v>
      </c>
      <c r="C151" s="54" t="s">
        <v>1014</v>
      </c>
      <c r="D151" s="54" t="s">
        <v>55</v>
      </c>
      <c r="E151" s="53">
        <v>1</v>
      </c>
      <c r="F151" s="78">
        <v>30651</v>
      </c>
    </row>
    <row r="152" spans="1:6" s="42" customFormat="1" x14ac:dyDescent="0.25">
      <c r="A152" s="81">
        <v>540126</v>
      </c>
      <c r="B152" s="82" t="s">
        <v>1013</v>
      </c>
      <c r="C152" s="82" t="s">
        <v>1012</v>
      </c>
      <c r="D152" s="82" t="s">
        <v>55</v>
      </c>
      <c r="E152" s="81">
        <v>1</v>
      </c>
      <c r="F152" s="80">
        <v>30665</v>
      </c>
    </row>
    <row r="153" spans="1:6" s="42" customFormat="1" x14ac:dyDescent="0.25">
      <c r="A153" s="53">
        <v>540127</v>
      </c>
      <c r="B153" s="54" t="s">
        <v>699</v>
      </c>
      <c r="C153" s="54" t="s">
        <v>1011</v>
      </c>
      <c r="D153" s="54" t="s">
        <v>55</v>
      </c>
      <c r="E153" s="53">
        <v>1</v>
      </c>
      <c r="F153" s="78">
        <v>30665</v>
      </c>
    </row>
    <row r="154" spans="1:6" s="42" customFormat="1" x14ac:dyDescent="0.25">
      <c r="A154" s="53">
        <v>540128</v>
      </c>
      <c r="B154" s="54" t="s">
        <v>698</v>
      </c>
      <c r="C154" s="54" t="s">
        <v>1010</v>
      </c>
      <c r="D154" s="54" t="s">
        <v>55</v>
      </c>
      <c r="E154" s="53">
        <v>1</v>
      </c>
      <c r="F154" s="78">
        <v>30713</v>
      </c>
    </row>
    <row r="155" spans="1:6" s="42" customFormat="1" x14ac:dyDescent="0.25">
      <c r="A155" s="59">
        <v>540129</v>
      </c>
      <c r="B155" s="60" t="s">
        <v>696</v>
      </c>
      <c r="C155" s="60" t="s">
        <v>1009</v>
      </c>
      <c r="D155" s="60" t="s">
        <v>52</v>
      </c>
      <c r="E155" s="59">
        <v>8</v>
      </c>
      <c r="F155" s="79">
        <v>33508</v>
      </c>
    </row>
    <row r="156" spans="1:6" s="42" customFormat="1" x14ac:dyDescent="0.25">
      <c r="A156" s="53">
        <v>540130</v>
      </c>
      <c r="B156" s="54" t="s">
        <v>695</v>
      </c>
      <c r="C156" s="54" t="s">
        <v>1008</v>
      </c>
      <c r="D156" s="54" t="s">
        <v>55</v>
      </c>
      <c r="E156" s="53">
        <v>8</v>
      </c>
      <c r="F156" s="78">
        <v>33508</v>
      </c>
    </row>
    <row r="157" spans="1:6" s="42" customFormat="1" x14ac:dyDescent="0.25">
      <c r="A157" s="53">
        <v>540131</v>
      </c>
      <c r="B157" s="54" t="s">
        <v>694</v>
      </c>
      <c r="C157" s="54" t="s">
        <v>1007</v>
      </c>
      <c r="D157" s="54" t="s">
        <v>55</v>
      </c>
      <c r="E157" s="53">
        <v>8</v>
      </c>
      <c r="F157" s="78">
        <v>33508</v>
      </c>
    </row>
    <row r="158" spans="1:6" s="42" customFormat="1" x14ac:dyDescent="0.25">
      <c r="A158" s="53">
        <v>540155</v>
      </c>
      <c r="B158" s="54" t="s">
        <v>693</v>
      </c>
      <c r="C158" s="54" t="s">
        <v>1006</v>
      </c>
      <c r="D158" s="54" t="s">
        <v>55</v>
      </c>
      <c r="E158" s="53">
        <v>8</v>
      </c>
      <c r="F158" s="78">
        <v>33508</v>
      </c>
    </row>
    <row r="159" spans="1:6" s="42" customFormat="1" x14ac:dyDescent="0.25">
      <c r="A159" s="59">
        <v>540133</v>
      </c>
      <c r="B159" s="60" t="s">
        <v>691</v>
      </c>
      <c r="C159" s="60" t="s">
        <v>1005</v>
      </c>
      <c r="D159" s="60" t="s">
        <v>52</v>
      </c>
      <c r="E159" s="59">
        <v>2</v>
      </c>
      <c r="F159" s="79">
        <v>29557</v>
      </c>
    </row>
    <row r="160" spans="1:6" s="42" customFormat="1" x14ac:dyDescent="0.25">
      <c r="A160" s="53">
        <v>540134</v>
      </c>
      <c r="B160" s="54" t="s">
        <v>690</v>
      </c>
      <c r="C160" s="54" t="s">
        <v>1004</v>
      </c>
      <c r="D160" s="54" t="s">
        <v>55</v>
      </c>
      <c r="E160" s="53">
        <v>2</v>
      </c>
      <c r="F160" s="78">
        <v>28199</v>
      </c>
    </row>
    <row r="161" spans="1:6" s="42" customFormat="1" x14ac:dyDescent="0.25">
      <c r="A161" s="53">
        <v>540135</v>
      </c>
      <c r="B161" s="54" t="s">
        <v>689</v>
      </c>
      <c r="C161" s="54" t="s">
        <v>1003</v>
      </c>
      <c r="D161" s="54" t="s">
        <v>55</v>
      </c>
      <c r="E161" s="53">
        <v>2</v>
      </c>
      <c r="F161" s="78">
        <v>28247</v>
      </c>
    </row>
    <row r="162" spans="1:6" s="42" customFormat="1" x14ac:dyDescent="0.25">
      <c r="A162" s="53" t="s">
        <v>688</v>
      </c>
      <c r="B162" s="54" t="s">
        <v>687</v>
      </c>
      <c r="C162" s="54" t="s">
        <v>1002</v>
      </c>
      <c r="D162" s="54" t="s">
        <v>55</v>
      </c>
      <c r="E162" s="53">
        <v>2</v>
      </c>
      <c r="F162" s="78">
        <v>28550</v>
      </c>
    </row>
    <row r="163" spans="1:6" s="42" customFormat="1" x14ac:dyDescent="0.25">
      <c r="A163" s="53" t="s">
        <v>686</v>
      </c>
      <c r="B163" s="54" t="s">
        <v>685</v>
      </c>
      <c r="C163" s="54" t="s">
        <v>1001</v>
      </c>
      <c r="D163" s="54" t="s">
        <v>55</v>
      </c>
      <c r="E163" s="53">
        <v>2</v>
      </c>
      <c r="F163" s="78">
        <v>25602</v>
      </c>
    </row>
    <row r="164" spans="1:6" s="42" customFormat="1" x14ac:dyDescent="0.25">
      <c r="A164" s="53" t="s">
        <v>684</v>
      </c>
      <c r="B164" s="54" t="s">
        <v>683</v>
      </c>
      <c r="C164" s="54" t="s">
        <v>1000</v>
      </c>
      <c r="D164" s="54" t="s">
        <v>55</v>
      </c>
      <c r="E164" s="53">
        <v>2</v>
      </c>
      <c r="F164" s="78">
        <v>29602</v>
      </c>
    </row>
    <row r="165" spans="1:6" s="42" customFormat="1" x14ac:dyDescent="0.25">
      <c r="A165" s="59">
        <v>540139</v>
      </c>
      <c r="B165" s="60" t="s">
        <v>681</v>
      </c>
      <c r="C165" s="60" t="s">
        <v>999</v>
      </c>
      <c r="D165" s="60" t="s">
        <v>52</v>
      </c>
      <c r="E165" s="59">
        <v>6</v>
      </c>
      <c r="F165" s="79">
        <v>40198</v>
      </c>
    </row>
    <row r="166" spans="1:6" s="42" customFormat="1" x14ac:dyDescent="0.25">
      <c r="A166" s="53">
        <v>540140</v>
      </c>
      <c r="B166" s="54" t="s">
        <v>680</v>
      </c>
      <c r="C166" s="54" t="s">
        <v>998</v>
      </c>
      <c r="D166" s="54" t="s">
        <v>55</v>
      </c>
      <c r="E166" s="53">
        <v>6</v>
      </c>
      <c r="F166" s="78">
        <v>40198</v>
      </c>
    </row>
    <row r="167" spans="1:6" s="42" customFormat="1" x14ac:dyDescent="0.25">
      <c r="A167" s="53">
        <v>540272</v>
      </c>
      <c r="B167" s="54" t="s">
        <v>679</v>
      </c>
      <c r="C167" s="54" t="s">
        <v>997</v>
      </c>
      <c r="D167" s="54" t="s">
        <v>55</v>
      </c>
      <c r="E167" s="53">
        <v>6</v>
      </c>
      <c r="F167" s="78">
        <v>30665</v>
      </c>
    </row>
    <row r="168" spans="1:6" s="42" customFormat="1" x14ac:dyDescent="0.25">
      <c r="A168" s="53">
        <v>540141</v>
      </c>
      <c r="B168" s="54" t="s">
        <v>678</v>
      </c>
      <c r="C168" s="54" t="s">
        <v>996</v>
      </c>
      <c r="D168" s="54" t="s">
        <v>55</v>
      </c>
      <c r="E168" s="53">
        <v>6</v>
      </c>
      <c r="F168" s="78">
        <v>29068</v>
      </c>
    </row>
    <row r="169" spans="1:6" s="42" customFormat="1" x14ac:dyDescent="0.25">
      <c r="A169" s="53">
        <v>540273</v>
      </c>
      <c r="B169" s="54" t="s">
        <v>677</v>
      </c>
      <c r="C169" s="54" t="s">
        <v>995</v>
      </c>
      <c r="D169" s="54" t="s">
        <v>55</v>
      </c>
      <c r="E169" s="53">
        <v>6</v>
      </c>
      <c r="F169" s="78">
        <v>28703</v>
      </c>
    </row>
    <row r="170" spans="1:6" s="42" customFormat="1" x14ac:dyDescent="0.25">
      <c r="A170" s="53">
        <v>540274</v>
      </c>
      <c r="B170" s="54" t="s">
        <v>676</v>
      </c>
      <c r="C170" s="54" t="s">
        <v>994</v>
      </c>
      <c r="D170" s="54" t="s">
        <v>55</v>
      </c>
      <c r="E170" s="53">
        <v>6</v>
      </c>
      <c r="F170" s="78">
        <v>28703</v>
      </c>
    </row>
    <row r="171" spans="1:6" s="42" customFormat="1" x14ac:dyDescent="0.25">
      <c r="A171" s="59">
        <v>540278</v>
      </c>
      <c r="B171" s="60" t="s">
        <v>674</v>
      </c>
      <c r="C171" s="60" t="s">
        <v>993</v>
      </c>
      <c r="D171" s="60" t="s">
        <v>52</v>
      </c>
      <c r="E171" s="59">
        <v>1</v>
      </c>
      <c r="F171" s="79">
        <v>30330</v>
      </c>
    </row>
    <row r="172" spans="1:6" s="42" customFormat="1" x14ac:dyDescent="0.25">
      <c r="A172" s="53">
        <v>540143</v>
      </c>
      <c r="B172" s="54" t="s">
        <v>672</v>
      </c>
      <c r="C172" s="54" t="s">
        <v>992</v>
      </c>
      <c r="D172" s="54" t="s">
        <v>55</v>
      </c>
      <c r="E172" s="53">
        <v>1</v>
      </c>
      <c r="F172" s="78">
        <v>29068</v>
      </c>
    </row>
    <row r="173" spans="1:6" s="42" customFormat="1" x14ac:dyDescent="0.25">
      <c r="A173" s="53">
        <v>540290</v>
      </c>
      <c r="B173" s="54" t="s">
        <v>671</v>
      </c>
      <c r="C173" s="54" t="s">
        <v>991</v>
      </c>
      <c r="D173" s="54" t="s">
        <v>55</v>
      </c>
      <c r="E173" s="53">
        <v>1</v>
      </c>
      <c r="F173" s="78">
        <v>37424</v>
      </c>
    </row>
    <row r="174" spans="1:6" s="42" customFormat="1" x14ac:dyDescent="0.25">
      <c r="A174" s="53">
        <v>540041</v>
      </c>
      <c r="B174" s="54" t="s">
        <v>990</v>
      </c>
      <c r="C174" s="54" t="s">
        <v>989</v>
      </c>
      <c r="D174" s="54" t="s">
        <v>55</v>
      </c>
      <c r="E174" s="53">
        <v>1</v>
      </c>
      <c r="F174" s="78">
        <v>33508</v>
      </c>
    </row>
    <row r="175" spans="1:6" s="42" customFormat="1" x14ac:dyDescent="0.25">
      <c r="A175" s="59">
        <v>540144</v>
      </c>
      <c r="B175" s="60" t="s">
        <v>669</v>
      </c>
      <c r="C175" s="60" t="s">
        <v>353</v>
      </c>
      <c r="D175" s="60" t="s">
        <v>52</v>
      </c>
      <c r="E175" s="59">
        <v>9</v>
      </c>
      <c r="F175" s="79">
        <v>31959</v>
      </c>
    </row>
    <row r="176" spans="1:6" s="42" customFormat="1" x14ac:dyDescent="0.25">
      <c r="A176" s="53">
        <v>540005</v>
      </c>
      <c r="B176" s="54" t="s">
        <v>668</v>
      </c>
      <c r="C176" s="54" t="s">
        <v>988</v>
      </c>
      <c r="D176" s="54" t="s">
        <v>55</v>
      </c>
      <c r="E176" s="53">
        <v>9</v>
      </c>
      <c r="F176" s="78">
        <v>29222</v>
      </c>
    </row>
    <row r="177" spans="1:6" s="42" customFormat="1" x14ac:dyDescent="0.25">
      <c r="A177" s="53">
        <v>540252</v>
      </c>
      <c r="B177" s="54" t="s">
        <v>667</v>
      </c>
      <c r="C177" s="54" t="s">
        <v>987</v>
      </c>
      <c r="D177" s="54" t="s">
        <v>55</v>
      </c>
      <c r="E177" s="53">
        <v>9</v>
      </c>
      <c r="F177" s="78">
        <v>30988</v>
      </c>
    </row>
    <row r="178" spans="1:6" s="42" customFormat="1" x14ac:dyDescent="0.25">
      <c r="A178" s="59">
        <v>540146</v>
      </c>
      <c r="B178" s="60" t="s">
        <v>665</v>
      </c>
      <c r="C178" s="60" t="s">
        <v>356</v>
      </c>
      <c r="D178" s="60" t="s">
        <v>52</v>
      </c>
      <c r="E178" s="59">
        <v>4</v>
      </c>
      <c r="F178" s="79">
        <v>33548</v>
      </c>
    </row>
    <row r="179" spans="1:6" s="42" customFormat="1" x14ac:dyDescent="0.25">
      <c r="A179" s="53">
        <v>540147</v>
      </c>
      <c r="B179" s="54" t="s">
        <v>664</v>
      </c>
      <c r="C179" s="54" t="s">
        <v>986</v>
      </c>
      <c r="D179" s="54" t="s">
        <v>55</v>
      </c>
      <c r="E179" s="53">
        <v>4</v>
      </c>
      <c r="F179" s="78">
        <v>33508</v>
      </c>
    </row>
    <row r="180" spans="1:6" s="42" customFormat="1" x14ac:dyDescent="0.25">
      <c r="A180" s="53">
        <v>540148</v>
      </c>
      <c r="B180" s="54" t="s">
        <v>663</v>
      </c>
      <c r="C180" s="54" t="s">
        <v>985</v>
      </c>
      <c r="D180" s="54" t="s">
        <v>55</v>
      </c>
      <c r="E180" s="53">
        <v>4</v>
      </c>
      <c r="F180" s="78">
        <v>30918</v>
      </c>
    </row>
    <row r="181" spans="1:6" s="42" customFormat="1" x14ac:dyDescent="0.25">
      <c r="A181" s="59">
        <v>540149</v>
      </c>
      <c r="B181" s="60" t="s">
        <v>661</v>
      </c>
      <c r="C181" s="60" t="s">
        <v>984</v>
      </c>
      <c r="D181" s="60" t="s">
        <v>52</v>
      </c>
      <c r="E181" s="59">
        <v>10</v>
      </c>
      <c r="F181" s="79">
        <v>30410</v>
      </c>
    </row>
    <row r="182" spans="1:6" s="42" customFormat="1" x14ac:dyDescent="0.25">
      <c r="A182" s="53">
        <v>540275</v>
      </c>
      <c r="B182" s="54" t="s">
        <v>660</v>
      </c>
      <c r="C182" s="54" t="s">
        <v>983</v>
      </c>
      <c r="D182" s="54" t="s">
        <v>55</v>
      </c>
      <c r="E182" s="53">
        <v>10</v>
      </c>
      <c r="F182" s="78">
        <v>38915</v>
      </c>
    </row>
    <row r="183" spans="1:6" s="42" customFormat="1" x14ac:dyDescent="0.25">
      <c r="A183" s="53">
        <v>540080</v>
      </c>
      <c r="B183" s="54" t="s">
        <v>659</v>
      </c>
      <c r="C183" s="54" t="s">
        <v>982</v>
      </c>
      <c r="D183" s="54" t="s">
        <v>55</v>
      </c>
      <c r="E183" s="53">
        <v>10</v>
      </c>
      <c r="F183" s="78">
        <v>38915</v>
      </c>
    </row>
    <row r="184" spans="1:6" s="42" customFormat="1" x14ac:dyDescent="0.25">
      <c r="A184" s="53">
        <v>540150</v>
      </c>
      <c r="B184" s="54" t="s">
        <v>658</v>
      </c>
      <c r="C184" s="54" t="s">
        <v>981</v>
      </c>
      <c r="D184" s="54" t="s">
        <v>55</v>
      </c>
      <c r="E184" s="53">
        <v>10</v>
      </c>
      <c r="F184" s="78">
        <v>30699</v>
      </c>
    </row>
    <row r="185" spans="1:6" s="42" customFormat="1" x14ac:dyDescent="0.25">
      <c r="A185" s="53">
        <v>540151</v>
      </c>
      <c r="B185" s="54" t="s">
        <v>657</v>
      </c>
      <c r="C185" s="54" t="s">
        <v>980</v>
      </c>
      <c r="D185" s="54" t="s">
        <v>55</v>
      </c>
      <c r="E185" s="53">
        <v>10</v>
      </c>
      <c r="F185" s="78">
        <v>29126</v>
      </c>
    </row>
    <row r="186" spans="1:6" s="42" customFormat="1" x14ac:dyDescent="0.25">
      <c r="A186" s="53">
        <v>540094</v>
      </c>
      <c r="B186" s="54" t="s">
        <v>656</v>
      </c>
      <c r="C186" s="54" t="s">
        <v>979</v>
      </c>
      <c r="D186" s="54" t="s">
        <v>55</v>
      </c>
      <c r="E186" s="53">
        <v>10</v>
      </c>
      <c r="F186" s="78">
        <v>38915</v>
      </c>
    </row>
    <row r="187" spans="1:6" s="42" customFormat="1" x14ac:dyDescent="0.25">
      <c r="A187" s="53">
        <v>540152</v>
      </c>
      <c r="B187" s="54" t="s">
        <v>655</v>
      </c>
      <c r="C187" s="54" t="s">
        <v>978</v>
      </c>
      <c r="D187" s="54" t="s">
        <v>55</v>
      </c>
      <c r="E187" s="53">
        <v>10</v>
      </c>
      <c r="F187" s="78">
        <v>29635</v>
      </c>
    </row>
    <row r="188" spans="1:6" s="42" customFormat="1" x14ac:dyDescent="0.25">
      <c r="A188" s="59">
        <v>540153</v>
      </c>
      <c r="B188" s="60" t="s">
        <v>653</v>
      </c>
      <c r="C188" s="60" t="s">
        <v>372</v>
      </c>
      <c r="D188" s="60" t="s">
        <v>52</v>
      </c>
      <c r="E188" s="59">
        <v>8</v>
      </c>
      <c r="F188" s="79">
        <v>31959</v>
      </c>
    </row>
    <row r="189" spans="1:6" s="42" customFormat="1" x14ac:dyDescent="0.25">
      <c r="A189" s="53">
        <v>540154</v>
      </c>
      <c r="B189" s="54" t="s">
        <v>652</v>
      </c>
      <c r="C189" s="54" t="s">
        <v>977</v>
      </c>
      <c r="D189" s="54" t="s">
        <v>55</v>
      </c>
      <c r="E189" s="53">
        <v>8</v>
      </c>
      <c r="F189" s="78">
        <v>32021</v>
      </c>
    </row>
    <row r="190" spans="1:6" s="42" customFormat="1" x14ac:dyDescent="0.25">
      <c r="A190" s="59">
        <v>540225</v>
      </c>
      <c r="B190" s="60" t="s">
        <v>650</v>
      </c>
      <c r="C190" s="60" t="s">
        <v>976</v>
      </c>
      <c r="D190" s="60" t="s">
        <v>52</v>
      </c>
      <c r="E190" s="59">
        <v>5</v>
      </c>
      <c r="F190" s="79">
        <v>33392</v>
      </c>
    </row>
    <row r="191" spans="1:6" s="42" customFormat="1" x14ac:dyDescent="0.25">
      <c r="A191" s="53">
        <v>540253</v>
      </c>
      <c r="B191" s="54" t="s">
        <v>649</v>
      </c>
      <c r="C191" s="54" t="s">
        <v>975</v>
      </c>
      <c r="D191" s="54" t="s">
        <v>55</v>
      </c>
      <c r="E191" s="53">
        <v>5</v>
      </c>
      <c r="F191" s="78">
        <v>33392</v>
      </c>
    </row>
    <row r="192" spans="1:6" s="42" customFormat="1" x14ac:dyDescent="0.25">
      <c r="A192" s="53">
        <v>540156</v>
      </c>
      <c r="B192" s="54" t="s">
        <v>648</v>
      </c>
      <c r="C192" s="54" t="s">
        <v>974</v>
      </c>
      <c r="D192" s="54" t="s">
        <v>55</v>
      </c>
      <c r="E192" s="53">
        <v>5</v>
      </c>
      <c r="F192" s="78">
        <v>33392</v>
      </c>
    </row>
    <row r="193" spans="1:6" s="42" customFormat="1" x14ac:dyDescent="0.25">
      <c r="A193" s="59">
        <v>540283</v>
      </c>
      <c r="B193" s="60" t="s">
        <v>646</v>
      </c>
      <c r="C193" s="60" t="s">
        <v>973</v>
      </c>
      <c r="D193" s="60" t="s">
        <v>52</v>
      </c>
      <c r="E193" s="59">
        <v>4</v>
      </c>
      <c r="F193" s="79">
        <v>32798</v>
      </c>
    </row>
    <row r="194" spans="1:6" s="42" customFormat="1" x14ac:dyDescent="0.25">
      <c r="A194" s="53">
        <v>540158</v>
      </c>
      <c r="B194" s="54" t="s">
        <v>645</v>
      </c>
      <c r="C194" s="54" t="s">
        <v>972</v>
      </c>
      <c r="D194" s="54" t="s">
        <v>55</v>
      </c>
      <c r="E194" s="53">
        <v>4</v>
      </c>
      <c r="F194" s="78">
        <v>30918</v>
      </c>
    </row>
    <row r="195" spans="1:6" s="42" customFormat="1" x14ac:dyDescent="0.25">
      <c r="A195" s="53">
        <v>540159</v>
      </c>
      <c r="B195" s="54" t="s">
        <v>644</v>
      </c>
      <c r="C195" s="54" t="s">
        <v>971</v>
      </c>
      <c r="D195" s="54" t="s">
        <v>55</v>
      </c>
      <c r="E195" s="53">
        <v>4</v>
      </c>
      <c r="F195" s="78">
        <v>32798</v>
      </c>
    </row>
    <row r="196" spans="1:6" s="42" customFormat="1" x14ac:dyDescent="0.25">
      <c r="A196" s="59">
        <v>540160</v>
      </c>
      <c r="B196" s="60" t="s">
        <v>642</v>
      </c>
      <c r="C196" s="60" t="s">
        <v>390</v>
      </c>
      <c r="D196" s="60" t="s">
        <v>52</v>
      </c>
      <c r="E196" s="59">
        <v>6</v>
      </c>
      <c r="F196" s="79">
        <v>31837</v>
      </c>
    </row>
    <row r="197" spans="1:6" s="42" customFormat="1" x14ac:dyDescent="0.25">
      <c r="A197" s="53">
        <v>540161</v>
      </c>
      <c r="B197" s="54" t="s">
        <v>641</v>
      </c>
      <c r="C197" s="54" t="s">
        <v>970</v>
      </c>
      <c r="D197" s="54" t="s">
        <v>55</v>
      </c>
      <c r="E197" s="53"/>
      <c r="F197" s="78">
        <v>31990</v>
      </c>
    </row>
    <row r="198" spans="1:6" s="42" customFormat="1" x14ac:dyDescent="0.25">
      <c r="A198" s="53">
        <v>540162</v>
      </c>
      <c r="B198" s="54" t="s">
        <v>640</v>
      </c>
      <c r="C198" s="54" t="s">
        <v>969</v>
      </c>
      <c r="D198" s="54" t="s">
        <v>55</v>
      </c>
      <c r="E198" s="53">
        <v>6</v>
      </c>
      <c r="F198" s="78">
        <v>31990</v>
      </c>
    </row>
    <row r="199" spans="1:6" s="42" customFormat="1" x14ac:dyDescent="0.25">
      <c r="A199" s="53">
        <v>540254</v>
      </c>
      <c r="B199" s="54" t="s">
        <v>639</v>
      </c>
      <c r="C199" s="54" t="s">
        <v>968</v>
      </c>
      <c r="D199" s="54" t="s">
        <v>55</v>
      </c>
      <c r="E199" s="53">
        <v>6</v>
      </c>
      <c r="F199" s="78">
        <v>41065</v>
      </c>
    </row>
    <row r="200" spans="1:6" s="42" customFormat="1" x14ac:dyDescent="0.25">
      <c r="A200" s="53">
        <v>540270</v>
      </c>
      <c r="B200" s="54" t="s">
        <v>638</v>
      </c>
      <c r="C200" s="54" t="s">
        <v>967</v>
      </c>
      <c r="D200" s="54" t="s">
        <v>55</v>
      </c>
      <c r="E200" s="53">
        <v>6</v>
      </c>
      <c r="F200" s="78">
        <v>41065</v>
      </c>
    </row>
    <row r="201" spans="1:6" s="42" customFormat="1" x14ac:dyDescent="0.25">
      <c r="A201" s="53">
        <v>540268</v>
      </c>
      <c r="B201" s="54" t="s">
        <v>637</v>
      </c>
      <c r="C201" s="54" t="s">
        <v>966</v>
      </c>
      <c r="D201" s="54" t="s">
        <v>55</v>
      </c>
      <c r="E201" s="53">
        <v>6</v>
      </c>
      <c r="F201" s="78">
        <v>31990</v>
      </c>
    </row>
    <row r="202" spans="1:6" s="42" customFormat="1" x14ac:dyDescent="0.25">
      <c r="A202" s="53">
        <v>540269</v>
      </c>
      <c r="B202" s="54" t="s">
        <v>636</v>
      </c>
      <c r="C202" s="54" t="s">
        <v>965</v>
      </c>
      <c r="D202" s="54" t="s">
        <v>55</v>
      </c>
      <c r="E202" s="53">
        <v>6</v>
      </c>
      <c r="F202" s="78">
        <v>31990</v>
      </c>
    </row>
    <row r="203" spans="1:6" s="42" customFormat="1" x14ac:dyDescent="0.25">
      <c r="A203" s="53">
        <v>540163</v>
      </c>
      <c r="B203" s="54" t="s">
        <v>635</v>
      </c>
      <c r="C203" s="54" t="s">
        <v>964</v>
      </c>
      <c r="D203" s="54" t="s">
        <v>55</v>
      </c>
      <c r="E203" s="53">
        <v>6</v>
      </c>
      <c r="F203" s="78">
        <v>29068</v>
      </c>
    </row>
    <row r="204" spans="1:6" s="42" customFormat="1" x14ac:dyDescent="0.25">
      <c r="A204" s="53">
        <v>540257</v>
      </c>
      <c r="B204" s="54" t="s">
        <v>634</v>
      </c>
      <c r="C204" s="54" t="s">
        <v>963</v>
      </c>
      <c r="D204" s="54" t="s">
        <v>55</v>
      </c>
      <c r="E204" s="53">
        <v>6</v>
      </c>
      <c r="F204" s="78">
        <v>31990</v>
      </c>
    </row>
    <row r="205" spans="1:6" s="42" customFormat="1" x14ac:dyDescent="0.25">
      <c r="A205" s="53">
        <v>540137</v>
      </c>
      <c r="B205" s="54" t="s">
        <v>633</v>
      </c>
      <c r="C205" s="54" t="s">
        <v>962</v>
      </c>
      <c r="D205" s="54" t="s">
        <v>55</v>
      </c>
      <c r="E205" s="53">
        <v>6</v>
      </c>
      <c r="F205" s="78">
        <v>41065</v>
      </c>
    </row>
    <row r="206" spans="1:6" s="42" customFormat="1" x14ac:dyDescent="0.25">
      <c r="A206" s="59">
        <v>540164</v>
      </c>
      <c r="B206" s="60" t="s">
        <v>631</v>
      </c>
      <c r="C206" s="60" t="s">
        <v>405</v>
      </c>
      <c r="D206" s="60" t="s">
        <v>52</v>
      </c>
      <c r="E206" s="59">
        <v>3</v>
      </c>
      <c r="F206" s="79">
        <v>31946</v>
      </c>
    </row>
    <row r="207" spans="1:6" s="42" customFormat="1" x14ac:dyDescent="0.25">
      <c r="A207" s="53">
        <v>540165</v>
      </c>
      <c r="B207" s="54" t="s">
        <v>630</v>
      </c>
      <c r="C207" s="54" t="s">
        <v>961</v>
      </c>
      <c r="D207" s="54" t="s">
        <v>55</v>
      </c>
      <c r="E207" s="53">
        <v>3</v>
      </c>
      <c r="F207" s="78">
        <v>31399</v>
      </c>
    </row>
    <row r="208" spans="1:6" s="42" customFormat="1" x14ac:dyDescent="0.25">
      <c r="A208" s="53">
        <v>540166</v>
      </c>
      <c r="B208" s="54" t="s">
        <v>629</v>
      </c>
      <c r="C208" s="54" t="s">
        <v>960</v>
      </c>
      <c r="D208" s="54" t="s">
        <v>55</v>
      </c>
      <c r="E208" s="53">
        <v>3</v>
      </c>
      <c r="F208" s="78">
        <v>31399</v>
      </c>
    </row>
    <row r="209" spans="1:6" s="42" customFormat="1" x14ac:dyDescent="0.25">
      <c r="A209" s="53">
        <v>540222</v>
      </c>
      <c r="B209" s="54" t="s">
        <v>628</v>
      </c>
      <c r="C209" s="54" t="s">
        <v>959</v>
      </c>
      <c r="D209" s="54" t="s">
        <v>55</v>
      </c>
      <c r="E209" s="53">
        <v>3</v>
      </c>
      <c r="F209" s="78">
        <v>30718</v>
      </c>
    </row>
    <row r="210" spans="1:6" s="42" customFormat="1" x14ac:dyDescent="0.25">
      <c r="A210" s="53">
        <v>540167</v>
      </c>
      <c r="B210" s="54" t="s">
        <v>627</v>
      </c>
      <c r="C210" s="54" t="s">
        <v>958</v>
      </c>
      <c r="D210" s="54" t="s">
        <v>55</v>
      </c>
      <c r="E210" s="53">
        <v>3</v>
      </c>
      <c r="F210" s="78">
        <v>31475</v>
      </c>
    </row>
    <row r="211" spans="1:6" s="42" customFormat="1" x14ac:dyDescent="0.25">
      <c r="A211" s="53">
        <v>540168</v>
      </c>
      <c r="B211" s="54" t="s">
        <v>625</v>
      </c>
      <c r="C211" s="54" t="s">
        <v>957</v>
      </c>
      <c r="D211" s="54" t="s">
        <v>55</v>
      </c>
      <c r="E211" s="53">
        <v>3</v>
      </c>
      <c r="F211" s="78">
        <v>31399</v>
      </c>
    </row>
    <row r="212" spans="1:6" s="42" customFormat="1" x14ac:dyDescent="0.25">
      <c r="A212" s="53">
        <v>540271</v>
      </c>
      <c r="B212" s="54" t="s">
        <v>624</v>
      </c>
      <c r="C212" s="54" t="s">
        <v>956</v>
      </c>
      <c r="D212" s="54" t="s">
        <v>55</v>
      </c>
      <c r="E212" s="53">
        <v>3</v>
      </c>
      <c r="F212" s="78">
        <v>31399</v>
      </c>
    </row>
    <row r="213" spans="1:6" s="42" customFormat="1" x14ac:dyDescent="0.25">
      <c r="A213" s="53">
        <v>540081</v>
      </c>
      <c r="B213" s="54" t="s">
        <v>626</v>
      </c>
      <c r="C213" s="54" t="s">
        <v>955</v>
      </c>
      <c r="D213" s="54" t="s">
        <v>55</v>
      </c>
      <c r="E213" s="53">
        <v>3</v>
      </c>
      <c r="F213" s="78">
        <v>30056</v>
      </c>
    </row>
    <row r="214" spans="1:6" s="42" customFormat="1" x14ac:dyDescent="0.25">
      <c r="A214" s="59">
        <v>540169</v>
      </c>
      <c r="B214" s="60" t="s">
        <v>622</v>
      </c>
      <c r="C214" s="60" t="s">
        <v>954</v>
      </c>
      <c r="D214" s="60" t="s">
        <v>52</v>
      </c>
      <c r="E214" s="59">
        <v>1</v>
      </c>
      <c r="F214" s="79">
        <v>31034</v>
      </c>
    </row>
    <row r="215" spans="1:6" s="42" customFormat="1" x14ac:dyDescent="0.25">
      <c r="A215" s="53">
        <v>540170</v>
      </c>
      <c r="B215" s="54" t="s">
        <v>620</v>
      </c>
      <c r="C215" s="54" t="s">
        <v>953</v>
      </c>
      <c r="D215" s="54" t="s">
        <v>55</v>
      </c>
      <c r="E215" s="53">
        <v>1</v>
      </c>
      <c r="F215" s="78">
        <v>30987</v>
      </c>
    </row>
    <row r="216" spans="1:6" s="42" customFormat="1" x14ac:dyDescent="0.25">
      <c r="A216" s="53">
        <v>540171</v>
      </c>
      <c r="B216" s="54" t="s">
        <v>619</v>
      </c>
      <c r="C216" s="54" t="s">
        <v>952</v>
      </c>
      <c r="D216" s="54" t="s">
        <v>55</v>
      </c>
      <c r="E216" s="53">
        <v>1</v>
      </c>
      <c r="F216" s="78">
        <v>32234</v>
      </c>
    </row>
    <row r="217" spans="1:6" s="42" customFormat="1" x14ac:dyDescent="0.25">
      <c r="A217" s="53">
        <v>540286</v>
      </c>
      <c r="B217" s="54" t="s">
        <v>618</v>
      </c>
      <c r="C217" s="54" t="s">
        <v>951</v>
      </c>
      <c r="D217" s="54" t="s">
        <v>55</v>
      </c>
      <c r="E217" s="53">
        <v>1</v>
      </c>
      <c r="F217" s="78">
        <v>31110</v>
      </c>
    </row>
    <row r="218" spans="1:6" s="42" customFormat="1" x14ac:dyDescent="0.25">
      <c r="A218" s="53">
        <v>540173</v>
      </c>
      <c r="B218" s="54" t="s">
        <v>950</v>
      </c>
      <c r="C218" s="54" t="s">
        <v>949</v>
      </c>
      <c r="D218" s="54" t="s">
        <v>55</v>
      </c>
      <c r="E218" s="53">
        <v>1</v>
      </c>
      <c r="F218" s="78">
        <v>32021</v>
      </c>
    </row>
    <row r="219" spans="1:6" s="42" customFormat="1" x14ac:dyDescent="0.25">
      <c r="A219" s="53">
        <v>540174</v>
      </c>
      <c r="B219" s="54" t="s">
        <v>616</v>
      </c>
      <c r="C219" s="54" t="s">
        <v>948</v>
      </c>
      <c r="D219" s="54" t="s">
        <v>55</v>
      </c>
      <c r="E219" s="53">
        <v>1</v>
      </c>
      <c r="F219" s="78">
        <v>33344</v>
      </c>
    </row>
    <row r="220" spans="1:6" s="42" customFormat="1" x14ac:dyDescent="0.25">
      <c r="A220" s="59">
        <v>540175</v>
      </c>
      <c r="B220" s="60" t="s">
        <v>614</v>
      </c>
      <c r="C220" s="60" t="s">
        <v>947</v>
      </c>
      <c r="D220" s="60" t="s">
        <v>52</v>
      </c>
      <c r="E220" s="59">
        <v>7</v>
      </c>
      <c r="F220" s="79">
        <v>33508</v>
      </c>
    </row>
    <row r="221" spans="1:6" s="42" customFormat="1" x14ac:dyDescent="0.25">
      <c r="A221" s="53">
        <v>540267</v>
      </c>
      <c r="B221" s="54" t="s">
        <v>613</v>
      </c>
      <c r="C221" s="54" t="s">
        <v>946</v>
      </c>
      <c r="D221" s="54" t="s">
        <v>55</v>
      </c>
      <c r="E221" s="53">
        <v>7</v>
      </c>
      <c r="F221" s="78">
        <v>33575</v>
      </c>
    </row>
    <row r="222" spans="1:6" s="42" customFormat="1" x14ac:dyDescent="0.25">
      <c r="A222" s="53">
        <v>540177</v>
      </c>
      <c r="B222" s="54" t="s">
        <v>612</v>
      </c>
      <c r="C222" s="54" t="s">
        <v>945</v>
      </c>
      <c r="D222" s="54" t="s">
        <v>55</v>
      </c>
      <c r="E222" s="53">
        <v>7</v>
      </c>
      <c r="F222" s="78">
        <v>31870</v>
      </c>
    </row>
    <row r="223" spans="1:6" s="42" customFormat="1" x14ac:dyDescent="0.25">
      <c r="A223" s="53">
        <v>540178</v>
      </c>
      <c r="B223" s="54" t="s">
        <v>611</v>
      </c>
      <c r="C223" s="54" t="s">
        <v>944</v>
      </c>
      <c r="D223" s="54" t="s">
        <v>55</v>
      </c>
      <c r="E223" s="53">
        <v>7</v>
      </c>
      <c r="F223" s="78">
        <v>30918</v>
      </c>
    </row>
    <row r="224" spans="1:6" s="42" customFormat="1" x14ac:dyDescent="0.25">
      <c r="A224" s="53">
        <v>540264</v>
      </c>
      <c r="B224" s="54" t="s">
        <v>610</v>
      </c>
      <c r="C224" s="54" t="s">
        <v>943</v>
      </c>
      <c r="D224" s="54" t="s">
        <v>55</v>
      </c>
      <c r="E224" s="53">
        <v>7</v>
      </c>
      <c r="F224" s="78">
        <v>30918</v>
      </c>
    </row>
    <row r="225" spans="1:6" s="42" customFormat="1" x14ac:dyDescent="0.25">
      <c r="A225" s="53">
        <v>540266</v>
      </c>
      <c r="B225" s="54" t="s">
        <v>609</v>
      </c>
      <c r="C225" s="54" t="s">
        <v>942</v>
      </c>
      <c r="D225" s="54" t="s">
        <v>55</v>
      </c>
      <c r="E225" s="53">
        <v>7</v>
      </c>
      <c r="F225" s="78">
        <v>30918</v>
      </c>
    </row>
    <row r="226" spans="1:6" s="42" customFormat="1" x14ac:dyDescent="0.25">
      <c r="A226" s="53">
        <v>540265</v>
      </c>
      <c r="B226" s="54" t="s">
        <v>608</v>
      </c>
      <c r="C226" s="54" t="s">
        <v>941</v>
      </c>
      <c r="D226" s="54" t="s">
        <v>55</v>
      </c>
      <c r="E226" s="53">
        <v>7</v>
      </c>
      <c r="F226" s="78">
        <v>30949</v>
      </c>
    </row>
    <row r="227" spans="1:6" s="42" customFormat="1" x14ac:dyDescent="0.25">
      <c r="A227" s="53">
        <v>540176</v>
      </c>
      <c r="B227" s="54" t="s">
        <v>607</v>
      </c>
      <c r="C227" s="54" t="s">
        <v>940</v>
      </c>
      <c r="D227" s="54" t="s">
        <v>55</v>
      </c>
      <c r="E227" s="53">
        <v>7</v>
      </c>
      <c r="F227" s="78">
        <v>30935</v>
      </c>
    </row>
    <row r="228" spans="1:6" s="42" customFormat="1" x14ac:dyDescent="0.25">
      <c r="A228" s="59">
        <v>540224</v>
      </c>
      <c r="B228" s="60" t="s">
        <v>605</v>
      </c>
      <c r="C228" s="60" t="s">
        <v>939</v>
      </c>
      <c r="D228" s="60" t="s">
        <v>52</v>
      </c>
      <c r="E228" s="59">
        <v>5</v>
      </c>
      <c r="F228" s="79">
        <v>33239</v>
      </c>
    </row>
    <row r="229" spans="1:6" s="42" customFormat="1" x14ac:dyDescent="0.25">
      <c r="A229" s="53">
        <v>540262</v>
      </c>
      <c r="B229" s="54" t="s">
        <v>604</v>
      </c>
      <c r="C229" s="54" t="s">
        <v>938</v>
      </c>
      <c r="D229" s="54" t="s">
        <v>55</v>
      </c>
      <c r="E229" s="53">
        <v>5</v>
      </c>
      <c r="F229" s="78">
        <v>30949</v>
      </c>
    </row>
    <row r="230" spans="1:6" s="42" customFormat="1" x14ac:dyDescent="0.25">
      <c r="A230" s="53">
        <v>540179</v>
      </c>
      <c r="B230" s="54" t="s">
        <v>603</v>
      </c>
      <c r="C230" s="54" t="s">
        <v>937</v>
      </c>
      <c r="D230" s="54" t="s">
        <v>55</v>
      </c>
      <c r="E230" s="53">
        <v>5</v>
      </c>
      <c r="F230" s="78">
        <v>33315</v>
      </c>
    </row>
    <row r="231" spans="1:6" s="42" customFormat="1" x14ac:dyDescent="0.25">
      <c r="A231" s="53">
        <v>540180</v>
      </c>
      <c r="B231" s="54" t="s">
        <v>602</v>
      </c>
      <c r="C231" s="54" t="s">
        <v>936</v>
      </c>
      <c r="D231" s="54" t="s">
        <v>55</v>
      </c>
      <c r="E231" s="53">
        <v>5</v>
      </c>
      <c r="F231" s="78">
        <v>30918</v>
      </c>
    </row>
    <row r="232" spans="1:6" s="42" customFormat="1" x14ac:dyDescent="0.25">
      <c r="A232" s="53">
        <v>540132</v>
      </c>
      <c r="B232" s="54" t="s">
        <v>601</v>
      </c>
      <c r="C232" s="54" t="s">
        <v>935</v>
      </c>
      <c r="D232" s="54" t="s">
        <v>55</v>
      </c>
      <c r="E232" s="53">
        <v>5</v>
      </c>
      <c r="F232" s="78">
        <v>38755</v>
      </c>
    </row>
    <row r="233" spans="1:6" s="42" customFormat="1" x14ac:dyDescent="0.25">
      <c r="A233" s="53">
        <v>540182</v>
      </c>
      <c r="B233" s="54" t="s">
        <v>600</v>
      </c>
      <c r="C233" s="54" t="s">
        <v>934</v>
      </c>
      <c r="D233" s="54" t="s">
        <v>55</v>
      </c>
      <c r="E233" s="53">
        <v>5</v>
      </c>
      <c r="F233" s="78">
        <v>32402</v>
      </c>
    </row>
    <row r="234" spans="1:6" s="42" customFormat="1" x14ac:dyDescent="0.25">
      <c r="A234" s="53">
        <v>540263</v>
      </c>
      <c r="B234" s="54" t="s">
        <v>599</v>
      </c>
      <c r="C234" s="54" t="s">
        <v>933</v>
      </c>
      <c r="D234" s="54" t="s">
        <v>55</v>
      </c>
      <c r="E234" s="53">
        <v>5</v>
      </c>
      <c r="F234" s="78">
        <v>30935</v>
      </c>
    </row>
    <row r="235" spans="1:6" s="42" customFormat="1" x14ac:dyDescent="0.25">
      <c r="A235" s="59">
        <v>540183</v>
      </c>
      <c r="B235" s="60" t="s">
        <v>597</v>
      </c>
      <c r="C235" s="60" t="s">
        <v>932</v>
      </c>
      <c r="D235" s="60" t="s">
        <v>52</v>
      </c>
      <c r="E235" s="59">
        <v>5</v>
      </c>
      <c r="F235" s="79">
        <v>30935</v>
      </c>
    </row>
    <row r="236" spans="1:6" s="42" customFormat="1" x14ac:dyDescent="0.25">
      <c r="A236" s="53">
        <v>540184</v>
      </c>
      <c r="B236" s="54" t="s">
        <v>596</v>
      </c>
      <c r="C236" s="54" t="s">
        <v>931</v>
      </c>
      <c r="D236" s="54" t="s">
        <v>55</v>
      </c>
      <c r="E236" s="53">
        <v>5</v>
      </c>
      <c r="F236" s="78">
        <v>28825</v>
      </c>
    </row>
    <row r="237" spans="1:6" s="42" customFormat="1" x14ac:dyDescent="0.25">
      <c r="A237" s="53">
        <v>540185</v>
      </c>
      <c r="B237" s="54" t="s">
        <v>595</v>
      </c>
      <c r="C237" s="54" t="s">
        <v>930</v>
      </c>
      <c r="D237" s="54" t="s">
        <v>55</v>
      </c>
      <c r="E237" s="53">
        <v>5</v>
      </c>
      <c r="F237" s="78">
        <v>28858</v>
      </c>
    </row>
    <row r="238" spans="1:6" s="42" customFormat="1" x14ac:dyDescent="0.25">
      <c r="A238" s="59">
        <v>540186</v>
      </c>
      <c r="B238" s="60" t="s">
        <v>593</v>
      </c>
      <c r="C238" s="60" t="s">
        <v>929</v>
      </c>
      <c r="D238" s="60" t="s">
        <v>52</v>
      </c>
      <c r="E238" s="59">
        <v>1</v>
      </c>
      <c r="F238" s="79">
        <v>29530</v>
      </c>
    </row>
    <row r="239" spans="1:6" s="42" customFormat="1" x14ac:dyDescent="0.25">
      <c r="A239" s="53">
        <v>540187</v>
      </c>
      <c r="B239" s="54" t="s">
        <v>592</v>
      </c>
      <c r="C239" s="54" t="s">
        <v>928</v>
      </c>
      <c r="D239" s="54" t="s">
        <v>55</v>
      </c>
      <c r="E239" s="53">
        <v>1</v>
      </c>
      <c r="F239" s="78">
        <v>29068</v>
      </c>
    </row>
    <row r="240" spans="1:6" s="42" customFormat="1" x14ac:dyDescent="0.25">
      <c r="A240" s="59">
        <v>540188</v>
      </c>
      <c r="B240" s="60" t="s">
        <v>590</v>
      </c>
      <c r="C240" s="60" t="s">
        <v>454</v>
      </c>
      <c r="D240" s="60" t="s">
        <v>52</v>
      </c>
      <c r="E240" s="59">
        <v>6</v>
      </c>
      <c r="F240" s="79">
        <v>31959</v>
      </c>
    </row>
    <row r="241" spans="1:6" s="42" customFormat="1" x14ac:dyDescent="0.25">
      <c r="A241" s="53">
        <v>540189</v>
      </c>
      <c r="B241" s="54" t="s">
        <v>589</v>
      </c>
      <c r="C241" s="54" t="s">
        <v>927</v>
      </c>
      <c r="D241" s="54" t="s">
        <v>55</v>
      </c>
      <c r="E241" s="53">
        <v>6</v>
      </c>
      <c r="F241" s="78">
        <v>40081</v>
      </c>
    </row>
    <row r="242" spans="1:6" s="42" customFormat="1" x14ac:dyDescent="0.25">
      <c r="A242" s="53">
        <v>540190</v>
      </c>
      <c r="B242" s="54" t="s">
        <v>588</v>
      </c>
      <c r="C242" s="54" t="s">
        <v>926</v>
      </c>
      <c r="D242" s="54" t="s">
        <v>55</v>
      </c>
      <c r="E242" s="53">
        <v>6</v>
      </c>
      <c r="F242" s="78">
        <v>31990</v>
      </c>
    </row>
    <row r="243" spans="1:6" s="42" customFormat="1" x14ac:dyDescent="0.25">
      <c r="A243" s="59">
        <v>540191</v>
      </c>
      <c r="B243" s="60" t="s">
        <v>586</v>
      </c>
      <c r="C243" s="60" t="s">
        <v>463</v>
      </c>
      <c r="D243" s="60" t="s">
        <v>52</v>
      </c>
      <c r="E243" s="59">
        <v>7</v>
      </c>
      <c r="F243" s="79">
        <v>31959</v>
      </c>
    </row>
    <row r="244" spans="1:6" s="42" customFormat="1" x14ac:dyDescent="0.25">
      <c r="A244" s="53">
        <v>540260</v>
      </c>
      <c r="B244" s="54" t="s">
        <v>585</v>
      </c>
      <c r="C244" s="54" t="s">
        <v>925</v>
      </c>
      <c r="D244" s="54" t="s">
        <v>55</v>
      </c>
      <c r="E244" s="53">
        <v>7</v>
      </c>
      <c r="F244" s="78">
        <v>30883</v>
      </c>
    </row>
    <row r="245" spans="1:6" s="42" customFormat="1" x14ac:dyDescent="0.25">
      <c r="A245" s="53">
        <v>540192</v>
      </c>
      <c r="B245" s="54" t="s">
        <v>584</v>
      </c>
      <c r="C245" s="54" t="s">
        <v>924</v>
      </c>
      <c r="D245" s="54" t="s">
        <v>55</v>
      </c>
      <c r="E245" s="53">
        <v>7</v>
      </c>
      <c r="F245" s="78">
        <v>30883</v>
      </c>
    </row>
    <row r="246" spans="1:6" s="42" customFormat="1" x14ac:dyDescent="0.25">
      <c r="A246" s="53">
        <v>540193</v>
      </c>
      <c r="B246" s="54" t="s">
        <v>583</v>
      </c>
      <c r="C246" s="54" t="s">
        <v>923</v>
      </c>
      <c r="D246" s="54" t="s">
        <v>55</v>
      </c>
      <c r="E246" s="53">
        <v>7</v>
      </c>
      <c r="F246" s="78">
        <v>31990</v>
      </c>
    </row>
    <row r="247" spans="1:6" s="42" customFormat="1" x14ac:dyDescent="0.25">
      <c r="A247" s="53">
        <v>540194</v>
      </c>
      <c r="B247" s="54" t="s">
        <v>582</v>
      </c>
      <c r="C247" s="54" t="s">
        <v>922</v>
      </c>
      <c r="D247" s="54" t="s">
        <v>55</v>
      </c>
      <c r="E247" s="53">
        <v>7</v>
      </c>
      <c r="F247" s="78">
        <v>29082</v>
      </c>
    </row>
    <row r="248" spans="1:6" s="42" customFormat="1" x14ac:dyDescent="0.25">
      <c r="A248" s="53">
        <v>540261</v>
      </c>
      <c r="B248" s="54" t="s">
        <v>581</v>
      </c>
      <c r="C248" s="54" t="s">
        <v>921</v>
      </c>
      <c r="D248" s="54" t="s">
        <v>55</v>
      </c>
      <c r="E248" s="53">
        <v>7</v>
      </c>
      <c r="F248" s="78">
        <v>30935</v>
      </c>
    </row>
    <row r="249" spans="1:6" s="42" customFormat="1" x14ac:dyDescent="0.25">
      <c r="A249" s="59">
        <v>540277</v>
      </c>
      <c r="B249" s="60" t="s">
        <v>579</v>
      </c>
      <c r="C249" s="60" t="s">
        <v>920</v>
      </c>
      <c r="D249" s="60" t="s">
        <v>52</v>
      </c>
      <c r="E249" s="59">
        <v>5</v>
      </c>
      <c r="F249" s="79">
        <v>32451</v>
      </c>
    </row>
    <row r="250" spans="1:6" s="42" customFormat="1" x14ac:dyDescent="0.25">
      <c r="A250" s="53">
        <v>540259</v>
      </c>
      <c r="B250" s="54" t="s">
        <v>578</v>
      </c>
      <c r="C250" s="54" t="s">
        <v>919</v>
      </c>
      <c r="D250" s="54" t="s">
        <v>55</v>
      </c>
      <c r="E250" s="53">
        <v>5</v>
      </c>
      <c r="F250" s="78">
        <v>32451</v>
      </c>
    </row>
    <row r="251" spans="1:6" s="42" customFormat="1" x14ac:dyDescent="0.25">
      <c r="A251" s="53">
        <v>540195</v>
      </c>
      <c r="B251" s="54" t="s">
        <v>577</v>
      </c>
      <c r="C251" s="54" t="s">
        <v>918</v>
      </c>
      <c r="D251" s="54" t="s">
        <v>55</v>
      </c>
      <c r="E251" s="53">
        <v>5</v>
      </c>
      <c r="F251" s="78">
        <v>32451</v>
      </c>
    </row>
    <row r="252" spans="1:6" s="42" customFormat="1" x14ac:dyDescent="0.25">
      <c r="A252" s="53">
        <v>540197</v>
      </c>
      <c r="B252" s="54" t="s">
        <v>576</v>
      </c>
      <c r="C252" s="54" t="s">
        <v>917</v>
      </c>
      <c r="D252" s="54" t="s">
        <v>55</v>
      </c>
      <c r="E252" s="53">
        <v>5</v>
      </c>
      <c r="F252" s="78">
        <v>32451</v>
      </c>
    </row>
    <row r="253" spans="1:6" s="42" customFormat="1" x14ac:dyDescent="0.25">
      <c r="A253" s="59">
        <v>540198</v>
      </c>
      <c r="B253" s="60" t="s">
        <v>574</v>
      </c>
      <c r="C253" s="60" t="s">
        <v>474</v>
      </c>
      <c r="D253" s="60" t="s">
        <v>52</v>
      </c>
      <c r="E253" s="59">
        <v>7</v>
      </c>
      <c r="F253" s="79">
        <v>31959</v>
      </c>
    </row>
    <row r="254" spans="1:6" s="42" customFormat="1" x14ac:dyDescent="0.25">
      <c r="A254" s="53">
        <v>540199</v>
      </c>
      <c r="B254" s="54" t="s">
        <v>573</v>
      </c>
      <c r="C254" s="54" t="s">
        <v>916</v>
      </c>
      <c r="D254" s="54" t="s">
        <v>55</v>
      </c>
      <c r="E254" s="53">
        <v>7</v>
      </c>
      <c r="F254" s="78">
        <v>31659</v>
      </c>
    </row>
    <row r="255" spans="1:6" s="42" customFormat="1" x14ac:dyDescent="0.25">
      <c r="A255" s="59">
        <v>540200</v>
      </c>
      <c r="B255" s="60" t="s">
        <v>571</v>
      </c>
      <c r="C255" s="60" t="s">
        <v>481</v>
      </c>
      <c r="D255" s="60" t="s">
        <v>52</v>
      </c>
      <c r="E255" s="59">
        <v>2</v>
      </c>
      <c r="F255" s="79">
        <v>32038</v>
      </c>
    </row>
    <row r="256" spans="1:6" s="42" customFormat="1" x14ac:dyDescent="0.25">
      <c r="A256" s="53">
        <v>540232</v>
      </c>
      <c r="B256" s="54" t="s">
        <v>570</v>
      </c>
      <c r="C256" s="54" t="s">
        <v>915</v>
      </c>
      <c r="D256" s="54" t="s">
        <v>55</v>
      </c>
      <c r="E256" s="53">
        <v>2</v>
      </c>
      <c r="F256" s="78">
        <v>32645</v>
      </c>
    </row>
    <row r="257" spans="1:6" s="42" customFormat="1" x14ac:dyDescent="0.25">
      <c r="A257" s="53">
        <v>540202</v>
      </c>
      <c r="B257" s="54" t="s">
        <v>569</v>
      </c>
      <c r="C257" s="54" t="s">
        <v>914</v>
      </c>
      <c r="D257" s="54" t="s">
        <v>55</v>
      </c>
      <c r="E257" s="53">
        <v>2</v>
      </c>
      <c r="F257" s="78">
        <v>28858</v>
      </c>
    </row>
    <row r="258" spans="1:6" s="42" customFormat="1" x14ac:dyDescent="0.25">
      <c r="A258" s="53">
        <v>540221</v>
      </c>
      <c r="B258" s="54" t="s">
        <v>567</v>
      </c>
      <c r="C258" s="54" t="s">
        <v>913</v>
      </c>
      <c r="D258" s="54" t="s">
        <v>55</v>
      </c>
      <c r="E258" s="53">
        <v>2</v>
      </c>
      <c r="F258" s="78">
        <v>32645</v>
      </c>
    </row>
    <row r="259" spans="1:6" s="42" customFormat="1" x14ac:dyDescent="0.25">
      <c r="A259" s="53">
        <v>540231</v>
      </c>
      <c r="B259" s="54" t="s">
        <v>566</v>
      </c>
      <c r="C259" s="54" t="s">
        <v>912</v>
      </c>
      <c r="D259" s="54" t="s">
        <v>55</v>
      </c>
      <c r="E259" s="53">
        <v>2</v>
      </c>
      <c r="F259" s="78">
        <v>32050</v>
      </c>
    </row>
    <row r="260" spans="1:6" s="42" customFormat="1" x14ac:dyDescent="0.25">
      <c r="A260" s="53">
        <v>540018</v>
      </c>
      <c r="B260" s="54" t="s">
        <v>568</v>
      </c>
      <c r="C260" s="54" t="s">
        <v>911</v>
      </c>
      <c r="D260" s="54" t="s">
        <v>55</v>
      </c>
      <c r="E260" s="53">
        <v>2</v>
      </c>
      <c r="F260" s="78">
        <v>32890</v>
      </c>
    </row>
    <row r="261" spans="1:6" s="42" customFormat="1" x14ac:dyDescent="0.25">
      <c r="A261" s="59">
        <v>540203</v>
      </c>
      <c r="B261" s="60" t="s">
        <v>564</v>
      </c>
      <c r="C261" s="60" t="s">
        <v>910</v>
      </c>
      <c r="D261" s="60" t="s">
        <v>52</v>
      </c>
      <c r="E261" s="59">
        <v>4</v>
      </c>
      <c r="F261" s="79">
        <v>32920</v>
      </c>
    </row>
    <row r="262" spans="1:6" s="42" customFormat="1" x14ac:dyDescent="0.25">
      <c r="A262" s="53">
        <v>540205</v>
      </c>
      <c r="B262" s="54" t="s">
        <v>562</v>
      </c>
      <c r="C262" s="54" t="s">
        <v>909</v>
      </c>
      <c r="D262" s="54" t="s">
        <v>55</v>
      </c>
      <c r="E262" s="53">
        <v>4</v>
      </c>
      <c r="F262" s="78">
        <v>30918</v>
      </c>
    </row>
    <row r="263" spans="1:6" s="42" customFormat="1" x14ac:dyDescent="0.25">
      <c r="A263" s="53">
        <v>540206</v>
      </c>
      <c r="B263" s="54" t="s">
        <v>559</v>
      </c>
      <c r="C263" s="54" t="s">
        <v>908</v>
      </c>
      <c r="D263" s="54" t="s">
        <v>55</v>
      </c>
      <c r="E263" s="53">
        <v>4</v>
      </c>
      <c r="F263" s="78">
        <v>30918</v>
      </c>
    </row>
    <row r="264" spans="1:6" s="42" customFormat="1" x14ac:dyDescent="0.25">
      <c r="A264" s="59">
        <v>540207</v>
      </c>
      <c r="B264" s="60" t="s">
        <v>557</v>
      </c>
      <c r="C264" s="60" t="s">
        <v>907</v>
      </c>
      <c r="D264" s="60" t="s">
        <v>52</v>
      </c>
      <c r="E264" s="59">
        <v>10</v>
      </c>
      <c r="F264" s="79">
        <v>30410</v>
      </c>
    </row>
    <row r="265" spans="1:6" s="42" customFormat="1" x14ac:dyDescent="0.25">
      <c r="A265" s="53">
        <v>540256</v>
      </c>
      <c r="B265" s="54" t="s">
        <v>556</v>
      </c>
      <c r="C265" s="54" t="s">
        <v>906</v>
      </c>
      <c r="D265" s="54" t="s">
        <v>55</v>
      </c>
      <c r="E265" s="53">
        <v>10</v>
      </c>
      <c r="F265" s="78">
        <v>32234</v>
      </c>
    </row>
    <row r="266" spans="1:6" s="42" customFormat="1" x14ac:dyDescent="0.25">
      <c r="A266" s="53">
        <v>540208</v>
      </c>
      <c r="B266" s="54" t="s">
        <v>555</v>
      </c>
      <c r="C266" s="54" t="s">
        <v>905</v>
      </c>
      <c r="D266" s="54" t="s">
        <v>55</v>
      </c>
      <c r="E266" s="53">
        <v>10</v>
      </c>
      <c r="F266" s="78">
        <v>30196</v>
      </c>
    </row>
    <row r="267" spans="1:6" s="42" customFormat="1" x14ac:dyDescent="0.25">
      <c r="A267" s="53">
        <v>540210</v>
      </c>
      <c r="B267" s="54" t="s">
        <v>553</v>
      </c>
      <c r="C267" s="54" t="s">
        <v>904</v>
      </c>
      <c r="D267" s="54" t="s">
        <v>55</v>
      </c>
      <c r="E267" s="53">
        <v>10</v>
      </c>
      <c r="F267" s="78">
        <v>32234</v>
      </c>
    </row>
    <row r="268" spans="1:6" s="42" customFormat="1" x14ac:dyDescent="0.25">
      <c r="A268" s="53">
        <v>540258</v>
      </c>
      <c r="B268" s="54" t="s">
        <v>552</v>
      </c>
      <c r="C268" s="54" t="s">
        <v>903</v>
      </c>
      <c r="D268" s="54" t="s">
        <v>55</v>
      </c>
      <c r="E268" s="53">
        <v>10</v>
      </c>
      <c r="F268" s="78">
        <v>32234</v>
      </c>
    </row>
    <row r="269" spans="1:6" s="42" customFormat="1" x14ac:dyDescent="0.25">
      <c r="A269" s="53">
        <v>540196</v>
      </c>
      <c r="B269" s="54" t="s">
        <v>554</v>
      </c>
      <c r="C269" s="54" t="s">
        <v>902</v>
      </c>
      <c r="D269" s="54" t="s">
        <v>55</v>
      </c>
      <c r="E269" s="53">
        <v>10</v>
      </c>
      <c r="F269" s="78">
        <v>32583</v>
      </c>
    </row>
    <row r="270" spans="1:6" s="42" customFormat="1" x14ac:dyDescent="0.25">
      <c r="A270" s="59">
        <v>540211</v>
      </c>
      <c r="B270" s="60" t="s">
        <v>550</v>
      </c>
      <c r="C270" s="60" t="s">
        <v>498</v>
      </c>
      <c r="D270" s="60" t="s">
        <v>52</v>
      </c>
      <c r="E270" s="59">
        <v>5</v>
      </c>
      <c r="F270" s="79">
        <v>32234</v>
      </c>
    </row>
    <row r="271" spans="1:6" s="42" customFormat="1" x14ac:dyDescent="0.25">
      <c r="A271" s="53">
        <v>540212</v>
      </c>
      <c r="B271" s="54" t="s">
        <v>549</v>
      </c>
      <c r="C271" s="54" t="s">
        <v>901</v>
      </c>
      <c r="D271" s="54" t="s">
        <v>55</v>
      </c>
      <c r="E271" s="53">
        <v>5</v>
      </c>
      <c r="F271" s="78">
        <v>33255</v>
      </c>
    </row>
    <row r="272" spans="1:6" s="42" customFormat="1" x14ac:dyDescent="0.25">
      <c r="A272" s="59">
        <v>540213</v>
      </c>
      <c r="B272" s="60" t="s">
        <v>547</v>
      </c>
      <c r="C272" s="60" t="s">
        <v>900</v>
      </c>
      <c r="D272" s="60" t="s">
        <v>52</v>
      </c>
      <c r="E272" s="59">
        <v>5</v>
      </c>
      <c r="F272" s="79">
        <v>31110</v>
      </c>
    </row>
    <row r="273" spans="1:6" s="42" customFormat="1" x14ac:dyDescent="0.25">
      <c r="A273" s="53">
        <v>540214</v>
      </c>
      <c r="B273" s="54" t="s">
        <v>546</v>
      </c>
      <c r="C273" s="54" t="s">
        <v>899</v>
      </c>
      <c r="D273" s="54" t="s">
        <v>55</v>
      </c>
      <c r="E273" s="53">
        <v>5</v>
      </c>
      <c r="F273" s="78">
        <v>31659</v>
      </c>
    </row>
    <row r="274" spans="1:6" s="42" customFormat="1" x14ac:dyDescent="0.25">
      <c r="A274" s="53">
        <v>540215</v>
      </c>
      <c r="B274" s="54" t="s">
        <v>545</v>
      </c>
      <c r="C274" s="54" t="s">
        <v>898</v>
      </c>
      <c r="D274" s="54" t="s">
        <v>55</v>
      </c>
      <c r="E274" s="53">
        <v>5</v>
      </c>
      <c r="F274" s="78">
        <v>31399</v>
      </c>
    </row>
    <row r="275" spans="1:6" s="42" customFormat="1" x14ac:dyDescent="0.25">
      <c r="A275" s="53">
        <v>540216</v>
      </c>
      <c r="B275" s="54" t="s">
        <v>544</v>
      </c>
      <c r="C275" s="54" t="s">
        <v>897</v>
      </c>
      <c r="D275" s="54" t="s">
        <v>55</v>
      </c>
      <c r="E275" s="53">
        <v>5</v>
      </c>
      <c r="F275" s="78">
        <v>30607</v>
      </c>
    </row>
    <row r="276" spans="1:6" s="42" customFormat="1" x14ac:dyDescent="0.25">
      <c r="A276" s="59">
        <v>540217</v>
      </c>
      <c r="B276" s="60" t="s">
        <v>542</v>
      </c>
      <c r="C276" s="60" t="s">
        <v>896</v>
      </c>
      <c r="D276" s="60" t="s">
        <v>52</v>
      </c>
      <c r="E276" s="59">
        <v>1</v>
      </c>
      <c r="F276" s="79">
        <v>30756</v>
      </c>
    </row>
    <row r="277" spans="1:6" s="42" customFormat="1" x14ac:dyDescent="0.25">
      <c r="A277" s="53">
        <v>540218</v>
      </c>
      <c r="B277" s="54" t="s">
        <v>541</v>
      </c>
      <c r="C277" s="54" t="s">
        <v>895</v>
      </c>
      <c r="D277" s="54" t="s">
        <v>55</v>
      </c>
      <c r="E277" s="53">
        <v>1</v>
      </c>
      <c r="F277" s="78">
        <v>29068</v>
      </c>
    </row>
    <row r="278" spans="1:6" s="42" customFormat="1" x14ac:dyDescent="0.25">
      <c r="A278" s="53">
        <v>540219</v>
      </c>
      <c r="B278" s="54" t="s">
        <v>540</v>
      </c>
      <c r="C278" s="54" t="s">
        <v>894</v>
      </c>
      <c r="D278" s="54" t="s">
        <v>55</v>
      </c>
      <c r="E278" s="53">
        <v>1</v>
      </c>
      <c r="F278" s="78">
        <v>29144</v>
      </c>
    </row>
    <row r="279" spans="1:6" s="42" customFormat="1" x14ac:dyDescent="0.25">
      <c r="A279" s="53">
        <v>540220</v>
      </c>
      <c r="B279" s="54" t="s">
        <v>539</v>
      </c>
      <c r="C279" s="54" t="s">
        <v>893</v>
      </c>
      <c r="D279" s="54" t="s">
        <v>55</v>
      </c>
      <c r="E279" s="53">
        <v>1</v>
      </c>
      <c r="F279" s="78">
        <v>30589</v>
      </c>
    </row>
    <row r="280" spans="1:6" s="42" customFormat="1" x14ac:dyDescent="0.25">
      <c r="A280" s="41"/>
      <c r="E280" s="41"/>
      <c r="F280" s="41"/>
    </row>
  </sheetData>
  <autoFilter ref="A2:F27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2"/>
  <sheetViews>
    <sheetView workbookViewId="0">
      <selection activeCell="A3" sqref="A3"/>
    </sheetView>
  </sheetViews>
  <sheetFormatPr defaultRowHeight="15" x14ac:dyDescent="0.25"/>
  <cols>
    <col min="1" max="1" width="20" customWidth="1"/>
    <col min="2" max="2" width="25.140625" customWidth="1"/>
    <col min="3" max="3" width="42.140625" customWidth="1"/>
    <col min="4" max="4" width="20.140625" customWidth="1"/>
  </cols>
  <sheetData>
    <row r="3" spans="1:4" ht="15.75" thickBot="1" x14ac:dyDescent="0.3">
      <c r="A3" t="s">
        <v>513</v>
      </c>
    </row>
    <row r="4" spans="1:4" ht="15.75" thickBot="1" x14ac:dyDescent="0.3">
      <c r="A4" s="129" t="s">
        <v>7</v>
      </c>
      <c r="B4" s="128" t="s">
        <v>1202</v>
      </c>
      <c r="C4" s="128" t="s">
        <v>1201</v>
      </c>
      <c r="D4" s="127" t="s">
        <v>1200</v>
      </c>
    </row>
    <row r="5" spans="1:4" x14ac:dyDescent="0.25">
      <c r="A5" s="126">
        <v>540041</v>
      </c>
      <c r="B5" s="125" t="s">
        <v>990</v>
      </c>
      <c r="C5" s="125" t="s">
        <v>1199</v>
      </c>
      <c r="D5" s="124" t="s">
        <v>515</v>
      </c>
    </row>
    <row r="6" spans="1:4" x14ac:dyDescent="0.25">
      <c r="A6" s="120">
        <v>540018</v>
      </c>
      <c r="B6" s="119" t="s">
        <v>568</v>
      </c>
      <c r="C6" s="119" t="s">
        <v>1198</v>
      </c>
      <c r="D6" s="118" t="s">
        <v>517</v>
      </c>
    </row>
    <row r="7" spans="1:4" x14ac:dyDescent="0.25">
      <c r="A7" s="123">
        <v>540029</v>
      </c>
      <c r="B7" s="122" t="s">
        <v>765</v>
      </c>
      <c r="C7" s="122" t="s">
        <v>1194</v>
      </c>
      <c r="D7" s="121" t="s">
        <v>1193</v>
      </c>
    </row>
    <row r="8" spans="1:4" x14ac:dyDescent="0.25">
      <c r="A8" s="120">
        <v>540081</v>
      </c>
      <c r="B8" s="119" t="s">
        <v>626</v>
      </c>
      <c r="C8" s="119" t="s">
        <v>1197</v>
      </c>
      <c r="D8" s="118" t="s">
        <v>521</v>
      </c>
    </row>
    <row r="9" spans="1:4" x14ac:dyDescent="0.25">
      <c r="A9" s="120">
        <v>540196</v>
      </c>
      <c r="B9" s="119" t="s">
        <v>554</v>
      </c>
      <c r="C9" s="119" t="s">
        <v>1196</v>
      </c>
      <c r="D9" s="118" t="s">
        <v>1195</v>
      </c>
    </row>
    <row r="10" spans="1:4" x14ac:dyDescent="0.25">
      <c r="A10" s="123">
        <v>540033</v>
      </c>
      <c r="B10" s="122" t="s">
        <v>1116</v>
      </c>
      <c r="C10" s="122" t="s">
        <v>1194</v>
      </c>
      <c r="D10" s="121" t="s">
        <v>1193</v>
      </c>
    </row>
    <row r="11" spans="1:4" x14ac:dyDescent="0.25">
      <c r="A11" s="120">
        <v>540014</v>
      </c>
      <c r="B11" s="119" t="s">
        <v>856</v>
      </c>
      <c r="C11" s="119" t="s">
        <v>1192</v>
      </c>
      <c r="D11" s="118" t="s">
        <v>525</v>
      </c>
    </row>
    <row r="12" spans="1:4" ht="15.75" thickBot="1" x14ac:dyDescent="0.3">
      <c r="A12" s="117">
        <v>540152</v>
      </c>
      <c r="B12" s="116" t="s">
        <v>655</v>
      </c>
      <c r="C12" s="116" t="s">
        <v>1191</v>
      </c>
      <c r="D12" s="115" t="s">
        <v>527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B1" workbookViewId="0">
      <selection activeCell="E16" sqref="E16"/>
    </sheetView>
  </sheetViews>
  <sheetFormatPr defaultRowHeight="15" x14ac:dyDescent="0.25"/>
  <cols>
    <col min="1" max="1" width="6.85546875" customWidth="1"/>
    <col min="2" max="2" width="51.5703125" customWidth="1"/>
  </cols>
  <sheetData>
    <row r="1" spans="1:2" x14ac:dyDescent="0.25">
      <c r="A1" s="135" t="s">
        <v>1213</v>
      </c>
    </row>
    <row r="4" spans="1:2" x14ac:dyDescent="0.25">
      <c r="A4" s="134" t="s">
        <v>1212</v>
      </c>
      <c r="B4" s="134" t="s">
        <v>1211</v>
      </c>
    </row>
    <row r="5" spans="1:2" x14ac:dyDescent="0.25">
      <c r="A5" s="132" t="e">
        <f>COUNTIF([2]FIRM_Status_Freeboard!$K$4:$K$286,"Countywide Flood Study")</f>
        <v>#VALUE!</v>
      </c>
      <c r="B5" s="119" t="s">
        <v>1210</v>
      </c>
    </row>
    <row r="6" spans="1:2" x14ac:dyDescent="0.25">
      <c r="A6" s="132" t="e">
        <f>COUNTIF([2]FIRM_Status_Freeboard!$K$4:$K$286,"2016 Flood Study")</f>
        <v>#VALUE!</v>
      </c>
      <c r="B6" s="119" t="s">
        <v>561</v>
      </c>
    </row>
    <row r="7" spans="1:2" x14ac:dyDescent="0.25">
      <c r="A7" s="132" t="e">
        <f>COUNTIF([2]FIRM_Status_Freeboard!$K$4:$K$286,"2016 Flood Study (P)")</f>
        <v>#VALUE!</v>
      </c>
      <c r="B7" s="119" t="s">
        <v>1209</v>
      </c>
    </row>
    <row r="8" spans="1:2" x14ac:dyDescent="0.25">
      <c r="A8" s="131" t="e">
        <f>SUM(A5:A7)</f>
        <v>#VALUE!</v>
      </c>
      <c r="B8" s="133" t="s">
        <v>1208</v>
      </c>
    </row>
    <row r="9" spans="1:2" x14ac:dyDescent="0.25">
      <c r="A9" s="132"/>
      <c r="B9" s="119"/>
    </row>
    <row r="10" spans="1:2" x14ac:dyDescent="0.25">
      <c r="A10" s="132" t="e">
        <f>COUNTIF([2]FIRM_Status_Freeboard!$K$4:$K$286,"Planned Flood Study")</f>
        <v>#VALUE!</v>
      </c>
      <c r="B10" s="119" t="s">
        <v>1207</v>
      </c>
    </row>
    <row r="11" spans="1:2" x14ac:dyDescent="0.25">
      <c r="A11" s="132" t="e">
        <f>COUNTIF([2]FIRM_Status_Freeboard!$K$4:$K$286,"Planned Flood Study (P)")</f>
        <v>#VALUE!</v>
      </c>
      <c r="B11" s="119" t="s">
        <v>1206</v>
      </c>
    </row>
    <row r="12" spans="1:2" x14ac:dyDescent="0.25">
      <c r="A12" s="131" t="e">
        <f>SUM(A10:A11)</f>
        <v>#VALUE!</v>
      </c>
      <c r="B12" s="133" t="s">
        <v>1205</v>
      </c>
    </row>
    <row r="13" spans="1:2" x14ac:dyDescent="0.25">
      <c r="A13" s="132"/>
      <c r="B13" s="119"/>
    </row>
    <row r="14" spans="1:2" x14ac:dyDescent="0.25">
      <c r="A14" s="131" t="e">
        <f xml:space="preserve"> A8 + A12</f>
        <v>#VALUE!</v>
      </c>
      <c r="B14" s="119" t="s">
        <v>1204</v>
      </c>
    </row>
    <row r="18" spans="1:1" x14ac:dyDescent="0.25">
      <c r="A18" s="130" t="s">
        <v>1203</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
  <sheetViews>
    <sheetView workbookViewId="0">
      <selection activeCell="O22" sqref="O22"/>
    </sheetView>
  </sheetViews>
  <sheetFormatPr defaultRowHeight="15" x14ac:dyDescent="0.25"/>
  <cols>
    <col min="1" max="1" width="19.7109375" customWidth="1"/>
  </cols>
  <sheetData>
    <row r="2" spans="1:1" x14ac:dyDescent="0.25">
      <c r="A2" s="130" t="s">
        <v>1219</v>
      </c>
    </row>
    <row r="3" spans="1:1" x14ac:dyDescent="0.25">
      <c r="A3" s="159" t="s">
        <v>1218</v>
      </c>
    </row>
    <row r="4" spans="1:1" x14ac:dyDescent="0.25">
      <c r="A4" s="159" t="s">
        <v>1217</v>
      </c>
    </row>
    <row r="5" spans="1:1" x14ac:dyDescent="0.25">
      <c r="A5" s="130" t="s">
        <v>1216</v>
      </c>
    </row>
    <row r="7" spans="1:1" x14ac:dyDescent="0.25">
      <c r="A7" t="s">
        <v>1215</v>
      </c>
    </row>
  </sheetData>
  <hyperlinks>
    <hyperlink ref="A3" r:id="rId1"/>
    <hyperlink ref="A4" r:id="rId2"/>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7"/>
  <sheetViews>
    <sheetView workbookViewId="0">
      <selection activeCell="L22" sqref="L22"/>
    </sheetView>
  </sheetViews>
  <sheetFormatPr defaultRowHeight="15" x14ac:dyDescent="0.25"/>
  <cols>
    <col min="2" max="2" width="15" customWidth="1"/>
    <col min="4" max="4" width="13.7109375" hidden="1" customWidth="1"/>
    <col min="5" max="5" width="0" hidden="1" customWidth="1"/>
    <col min="7" max="10" width="0" hidden="1" customWidth="1"/>
    <col min="12" max="12" width="7.5703125" customWidth="1"/>
    <col min="13" max="13" width="0" hidden="1" customWidth="1"/>
  </cols>
  <sheetData>
    <row r="3" spans="1:15" ht="60" x14ac:dyDescent="0.25">
      <c r="A3" s="147" t="s">
        <v>7</v>
      </c>
      <c r="B3" s="147" t="s">
        <v>8</v>
      </c>
      <c r="C3" s="147" t="s">
        <v>2</v>
      </c>
      <c r="D3" s="147" t="s">
        <v>9</v>
      </c>
      <c r="E3" s="147" t="s">
        <v>10</v>
      </c>
      <c r="F3" s="147" t="s">
        <v>11</v>
      </c>
      <c r="G3" s="149" t="s">
        <v>12</v>
      </c>
      <c r="H3" s="147" t="s">
        <v>13</v>
      </c>
      <c r="I3" s="148" t="s">
        <v>14</v>
      </c>
      <c r="J3" s="147" t="s">
        <v>15</v>
      </c>
      <c r="K3" s="147" t="s">
        <v>16</v>
      </c>
      <c r="L3" s="146" t="s">
        <v>17</v>
      </c>
      <c r="M3" s="146" t="s">
        <v>18</v>
      </c>
      <c r="N3" s="146" t="s">
        <v>19</v>
      </c>
      <c r="O3" s="146" t="s">
        <v>20</v>
      </c>
    </row>
    <row r="4" spans="1:15" x14ac:dyDescent="0.25">
      <c r="A4" s="34">
        <v>540282</v>
      </c>
      <c r="B4" s="145" t="s">
        <v>61</v>
      </c>
      <c r="C4" s="145" t="s">
        <v>62</v>
      </c>
      <c r="D4" s="145" t="s">
        <v>52</v>
      </c>
      <c r="E4" s="34">
        <v>9</v>
      </c>
      <c r="F4" s="144" t="s">
        <v>63</v>
      </c>
      <c r="G4" s="34">
        <v>368</v>
      </c>
      <c r="H4" s="34">
        <v>0</v>
      </c>
      <c r="I4" s="34">
        <v>205</v>
      </c>
      <c r="J4" s="34">
        <v>62</v>
      </c>
      <c r="K4" s="34">
        <v>635</v>
      </c>
      <c r="L4" s="143">
        <v>0.57999999999999996</v>
      </c>
      <c r="M4" s="143">
        <v>0</v>
      </c>
      <c r="N4" s="143">
        <v>0.32300000000000001</v>
      </c>
      <c r="O4" s="143">
        <v>9.8000000000000004E-2</v>
      </c>
    </row>
    <row r="5" spans="1:15" x14ac:dyDescent="0.25">
      <c r="A5" s="29">
        <v>540006</v>
      </c>
      <c r="B5" s="142" t="s">
        <v>64</v>
      </c>
      <c r="C5" s="142" t="s">
        <v>62</v>
      </c>
      <c r="D5" s="142" t="s">
        <v>55</v>
      </c>
      <c r="E5" s="29">
        <v>9</v>
      </c>
      <c r="F5" s="141" t="s">
        <v>65</v>
      </c>
      <c r="G5" s="29">
        <v>59</v>
      </c>
      <c r="H5" s="29">
        <v>0</v>
      </c>
      <c r="I5" s="29">
        <v>16</v>
      </c>
      <c r="J5" s="29">
        <v>0</v>
      </c>
      <c r="K5" s="29">
        <v>75</v>
      </c>
      <c r="L5" s="140">
        <v>0.78700000000000003</v>
      </c>
      <c r="M5" s="140">
        <v>0</v>
      </c>
      <c r="N5" s="140">
        <v>0.21299999999999999</v>
      </c>
      <c r="O5" s="140">
        <v>0</v>
      </c>
    </row>
    <row r="6" spans="1:15" x14ac:dyDescent="0.25">
      <c r="A6" s="137"/>
      <c r="B6" s="139"/>
      <c r="C6" s="139" t="s">
        <v>62</v>
      </c>
      <c r="D6" s="139" t="s">
        <v>2</v>
      </c>
      <c r="E6" s="137">
        <v>9</v>
      </c>
      <c r="F6" s="138"/>
      <c r="G6" s="137">
        <v>427</v>
      </c>
      <c r="H6" s="137">
        <v>0</v>
      </c>
      <c r="I6" s="137">
        <v>221</v>
      </c>
      <c r="J6" s="137">
        <v>62</v>
      </c>
      <c r="K6" s="137">
        <v>710</v>
      </c>
      <c r="L6" s="136">
        <v>0.60099999999999998</v>
      </c>
      <c r="M6" s="136">
        <v>0</v>
      </c>
      <c r="N6" s="136">
        <v>0.311</v>
      </c>
      <c r="O6" s="136">
        <v>8.6999999999999994E-2</v>
      </c>
    </row>
    <row r="7" spans="1:15" x14ac:dyDescent="0.25">
      <c r="A7" s="29">
        <v>540030</v>
      </c>
      <c r="B7" s="142" t="s">
        <v>196</v>
      </c>
      <c r="C7" s="142" t="s">
        <v>197</v>
      </c>
      <c r="D7" s="142" t="s">
        <v>55</v>
      </c>
      <c r="E7" s="29">
        <v>9</v>
      </c>
      <c r="F7" s="141" t="s">
        <v>198</v>
      </c>
      <c r="G7" s="29">
        <v>3</v>
      </c>
      <c r="H7" s="29">
        <v>0</v>
      </c>
      <c r="I7" s="29">
        <v>0</v>
      </c>
      <c r="J7" s="29">
        <v>0</v>
      </c>
      <c r="K7" s="29">
        <v>3</v>
      </c>
      <c r="L7" s="140">
        <v>1</v>
      </c>
      <c r="M7" s="140">
        <v>0</v>
      </c>
      <c r="N7" s="140">
        <v>0</v>
      </c>
      <c r="O7" s="140">
        <v>0</v>
      </c>
    </row>
    <row r="8" spans="1:15" x14ac:dyDescent="0.25">
      <c r="A8" s="29">
        <v>540066</v>
      </c>
      <c r="B8" s="142" t="s">
        <v>199</v>
      </c>
      <c r="C8" s="142" t="s">
        <v>197</v>
      </c>
      <c r="D8" s="142" t="s">
        <v>55</v>
      </c>
      <c r="E8" s="29">
        <v>9</v>
      </c>
      <c r="F8" s="141" t="s">
        <v>200</v>
      </c>
      <c r="G8" s="29">
        <v>20</v>
      </c>
      <c r="H8" s="29">
        <v>0</v>
      </c>
      <c r="I8" s="29">
        <v>6</v>
      </c>
      <c r="J8" s="29">
        <v>1</v>
      </c>
      <c r="K8" s="29">
        <v>27</v>
      </c>
      <c r="L8" s="140">
        <v>0.74099999999999999</v>
      </c>
      <c r="M8" s="140">
        <v>0</v>
      </c>
      <c r="N8" s="140">
        <v>0.222</v>
      </c>
      <c r="O8" s="140">
        <v>3.6999999999999998E-2</v>
      </c>
    </row>
    <row r="9" spans="1:15" x14ac:dyDescent="0.25">
      <c r="A9" s="29">
        <v>540067</v>
      </c>
      <c r="B9" s="142" t="s">
        <v>201</v>
      </c>
      <c r="C9" s="142" t="s">
        <v>197</v>
      </c>
      <c r="D9" s="142" t="s">
        <v>55</v>
      </c>
      <c r="E9" s="29">
        <v>9</v>
      </c>
      <c r="F9" s="141" t="s">
        <v>149</v>
      </c>
      <c r="G9" s="29">
        <v>31</v>
      </c>
      <c r="H9" s="29">
        <v>0</v>
      </c>
      <c r="I9" s="29">
        <v>0</v>
      </c>
      <c r="J9" s="29">
        <v>0</v>
      </c>
      <c r="K9" s="29">
        <v>31</v>
      </c>
      <c r="L9" s="140">
        <v>1</v>
      </c>
      <c r="M9" s="140">
        <v>0</v>
      </c>
      <c r="N9" s="140">
        <v>0</v>
      </c>
      <c r="O9" s="140">
        <v>0</v>
      </c>
    </row>
    <row r="10" spans="1:15" x14ac:dyDescent="0.25">
      <c r="A10" s="34">
        <v>540065</v>
      </c>
      <c r="B10" s="145" t="s">
        <v>202</v>
      </c>
      <c r="C10" s="145" t="s">
        <v>197</v>
      </c>
      <c r="D10" s="145" t="s">
        <v>52</v>
      </c>
      <c r="E10" s="34">
        <v>9</v>
      </c>
      <c r="F10" s="144" t="s">
        <v>203</v>
      </c>
      <c r="G10" s="34">
        <v>308</v>
      </c>
      <c r="H10" s="34">
        <v>0</v>
      </c>
      <c r="I10" s="34">
        <v>191</v>
      </c>
      <c r="J10" s="34">
        <v>27</v>
      </c>
      <c r="K10" s="34">
        <v>526</v>
      </c>
      <c r="L10" s="143">
        <v>0.58599999999999997</v>
      </c>
      <c r="M10" s="143">
        <v>0</v>
      </c>
      <c r="N10" s="143">
        <v>0.36299999999999999</v>
      </c>
      <c r="O10" s="143">
        <v>5.0999999999999997E-2</v>
      </c>
    </row>
    <row r="11" spans="1:15" x14ac:dyDescent="0.25">
      <c r="A11" s="29">
        <v>540068</v>
      </c>
      <c r="B11" s="142" t="s">
        <v>204</v>
      </c>
      <c r="C11" s="142" t="s">
        <v>197</v>
      </c>
      <c r="D11" s="142" t="s">
        <v>55</v>
      </c>
      <c r="E11" s="29">
        <v>9</v>
      </c>
      <c r="F11" s="141" t="s">
        <v>205</v>
      </c>
      <c r="G11" s="29">
        <v>53</v>
      </c>
      <c r="H11" s="29">
        <v>0</v>
      </c>
      <c r="I11" s="29">
        <v>26</v>
      </c>
      <c r="J11" s="29">
        <v>1</v>
      </c>
      <c r="K11" s="29">
        <v>80</v>
      </c>
      <c r="L11" s="140">
        <v>0.66200000000000003</v>
      </c>
      <c r="M11" s="140">
        <v>0</v>
      </c>
      <c r="N11" s="140">
        <v>0.32500000000000001</v>
      </c>
      <c r="O11" s="140">
        <v>1.2999999999999999E-2</v>
      </c>
    </row>
    <row r="12" spans="1:15" x14ac:dyDescent="0.25">
      <c r="A12" s="29">
        <v>540069</v>
      </c>
      <c r="B12" s="142" t="s">
        <v>206</v>
      </c>
      <c r="C12" s="142" t="s">
        <v>197</v>
      </c>
      <c r="D12" s="142" t="s">
        <v>55</v>
      </c>
      <c r="E12" s="29">
        <v>9</v>
      </c>
      <c r="F12" s="141" t="s">
        <v>207</v>
      </c>
      <c r="G12" s="29">
        <v>56</v>
      </c>
      <c r="H12" s="29">
        <v>0</v>
      </c>
      <c r="I12" s="29">
        <v>5</v>
      </c>
      <c r="J12" s="29">
        <v>5</v>
      </c>
      <c r="K12" s="29">
        <v>66</v>
      </c>
      <c r="L12" s="140">
        <v>0.84799999999999998</v>
      </c>
      <c r="M12" s="140">
        <v>0</v>
      </c>
      <c r="N12" s="140">
        <v>7.5999999999999998E-2</v>
      </c>
      <c r="O12" s="140">
        <v>7.5999999999999998E-2</v>
      </c>
    </row>
    <row r="13" spans="1:15" x14ac:dyDescent="0.25">
      <c r="A13" s="137"/>
      <c r="B13" s="139"/>
      <c r="C13" s="139" t="s">
        <v>197</v>
      </c>
      <c r="D13" s="139" t="s">
        <v>2</v>
      </c>
      <c r="E13" s="137">
        <v>9</v>
      </c>
      <c r="F13" s="138"/>
      <c r="G13" s="137">
        <v>471</v>
      </c>
      <c r="H13" s="137">
        <v>0</v>
      </c>
      <c r="I13" s="137">
        <v>228</v>
      </c>
      <c r="J13" s="137">
        <v>34</v>
      </c>
      <c r="K13" s="137">
        <v>733</v>
      </c>
      <c r="L13" s="136">
        <v>0.64300000000000002</v>
      </c>
      <c r="M13" s="136">
        <v>0</v>
      </c>
      <c r="N13" s="136">
        <v>0.311</v>
      </c>
      <c r="O13" s="136">
        <v>4.5999999999999999E-2</v>
      </c>
    </row>
    <row r="14" spans="1:15" x14ac:dyDescent="0.25">
      <c r="A14" s="29">
        <v>540005</v>
      </c>
      <c r="B14" s="142" t="s">
        <v>351</v>
      </c>
      <c r="C14" s="142" t="s">
        <v>352</v>
      </c>
      <c r="D14" s="142" t="s">
        <v>55</v>
      </c>
      <c r="E14" s="29">
        <v>9</v>
      </c>
      <c r="F14" s="141" t="s">
        <v>291</v>
      </c>
      <c r="G14" s="29">
        <v>113</v>
      </c>
      <c r="H14" s="29">
        <v>0</v>
      </c>
      <c r="I14" s="29">
        <v>16</v>
      </c>
      <c r="J14" s="29">
        <v>0</v>
      </c>
      <c r="K14" s="29">
        <v>129</v>
      </c>
      <c r="L14" s="140">
        <v>0.876</v>
      </c>
      <c r="M14" s="140">
        <v>0</v>
      </c>
      <c r="N14" s="140">
        <v>0.124</v>
      </c>
      <c r="O14" s="140">
        <v>0</v>
      </c>
    </row>
    <row r="15" spans="1:15" x14ac:dyDescent="0.25">
      <c r="A15" s="34">
        <v>540144</v>
      </c>
      <c r="B15" s="145" t="s">
        <v>353</v>
      </c>
      <c r="C15" s="145" t="s">
        <v>352</v>
      </c>
      <c r="D15" s="145" t="s">
        <v>52</v>
      </c>
      <c r="E15" s="34">
        <v>9</v>
      </c>
      <c r="F15" s="144" t="s">
        <v>53</v>
      </c>
      <c r="G15" s="34">
        <v>314</v>
      </c>
      <c r="H15" s="34">
        <v>0</v>
      </c>
      <c r="I15" s="34">
        <v>159</v>
      </c>
      <c r="J15" s="34">
        <v>11</v>
      </c>
      <c r="K15" s="34">
        <v>484</v>
      </c>
      <c r="L15" s="143">
        <v>0.64900000000000002</v>
      </c>
      <c r="M15" s="143">
        <v>0</v>
      </c>
      <c r="N15" s="143">
        <v>0.32900000000000001</v>
      </c>
      <c r="O15" s="143">
        <v>2.3E-2</v>
      </c>
    </row>
    <row r="16" spans="1:15" x14ac:dyDescent="0.25">
      <c r="A16" s="29">
        <v>540252</v>
      </c>
      <c r="B16" s="142" t="s">
        <v>354</v>
      </c>
      <c r="C16" s="142" t="s">
        <v>352</v>
      </c>
      <c r="D16" s="142" t="s">
        <v>55</v>
      </c>
      <c r="E16" s="29">
        <v>9</v>
      </c>
      <c r="F16" s="141" t="s">
        <v>355</v>
      </c>
      <c r="G16" s="29">
        <v>27</v>
      </c>
      <c r="H16" s="29">
        <v>0</v>
      </c>
      <c r="I16" s="29">
        <v>3</v>
      </c>
      <c r="J16" s="29">
        <v>0</v>
      </c>
      <c r="K16" s="29">
        <v>30</v>
      </c>
      <c r="L16" s="140">
        <v>0.9</v>
      </c>
      <c r="M16" s="140">
        <v>0</v>
      </c>
      <c r="N16" s="140">
        <v>0.1</v>
      </c>
      <c r="O16" s="140">
        <v>0</v>
      </c>
    </row>
    <row r="17" spans="1:15" x14ac:dyDescent="0.25">
      <c r="A17" s="137"/>
      <c r="B17" s="139"/>
      <c r="C17" s="139" t="s">
        <v>352</v>
      </c>
      <c r="D17" s="139" t="s">
        <v>2</v>
      </c>
      <c r="E17" s="137">
        <v>9</v>
      </c>
      <c r="F17" s="138"/>
      <c r="G17" s="137">
        <v>454</v>
      </c>
      <c r="H17" s="137">
        <v>0</v>
      </c>
      <c r="I17" s="137">
        <v>178</v>
      </c>
      <c r="J17" s="137">
        <v>11</v>
      </c>
      <c r="K17" s="137">
        <v>643</v>
      </c>
      <c r="L17" s="136">
        <v>0.70599999999999996</v>
      </c>
      <c r="M17" s="136">
        <v>0</v>
      </c>
      <c r="N17" s="136">
        <v>0.27700000000000002</v>
      </c>
      <c r="O17" s="136">
        <v>1.7000000000000001E-2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8"/>
  <sheetViews>
    <sheetView workbookViewId="0">
      <selection activeCell="A3" sqref="A3:K18"/>
    </sheetView>
  </sheetViews>
  <sheetFormatPr defaultRowHeight="15" x14ac:dyDescent="0.25"/>
  <cols>
    <col min="1" max="1" width="15" customWidth="1"/>
    <col min="3" max="5" width="0" hidden="1" customWidth="1"/>
    <col min="10" max="10" width="9.85546875" customWidth="1"/>
    <col min="11" max="11" width="10.7109375" customWidth="1"/>
  </cols>
  <sheetData>
    <row r="3" spans="1:11" ht="36" x14ac:dyDescent="0.25">
      <c r="A3" s="147" t="s">
        <v>8</v>
      </c>
      <c r="B3" s="147" t="s">
        <v>2</v>
      </c>
      <c r="C3" s="147" t="s">
        <v>9</v>
      </c>
      <c r="D3" s="147" t="s">
        <v>10</v>
      </c>
      <c r="E3" s="158" t="s">
        <v>11</v>
      </c>
      <c r="F3" s="147" t="s">
        <v>26</v>
      </c>
      <c r="G3" s="147" t="s">
        <v>27</v>
      </c>
      <c r="H3" s="157" t="s">
        <v>28</v>
      </c>
      <c r="I3" s="157" t="s">
        <v>29</v>
      </c>
      <c r="J3" s="157" t="s">
        <v>30</v>
      </c>
      <c r="K3" s="157" t="s">
        <v>31</v>
      </c>
    </row>
    <row r="4" spans="1:11" x14ac:dyDescent="0.25">
      <c r="A4" s="145" t="s">
        <v>61</v>
      </c>
      <c r="B4" s="145" t="s">
        <v>62</v>
      </c>
      <c r="C4" s="145" t="s">
        <v>52</v>
      </c>
      <c r="D4" s="34">
        <v>9</v>
      </c>
      <c r="E4" s="144" t="s">
        <v>63</v>
      </c>
      <c r="F4" s="34">
        <v>1969.6</v>
      </c>
      <c r="G4" s="34">
        <v>1978</v>
      </c>
      <c r="H4" s="156">
        <v>83355.7</v>
      </c>
      <c r="I4" s="156">
        <v>56900</v>
      </c>
      <c r="J4" s="156">
        <v>81733.5</v>
      </c>
      <c r="K4" s="156">
        <v>56000</v>
      </c>
    </row>
    <row r="5" spans="1:11" x14ac:dyDescent="0.25">
      <c r="A5" s="142" t="s">
        <v>64</v>
      </c>
      <c r="B5" s="142" t="s">
        <v>62</v>
      </c>
      <c r="C5" s="142" t="s">
        <v>55</v>
      </c>
      <c r="D5" s="29">
        <v>9</v>
      </c>
      <c r="E5" s="141" t="s">
        <v>65</v>
      </c>
      <c r="F5" s="29">
        <v>1961.9</v>
      </c>
      <c r="G5" s="29">
        <v>1970</v>
      </c>
      <c r="H5" s="155">
        <v>830991.4</v>
      </c>
      <c r="I5" s="155">
        <v>103200</v>
      </c>
      <c r="J5" s="155">
        <v>120079.5</v>
      </c>
      <c r="K5" s="155">
        <v>103200</v>
      </c>
    </row>
    <row r="6" spans="1:11" x14ac:dyDescent="0.25">
      <c r="A6" s="139"/>
      <c r="B6" s="139" t="s">
        <v>62</v>
      </c>
      <c r="C6" s="139" t="s">
        <v>2</v>
      </c>
      <c r="D6" s="137">
        <v>9</v>
      </c>
      <c r="E6" s="138"/>
      <c r="F6" s="137">
        <v>1968.7</v>
      </c>
      <c r="G6" s="137">
        <v>1977</v>
      </c>
      <c r="H6" s="154">
        <v>162331.29999999999</v>
      </c>
      <c r="I6" s="154">
        <v>62250</v>
      </c>
      <c r="J6" s="154">
        <v>112260</v>
      </c>
      <c r="K6" s="154">
        <v>95500</v>
      </c>
    </row>
    <row r="7" spans="1:11" x14ac:dyDescent="0.25">
      <c r="A7" s="145" t="s">
        <v>202</v>
      </c>
      <c r="B7" s="145" t="s">
        <v>197</v>
      </c>
      <c r="C7" s="145" t="s">
        <v>52</v>
      </c>
      <c r="D7" s="34">
        <v>9</v>
      </c>
      <c r="E7" s="144" t="s">
        <v>203</v>
      </c>
      <c r="F7" s="34">
        <v>1958.3</v>
      </c>
      <c r="G7" s="34">
        <v>1973</v>
      </c>
      <c r="H7" s="156">
        <v>133574.29999999999</v>
      </c>
      <c r="I7" s="156">
        <v>93150</v>
      </c>
      <c r="J7" s="156">
        <v>118855.3</v>
      </c>
      <c r="K7" s="156">
        <v>93800</v>
      </c>
    </row>
    <row r="8" spans="1:11" x14ac:dyDescent="0.25">
      <c r="A8" s="142" t="s">
        <v>196</v>
      </c>
      <c r="B8" s="142" t="s">
        <v>197</v>
      </c>
      <c r="C8" s="142" t="s">
        <v>55</v>
      </c>
      <c r="D8" s="29">
        <v>9</v>
      </c>
      <c r="E8" s="141" t="s">
        <v>198</v>
      </c>
      <c r="F8" s="29">
        <v>1878</v>
      </c>
      <c r="G8" s="29">
        <v>1870</v>
      </c>
      <c r="H8" s="155">
        <v>83733.3</v>
      </c>
      <c r="I8" s="155">
        <v>86300</v>
      </c>
      <c r="J8" s="155">
        <v>83733.3</v>
      </c>
      <c r="K8" s="155">
        <v>86300</v>
      </c>
    </row>
    <row r="9" spans="1:11" x14ac:dyDescent="0.25">
      <c r="A9" s="142" t="s">
        <v>199</v>
      </c>
      <c r="B9" s="142" t="s">
        <v>197</v>
      </c>
      <c r="C9" s="142" t="s">
        <v>55</v>
      </c>
      <c r="D9" s="29">
        <v>9</v>
      </c>
      <c r="E9" s="141" t="s">
        <v>200</v>
      </c>
      <c r="F9" s="29">
        <v>1938.2</v>
      </c>
      <c r="G9" s="29">
        <v>1920</v>
      </c>
      <c r="H9" s="155">
        <v>117781.5</v>
      </c>
      <c r="I9" s="155">
        <v>60300</v>
      </c>
      <c r="J9" s="155">
        <v>90139.1</v>
      </c>
      <c r="K9" s="155">
        <v>55000</v>
      </c>
    </row>
    <row r="10" spans="1:11" x14ac:dyDescent="0.25">
      <c r="A10" s="142" t="s">
        <v>201</v>
      </c>
      <c r="B10" s="142" t="s">
        <v>197</v>
      </c>
      <c r="C10" s="142" t="s">
        <v>55</v>
      </c>
      <c r="D10" s="29">
        <v>9</v>
      </c>
      <c r="E10" s="141" t="s">
        <v>149</v>
      </c>
      <c r="F10" s="29">
        <v>1848.5</v>
      </c>
      <c r="G10" s="29">
        <v>1830</v>
      </c>
      <c r="H10" s="155">
        <v>224664.5</v>
      </c>
      <c r="I10" s="155">
        <v>188000</v>
      </c>
      <c r="J10" s="155">
        <v>120316.7</v>
      </c>
      <c r="K10" s="155">
        <v>109600</v>
      </c>
    </row>
    <row r="11" spans="1:11" x14ac:dyDescent="0.25">
      <c r="A11" s="142" t="s">
        <v>204</v>
      </c>
      <c r="B11" s="142" t="s">
        <v>197</v>
      </c>
      <c r="C11" s="142" t="s">
        <v>55</v>
      </c>
      <c r="D11" s="29">
        <v>9</v>
      </c>
      <c r="E11" s="141" t="s">
        <v>205</v>
      </c>
      <c r="F11" s="29">
        <v>1970.5</v>
      </c>
      <c r="G11" s="29">
        <v>1977</v>
      </c>
      <c r="H11" s="155">
        <v>66315.5</v>
      </c>
      <c r="I11" s="155">
        <v>63350</v>
      </c>
      <c r="J11" s="155">
        <v>65894.600000000006</v>
      </c>
      <c r="K11" s="155">
        <v>63000</v>
      </c>
    </row>
    <row r="12" spans="1:11" x14ac:dyDescent="0.25">
      <c r="A12" s="142" t="s">
        <v>206</v>
      </c>
      <c r="B12" s="142" t="s">
        <v>197</v>
      </c>
      <c r="C12" s="142" t="s">
        <v>55</v>
      </c>
      <c r="D12" s="29">
        <v>9</v>
      </c>
      <c r="E12" s="141" t="s">
        <v>207</v>
      </c>
      <c r="F12" s="29">
        <v>1886.5</v>
      </c>
      <c r="G12" s="29">
        <v>1900</v>
      </c>
      <c r="H12" s="155">
        <v>283690.8</v>
      </c>
      <c r="I12" s="155">
        <v>207150</v>
      </c>
      <c r="J12" s="155">
        <v>207173.7</v>
      </c>
      <c r="K12" s="155">
        <v>172600</v>
      </c>
    </row>
    <row r="13" spans="1:11" x14ac:dyDescent="0.25">
      <c r="A13" s="139"/>
      <c r="B13" s="139" t="s">
        <v>197</v>
      </c>
      <c r="C13" s="139" t="s">
        <v>2</v>
      </c>
      <c r="D13" s="137">
        <v>9</v>
      </c>
      <c r="E13" s="138"/>
      <c r="F13" s="137">
        <v>1947.4</v>
      </c>
      <c r="G13" s="137">
        <v>1969</v>
      </c>
      <c r="H13" s="154">
        <v>142816.9</v>
      </c>
      <c r="I13" s="154">
        <v>96400</v>
      </c>
      <c r="J13" s="154">
        <v>129935.6</v>
      </c>
      <c r="K13" s="154">
        <v>101200</v>
      </c>
    </row>
    <row r="14" spans="1:11" x14ac:dyDescent="0.25">
      <c r="A14" s="145" t="s">
        <v>353</v>
      </c>
      <c r="B14" s="145" t="s">
        <v>352</v>
      </c>
      <c r="C14" s="145" t="s">
        <v>52</v>
      </c>
      <c r="D14" s="34">
        <v>9</v>
      </c>
      <c r="E14" s="144" t="s">
        <v>53</v>
      </c>
      <c r="F14" s="34">
        <v>1971</v>
      </c>
      <c r="G14" s="34">
        <v>1975</v>
      </c>
      <c r="H14" s="156">
        <v>144353.9</v>
      </c>
      <c r="I14" s="156">
        <v>69550</v>
      </c>
      <c r="J14" s="156">
        <v>80516.399999999994</v>
      </c>
      <c r="K14" s="156">
        <v>65200</v>
      </c>
    </row>
    <row r="15" spans="1:11" x14ac:dyDescent="0.25">
      <c r="A15" s="142" t="s">
        <v>351</v>
      </c>
      <c r="B15" s="142" t="s">
        <v>352</v>
      </c>
      <c r="C15" s="142" t="s">
        <v>55</v>
      </c>
      <c r="D15" s="29">
        <v>9</v>
      </c>
      <c r="E15" s="141" t="s">
        <v>291</v>
      </c>
      <c r="F15" s="29">
        <v>1941.1</v>
      </c>
      <c r="G15" s="29">
        <v>1940</v>
      </c>
      <c r="H15" s="155">
        <v>273053.5</v>
      </c>
      <c r="I15" s="155">
        <v>113000</v>
      </c>
      <c r="J15" s="155">
        <v>112900</v>
      </c>
      <c r="K15" s="155">
        <v>92200</v>
      </c>
    </row>
    <row r="16" spans="1:11" x14ac:dyDescent="0.25">
      <c r="A16" s="142" t="s">
        <v>354</v>
      </c>
      <c r="B16" s="142" t="s">
        <v>352</v>
      </c>
      <c r="C16" s="142" t="s">
        <v>55</v>
      </c>
      <c r="D16" s="29">
        <v>9</v>
      </c>
      <c r="E16" s="141" t="s">
        <v>355</v>
      </c>
      <c r="F16" s="29">
        <v>1946.9</v>
      </c>
      <c r="G16" s="29">
        <v>1941</v>
      </c>
      <c r="H16" s="155">
        <v>92346.7</v>
      </c>
      <c r="I16" s="155">
        <v>65550</v>
      </c>
      <c r="J16" s="155">
        <v>70818.8</v>
      </c>
      <c r="K16" s="155">
        <v>65550</v>
      </c>
    </row>
    <row r="17" spans="1:11" x14ac:dyDescent="0.25">
      <c r="A17" s="139"/>
      <c r="B17" s="139" t="s">
        <v>352</v>
      </c>
      <c r="C17" s="139" t="s">
        <v>2</v>
      </c>
      <c r="D17" s="137">
        <v>9</v>
      </c>
      <c r="E17" s="138"/>
      <c r="F17" s="137">
        <v>1963.7</v>
      </c>
      <c r="G17" s="137">
        <v>1968</v>
      </c>
      <c r="H17" s="154">
        <v>167747.4</v>
      </c>
      <c r="I17" s="154">
        <v>78500</v>
      </c>
      <c r="J17" s="154">
        <v>93108.1</v>
      </c>
      <c r="K17" s="154">
        <v>80400</v>
      </c>
    </row>
    <row r="18" spans="1:11" x14ac:dyDescent="0.25">
      <c r="A18" s="153" t="s">
        <v>1214</v>
      </c>
      <c r="B18" s="153"/>
      <c r="C18" s="153"/>
      <c r="D18" s="151"/>
      <c r="E18" s="152"/>
      <c r="F18" s="151">
        <v>1959.1</v>
      </c>
      <c r="G18" s="151">
        <v>1960</v>
      </c>
      <c r="H18" s="150">
        <v>91472.7</v>
      </c>
      <c r="I18" s="150">
        <v>36800</v>
      </c>
      <c r="J18" s="150">
        <v>57375.9</v>
      </c>
      <c r="K18" s="150">
        <v>44200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FIRM Status</vt:lpstr>
      <vt:lpstr>Metadata</vt:lpstr>
      <vt:lpstr>FIRM_Status_Freeboard</vt:lpstr>
      <vt:lpstr>Pre-FIRM &amp; Post-FIRM Div. Line</vt:lpstr>
      <vt:lpstr>SPLIT COMMUNITIES</vt:lpstr>
      <vt:lpstr>Flood Study Status</vt:lpstr>
      <vt:lpstr>Hazus Bldg. Year Built</vt:lpstr>
      <vt:lpstr>R9 FIRM Status</vt:lpstr>
      <vt:lpstr>R9 Bldg 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kdonalds</dc:creator>
  <cp:lastModifiedBy>Kurt Donaldson</cp:lastModifiedBy>
  <dcterms:created xsi:type="dcterms:W3CDTF">2022-02-22T02:57:26Z</dcterms:created>
  <dcterms:modified xsi:type="dcterms:W3CDTF">2022-11-14T02:21:57Z</dcterms:modified>
</cp:coreProperties>
</file>