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Y:\userFiles\Behrang\Building_Inventory\Exposure_Reports\R10\"/>
    </mc:Choice>
  </mc:AlternateContent>
  <xr:revisionPtr revIDLastSave="0" documentId="13_ncr:1_{32B58324-7FC3-48EF-AE21-4276D00577C1}" xr6:coauthVersionLast="44" xr6:coauthVersionMax="44" xr10:uidLastSave="{00000000-0000-0000-0000-000000000000}"/>
  <bookViews>
    <workbookView xWindow="-120" yWindow="-120" windowWidth="29040" windowHeight="15840" tabRatio="695" xr2:uid="{00000000-000D-0000-FFFF-FFFF00000000}"/>
  </bookViews>
  <sheets>
    <sheet name="MARSHALL" sheetId="12" r:id="rId1"/>
    <sheet name="MARSHALL (NON_RES &gt; 800K)" sheetId="16" r:id="rId2"/>
    <sheet name="OHIO" sheetId="13" r:id="rId3"/>
    <sheet name="OHIO (NON_RES &gt; 2000K)" sheetId="15" r:id="rId4"/>
    <sheet name="WETZEL" sheetId="14" r:id="rId5"/>
    <sheet name="WETZEL (NON_RES &gt; 500K)" sheetId="17" r:id="rId6"/>
  </sheets>
  <definedNames>
    <definedName name="_xlnm._FilterDatabase" localSheetId="0" hidden="1">MARSHALL!$A$6:$X$70</definedName>
    <definedName name="_xlnm._FilterDatabase" localSheetId="1" hidden="1">'MARSHALL (NON_RES &gt; 800K)'!$B$2:$G$31</definedName>
    <definedName name="_xlnm._FilterDatabase" localSheetId="2" hidden="1">OHIO!$A$6:$X$102</definedName>
    <definedName name="_xlnm._FilterDatabase" localSheetId="3" hidden="1">'OHIO (NON_RES &gt; 2000K)'!$B$2:$G$23</definedName>
    <definedName name="_xlnm._FilterDatabase" localSheetId="4" hidden="1">WETZEL!$A$6:$X$64</definedName>
    <definedName name="_xlnm._FilterDatabase" localSheetId="5" hidden="1">'WETZEL (NON_RES &gt; 500K)'!$B$2:$G$35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" i="16" l="1"/>
  <c r="F127" i="12"/>
  <c r="C21" i="16"/>
  <c r="C3" i="15"/>
  <c r="C10" i="17"/>
  <c r="F13" i="14"/>
  <c r="F108" i="14"/>
  <c r="C3" i="17"/>
  <c r="C35" i="17" l="1"/>
  <c r="C34" i="17"/>
  <c r="C33" i="17"/>
  <c r="C32" i="17"/>
  <c r="C31" i="17"/>
  <c r="C30" i="17"/>
  <c r="C29" i="17"/>
  <c r="C28" i="17"/>
  <c r="C27" i="17"/>
  <c r="C26" i="17"/>
  <c r="C25" i="17"/>
  <c r="C24" i="17"/>
  <c r="C23" i="17"/>
  <c r="C22" i="17"/>
  <c r="C21" i="17"/>
  <c r="C20" i="17"/>
  <c r="C19" i="17"/>
  <c r="C18" i="17"/>
  <c r="C17" i="17"/>
  <c r="C16" i="17"/>
  <c r="C15" i="17"/>
  <c r="C14" i="17"/>
  <c r="C13" i="17"/>
  <c r="C12" i="17"/>
  <c r="C11" i="17"/>
  <c r="C9" i="17"/>
  <c r="C8" i="17"/>
  <c r="C7" i="17"/>
  <c r="C6" i="17"/>
  <c r="C5" i="17"/>
  <c r="C4" i="17"/>
  <c r="C3" i="16"/>
  <c r="C31" i="16"/>
  <c r="C30" i="16"/>
  <c r="C29" i="16"/>
  <c r="C28" i="16"/>
  <c r="C27" i="16"/>
  <c r="C26" i="16"/>
  <c r="C25" i="16"/>
  <c r="C24" i="16"/>
  <c r="C23" i="16"/>
  <c r="C22" i="16"/>
  <c r="C20" i="16"/>
  <c r="C19" i="16"/>
  <c r="C18" i="16"/>
  <c r="C17" i="16"/>
  <c r="C16" i="16"/>
  <c r="C15" i="16"/>
  <c r="C14" i="16"/>
  <c r="C13" i="16"/>
  <c r="C12" i="16"/>
  <c r="C11" i="16"/>
  <c r="C10" i="16"/>
  <c r="C9" i="16"/>
  <c r="C8" i="16"/>
  <c r="C7" i="16"/>
  <c r="C5" i="16"/>
  <c r="C4" i="16"/>
  <c r="C5" i="15" l="1"/>
  <c r="C23" i="15"/>
  <c r="C22" i="15"/>
  <c r="C21" i="15"/>
  <c r="C20" i="15"/>
  <c r="C19" i="15"/>
  <c r="C18" i="15"/>
  <c r="C17" i="15"/>
  <c r="C16" i="15"/>
  <c r="C15" i="15"/>
  <c r="C14" i="15"/>
  <c r="C13" i="15"/>
  <c r="C12" i="15"/>
  <c r="C11" i="15"/>
  <c r="C10" i="15"/>
  <c r="C9" i="15"/>
  <c r="C8" i="15"/>
  <c r="C7" i="15"/>
  <c r="C6" i="15"/>
  <c r="C4" i="15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68" i="13"/>
  <c r="F67" i="13"/>
  <c r="F66" i="13"/>
  <c r="F65" i="13"/>
  <c r="F64" i="13"/>
  <c r="F63" i="13"/>
  <c r="F62" i="13"/>
  <c r="F61" i="13"/>
  <c r="F60" i="13"/>
  <c r="F59" i="13"/>
  <c r="F58" i="13"/>
  <c r="F57" i="13"/>
  <c r="F56" i="13"/>
  <c r="F55" i="13"/>
  <c r="F54" i="13"/>
  <c r="F53" i="13"/>
  <c r="F52" i="13"/>
  <c r="F51" i="13"/>
  <c r="F50" i="13"/>
  <c r="F49" i="13"/>
  <c r="F7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2" i="13"/>
  <c r="F31" i="13"/>
  <c r="F30" i="13"/>
  <c r="F29" i="13"/>
  <c r="F28" i="13"/>
  <c r="F27" i="13"/>
  <c r="F26" i="13"/>
  <c r="F25" i="13"/>
  <c r="F24" i="13"/>
  <c r="F23" i="13"/>
  <c r="F22" i="13"/>
  <c r="F21" i="13"/>
  <c r="F20" i="13"/>
  <c r="F19" i="13"/>
  <c r="F18" i="13"/>
  <c r="F17" i="13"/>
  <c r="F16" i="13"/>
  <c r="F15" i="13"/>
  <c r="F14" i="13"/>
  <c r="F13" i="13"/>
  <c r="F12" i="13"/>
  <c r="F11" i="13"/>
  <c r="F10" i="13"/>
  <c r="F9" i="13"/>
  <c r="F8" i="13"/>
  <c r="F70" i="12" l="1"/>
  <c r="F69" i="12"/>
  <c r="F68" i="12"/>
  <c r="F67" i="12"/>
  <c r="F66" i="12"/>
  <c r="F65" i="12"/>
  <c r="F64" i="12"/>
  <c r="F63" i="12"/>
  <c r="F62" i="12"/>
  <c r="F61" i="12"/>
  <c r="F24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8" i="12"/>
  <c r="F37" i="12"/>
  <c r="F36" i="12"/>
  <c r="F35" i="12"/>
  <c r="F34" i="12"/>
  <c r="F33" i="12"/>
  <c r="F32" i="12"/>
  <c r="F31" i="12"/>
  <c r="F30" i="12"/>
  <c r="F29" i="12"/>
  <c r="F28" i="12"/>
  <c r="F27" i="12"/>
  <c r="F26" i="12"/>
  <c r="F25" i="12"/>
  <c r="F23" i="12"/>
  <c r="F22" i="12"/>
  <c r="F21" i="12"/>
  <c r="F20" i="12"/>
  <c r="F19" i="12"/>
  <c r="F18" i="12"/>
  <c r="F17" i="12"/>
  <c r="F16" i="12"/>
  <c r="F15" i="12"/>
  <c r="F10" i="12"/>
  <c r="F14" i="12"/>
  <c r="F13" i="12"/>
  <c r="F12" i="12"/>
  <c r="F11" i="12"/>
  <c r="F9" i="12"/>
  <c r="F8" i="12"/>
  <c r="F7" i="12"/>
  <c r="F64" i="14" l="1"/>
  <c r="F63" i="14"/>
  <c r="F62" i="14"/>
  <c r="F61" i="14"/>
  <c r="F60" i="14"/>
  <c r="F59" i="14"/>
  <c r="F58" i="14"/>
  <c r="F57" i="14"/>
  <c r="F56" i="14"/>
  <c r="F55" i="14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27" i="14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7" i="14"/>
  <c r="F12" i="14"/>
  <c r="F11" i="14"/>
  <c r="F10" i="14"/>
  <c r="F9" i="14"/>
  <c r="F8" i="14"/>
</calcChain>
</file>

<file path=xl/sharedStrings.xml><?xml version="1.0" encoding="utf-8"?>
<sst xmlns="http://schemas.openxmlformats.org/spreadsheetml/2006/main" count="6976" uniqueCount="1378">
  <si>
    <t>Building ID</t>
  </si>
  <si>
    <t>Community Name</t>
  </si>
  <si>
    <t>Stream Name</t>
  </si>
  <si>
    <t>GIS Parcel ID</t>
  </si>
  <si>
    <t>Full E-911 Address</t>
  </si>
  <si>
    <t>WV Flood Tool Link</t>
  </si>
  <si>
    <t>Flood Zone Designation</t>
  </si>
  <si>
    <t>Floodway</t>
  </si>
  <si>
    <t>Owner Names</t>
  </si>
  <si>
    <t>FIRM Status</t>
  </si>
  <si>
    <t>Year Built</t>
  </si>
  <si>
    <t>Grade</t>
  </si>
  <si>
    <t>Hazard Occupancy Code</t>
  </si>
  <si>
    <t>General Occupancy</t>
  </si>
  <si>
    <t>Stories</t>
  </si>
  <si>
    <t>Structure Area</t>
  </si>
  <si>
    <t>Foundation Type</t>
  </si>
  <si>
    <t>First Floor Height</t>
  </si>
  <si>
    <t>Building Appraisal</t>
  </si>
  <si>
    <t>Building Value Source</t>
  </si>
  <si>
    <t>Depth Grid</t>
  </si>
  <si>
    <t>Depth in Structure</t>
  </si>
  <si>
    <t>Building Damage Percent</t>
  </si>
  <si>
    <t>Building Loss Value</t>
  </si>
  <si>
    <t>FT</t>
  </si>
  <si>
    <t>Advisory A</t>
  </si>
  <si>
    <t>No</t>
  </si>
  <si>
    <t>Post-FIRM</t>
  </si>
  <si>
    <t>C</t>
  </si>
  <si>
    <t>GOV1</t>
  </si>
  <si>
    <t>Other</t>
  </si>
  <si>
    <t>Slab-on-Grade</t>
  </si>
  <si>
    <t>Assessment (IAS) Modified</t>
  </si>
  <si>
    <t>AE</t>
  </si>
  <si>
    <t>D-</t>
  </si>
  <si>
    <t>IND2</t>
  </si>
  <si>
    <t>Commercial</t>
  </si>
  <si>
    <t>Unknown</t>
  </si>
  <si>
    <t>D+</t>
  </si>
  <si>
    <t>IND4</t>
  </si>
  <si>
    <t>A</t>
  </si>
  <si>
    <t>Pre-FIRM</t>
  </si>
  <si>
    <t>A+</t>
  </si>
  <si>
    <t>RES1</t>
  </si>
  <si>
    <t>Residential</t>
  </si>
  <si>
    <t>Basement</t>
  </si>
  <si>
    <t>Assessment (IAS)</t>
  </si>
  <si>
    <t>B</t>
  </si>
  <si>
    <t>COM5</t>
  </si>
  <si>
    <t>B-</t>
  </si>
  <si>
    <t>COM1</t>
  </si>
  <si>
    <t>A-</t>
  </si>
  <si>
    <t>C-</t>
  </si>
  <si>
    <t>B+</t>
  </si>
  <si>
    <t>COM8</t>
  </si>
  <si>
    <t>D</t>
  </si>
  <si>
    <t>Updated AE</t>
  </si>
  <si>
    <t>COM7</t>
  </si>
  <si>
    <t>COM4</t>
  </si>
  <si>
    <t>C+</t>
  </si>
  <si>
    <t>RES3B</t>
  </si>
  <si>
    <t>CID</t>
  </si>
  <si>
    <t>County</t>
  </si>
  <si>
    <t>Incorporated/Unincorporated</t>
  </si>
  <si>
    <t>WV RPDC Region</t>
  </si>
  <si>
    <t>Incorporated</t>
  </si>
  <si>
    <t>Unincorporated</t>
  </si>
  <si>
    <t>Yes</t>
  </si>
  <si>
    <t>REL1</t>
  </si>
  <si>
    <t>BOARD OF EDUCATION</t>
  </si>
  <si>
    <t>EDU1</t>
  </si>
  <si>
    <t>Insurance (BRIM)</t>
  </si>
  <si>
    <t>RES4</t>
  </si>
  <si>
    <t>COM2</t>
  </si>
  <si>
    <t>GOV2</t>
  </si>
  <si>
    <t>E</t>
  </si>
  <si>
    <t xml:space="preserve">BUILDING DOLLAR ($) EXPOSURE </t>
  </si>
  <si>
    <t>MAP LINK</t>
  </si>
  <si>
    <t>FILTER OR SORT</t>
  </si>
  <si>
    <t>PRIMARY SORT</t>
  </si>
  <si>
    <t>Table Extract from BLRA</t>
  </si>
  <si>
    <t>Lookup</t>
  </si>
  <si>
    <t>Top percentage of high-value structures</t>
  </si>
  <si>
    <t>X</t>
  </si>
  <si>
    <t>2015</t>
  </si>
  <si>
    <t>1989</t>
  </si>
  <si>
    <t>2008</t>
  </si>
  <si>
    <t>1979</t>
  </si>
  <si>
    <t>1999</t>
  </si>
  <si>
    <t>0</t>
  </si>
  <si>
    <t>1986</t>
  </si>
  <si>
    <t>2011</t>
  </si>
  <si>
    <t>1920</t>
  </si>
  <si>
    <t>1971</t>
  </si>
  <si>
    <t>1982</t>
  </si>
  <si>
    <t>1958</t>
  </si>
  <si>
    <t>1978</t>
  </si>
  <si>
    <t>1980</t>
  </si>
  <si>
    <t>2005</t>
  </si>
  <si>
    <t>2010</t>
  </si>
  <si>
    <t>1964</t>
  </si>
  <si>
    <t>1970</t>
  </si>
  <si>
    <t>1957</t>
  </si>
  <si>
    <t>2006</t>
  </si>
  <si>
    <t>2002</t>
  </si>
  <si>
    <t>2004</t>
  </si>
  <si>
    <t>1983</t>
  </si>
  <si>
    <t>1985</t>
  </si>
  <si>
    <t>1944</t>
  </si>
  <si>
    <t>1997</t>
  </si>
  <si>
    <t>1960</t>
  </si>
  <si>
    <t>1996</t>
  </si>
  <si>
    <t>X+</t>
  </si>
  <si>
    <t>RES6</t>
  </si>
  <si>
    <t>IND1</t>
  </si>
  <si>
    <t>RES3C</t>
  </si>
  <si>
    <t>Education</t>
  </si>
  <si>
    <t>Government</t>
  </si>
  <si>
    <t>Religious</t>
  </si>
  <si>
    <t>Industrial</t>
  </si>
  <si>
    <t>1</t>
  </si>
  <si>
    <t>2</t>
  </si>
  <si>
    <t>3</t>
  </si>
  <si>
    <t>4</t>
  </si>
  <si>
    <t>2000</t>
  </si>
  <si>
    <t>4800</t>
  </si>
  <si>
    <t>1.0</t>
  </si>
  <si>
    <t>4.0</t>
  </si>
  <si>
    <t>Area (RS Means)</t>
  </si>
  <si>
    <t>9999</t>
  </si>
  <si>
    <t>1984</t>
  </si>
  <si>
    <t>1969</t>
  </si>
  <si>
    <t>2017</t>
  </si>
  <si>
    <t>1990</t>
  </si>
  <si>
    <t>1995</t>
  </si>
  <si>
    <t>2001</t>
  </si>
  <si>
    <t>1950</t>
  </si>
  <si>
    <t>1925</t>
  </si>
  <si>
    <t>1968</t>
  </si>
  <si>
    <t>1975</t>
  </si>
  <si>
    <t>1967</t>
  </si>
  <si>
    <t>1994</t>
  </si>
  <si>
    <t>1977</t>
  </si>
  <si>
    <t>1981</t>
  </si>
  <si>
    <t>2003</t>
  </si>
  <si>
    <t>1962</t>
  </si>
  <si>
    <t>2016</t>
  </si>
  <si>
    <t>2012</t>
  </si>
  <si>
    <t>1991</t>
  </si>
  <si>
    <t>2007</t>
  </si>
  <si>
    <t>2009</t>
  </si>
  <si>
    <t>1111</t>
  </si>
  <si>
    <t>1973</t>
  </si>
  <si>
    <t>1972</t>
  </si>
  <si>
    <t>COM3</t>
  </si>
  <si>
    <t>IND6</t>
  </si>
  <si>
    <t>9500</t>
  </si>
  <si>
    <t>12000</t>
  </si>
  <si>
    <t>9000</t>
  </si>
  <si>
    <t>Assessment (IAS) Neighbor</t>
  </si>
  <si>
    <t>1976</t>
  </si>
  <si>
    <t>1940</t>
  </si>
  <si>
    <t>1965</t>
  </si>
  <si>
    <t>2014</t>
  </si>
  <si>
    <t>1900</t>
  </si>
  <si>
    <t>1946</t>
  </si>
  <si>
    <t>1400</t>
  </si>
  <si>
    <t>1998</t>
  </si>
  <si>
    <t>1961</t>
  </si>
  <si>
    <t>Post-FIRM construction regulated to Pre-FIRM (Mapped into SFHA)</t>
  </si>
  <si>
    <t>4400</t>
  </si>
  <si>
    <t>1988</t>
  </si>
  <si>
    <t>1928</t>
  </si>
  <si>
    <t>(Higher than $300,000)</t>
  </si>
  <si>
    <t>EDU2</t>
  </si>
  <si>
    <t>7680</t>
  </si>
  <si>
    <t>2018</t>
  </si>
  <si>
    <t>1992</t>
  </si>
  <si>
    <t>3500</t>
  </si>
  <si>
    <t>S+</t>
  </si>
  <si>
    <t>UNITED STATES OF AMERICA</t>
  </si>
  <si>
    <t>1947</t>
  </si>
  <si>
    <t>23400</t>
  </si>
  <si>
    <t>3000</t>
  </si>
  <si>
    <t>6552</t>
  </si>
  <si>
    <t>Owner Name or Building ID</t>
  </si>
  <si>
    <t>(Higher than $800,000)</t>
  </si>
  <si>
    <t>MARSHALL</t>
  </si>
  <si>
    <t>25-06-0006-0020-0000_1300</t>
  </si>
  <si>
    <t>25-05-0007-0003-0004_9622</t>
  </si>
  <si>
    <t>25-11-0014-0152-0000_223</t>
  </si>
  <si>
    <t>25-11-0009-0155-0000_10</t>
  </si>
  <si>
    <t>25-02-0006-0108-0000_12</t>
  </si>
  <si>
    <t>25-06-0003-0003-0000_601</t>
  </si>
  <si>
    <t>25-11-0024-0008-0005_100</t>
  </si>
  <si>
    <t>25-11-0026-0009-0000_1800</t>
  </si>
  <si>
    <t>25-01-0007-0274-0000_748</t>
  </si>
  <si>
    <t>25-01-0009-0018-0002_748</t>
  </si>
  <si>
    <t>25-04-0003-0002-0001_112</t>
  </si>
  <si>
    <t>25-06-0003-0004-0000_9999</t>
  </si>
  <si>
    <t>25-11-0015-0028-0000_319</t>
  </si>
  <si>
    <t>25-11-0001-0005-0000_100</t>
  </si>
  <si>
    <t>25-04-0014-0002-0000_6158</t>
  </si>
  <si>
    <t>25-11-0007-0003-0002_202</t>
  </si>
  <si>
    <t>25-01-0002-0156-0001_100</t>
  </si>
  <si>
    <t>25-01-0002-0155-0000_209</t>
  </si>
  <si>
    <t>25-11-0023-0021-0000_1</t>
  </si>
  <si>
    <t>25-11-0023-0018-0002_400</t>
  </si>
  <si>
    <t>25-02-0001-0113-0000_20</t>
  </si>
  <si>
    <t>25-11-0015-0003-0000_409</t>
  </si>
  <si>
    <t>25-05-0001-0012-0000_7502</t>
  </si>
  <si>
    <t>25-05-0012-0005-0000_11111</t>
  </si>
  <si>
    <t>25-05-0021-0025-0000_16339</t>
  </si>
  <si>
    <t>25-01-0002-0161-0000_209</t>
  </si>
  <si>
    <t>25-11-0023-0018-0001_300</t>
  </si>
  <si>
    <t>25-11-0020-0045-0000_1100</t>
  </si>
  <si>
    <t>25-14-0009-0049-0004_303</t>
  </si>
  <si>
    <t>25-14-0009-0049-0004_105</t>
  </si>
  <si>
    <t>25-05-0021-0025-0000_16703</t>
  </si>
  <si>
    <t>25-05-0021-0025-0000_15491</t>
  </si>
  <si>
    <t>25-06-0006-0021-0000_710</t>
  </si>
  <si>
    <t>25-01-0009-0018-0001_748</t>
  </si>
  <si>
    <t>25-11-0014-0152-0000_4</t>
  </si>
  <si>
    <t>25-01-0007-0274-0002_748</t>
  </si>
  <si>
    <t>25-11-0010-0102-0000_1332</t>
  </si>
  <si>
    <t>25-05-0001-0015-0000_9999</t>
  </si>
  <si>
    <t>25-05-0027-0032-0000_17595</t>
  </si>
  <si>
    <t>25-08-0002-0001-0002_1</t>
  </si>
  <si>
    <t>25-04-0001-0002-0000_200</t>
  </si>
  <si>
    <t>25-05-0027-0004-0000_9999</t>
  </si>
  <si>
    <t>25-11-0015-0028-0001_411</t>
  </si>
  <si>
    <t>25-11-0015-0036-0000_300</t>
  </si>
  <si>
    <t>25-01-0002-0158-0000_221</t>
  </si>
  <si>
    <t>25-05-0001-0022-0000_7897</t>
  </si>
  <si>
    <t>25-11-0022-0023-0000_1501</t>
  </si>
  <si>
    <t>25-04-0006-0007-002A_87</t>
  </si>
  <si>
    <t>25-11-0009-0175-0001_803</t>
  </si>
  <si>
    <t>25-08-0006-0001-0000_2</t>
  </si>
  <si>
    <t>25-11-0022-0020-0000_2100</t>
  </si>
  <si>
    <t>25-14-0009-0049-0003_3020</t>
  </si>
  <si>
    <t>25-01-0002-0157-0000_24</t>
  </si>
  <si>
    <t>25-08-0006-0001-0005_23</t>
  </si>
  <si>
    <t>25-05-0027-0032-0000_17815</t>
  </si>
  <si>
    <t>25-11-0009-0154-0000_5</t>
  </si>
  <si>
    <t>25-01-0002-0155-0003_207</t>
  </si>
  <si>
    <t>25-14-0009-0049-0003_2009</t>
  </si>
  <si>
    <t>25-14-0001-0009-0027_27</t>
  </si>
  <si>
    <t>25-05-0001-0014-0000_7647</t>
  </si>
  <si>
    <t>25-01-0002-0157-0002_32</t>
  </si>
  <si>
    <t>25-11-0021-0251-0000_9999</t>
  </si>
  <si>
    <t>25-05-0008-0002-0000_1324</t>
  </si>
  <si>
    <t>25-01-0002-0158-0000_221A</t>
  </si>
  <si>
    <t>City of Glen Dale</t>
  </si>
  <si>
    <t>Little Grave Creek</t>
  </si>
  <si>
    <t>25-06-0006-0020-0000</t>
  </si>
  <si>
    <t xml:space="preserve">1300 WHEELING AVE, GLEN DALE, WV, 26038 </t>
  </si>
  <si>
    <t>Marshall County</t>
  </si>
  <si>
    <t>West Virginia Fork Fish Creek</t>
  </si>
  <si>
    <t>25-05-0007-0003-0004</t>
  </si>
  <si>
    <t>9622 ENERGY RD, Proctor, WV, 26055</t>
  </si>
  <si>
    <t>City of Moundsville</t>
  </si>
  <si>
    <t>25-11-0014-0152-0000</t>
  </si>
  <si>
    <t>223 TOMLINSON AVE, Moundsville, WV, 26041</t>
  </si>
  <si>
    <t>25-11-0009-0155-0000</t>
  </si>
  <si>
    <t>10 WALMART DR, Moundsville, WV, 26041</t>
  </si>
  <si>
    <t>City of Cameron</t>
  </si>
  <si>
    <t>Grave Creek</t>
  </si>
  <si>
    <t>25-02-0006-0108-0000</t>
  </si>
  <si>
    <t>12 CHURCH ST, Cameron, WV, 26033</t>
  </si>
  <si>
    <t>Ohio River</t>
  </si>
  <si>
    <t>25-06-0003-0003-0000</t>
  </si>
  <si>
    <t>601 BALTIMORE AVE, Glen Dale, WV, 26038</t>
  </si>
  <si>
    <t>Middle Grave Creek</t>
  </si>
  <si>
    <t>25-11-0024-0008-0005</t>
  </si>
  <si>
    <t>100 TELETECH DR STE 2, Moundsville, WV, 26041</t>
  </si>
  <si>
    <t>25-11-0026-0009-0000</t>
  </si>
  <si>
    <t>1800 LAFAYETTE AVE, Moundsville, WV, 26041</t>
  </si>
  <si>
    <t>City of Benwood</t>
  </si>
  <si>
    <t>25-01-0007-0274-0000</t>
  </si>
  <si>
    <t>748 MCMECHEN ST, Benwood, WV, 26031</t>
  </si>
  <si>
    <t>25-01-0009-0018-0002</t>
  </si>
  <si>
    <t>25-04-0003-0002-0001</t>
  </si>
  <si>
    <t>112 NORTHERN REGIONAL CORRECTIONAL DR, Moundsville, WV, 26041</t>
  </si>
  <si>
    <t>25-06-0003-0004-0000</t>
  </si>
  <si>
    <t xml:space="preserve">9999 BALTIMORE AVE, GLEN DALE, WV, 26038 </t>
  </si>
  <si>
    <t>25-11-0015-0028-0000</t>
  </si>
  <si>
    <t>319 LAFAYETTE AVE, Moundsville, WV, 26041</t>
  </si>
  <si>
    <t>25-11-0001-0005-0000</t>
  </si>
  <si>
    <t>100 HITT DR, Moundsville, WV, 26041</t>
  </si>
  <si>
    <t>Hog Run</t>
  </si>
  <si>
    <t>25-04-0014-0002-0000</t>
  </si>
  <si>
    <t xml:space="preserve">6158 ENERGY RD, MOUNDSVILLE, WV, 26041 </t>
  </si>
  <si>
    <t>25-11-0007-0003-0002</t>
  </si>
  <si>
    <t>202 LAFAYETTE AVE, Moundsville, WV, 26041</t>
  </si>
  <si>
    <t>25-01-0002-0156-0001</t>
  </si>
  <si>
    <t>100 MARSHALL ST STE 1, Benwood, WV, 26031</t>
  </si>
  <si>
    <t>25-01-0002-0155-0000</t>
  </si>
  <si>
    <t>209 MARSHALL ST, Benwood, WV, 26031</t>
  </si>
  <si>
    <t>25-11-0023-0021-0000</t>
  </si>
  <si>
    <t>1 DOT DR BLDG 3, Moundsville, WV, 26041</t>
  </si>
  <si>
    <t>25-11-0023-0018-0002</t>
  </si>
  <si>
    <t>400 TELETECH DR STE 2, Moundsville, WV, 26041</t>
  </si>
  <si>
    <t>25-02-0001-0113-0000</t>
  </si>
  <si>
    <t>20 WILSON DR, Cameron, WV, 26033</t>
  </si>
  <si>
    <t>25-11-0015-0003-0000</t>
  </si>
  <si>
    <t>409 LAFAYETTE AVE, Moundsville, WV, 26041</t>
  </si>
  <si>
    <t>25-05-0001-0012-0000</t>
  </si>
  <si>
    <t>7502 ENERGY RD, MOUNDSVILLE, WV, 26041</t>
  </si>
  <si>
    <t>25-05-0012-0005-0000</t>
  </si>
  <si>
    <t>11111 ENERGY RD, Proctor, WV, 26055</t>
  </si>
  <si>
    <t>25-05-0021-0025-0000</t>
  </si>
  <si>
    <t>16339 ENERGY RD, Proctor, WV, 26055</t>
  </si>
  <si>
    <t>25-01-0002-0161-0000</t>
  </si>
  <si>
    <t>25-11-0023-0018-0001</t>
  </si>
  <si>
    <t>300 TELETECH DR, Moundsville, WV, 26041</t>
  </si>
  <si>
    <t>25-11-0020-0045-0000</t>
  </si>
  <si>
    <t>1100 LAFAYETTE AVE, Moundsville, WV, 26041</t>
  </si>
  <si>
    <t>25-14-0009-0049-0004</t>
  </si>
  <si>
    <t>303 PEBBLE DR, Moundsville, WV, 26041</t>
  </si>
  <si>
    <t>105 PEBBLE DR, Moundsville, WV, 26041</t>
  </si>
  <si>
    <t>16703 ENERGY RD, Proctor, WV, 26055</t>
  </si>
  <si>
    <t>15491 ENERGY RD, Proctor, WV, 26055</t>
  </si>
  <si>
    <t>25-06-0006-0021-0000</t>
  </si>
  <si>
    <t>710 JEFFERSON AVE, Glen Dale, WV, 26038</t>
  </si>
  <si>
    <t>25-01-0009-0018-0001</t>
  </si>
  <si>
    <t>4 MONARCH DR, Moundsville, WV, 26041</t>
  </si>
  <si>
    <t>25-01-0007-0274-0002</t>
  </si>
  <si>
    <t>Parrs Run</t>
  </si>
  <si>
    <t>25-11-0010-0102-0000</t>
  </si>
  <si>
    <t>1332 1ST ST, Moundsville, WV, 26041</t>
  </si>
  <si>
    <t>25-05-0001-0015-0000</t>
  </si>
  <si>
    <t>9999 ENERGY RD, Moundsville, WV, 26041</t>
  </si>
  <si>
    <t>25-05-0027-0032-0000</t>
  </si>
  <si>
    <t>17595 ENERGY RD, Proctor, WV, 26055</t>
  </si>
  <si>
    <t>City of Mcmechen</t>
  </si>
  <si>
    <t>25-08-0002-0001-0002</t>
  </si>
  <si>
    <t>1 BALL PARK DR, McMechen, WV, 26040</t>
  </si>
  <si>
    <t>25-04-0001-0002-0000</t>
  </si>
  <si>
    <t>200 CAIMAN DR, Moundsville, WV, 26041</t>
  </si>
  <si>
    <t>25-05-0027-0004-0000</t>
  </si>
  <si>
    <t>9999 ENERGY RD, Proctor, WV, 26055</t>
  </si>
  <si>
    <t>25-11-0015-0028-0001</t>
  </si>
  <si>
    <t>411 LAFAYETTE AVE, Moundsville, WV, 26041</t>
  </si>
  <si>
    <t>25-11-0015-0036-0000</t>
  </si>
  <si>
    <t>300 7TH ST, Moundsville, WV, 26041</t>
  </si>
  <si>
    <t>25-01-0002-0158-0000</t>
  </si>
  <si>
    <t>221 MARSHALL ST, Benwood, WV, 26031</t>
  </si>
  <si>
    <t>25-05-0001-0022-0000</t>
  </si>
  <si>
    <t>7897 ENERGY RD, Moundsville, WV, 26041</t>
  </si>
  <si>
    <t>25-11-0022-0023-0000</t>
  </si>
  <si>
    <t>1501 9TH ST, Moundsville, WV, 26041</t>
  </si>
  <si>
    <t>Fish Run</t>
  </si>
  <si>
    <t>25-04-0006-0007-002A</t>
  </si>
  <si>
    <t>87 MACHINE SHOP LN, Moundsville, WV, 26041</t>
  </si>
  <si>
    <t>25-11-0009-0175-0001</t>
  </si>
  <si>
    <t>803 BROWN ST, Moundsville, WV, 26041</t>
  </si>
  <si>
    <t>25-08-0006-0001-0000</t>
  </si>
  <si>
    <t>2 RIVER PARK, McMechen, WV, 26040</t>
  </si>
  <si>
    <t>25-11-0022-0020-0000</t>
  </si>
  <si>
    <t>2100 12TH ST, Moundsville, WV, 26041</t>
  </si>
  <si>
    <t>25-14-0009-0049-0003</t>
  </si>
  <si>
    <t>3020 RIFFLE DR, Moundsville, WV, 26041</t>
  </si>
  <si>
    <t>25-01-0002-0157-0000</t>
  </si>
  <si>
    <t>24 48TH ST, Benwood, WV, 26031</t>
  </si>
  <si>
    <t>25-08-0006-0001-0005</t>
  </si>
  <si>
    <t>23 17TH ST, McMechen, WV, 26040</t>
  </si>
  <si>
    <t>17815 ENERGY RD, Proctor, WV, 26055</t>
  </si>
  <si>
    <t>25-11-0009-0154-0000</t>
  </si>
  <si>
    <t>5 WALMART DR, Moundsville, WV, 26041</t>
  </si>
  <si>
    <t>25-01-0002-0155-0003</t>
  </si>
  <si>
    <t>207 MARSHALL ST, Benwood, WV, 26031</t>
  </si>
  <si>
    <t>2009 RIFFLE DR, Moundsville, WV, 26041</t>
  </si>
  <si>
    <t>25-14-0001-0009-0027</t>
  </si>
  <si>
    <t>27 WOOD DUCK MEADOW LN, Glen Dale, WV, 26038</t>
  </si>
  <si>
    <t>25-05-0001-0014-0000</t>
  </si>
  <si>
    <t>7647 ENERGY RD, Moundsville, WV, 26041</t>
  </si>
  <si>
    <t>25-01-0002-0157-0002</t>
  </si>
  <si>
    <t xml:space="preserve">32 MARSHALL ST, BENWOOD, WV, 26031 </t>
  </si>
  <si>
    <t>25-11-0021-0251-0000</t>
  </si>
  <si>
    <t>9999 12TH ST, Moundsville, WV, 26041</t>
  </si>
  <si>
    <t>25-05-0008-0002-0000</t>
  </si>
  <si>
    <t>1324 FISH CREEK RD, Proctor, WV, 26055</t>
  </si>
  <si>
    <t>221A MARSHALL ST, Benwood, WV, 26031</t>
  </si>
  <si>
    <t>WV ECONOMIC DEV AUTH</t>
  </si>
  <si>
    <t>WAL-MART REAL ESTATE BUSINESS TRUST</t>
  </si>
  <si>
    <t>WARREN DISTRIBUTION INC</t>
  </si>
  <si>
    <t>OVIBDC</t>
  </si>
  <si>
    <t>CITY OF MOUNDSVILLE</t>
  </si>
  <si>
    <t>BIPCO LTD</t>
  </si>
  <si>
    <t>MAG LLC</t>
  </si>
  <si>
    <t>W VA REGIONAL JAIL &amp; CORRECTIONAL AUTHORITY</t>
  </si>
  <si>
    <t>WARREN ACQUISITIONS WARREN DISTRIBUTION</t>
  </si>
  <si>
    <t>MOUNDSVILLE PLAZA ASSOC LP</t>
  </si>
  <si>
    <t>CONSOLIDATION COAL COMPANY MURRAY ENERGY C/O LAND DEPT</t>
  </si>
  <si>
    <t>TEDA J FAMILY LTD PARTNERSHIP</t>
  </si>
  <si>
    <t>FERNS MICHAEL D SR &amp; LINDA K</t>
  </si>
  <si>
    <t>ZEMEX FABI BENWOOD LLC</t>
  </si>
  <si>
    <t>W VA DEPT OF HIGHWAYS</t>
  </si>
  <si>
    <t>HAL-DON ENERPRISES INC</t>
  </si>
  <si>
    <t>MIMOSA LLC</t>
  </si>
  <si>
    <t>MCDONALD'S CORP</t>
  </si>
  <si>
    <t>CNX LAND RESOURCES INC</t>
  </si>
  <si>
    <t>EAGLE NATRIUM LLC</t>
  </si>
  <si>
    <t>HAL-DON ENTERPRISES INC</t>
  </si>
  <si>
    <t>ONE MOUNDSVILLE COMPANY LLC</t>
  </si>
  <si>
    <t>HILL VIEW II LTD PARTNERSHIP</t>
  </si>
  <si>
    <t>SWINT MOST REV JOHN J</t>
  </si>
  <si>
    <t>AUTOMATIC RECYCLING INC</t>
  </si>
  <si>
    <t>LEVELTEK PROCESSING LLC</t>
  </si>
  <si>
    <t>MOUNDSVILLE VFD</t>
  </si>
  <si>
    <t>OHIO POWER CO</t>
  </si>
  <si>
    <t>COVESTRO LLC ATTN: TAX DEPT</t>
  </si>
  <si>
    <t>NORTHERN PANHANDLE CONSERVATIO DISTRICT FOUNDATION INC</t>
  </si>
  <si>
    <t>WILLIAMS OHIO VALLEY MIDSTREAM LLC</t>
  </si>
  <si>
    <t>BAYER EMPLOYEES FED CR UNION</t>
  </si>
  <si>
    <t>IMI FABI LLC</t>
  </si>
  <si>
    <t>STATE OF W VA STATE ARMORY BOARD</t>
  </si>
  <si>
    <t>SHUTLER ROBERT M ET UX</t>
  </si>
  <si>
    <t>AMERICO INC</t>
  </si>
  <si>
    <t>MARSHALL FAIR INC</t>
  </si>
  <si>
    <t>HILL VIEW LIMITED PARTNERSHIP</t>
  </si>
  <si>
    <t>ACQUISITIONS LLC</t>
  </si>
  <si>
    <t>MCMECHEN WATER WORKS</t>
  </si>
  <si>
    <t>SEARCY PEGGY &amp; KAREN BIRD</t>
  </si>
  <si>
    <t>ARC DBPPROP001  LLC</t>
  </si>
  <si>
    <t>BORDER JOSHUA &amp; KATHERINE</t>
  </si>
  <si>
    <t>MOUNDSVILLE INDUSTRIAL PARK</t>
  </si>
  <si>
    <t>BT-NEWYO LLC</t>
  </si>
  <si>
    <t>VARLAS BRAD N</t>
  </si>
  <si>
    <t>1966</t>
  </si>
  <si>
    <t>RES3D</t>
  </si>
  <si>
    <t>IND3</t>
  </si>
  <si>
    <t>5</t>
  </si>
  <si>
    <t>231094</t>
  </si>
  <si>
    <t>606598</t>
  </si>
  <si>
    <t>79425</t>
  </si>
  <si>
    <t>208926</t>
  </si>
  <si>
    <t>47932</t>
  </si>
  <si>
    <t>251280</t>
  </si>
  <si>
    <t>59436</t>
  </si>
  <si>
    <t>18364</t>
  </si>
  <si>
    <t>280529</t>
  </si>
  <si>
    <t>188453</t>
  </si>
  <si>
    <t>48596</t>
  </si>
  <si>
    <t>111691</t>
  </si>
  <si>
    <t>119838</t>
  </si>
  <si>
    <t>23097</t>
  </si>
  <si>
    <t>75361</t>
  </si>
  <si>
    <t>86063</t>
  </si>
  <si>
    <t>133690</t>
  </si>
  <si>
    <t>56035</t>
  </si>
  <si>
    <t>19845</t>
  </si>
  <si>
    <t>22793</t>
  </si>
  <si>
    <t>5632</t>
  </si>
  <si>
    <t>4519</t>
  </si>
  <si>
    <t>60158</t>
  </si>
  <si>
    <t>41800</t>
  </si>
  <si>
    <t>43600</t>
  </si>
  <si>
    <t>40520</t>
  </si>
  <si>
    <t>14038</t>
  </si>
  <si>
    <t>26696</t>
  </si>
  <si>
    <t>55860</t>
  </si>
  <si>
    <t>21521</t>
  </si>
  <si>
    <t>5276</t>
  </si>
  <si>
    <t>35084</t>
  </si>
  <si>
    <t>37904</t>
  </si>
  <si>
    <t>6264</t>
  </si>
  <si>
    <t>13700</t>
  </si>
  <si>
    <t>44800</t>
  </si>
  <si>
    <t>55432</t>
  </si>
  <si>
    <t>4430</t>
  </si>
  <si>
    <t>16984</t>
  </si>
  <si>
    <t>132326</t>
  </si>
  <si>
    <t>22000</t>
  </si>
  <si>
    <t>17424</t>
  </si>
  <si>
    <t>14934</t>
  </si>
  <si>
    <t>18047</t>
  </si>
  <si>
    <t>16384</t>
  </si>
  <si>
    <t>24452</t>
  </si>
  <si>
    <t>51391</t>
  </si>
  <si>
    <t>2596</t>
  </si>
  <si>
    <t>2814</t>
  </si>
  <si>
    <t>15784</t>
  </si>
  <si>
    <t>3968</t>
  </si>
  <si>
    <t>22106</t>
  </si>
  <si>
    <t>15840</t>
  </si>
  <si>
    <t>4608</t>
  </si>
  <si>
    <t>24928</t>
  </si>
  <si>
    <t>30362</t>
  </si>
  <si>
    <t>(Higher than $400,000)</t>
  </si>
  <si>
    <t>35-10-0W39-0186-0000_840</t>
  </si>
  <si>
    <t>35-10-0W40-0130-0000_1130</t>
  </si>
  <si>
    <t>35-10-0W81-0094-0004_2215</t>
  </si>
  <si>
    <t>35-06-0T14-0028-0000_4069</t>
  </si>
  <si>
    <t>35-10-0W46-0026-0000_120</t>
  </si>
  <si>
    <t>35-10-0W81-0094-0002_2209</t>
  </si>
  <si>
    <t>35-10-0W86-0051-0000_1</t>
  </si>
  <si>
    <t>Ohio County</t>
  </si>
  <si>
    <t>Middle Wheeling Creek</t>
  </si>
  <si>
    <t>Little Wheeling Creek</t>
  </si>
  <si>
    <t>City of Wheeling</t>
  </si>
  <si>
    <t>Wheeling Creek</t>
  </si>
  <si>
    <t>Long Run</t>
  </si>
  <si>
    <t>35-10-0W39-0186-0000</t>
  </si>
  <si>
    <t>840 NATIONAL RD, WHEELING, WV, 26003</t>
  </si>
  <si>
    <t>35-10-0W40-0130-0000</t>
  </si>
  <si>
    <t>1130 NATIONAL RD, WHEELING, WV 26003</t>
  </si>
  <si>
    <t>35-10-0W81-0094-0004</t>
  </si>
  <si>
    <t xml:space="preserve">2215 NATIONAL RD, WHEELING, WV, 26003 </t>
  </si>
  <si>
    <t>35-06-0T14-0028-0000</t>
  </si>
  <si>
    <t xml:space="preserve">4069 DALLAS PIKE, VALLEY GROVE, WV, 26060 </t>
  </si>
  <si>
    <t>35-10-0W46-0026-0000</t>
  </si>
  <si>
    <t>120 LEATHERWOOD LN, WHEELING, WV, 26003</t>
  </si>
  <si>
    <t>35-10-0W81-0094-0002</t>
  </si>
  <si>
    <t>2209 NATIONAL RD, WHEELING, WV, 26003</t>
  </si>
  <si>
    <t>35-10-0W86-0051-0000</t>
  </si>
  <si>
    <t>1 MONUMENT PL, WHEELING, WV, 26003</t>
  </si>
  <si>
    <t>N. Fork Short Creek</t>
  </si>
  <si>
    <t>Town of Valley Grove</t>
  </si>
  <si>
    <t>ELMHURST HOUSE OF FRIENDSHIP INC</t>
  </si>
  <si>
    <t>CITY OF WHEELING INTERMODAL TRANS CENTER</t>
  </si>
  <si>
    <t>WHEELING DOLLAR BANK</t>
  </si>
  <si>
    <t>WEST VIRGINIA NORTHERN COMMUNITY &amp; TECHNICAL COLLEGE</t>
  </si>
  <si>
    <t>AM WHEELING LLC</t>
  </si>
  <si>
    <t>OHIO VALLEY IND &amp; BUS DEV CORP</t>
  </si>
  <si>
    <t>CITY OF WHEELING</t>
  </si>
  <si>
    <t>WHEELING ISLAND GAMING INC</t>
  </si>
  <si>
    <t>MOTEL PROPERTY DEV CORP (HAMPTON INN)</t>
  </si>
  <si>
    <t>SWISHER INTERNATIONAL INC</t>
  </si>
  <si>
    <t>WELTY TRUST REAL ESTATE LC</t>
  </si>
  <si>
    <t>BROWNSVILLE WHEELING LLC</t>
  </si>
  <si>
    <t>WESBANCO PROPERTIES INC</t>
  </si>
  <si>
    <t>BOURY LOFTS LIMITED PARTNER</t>
  </si>
  <si>
    <t>KROGER COMPANY</t>
  </si>
  <si>
    <t>WAGNER BUILDING LLC</t>
  </si>
  <si>
    <t>BOARD GOVERNORS WEST VA NORTHERN COMMUNITY COLLEGE</t>
  </si>
  <si>
    <t>WHEELING NEWSPAPERS INC</t>
  </si>
  <si>
    <t>HOUSE OF THE CARPENTER INC</t>
  </si>
  <si>
    <t>PINION REALTY COMPANY; ELM GROVE PLAZA LLC</t>
  </si>
  <si>
    <t>ARBORS OF WINDSOR MANOR LLC</t>
  </si>
  <si>
    <t>RUSSELL NESBITT SERVICES INC</t>
  </si>
  <si>
    <t>LINSLY SCHOOL INCORPORATED</t>
  </si>
  <si>
    <t>M-TWO LIMITED</t>
  </si>
  <si>
    <t>PUBLIC LAND CORPORATION OF WV</t>
  </si>
  <si>
    <t>KIDZ POSTAL LTD</t>
  </si>
  <si>
    <t>CARENBAUER DISTRIBUTING CORPORATION</t>
  </si>
  <si>
    <t>KELSAM PROPERTIES LLC</t>
  </si>
  <si>
    <t>UNITED BANK</t>
  </si>
  <si>
    <t>PROVIDENCE GREEN II LLC</t>
  </si>
  <si>
    <t>FIRE ENGINE HOUSE NO 4</t>
  </si>
  <si>
    <t>CENTURY PROP III LIMITED PARTNERSHIP</t>
  </si>
  <si>
    <t>CATHOLIC DIOCESE OF WHEELING - CHARLESTON</t>
  </si>
  <si>
    <t>NATIONAL RETAIL PROP LP</t>
  </si>
  <si>
    <t>CATHOLIC DIOCESE OF WHEELING- CHARLESTON</t>
  </si>
  <si>
    <t>WHEELING POWER CO WHEELING ELECTRIC CO</t>
  </si>
  <si>
    <t>OSIRIS TEMPLE A A O M N S TRUSTEES OF</t>
  </si>
  <si>
    <t>B&amp;J PROPERTIES LLC</t>
  </si>
  <si>
    <t>PROVIDENCE GREENE LLC C/O WODA CONSTRUCTION INC</t>
  </si>
  <si>
    <t>FULTON STORAGE LLC</t>
  </si>
  <si>
    <t>M &amp; S RENTALS LLC ATTN  SMITH DEBBIE</t>
  </si>
  <si>
    <t>WHEELING HEALTH RIGHT INC</t>
  </si>
  <si>
    <t>NATIONAL ROAD JD PARTNERS LLC</t>
  </si>
  <si>
    <t>STALEY WIRELESS LP</t>
  </si>
  <si>
    <t>FIRST WVA BANK NA</t>
  </si>
  <si>
    <t>CONTINENTAL VENTURES LIMITED LIABILITY COMPANY</t>
  </si>
  <si>
    <t>OHIO VALLEY REGIONAL TRANSIT AUTHORITY</t>
  </si>
  <si>
    <t>CHRIST UNITED METHODIST CHURCH</t>
  </si>
  <si>
    <t>HINEBAUGH ENTERPRISES LLC</t>
  </si>
  <si>
    <t>404 PARTNERS LLC</t>
  </si>
  <si>
    <t>KELLBENN INC</t>
  </si>
  <si>
    <t>DLESK RICHARD J NEIS SHARON G</t>
  </si>
  <si>
    <t>SALVATION ARMY INC</t>
  </si>
  <si>
    <t>JUSTUS INC</t>
  </si>
  <si>
    <t>DALLAS PIKE BAPTIST CHURCH</t>
  </si>
  <si>
    <t>POSITECH INTERNATIONAL INC</t>
  </si>
  <si>
    <t>LOCAL 549 IRON WORKERS CLUB</t>
  </si>
  <si>
    <t>IBEW 141 PROPERTY ASSOCIATION</t>
  </si>
  <si>
    <t>S L MARTIN &amp; CO INC</t>
  </si>
  <si>
    <t>VALLEY GROVE VOLUNTEER FIRE DEPARTMENT INC</t>
  </si>
  <si>
    <t>MELANIE EATON PROPERTIES LTD</t>
  </si>
  <si>
    <t>WEST RENTALS INC</t>
  </si>
  <si>
    <t>MAD LLC</t>
  </si>
  <si>
    <t>ST LUKES EPISCOPAL CHURCH</t>
  </si>
  <si>
    <t>FIRST ENGLISH LUTHERAN CHURCH</t>
  </si>
  <si>
    <t>1225 MARKET STREET LLC</t>
  </si>
  <si>
    <t>BANK OF WHEELING THE</t>
  </si>
  <si>
    <t>WOODSDALE TEMPLE TRUSTEES TEMPLE SHALOM</t>
  </si>
  <si>
    <t>RCC PROPERTIES LLC</t>
  </si>
  <si>
    <t>WV NORTHERN COMMUNITY &amp; TECHNICAL COLLEGE BOARD</t>
  </si>
  <si>
    <t>BENEKE GEORGE R</t>
  </si>
  <si>
    <t>SEABRIGHT BRUCE H II</t>
  </si>
  <si>
    <t>YOUTH SERVICES SYSTEM INC</t>
  </si>
  <si>
    <t>WHEELING LINEN SERVICE INC</t>
  </si>
  <si>
    <t>COFFIELD PROPERTIES LLC</t>
  </si>
  <si>
    <t>WARWOOD ARMATURE REPAIR CO</t>
  </si>
  <si>
    <t>BAM LIMITED LIABILITY COMPANY</t>
  </si>
  <si>
    <t>1916</t>
  </si>
  <si>
    <t>1908</t>
  </si>
  <si>
    <t>1877</t>
  </si>
  <si>
    <t>1930</t>
  </si>
  <si>
    <t>1885</t>
  </si>
  <si>
    <t>1915</t>
  </si>
  <si>
    <t>1859</t>
  </si>
  <si>
    <t>1910</t>
  </si>
  <si>
    <t>2019</t>
  </si>
  <si>
    <t>1923</t>
  </si>
  <si>
    <t>1934</t>
  </si>
  <si>
    <t>1955</t>
  </si>
  <si>
    <t>1893</t>
  </si>
  <si>
    <t>1937</t>
  </si>
  <si>
    <t>COM10</t>
  </si>
  <si>
    <t>8</t>
  </si>
  <si>
    <t>6</t>
  </si>
  <si>
    <t>7</t>
  </si>
  <si>
    <t>RES3F</t>
  </si>
  <si>
    <t>10</t>
  </si>
  <si>
    <t>11</t>
  </si>
  <si>
    <t>64646</t>
  </si>
  <si>
    <t>54036</t>
  </si>
  <si>
    <t>73079</t>
  </si>
  <si>
    <t>62918</t>
  </si>
  <si>
    <t>54654</t>
  </si>
  <si>
    <t>310910</t>
  </si>
  <si>
    <t>107644</t>
  </si>
  <si>
    <t>73886</t>
  </si>
  <si>
    <t>140565</t>
  </si>
  <si>
    <t>99775</t>
  </si>
  <si>
    <t>85118</t>
  </si>
  <si>
    <t>76680</t>
  </si>
  <si>
    <t>154080</t>
  </si>
  <si>
    <t>54050</t>
  </si>
  <si>
    <t>331038</t>
  </si>
  <si>
    <t>91412</t>
  </si>
  <si>
    <t>37228</t>
  </si>
  <si>
    <t>55976</t>
  </si>
  <si>
    <t>92248</t>
  </si>
  <si>
    <t>99713</t>
  </si>
  <si>
    <t>67247</t>
  </si>
  <si>
    <t>70632</t>
  </si>
  <si>
    <t>43832</t>
  </si>
  <si>
    <t>19770</t>
  </si>
  <si>
    <t>121478</t>
  </si>
  <si>
    <t>21888</t>
  </si>
  <si>
    <t>50250</t>
  </si>
  <si>
    <t>88026</t>
  </si>
  <si>
    <t>16375</t>
  </si>
  <si>
    <t>40133</t>
  </si>
  <si>
    <t>31723</t>
  </si>
  <si>
    <t>162709</t>
  </si>
  <si>
    <t>29020</t>
  </si>
  <si>
    <t>21600</t>
  </si>
  <si>
    <t>44525</t>
  </si>
  <si>
    <t>19132</t>
  </si>
  <si>
    <t>114620</t>
  </si>
  <si>
    <t>29056</t>
  </si>
  <si>
    <t>61683</t>
  </si>
  <si>
    <t>39000</t>
  </si>
  <si>
    <t>68320</t>
  </si>
  <si>
    <t>17499</t>
  </si>
  <si>
    <t>11451</t>
  </si>
  <si>
    <t>16901</t>
  </si>
  <si>
    <t>32578</t>
  </si>
  <si>
    <t>10025</t>
  </si>
  <si>
    <t>9658</t>
  </si>
  <si>
    <t>62884</t>
  </si>
  <si>
    <t>61692</t>
  </si>
  <si>
    <t>28249</t>
  </si>
  <si>
    <t>10190</t>
  </si>
  <si>
    <t>47978</t>
  </si>
  <si>
    <t>9750</t>
  </si>
  <si>
    <t>10294</t>
  </si>
  <si>
    <t>33480</t>
  </si>
  <si>
    <t>6734</t>
  </si>
  <si>
    <t>194988</t>
  </si>
  <si>
    <t>44268</t>
  </si>
  <si>
    <t>16000</t>
  </si>
  <si>
    <t>21236</t>
  </si>
  <si>
    <t>8300</t>
  </si>
  <si>
    <t>8315</t>
  </si>
  <si>
    <t>6833</t>
  </si>
  <si>
    <t>16732</t>
  </si>
  <si>
    <t>67840</t>
  </si>
  <si>
    <t>17581</t>
  </si>
  <si>
    <t>12396</t>
  </si>
  <si>
    <t>10101</t>
  </si>
  <si>
    <t>35643</t>
  </si>
  <si>
    <t>12852</t>
  </si>
  <si>
    <t>75356</t>
  </si>
  <si>
    <t>9820</t>
  </si>
  <si>
    <t>12644</t>
  </si>
  <si>
    <t>30838</t>
  </si>
  <si>
    <t>7194</t>
  </si>
  <si>
    <t>116036</t>
  </si>
  <si>
    <t>12640</t>
  </si>
  <si>
    <t>20930</t>
  </si>
  <si>
    <t>7772</t>
  </si>
  <si>
    <t>9604</t>
  </si>
  <si>
    <t>17280</t>
  </si>
  <si>
    <t>6012</t>
  </si>
  <si>
    <t>9222</t>
  </si>
  <si>
    <t>41160</t>
  </si>
  <si>
    <t>15120</t>
  </si>
  <si>
    <t>27420</t>
  </si>
  <si>
    <t>3780</t>
  </si>
  <si>
    <t>5823</t>
  </si>
  <si>
    <t>17952</t>
  </si>
  <si>
    <t>26000</t>
  </si>
  <si>
    <t>108543</t>
  </si>
  <si>
    <t>30558</t>
  </si>
  <si>
    <t>21606</t>
  </si>
  <si>
    <t>8900</t>
  </si>
  <si>
    <t>OHIO</t>
  </si>
  <si>
    <t>WETZEL</t>
  </si>
  <si>
    <t>52-09-0010-0007-0000_184A</t>
  </si>
  <si>
    <t>52-09-0018-0009-0000_601</t>
  </si>
  <si>
    <t>52-09-0020-0096-0000_191</t>
  </si>
  <si>
    <t>52-11-0002-0078-0000_44</t>
  </si>
  <si>
    <t>52-09-0020-0096-0001_141</t>
  </si>
  <si>
    <t>52-09-0014-0001-0002_1142</t>
  </si>
  <si>
    <t>52-09-0021-0122-0000_9999</t>
  </si>
  <si>
    <t>52-09-0014-0001-0003_225</t>
  </si>
  <si>
    <t>52-09-0020-0058-0000_200</t>
  </si>
  <si>
    <t>52-02-0006-0029-0001_3538</t>
  </si>
  <si>
    <t>52-10-0001-0206-0000_9999</t>
  </si>
  <si>
    <t>52-09-0017-0051-0000_312</t>
  </si>
  <si>
    <t>52-05-0018-0002-0003_14</t>
  </si>
  <si>
    <t>52-09-0020-0115-0000_190</t>
  </si>
  <si>
    <t>52-04-0035-0032-0000_27470C</t>
  </si>
  <si>
    <t>52-09-0018-0286-0000_155</t>
  </si>
  <si>
    <t>52-04-0035-0032-0000_27470A</t>
  </si>
  <si>
    <t>52-04-0035-0032-0000_27470B</t>
  </si>
  <si>
    <t>52-10-0001-0216-0000_420</t>
  </si>
  <si>
    <t>52-06-0002-0147-0001_3924</t>
  </si>
  <si>
    <t>52-05-0014-0046-0004_12700</t>
  </si>
  <si>
    <t>52-04-0016-9999-9999_9999</t>
  </si>
  <si>
    <t>52-09-0017-0220-0000_425</t>
  </si>
  <si>
    <t>52-09-0011-0004-0000_134</t>
  </si>
  <si>
    <t>52-04-0022-0014-0000_148</t>
  </si>
  <si>
    <t>52-09-0021-0077-0000_333</t>
  </si>
  <si>
    <t>52-11-0001-0104-0000_992</t>
  </si>
  <si>
    <t>52-09-0018-0203-0000_400</t>
  </si>
  <si>
    <t>52-09-0020-0029-0000_160</t>
  </si>
  <si>
    <t>52-09-0016-0201-0000_9999</t>
  </si>
  <si>
    <t>52-06-0002-0121-0000_161</t>
  </si>
  <si>
    <t>52-09-0023-0002-0000_651</t>
  </si>
  <si>
    <t>52-09-0020-0058-0000_210</t>
  </si>
  <si>
    <t>52-05-0029-0034-0000_43</t>
  </si>
  <si>
    <t>52-09-0020-0057-0000_230</t>
  </si>
  <si>
    <t>52-09-0011-0005-0000_130B</t>
  </si>
  <si>
    <t>52-09-0011-0005-0000_130</t>
  </si>
  <si>
    <t>52-09-0015-0272-0000_751</t>
  </si>
  <si>
    <t>52-09-0020-0039-0000_9999</t>
  </si>
  <si>
    <t>52-09-0020-0014-0000_249</t>
  </si>
  <si>
    <t>52-09-0011-0005-0000_130F</t>
  </si>
  <si>
    <t>52-09-0011-0005-0000_130G</t>
  </si>
  <si>
    <t>52-09-0011-0005-0000_130A</t>
  </si>
  <si>
    <t>52-09-0020-0075-0000_106</t>
  </si>
  <si>
    <t>52-02-0004-0081-0000_476</t>
  </si>
  <si>
    <t>52-04-0030-0056-0001_3530</t>
  </si>
  <si>
    <t>52-04-0044-0036-0000_93</t>
  </si>
  <si>
    <t>52-04-0035-0032-0000_27470</t>
  </si>
  <si>
    <t>52-04-0035-0036-0000_9999</t>
  </si>
  <si>
    <t>52-04-0016-0008-0000_14339B</t>
  </si>
  <si>
    <t>52-01-0018-0017-0006_18396</t>
  </si>
  <si>
    <t>52-09-0018-0035-0000_521</t>
  </si>
  <si>
    <t>52-04-0035-0032-0000_27470D</t>
  </si>
  <si>
    <t>52-09-0012-0014-0001_1224</t>
  </si>
  <si>
    <t>52-05-0014-0036-0000_57</t>
  </si>
  <si>
    <t>52-09-0018-0214-0000_400</t>
  </si>
  <si>
    <t>52-09-0018-0076-0000_501</t>
  </si>
  <si>
    <t>52-04-0016-0064-0004_16208</t>
  </si>
  <si>
    <t>City of New Martinsville</t>
  </si>
  <si>
    <t>52-09-0010-0007-0000</t>
  </si>
  <si>
    <t>184A HOWARD JEFFERS DR, NEW MARTINSVILLE, WV, 26155</t>
  </si>
  <si>
    <t>52-09-0018-0009-0000</t>
  </si>
  <si>
    <t>601 MAPLE AVE, NEW MARTINSVILLE, WV, 26155</t>
  </si>
  <si>
    <t>52-09-0020-0096-0000</t>
  </si>
  <si>
    <t>191 MAIN ST, NEW MARTINSVILLE, WV, 26155</t>
  </si>
  <si>
    <t>Town of Pine Grove</t>
  </si>
  <si>
    <t>Fishing Creek</t>
  </si>
  <si>
    <t>52-11-0002-0078-0000</t>
  </si>
  <si>
    <t>44 LUMBERJACK LN, PINE GROVE, WV, 26419</t>
  </si>
  <si>
    <t>52-09-0020-0096-0001</t>
  </si>
  <si>
    <t>141 MAIN ST, NEW MARTINSVILLE, WV, 26155</t>
  </si>
  <si>
    <t>52-09-0014-0001-0002</t>
  </si>
  <si>
    <t>1142 S BRIDGE ST, NEW MARTINSVILLE, WV, 26155</t>
  </si>
  <si>
    <t>Wetzel County</t>
  </si>
  <si>
    <t>52-09-0021-0122-0000</t>
  </si>
  <si>
    <t>9999 NATHAN HASSIG MEM DR, NEW MARTINSVILLE, WV, 26155</t>
  </si>
  <si>
    <t>52-09-0014-0001-0003</t>
  </si>
  <si>
    <t>225 RUSSELL AVE, NEW MARTINSVILLE, WV, 26155</t>
  </si>
  <si>
    <t>52-09-0020-0058-0000</t>
  </si>
  <si>
    <t>200 MAIN ST, NEW MARTINSVILLE, WV, 26155</t>
  </si>
  <si>
    <t>Long Drain</t>
  </si>
  <si>
    <t>52-02-0006-0029-0001</t>
  </si>
  <si>
    <t>3538 LONG DRAIN RD, LITTLETON, WV, 26581</t>
  </si>
  <si>
    <t>City of Paden City</t>
  </si>
  <si>
    <t>52-10-0001-0206-0000</t>
  </si>
  <si>
    <t>9999 W MAIN ST, PADEN CITY, WV, 26159</t>
  </si>
  <si>
    <t>52-09-0017-0051-0000</t>
  </si>
  <si>
    <t>312 NORTH ST, NEW MARTINSVILLE, WV, 26155</t>
  </si>
  <si>
    <t>Piney Fork</t>
  </si>
  <si>
    <t>52-05-0018-0002-0003</t>
  </si>
  <si>
    <t>14 GREEN LN, PINE GROVE, WV, 26419</t>
  </si>
  <si>
    <t>52-09-0020-0115-0000</t>
  </si>
  <si>
    <t>190 MAIN ST, NEW MARTINSVILLE, WV, 26155</t>
  </si>
  <si>
    <t>South Fork Fishing Creek</t>
  </si>
  <si>
    <t>52-04-0035-0032-0000</t>
  </si>
  <si>
    <t>27470C SHORTLINE HWY, FOLSOM, WV, 26348</t>
  </si>
  <si>
    <t>52-09-0018-0286-0000</t>
  </si>
  <si>
    <t>155 NORTH ST, NEW MARTINSVILLE, WV, 26155</t>
  </si>
  <si>
    <t>27470A SHORTLINE HWY, FOLSOM, WV, 26348</t>
  </si>
  <si>
    <t>27470B SHORTLINE HWY, FOLSOM, WV, 26348</t>
  </si>
  <si>
    <t>52-10-0001-0216-0000</t>
  </si>
  <si>
    <t>420 STEPHEN ST, PADEN CITY, WV, 26159</t>
  </si>
  <si>
    <t>Town of Hundred</t>
  </si>
  <si>
    <t>Church Fork</t>
  </si>
  <si>
    <t>52-06-0002-0147-0001</t>
  </si>
  <si>
    <t>3924 HORNET HWY, HUNDRED, WV, 26575</t>
  </si>
  <si>
    <t>52-05-0014-0046-0004</t>
  </si>
  <si>
    <t>12700 SHORTLINE HWY, Pine Grove, WV, 26419</t>
  </si>
  <si>
    <t>52-04-0016-9999-9999</t>
  </si>
  <si>
    <t>9999 SHORTLINE HWY, PINE GROVE, WV, 26419</t>
  </si>
  <si>
    <t>52-09-0017-0220-0000</t>
  </si>
  <si>
    <t>425 3RD ST, NEW MARTINSVILLE, WV, 26155</t>
  </si>
  <si>
    <t>52-09-0011-0004-0000</t>
  </si>
  <si>
    <t>134 N BRIDGE ST, NEW MARTINSVILLE, WV, 26155</t>
  </si>
  <si>
    <t>52-04-0022-0014-0000</t>
  </si>
  <si>
    <t>148 LANTZ LN, JACKSONBURG, WV, 26377</t>
  </si>
  <si>
    <t>52-09-0021-0077-0000</t>
  </si>
  <si>
    <t>333 FOUNDRY ST, NEW MARTINSVILLE, WV, 26155</t>
  </si>
  <si>
    <t>North Fork Fishing Creek</t>
  </si>
  <si>
    <t>52-11-0001-0104-0000</t>
  </si>
  <si>
    <t>992 NORTH FORK RD, PINE GROVE, WV, 26419</t>
  </si>
  <si>
    <t>52-09-0018-0203-0000</t>
  </si>
  <si>
    <t>400 MAIN ST, NEW MARTINSVILLE, WV, 26155</t>
  </si>
  <si>
    <t>52-09-0020-0029-0000</t>
  </si>
  <si>
    <t>160 WASHINGTON ST, New Martinsville, WV, 26155</t>
  </si>
  <si>
    <t>52-09-0016-0201-0000</t>
  </si>
  <si>
    <t>9999 McEldowney Ave, New Martinsville, WV, 26155</t>
  </si>
  <si>
    <t>52-06-0002-0121-0000</t>
  </si>
  <si>
    <t>161 PENNSYLVANIA AVE, HUNDRED, WV, 26575</t>
  </si>
  <si>
    <t>52-09-0023-0002-0000</t>
  </si>
  <si>
    <t>651 FOUNDRY ST, NEW MARTINSVILLE, WV, 26155</t>
  </si>
  <si>
    <t>210 MAIN ST, NEW MARTINSVILLE, WV, 26155</t>
  </si>
  <si>
    <t>52-05-0029-0034-0000</t>
  </si>
  <si>
    <t>43 CROWS RUN RD, READER, WV, 26167</t>
  </si>
  <si>
    <t>52-09-0020-0057-0000</t>
  </si>
  <si>
    <t>230 MAIN ST, NEW MARTINSVILLE, WV, 26155</t>
  </si>
  <si>
    <t>52-09-0011-0005-0000</t>
  </si>
  <si>
    <t>130B N BRIDGE ST, NEW MARTINSVILLE, WV, 26155</t>
  </si>
  <si>
    <t>130 N BRIDGE ST, NEW MARTINSVILLE, WV, 26155</t>
  </si>
  <si>
    <t>52-09-0015-0272-0000</t>
  </si>
  <si>
    <t>751 LOUISE LN, NEW MARTINSVILLE, WV, 26155</t>
  </si>
  <si>
    <t>52-09-0020-0039-0000</t>
  </si>
  <si>
    <t>9999 MAIN ST, NEW MARTINSVILLE, WV, 26155</t>
  </si>
  <si>
    <t>52-09-0020-0014-0000</t>
  </si>
  <si>
    <t>249 MAPLE AVE, NEW MARTINSVILLE, WV, 26155</t>
  </si>
  <si>
    <t>130F N BRIDGE ST, NEW MARTINSVILLE, WV, 26155</t>
  </si>
  <si>
    <t>130G N BRIDGE ST, NEW MARTINSVILLE, WV, 26155</t>
  </si>
  <si>
    <t>130A N BRIDGE ST, NEW MARTINSVILLE, WV, 26155</t>
  </si>
  <si>
    <t>52-09-0020-0075-0000</t>
  </si>
  <si>
    <t>106 PECAN ST, NEW MARTINSVILLE, WV, 26155</t>
  </si>
  <si>
    <t>52-02-0004-0081-0000</t>
  </si>
  <si>
    <t>476 PENNSYLVANIA AVE - 17 OFFICE, HUNDRED, WV, 26575</t>
  </si>
  <si>
    <t>Buck Run</t>
  </si>
  <si>
    <t>52-04-0030-0056-0001</t>
  </si>
  <si>
    <t>3530 MANNINGTON RD, SMITHFIELD, WV, 26437</t>
  </si>
  <si>
    <t>52-04-0044-0036-0000</t>
  </si>
  <si>
    <t>93 BUFFALO RUN RD, JACKSONBURG, WV, 26377</t>
  </si>
  <si>
    <t>27470 SHORTLINE HWY, FOLSOM, WV, 26348</t>
  </si>
  <si>
    <t>52-04-0035-0036-0000</t>
  </si>
  <si>
    <t>9999 SHORTLINE HWY, FOLSOM, WV, 26348</t>
  </si>
  <si>
    <t>52-04-0016-0008-0000</t>
  </si>
  <si>
    <t>14339B SHORTLINE HWY, Pine Grove, WV, 26419</t>
  </si>
  <si>
    <t>Blenn Run</t>
  </si>
  <si>
    <t>52-01-0018-0017-0006</t>
  </si>
  <si>
    <t>18396 MOUNTAINEER HWY, WILEYVILLE, WV, 26581</t>
  </si>
  <si>
    <t>52-09-0018-0035-0000</t>
  </si>
  <si>
    <t>521 MAPLE AVE, NEW MARTINSVILLE, WV, 26155</t>
  </si>
  <si>
    <t>27470D SHORTLINE HWY, FOLSOM, WV, 26348</t>
  </si>
  <si>
    <t>52-09-0012-0014-0001</t>
  </si>
  <si>
    <t>1224 S BRIDGE ST, NEW MARTINSVILLE, WV, 26155</t>
  </si>
  <si>
    <t>52-05-0014-0036-0000</t>
  </si>
  <si>
    <t>57 PINEY FORK RD, PINE GROVE, WV, 26419</t>
  </si>
  <si>
    <t>52-09-0018-0214-0000</t>
  </si>
  <si>
    <t>400 OHIO ST, NEW MARTINSVILLE, WV, 26155</t>
  </si>
  <si>
    <t>52-09-0018-0076-0000</t>
  </si>
  <si>
    <t>501 MAIN ST, NEW MARTINSVILLE, WV, 26155</t>
  </si>
  <si>
    <t>52-04-0016-0064-0004</t>
  </si>
  <si>
    <t>16208 SHORTLINE HWY, JACKSONBURG, WV, 26377</t>
  </si>
  <si>
    <t>SUPT. OF SCHOOLS</t>
  </si>
  <si>
    <t>CITY OF NEW MARTINSVILLE MUNICIPAL BUILDING COMMISSION</t>
  </si>
  <si>
    <t>WV NORTHERN COMM &amp; TECH COLLEGE BOARD OF GOVERNORS</t>
  </si>
  <si>
    <t>NEW MARTINSVILLE CITY OF</t>
  </si>
  <si>
    <t>NEW MARTINSVILLE PROPCO LLC</t>
  </si>
  <si>
    <t>WETZEL CO COMMISSION</t>
  </si>
  <si>
    <t>PADEN CITY TOWN OF</t>
  </si>
  <si>
    <t>DL PARKS LLC</t>
  </si>
  <si>
    <t>TENNANT HEATH L L/E BROWN KAROLYN</t>
  </si>
  <si>
    <t>WESBANCO BANK WHEELING</t>
  </si>
  <si>
    <t>COLUMBIA GAS CO</t>
  </si>
  <si>
    <t>WITSCHEY'S MARKET INC (WITSCHEY'S MARKET)</t>
  </si>
  <si>
    <t>WISSMACH PAUL GLASS CO</t>
  </si>
  <si>
    <t>UNION BANK INC</t>
  </si>
  <si>
    <t>DBO DGRP 17 LLC</t>
  </si>
  <si>
    <t>CB FINANCIAL SERVIES INC</t>
  </si>
  <si>
    <t>MENSORE J C DISTRIBUTOR INC</t>
  </si>
  <si>
    <t>WHEELING JESUIT UNIVERSITY INC</t>
  </si>
  <si>
    <t>WETZEL COUNTY BOARD OF ED GRADE SCHOOL SOUTH SIDE</t>
  </si>
  <si>
    <t>TOWN OF PINE GROVE</t>
  </si>
  <si>
    <t>TRAYHOLDINGS LLC</t>
  </si>
  <si>
    <t>NEW MARTINSVILLE CITY PUBLIC</t>
  </si>
  <si>
    <t>ANDERSON REALTY LLC</t>
  </si>
  <si>
    <t>HUNDRED VOLUNTEER FIRE COMPANY</t>
  </si>
  <si>
    <t>NEW MARTINSVILLE GREATER DEVELOPMENT CORP</t>
  </si>
  <si>
    <t>MCDIFFITT TIMOTHY LYNN MCDIFFITT MICHAEL ALLEN</t>
  </si>
  <si>
    <t>U. S. GOV'T POST OFFICE</t>
  </si>
  <si>
    <t>BRIDGE VIEW LTD PARTNERSHIP</t>
  </si>
  <si>
    <t>SAECE LLC</t>
  </si>
  <si>
    <t>PEOPLES BANKING AND TRUST CO</t>
  </si>
  <si>
    <t>CHURCH LIGHTHOUSE COMMUNITY CHURCH OF NM INC</t>
  </si>
  <si>
    <t>PRAISE CATHEDRAL FAMILY WORSHIP CENTER</t>
  </si>
  <si>
    <t>HUNDRED LIMITED PARTNERSHIP</t>
  </si>
  <si>
    <t>PRICETOWN CHURCH OF CHRIST</t>
  </si>
  <si>
    <t>JACKSONBURG VOLUNTEER FIRE DEPARTMENT</t>
  </si>
  <si>
    <t>DOMINION GATHERING &amp; PROCESSING INC</t>
  </si>
  <si>
    <t>ASCENT RESOURCES MARCELLUS MINERALS LLC</t>
  </si>
  <si>
    <t>NEW MARTINSVILLE CHRISTIAN CHU</t>
  </si>
  <si>
    <t>IRENE &amp; PERNELL LLC</t>
  </si>
  <si>
    <t>MEMORIAL BLDG</t>
  </si>
  <si>
    <t>SMITH JACOB REX</t>
  </si>
  <si>
    <t>1901</t>
  </si>
  <si>
    <t>1909</t>
  </si>
  <si>
    <t>1938</t>
  </si>
  <si>
    <t>31730</t>
  </si>
  <si>
    <t>140087</t>
  </si>
  <si>
    <t>33000</t>
  </si>
  <si>
    <t>44475</t>
  </si>
  <si>
    <t>1570</t>
  </si>
  <si>
    <t>153204</t>
  </si>
  <si>
    <t>39319</t>
  </si>
  <si>
    <t>20126</t>
  </si>
  <si>
    <t>37386</t>
  </si>
  <si>
    <t>5484</t>
  </si>
  <si>
    <t>30300</t>
  </si>
  <si>
    <t>1539</t>
  </si>
  <si>
    <t>7920</t>
  </si>
  <si>
    <t>3150</t>
  </si>
  <si>
    <t>19540</t>
  </si>
  <si>
    <t>90134</t>
  </si>
  <si>
    <t>10956</t>
  </si>
  <si>
    <t>10780</t>
  </si>
  <si>
    <t>13500</t>
  </si>
  <si>
    <t>3584</t>
  </si>
  <si>
    <t>25541</t>
  </si>
  <si>
    <t>2928</t>
  </si>
  <si>
    <t>7001</t>
  </si>
  <si>
    <t>12015</t>
  </si>
  <si>
    <t>11080</t>
  </si>
  <si>
    <t>7852</t>
  </si>
  <si>
    <t>4512</t>
  </si>
  <si>
    <t>11000</t>
  </si>
  <si>
    <t>13326</t>
  </si>
  <si>
    <t>13800</t>
  </si>
  <si>
    <t>14757</t>
  </si>
  <si>
    <t>7695</t>
  </si>
  <si>
    <t>7376</t>
  </si>
  <si>
    <t>8389</t>
  </si>
  <si>
    <t>12616</t>
  </si>
  <si>
    <t>6484</t>
  </si>
  <si>
    <t>12132</t>
  </si>
  <si>
    <t>2501</t>
  </si>
  <si>
    <t>5340</t>
  </si>
  <si>
    <t>1670</t>
  </si>
  <si>
    <t>1640</t>
  </si>
  <si>
    <t>1630</t>
  </si>
  <si>
    <t>1600</t>
  </si>
  <si>
    <t>10148</t>
  </si>
  <si>
    <t>1500</t>
  </si>
  <si>
    <t>6798</t>
  </si>
  <si>
    <t>8748</t>
  </si>
  <si>
    <t>2688</t>
  </si>
  <si>
    <t>Benwood</t>
  </si>
  <si>
    <t>Cameron</t>
  </si>
  <si>
    <t>Glen Dale</t>
  </si>
  <si>
    <t>Marshall County*</t>
  </si>
  <si>
    <t>Moundsville</t>
  </si>
  <si>
    <t>Ohio County*</t>
  </si>
  <si>
    <t>New Martinsville</t>
  </si>
  <si>
    <t>Pine Grove</t>
  </si>
  <si>
    <t>Wetzel County*</t>
  </si>
  <si>
    <t>* Unincorporated</t>
  </si>
  <si>
    <t>** Split Community</t>
  </si>
  <si>
    <t>Wheeling**</t>
  </si>
  <si>
    <t>35-10-0W78-0351-0000_3700</t>
  </si>
  <si>
    <t>35-10-0W42-0254-0000_91</t>
  </si>
  <si>
    <t>35-10-0W47-0170-0000_1228</t>
  </si>
  <si>
    <t>35-10-0W78-0041-0000_3500</t>
  </si>
  <si>
    <t>35-10-0W39-0075-0000_1</t>
  </si>
  <si>
    <t>35-10-W50D-0013-0001_1401</t>
  </si>
  <si>
    <t>35-10-W50D-0079-0000_1</t>
  </si>
  <si>
    <t>35-10-0W59-0002-0000_1704</t>
  </si>
  <si>
    <t>35-10-0W72-0002-0000_2801</t>
  </si>
  <si>
    <t>35-10-0W58-0022-0000_2121</t>
  </si>
  <si>
    <t>35-10-W50D-0013-0003_1515</t>
  </si>
  <si>
    <t>35-10-0W59-0010-0000_9999</t>
  </si>
  <si>
    <t>35-10-0W58-0001-0000_1</t>
  </si>
  <si>
    <t>35-10-0W39-0023-0000_795</t>
  </si>
  <si>
    <t>35-10-0W84-0025-0000_3900</t>
  </si>
  <si>
    <t>35-10-0W47-0165-0000_1276</t>
  </si>
  <si>
    <t>35-10-W50D-0008-0001_1233</t>
  </si>
  <si>
    <t>35-10-W50D-0054-0000_1400</t>
  </si>
  <si>
    <t>35-10-W50D-0078-0000_1403</t>
  </si>
  <si>
    <t>35-10-0W58-0102-0000_2</t>
  </si>
  <si>
    <t>35-10-0W46-0002-0000_200</t>
  </si>
  <si>
    <t>35-10-0W58-0033-0000_92001</t>
  </si>
  <si>
    <t>35-10-0W47-0168-0000_21</t>
  </si>
  <si>
    <t>35-10-0W58-0104-0000_1535</t>
  </si>
  <si>
    <t>35-10-0W59-0482-0000_70</t>
  </si>
  <si>
    <t>35-10-0W50-0243-0000_200</t>
  </si>
  <si>
    <t>35-10-0W82-0118-0000_8</t>
  </si>
  <si>
    <t>35-10-W50B-0035-0000_1143</t>
  </si>
  <si>
    <t>35-10-0W38-0088-0000_519</t>
  </si>
  <si>
    <t>35-10-0W58-0001-0000_5</t>
  </si>
  <si>
    <t>35-10-0W88-0024-0000_1</t>
  </si>
  <si>
    <t>35-10-0W13-0002-0001_141</t>
  </si>
  <si>
    <t>35-10-W50D-0114-0000_1530</t>
  </si>
  <si>
    <t>35-10-0W65-0025-0000_2501</t>
  </si>
  <si>
    <t>35-10-0W59-0411-0000_92</t>
  </si>
  <si>
    <t>35-10-0W59-0482-0003_1721</t>
  </si>
  <si>
    <t>35-10-W50B-0053-0000_1144</t>
  </si>
  <si>
    <t>35-10-0W36-0099-0008_6</t>
  </si>
  <si>
    <t>35-10-0W78-0253-0000_3618</t>
  </si>
  <si>
    <t>35-10-0W58-0181-0000_35</t>
  </si>
  <si>
    <t>35-10-0W65-0011-0000_2516</t>
  </si>
  <si>
    <t>35-10-0W58-0092-0000_2006</t>
  </si>
  <si>
    <t>35-10-0W82-0118-0010_10</t>
  </si>
  <si>
    <t>35-10-0W58-0093-0000_2000</t>
  </si>
  <si>
    <t>35-10-0W84-0050-0000_4201</t>
  </si>
  <si>
    <t>35-10-0W13-0005-0000_211</t>
  </si>
  <si>
    <t>35-10-0W58-0105-0000_8</t>
  </si>
  <si>
    <t>35-10-0W78-0366-0000_42</t>
  </si>
  <si>
    <t>35-10-0W36-0099-0002_8</t>
  </si>
  <si>
    <t>35-10-0W38-0095-0000_420</t>
  </si>
  <si>
    <t>35-10-0W82-0118-0001_1</t>
  </si>
  <si>
    <t>35-10-0W47-0160-0000_45</t>
  </si>
  <si>
    <t>35-10-0W72-0267-0000_61</t>
  </si>
  <si>
    <t>35-10-0W38-0177-0000_620</t>
  </si>
  <si>
    <t>35-10-0W58-0019-0000_2</t>
  </si>
  <si>
    <t>35-10-0W39-0040-0000_875</t>
  </si>
  <si>
    <t>35-10-0W11-0001-0000_801</t>
  </si>
  <si>
    <t>35-10-0W42-0099-0000_21</t>
  </si>
  <si>
    <t>35-10-0W47-0169-0000_1232</t>
  </si>
  <si>
    <t>35-10-0W37-0021-0000_246</t>
  </si>
  <si>
    <t>35-10-0W49-0035-0000_111</t>
  </si>
  <si>
    <t>35-10-0W39-0031-0000_808</t>
  </si>
  <si>
    <t>35-10-0W42-0044-0000_11</t>
  </si>
  <si>
    <t>35-10-W50D-0060-0000_1500</t>
  </si>
  <si>
    <t>35-10-0W38-0122-0000_590</t>
  </si>
  <si>
    <t>35-10-0W78-0124-0000_3333</t>
  </si>
  <si>
    <t>35-10-0W65-0128-0001_2250</t>
  </si>
  <si>
    <t>35-10-0W58-0075-0000_2200</t>
  </si>
  <si>
    <t>35-10-00W7-0003-0000_170</t>
  </si>
  <si>
    <t>35-10-0W65-0018-0000_2350A</t>
  </si>
  <si>
    <t>35-10-0W77-0018-0000_82</t>
  </si>
  <si>
    <t>35-10-0W37-0061-0000_430</t>
  </si>
  <si>
    <t>35-08-0VG9-0094-0000_356</t>
  </si>
  <si>
    <t>35-10-0W36-0107-0000_431</t>
  </si>
  <si>
    <t>35-10-0W84-0252-0000_9999</t>
  </si>
  <si>
    <t>35-10-0W30-0059-0000_324</t>
  </si>
  <si>
    <t>35-10-0W50-0104-0000_200</t>
  </si>
  <si>
    <t>35-10-0W78-0138-0000_3536</t>
  </si>
  <si>
    <t>35-10-W50D-0088-0000_1225</t>
  </si>
  <si>
    <t>35-10-W50B-0038-0000_1145</t>
  </si>
  <si>
    <t>35-10-0W32-0150-0000_23</t>
  </si>
  <si>
    <t>35-10-0W84-0042-0000_9999</t>
  </si>
  <si>
    <t>35-09-WL10-0004-0000_1120</t>
  </si>
  <si>
    <t>35-10-0W59-0315-0000_1803</t>
  </si>
  <si>
    <t>35-10-0W39-0037-0000_855</t>
  </si>
  <si>
    <t>35-10-0W45-0071-0000_680</t>
  </si>
  <si>
    <t>35-10-0W42-0192-0001_111</t>
  </si>
  <si>
    <t>35-10-0W13-0017-0000_328</t>
  </si>
  <si>
    <t>35-10-0W30-0048-0000_225</t>
  </si>
  <si>
    <t>35-10-0W12-0023-0000_128</t>
  </si>
  <si>
    <t>35-10-0W88-0178-0000_30</t>
  </si>
  <si>
    <t>35-10-W50D-0069-0001_1503</t>
  </si>
  <si>
    <t>Town of West Liberty</t>
  </si>
  <si>
    <t>35-10-0W78-0351-0000</t>
  </si>
  <si>
    <t>35-10-0W42-0254-0000</t>
  </si>
  <si>
    <t>35-10-0W47-0170-0000</t>
  </si>
  <si>
    <t>35-10-0W78-0041-0000</t>
  </si>
  <si>
    <t>35-10-0W39-0075-0000</t>
  </si>
  <si>
    <t>35-10-W50D-0013-0001</t>
  </si>
  <si>
    <t>35-10-W50D-0079-0000</t>
  </si>
  <si>
    <t>35-10-0W59-0002-0000</t>
  </si>
  <si>
    <t>35-10-0W72-0002-0000</t>
  </si>
  <si>
    <t>35-10-0W58-0022-0000</t>
  </si>
  <si>
    <t>35-10-W50D-0013-0003</t>
  </si>
  <si>
    <t>35-10-0W59-0010-0000</t>
  </si>
  <si>
    <t>35-10-0W58-0001-0000</t>
  </si>
  <si>
    <t>35-10-0W39-0023-0000</t>
  </si>
  <si>
    <t>35-10-0W84-0025-0000</t>
  </si>
  <si>
    <t>35-10-0W47-0165-0000</t>
  </si>
  <si>
    <t>35-10-W50D-0008-0001</t>
  </si>
  <si>
    <t>35-10-W50D-0054-0000</t>
  </si>
  <si>
    <t>35-10-W50D-0078-0000</t>
  </si>
  <si>
    <t>35-10-0W58-0102-0000</t>
  </si>
  <si>
    <t>35-10-0W46-0002-0000</t>
  </si>
  <si>
    <t>35-10-0W58-0033-0000</t>
  </si>
  <si>
    <t>35-10-0W47-0168-0000</t>
  </si>
  <si>
    <t>35-10-0W58-0104-0000</t>
  </si>
  <si>
    <t>35-10-0W59-0482-0000</t>
  </si>
  <si>
    <t>35-10-0W50-0243-0000</t>
  </si>
  <si>
    <t>35-10-0W82-0118-0000</t>
  </si>
  <si>
    <t>35-10-W50B-0035-0000</t>
  </si>
  <si>
    <t>35-10-0W38-0088-0000</t>
  </si>
  <si>
    <t>35-10-0W88-0024-0000</t>
  </si>
  <si>
    <t>35-10-0W13-0002-0001</t>
  </si>
  <si>
    <t>35-10-W50D-0114-0000</t>
  </si>
  <si>
    <t>35-10-0W65-0025-0000</t>
  </si>
  <si>
    <t>35-10-0W59-0411-0000</t>
  </si>
  <si>
    <t>35-10-0W59-0482-0003</t>
  </si>
  <si>
    <t>35-10-W50B-0053-0000</t>
  </si>
  <si>
    <t>35-10-0W36-0099-0008</t>
  </si>
  <si>
    <t>35-10-0W78-0253-0000</t>
  </si>
  <si>
    <t>35-10-0W58-0181-0000</t>
  </si>
  <si>
    <t>35-10-0W65-0011-0000</t>
  </si>
  <si>
    <t>35-10-0W58-0092-0000</t>
  </si>
  <si>
    <t>35-10-0W82-0118-0010</t>
  </si>
  <si>
    <t>35-10-0W58-0093-0000</t>
  </si>
  <si>
    <t>35-10-0W84-0050-0000</t>
  </si>
  <si>
    <t>35-10-0W13-0005-0000</t>
  </si>
  <si>
    <t>35-10-0W58-0105-0000</t>
  </si>
  <si>
    <t>35-10-0W78-0366-0000</t>
  </si>
  <si>
    <t>35-10-0W36-0099-0002</t>
  </si>
  <si>
    <t>35-10-0W38-0095-0000</t>
  </si>
  <si>
    <t>35-10-0W82-0118-0001</t>
  </si>
  <si>
    <t>35-10-0W47-0160-0000</t>
  </si>
  <si>
    <t>35-10-0W72-0267-0000</t>
  </si>
  <si>
    <t>35-10-0W38-0177-0000</t>
  </si>
  <si>
    <t>35-10-0W58-0019-0000</t>
  </si>
  <si>
    <t>35-10-0W39-0040-0000</t>
  </si>
  <si>
    <t>35-10-0W11-0001-0000</t>
  </si>
  <si>
    <t>35-10-0W42-0099-0000</t>
  </si>
  <si>
    <t>35-10-0W47-0169-0000</t>
  </si>
  <si>
    <t>35-10-0W37-0021-0000</t>
  </si>
  <si>
    <t>35-10-0W49-0035-0000</t>
  </si>
  <si>
    <t>35-10-0W39-0031-0000</t>
  </si>
  <si>
    <t>35-10-0W42-0044-0000</t>
  </si>
  <si>
    <t>35-10-W50D-0060-0000</t>
  </si>
  <si>
    <t>35-10-0W38-0122-0000</t>
  </si>
  <si>
    <t>35-10-0W78-0124-0000</t>
  </si>
  <si>
    <t>35-10-0W65-0128-0001</t>
  </si>
  <si>
    <t>35-10-0W58-0075-0000</t>
  </si>
  <si>
    <t>35-10-00W7-0003-0000</t>
  </si>
  <si>
    <t>35-10-0W65-0018-0000</t>
  </si>
  <si>
    <t>35-10-0W77-0018-0000</t>
  </si>
  <si>
    <t>35-10-0W37-0061-0000</t>
  </si>
  <si>
    <t>35-08-0VG9-0094-0000</t>
  </si>
  <si>
    <t>35-10-0W36-0107-0000</t>
  </si>
  <si>
    <t>35-10-0W84-0252-0000</t>
  </si>
  <si>
    <t>35-10-0W30-0059-0000</t>
  </si>
  <si>
    <t>35-10-0W50-0104-0000</t>
  </si>
  <si>
    <t>35-10-0W78-0138-0000</t>
  </si>
  <si>
    <t>35-10-W50D-0088-0000</t>
  </si>
  <si>
    <t>35-10-W50B-0038-0000</t>
  </si>
  <si>
    <t>35-10-0W32-0150-0000</t>
  </si>
  <si>
    <t>35-10-0W84-0042-0000</t>
  </si>
  <si>
    <t>35-09-WL10-0004-0000</t>
  </si>
  <si>
    <t>35-10-0W59-0315-0000</t>
  </si>
  <si>
    <t>35-10-0W39-0037-0000</t>
  </si>
  <si>
    <t>35-10-0W45-0071-0000</t>
  </si>
  <si>
    <t>35-10-0W42-0192-0001</t>
  </si>
  <si>
    <t>35-10-0W13-0017-0000</t>
  </si>
  <si>
    <t>35-10-0W30-0048-0000</t>
  </si>
  <si>
    <t>35-10-0W12-0023-0000</t>
  </si>
  <si>
    <t>35-10-0W88-0178-0000</t>
  </si>
  <si>
    <t>35-10-W50D-0069-0001</t>
  </si>
  <si>
    <t>3700 WOOD ST, WHEELING, WV, 26003</t>
  </si>
  <si>
    <t>91 ZANE ST, WHEELING, WV, 26003</t>
  </si>
  <si>
    <t>1228 NATIONAL RD, WHEELING, WV, 26003</t>
  </si>
  <si>
    <t>3500 CHAPLINE ST, WHEELING, WV, 26003</t>
  </si>
  <si>
    <t>1 BETHANY PKE, WHEELING, WV, 26003</t>
  </si>
  <si>
    <t>1401 MAIN ST, WHEELING, WV, 26003</t>
  </si>
  <si>
    <t>1 BANK PLAZA, WHEELING, WV, 26003</t>
  </si>
  <si>
    <t>1704 MARKET ST, WHEELING, WV, 26003</t>
  </si>
  <si>
    <t>2801 CHAPLINE ST, WHEELING, WV, 26003</t>
  </si>
  <si>
    <t>2121 MAIN ST, WHEELING, WV, 26003</t>
  </si>
  <si>
    <t>1515 MAIN ST, WHEELING, WV, 26003</t>
  </si>
  <si>
    <t>9999 CHAPLINE ST, WHEELING, WV, 26003</t>
  </si>
  <si>
    <t>1 STONE ST, WHEELING, WV, 26003</t>
  </si>
  <si>
    <t>795 NATIONAL RD, WHEELING, WV, 26003</t>
  </si>
  <si>
    <t>3900 WATER ST, WHEELING, WV, 26003</t>
  </si>
  <si>
    <t>1276 NATIONAL RD, WHEELING, WV, 26003</t>
  </si>
  <si>
    <t>1233 MAIN ST, WHEELING, WV, 26003</t>
  </si>
  <si>
    <t>1400 MAIN ST, WHEELING, WV, 26003</t>
  </si>
  <si>
    <t>1403 MARKET ST, WHEELING, WV, 26003</t>
  </si>
  <si>
    <t>2 16TH ST, WHEELING, WV, 26003</t>
  </si>
  <si>
    <t>200 MOUNT DE CHANTAL RD, WHEELING, WV, 26003</t>
  </si>
  <si>
    <t>92001 MAIN ST, WHEELING, WV, 26003</t>
  </si>
  <si>
    <t>21 WASHINGTON AVE, WHEELING, WV, 26003</t>
  </si>
  <si>
    <t>1535 MARKET ST, WHEELING, WV, 26003</t>
  </si>
  <si>
    <t>70 20TH ST, WHEELING, WV, 26003</t>
  </si>
  <si>
    <t>200 S FRONT ST, WHEELING, WV, 26003</t>
  </si>
  <si>
    <t>8 ELM GROVE XING, WHEELING, WV, 26003</t>
  </si>
  <si>
    <t>1143 MAIN ST, WHEELING, WV, 26003</t>
  </si>
  <si>
    <t>519 FULTON ST, WHEELING, WV, 26003</t>
  </si>
  <si>
    <t>5 STONE ST, WHEELING, WV, 26003</t>
  </si>
  <si>
    <t>1 48TH ST, WHEELING, WV, 26003</t>
  </si>
  <si>
    <t>141 WARWOOD AVE, WHEELING, WV, 26003</t>
  </si>
  <si>
    <t>1530 MARKET ST, WHEELING, WV, 26003</t>
  </si>
  <si>
    <t>2501 CHAPLINE ST, WHEELING, WV, 26003</t>
  </si>
  <si>
    <t>92 19TH ST, WHEELING, WV, 26003</t>
  </si>
  <si>
    <t>1721 WETZEL ST, WHEELING, WV, 26003</t>
  </si>
  <si>
    <t>1144 MAIN ST, WHEELING, WV, 26003</t>
  </si>
  <si>
    <t>6 5TH ST, WHEELING, WV, 26003</t>
  </si>
  <si>
    <t>3618 JACOB ST, WHEELING, WV, 26003</t>
  </si>
  <si>
    <t>35 20TH ST, WHEELING, WV, 26003</t>
  </si>
  <si>
    <t>2516 MAIN ST, WHEELING, WV, 26003</t>
  </si>
  <si>
    <t>2006 MAIN ST, WHEELING, WV, 26003</t>
  </si>
  <si>
    <t>10 ELM GROVE XING, WHEELING, WV, 26003</t>
  </si>
  <si>
    <t>2000 MAIN ST, WHEELING, WV, 26003</t>
  </si>
  <si>
    <t>4201 JACOB ST, WHEELING, WV, 26003</t>
  </si>
  <si>
    <t>211 WARWOOD AVE, WHEELING, WV, 26003</t>
  </si>
  <si>
    <t>8 16TH ST, WHEELING, WV, 26003</t>
  </si>
  <si>
    <t>42 38TH ST, WHEELING, WV, 26003</t>
  </si>
  <si>
    <t>8 5TH ST, WHEELING, WV, 26003</t>
  </si>
  <si>
    <t>420 FULTON ST, WHEELING, WV, 26003</t>
  </si>
  <si>
    <t>1 ELM GROVE XING, WHEELING, WV, 26003</t>
  </si>
  <si>
    <t>45 WASHINGTON AVE, WHEELING, WV, 26003</t>
  </si>
  <si>
    <t>61 29TH ST, WHEELING, WV, 26003</t>
  </si>
  <si>
    <t>620 NATIONAL RD, WHEELING, WV, 26003</t>
  </si>
  <si>
    <t>2 22ND ST, WHEELING, WV, 26003</t>
  </si>
  <si>
    <t>875 NATIONAL RD, WHEELING, WV, 26003</t>
  </si>
  <si>
    <t>801 HAZLETT AVE, WHEELING, WV, 26003</t>
  </si>
  <si>
    <t>21 S HURON ST, WHEELING, WV, 26003</t>
  </si>
  <si>
    <t>1232 NATIONAL RD, WHEELING, WV, 26003</t>
  </si>
  <si>
    <t>246 FULTON ST, WHEELING, WV, 26003</t>
  </si>
  <si>
    <t>111 S BROADWAY ST, WHEELING, WV, 26003</t>
  </si>
  <si>
    <t>808 NATIONAL RD, WHEELING, WV, 26003</t>
  </si>
  <si>
    <t>11 N WABASH ST, WHEELING, WV, 26003</t>
  </si>
  <si>
    <t>1500 MAIN ST, WHEELING, WV, 26003</t>
  </si>
  <si>
    <t>590 NATIONAL RD, WHEELING, WV, 26003</t>
  </si>
  <si>
    <t>3333 EOFF ST, WHEELING, WV, 26003</t>
  </si>
  <si>
    <t>2250 MARKET ST, WHEELING, WV, 26003</t>
  </si>
  <si>
    <t>2200 MAIN ST, WHEELING, WV, 26003</t>
  </si>
  <si>
    <t>170 N 17TH ST, WHEELING, WV, 26003</t>
  </si>
  <si>
    <t>2350A MAIN ST, WHEELING, WV, 26003</t>
  </si>
  <si>
    <t>82 BURKHAM CT, WHEELING, WV, 26003</t>
  </si>
  <si>
    <t>430 NATIONAL RD, WHEELING, WV, 26003</t>
  </si>
  <si>
    <t>356 FIREHOUSE LN, VALLEY GROVE, WV, 26060</t>
  </si>
  <si>
    <t>431 WEST ST, WHEELING, WV, 26003</t>
  </si>
  <si>
    <t>9999 WOOD ST, WHEELING, WV, 26003</t>
  </si>
  <si>
    <t>324 NATIONAL RD, WHEELING, WV, 26003</t>
  </si>
  <si>
    <t>200 S PENN ST, WHEELING, WV, 26003</t>
  </si>
  <si>
    <t>3536 EOFF ST, WHEELING, WV, 26003</t>
  </si>
  <si>
    <t>1225 MARKET ST, WHEELING, WV, 26003</t>
  </si>
  <si>
    <t>1145 MAIN ST, WHEELING, WV, 26003</t>
  </si>
  <si>
    <t>23 BETHANY PKE, WHEELING, WV, 26003</t>
  </si>
  <si>
    <t>9999 WATER ST, WHEELING, WV, 26003</t>
  </si>
  <si>
    <t>1120 N FORK RD, WEST LIBERTY, WV, 26003</t>
  </si>
  <si>
    <t>1803 EOFF ST, WHEELING, WV, 26003</t>
  </si>
  <si>
    <t>855 NATIONAL RD, WHEELING, WV, 26003</t>
  </si>
  <si>
    <t>680 NATIONAL RD, WHEELING, WV, 26003</t>
  </si>
  <si>
    <t>111 N YORK ST, WHEELING, WV, 26003</t>
  </si>
  <si>
    <t>328 HAZLETT AVE, WHEELING, WV, 26003</t>
  </si>
  <si>
    <t>225 MCCOLLOCH ST, WHEELING, WV, 26003</t>
  </si>
  <si>
    <t>128 N 7TH ST, WHEELING, WV, 26003</t>
  </si>
  <si>
    <t>30 47TH ST, WHEELING, WV, 26003</t>
  </si>
  <si>
    <t>1503 MARKET ST, WHEELING, WV, 26003</t>
  </si>
  <si>
    <t>35-10-0W78-0283-0000_3741</t>
  </si>
  <si>
    <t>35-10-0W39-0034-0000_835</t>
  </si>
  <si>
    <t>35-10-0W39-0186-0000_836</t>
  </si>
  <si>
    <t>35-10-0W39-0072-0000_19</t>
  </si>
  <si>
    <t>35-10-0W47-0194-0000_5</t>
  </si>
  <si>
    <t>35-10-0W38-0109-0000_526</t>
  </si>
  <si>
    <t>35-10-0W65-0300-0000_2600</t>
  </si>
  <si>
    <t>35-10-0W39-0062-0000_21</t>
  </si>
  <si>
    <t>35-10-0W58-0157-0000_2200</t>
  </si>
  <si>
    <t>35-06-0T14-0060-0000_928</t>
  </si>
  <si>
    <t>35-10-0W42-0312-0000_118</t>
  </si>
  <si>
    <t>35-10-0W39-0058-0000_24</t>
  </si>
  <si>
    <t>35-10-0W46-0026-0000_146</t>
  </si>
  <si>
    <t>35-10-0W65-0017-0000_2300</t>
  </si>
  <si>
    <t>35-10-0W59-0006-0000_44</t>
  </si>
  <si>
    <t>35-10-W50D-0061-0000_1502</t>
  </si>
  <si>
    <t>35-10-0W65-0020-0000_2600</t>
  </si>
  <si>
    <t>35-10-0W84-0043-0000_4135</t>
  </si>
  <si>
    <t>35-10-0W72-0023-0001_3101</t>
  </si>
  <si>
    <t>OHIO COUNTY</t>
  </si>
  <si>
    <t>35-10-0W78-0283-0000</t>
  </si>
  <si>
    <t>35-10-0W39-0034-0000</t>
  </si>
  <si>
    <t>35-10-0W39-0072-0000</t>
  </si>
  <si>
    <t>35-10-0W47-0194-0000</t>
  </si>
  <si>
    <t>35-10-0W38-0109-0000</t>
  </si>
  <si>
    <t>35-10-0W65-0300-0000</t>
  </si>
  <si>
    <t>35-10-0W39-0062-0000</t>
  </si>
  <si>
    <t>35-10-0W58-0157-0000</t>
  </si>
  <si>
    <t>35-06-0T14-0060-0000</t>
  </si>
  <si>
    <t>35-10-0W42-0312-0000</t>
  </si>
  <si>
    <t>35-10-0W39-0058-0000</t>
  </si>
  <si>
    <t>35-10-0W65-0017-0000</t>
  </si>
  <si>
    <t>35-10-0W59-0006-0000</t>
  </si>
  <si>
    <t>35-10-W50D-0061-0000</t>
  </si>
  <si>
    <t>35-10-0W65-0020-0000</t>
  </si>
  <si>
    <t>35-10-0W84-0043-0000</t>
  </si>
  <si>
    <t>35-10-0W72-0023-0001</t>
  </si>
  <si>
    <t>3741 WOOD ST, WHEELING, WV, 26003</t>
  </si>
  <si>
    <t>835 NATIONAL RD, WHEELING, WV, 26003</t>
  </si>
  <si>
    <t>836 NATIONAL RD, WHEELING, WV, 26003</t>
  </si>
  <si>
    <t>19 BETHANY PKE, WHEELING, WV, 26003</t>
  </si>
  <si>
    <t>5 LINDEN AVE, WHEELING, WV, 26003</t>
  </si>
  <si>
    <t>526 FULTON ST, WHEELING, WV, 26003</t>
  </si>
  <si>
    <t>2600 CHAPLINE ST, WHEELING, WV, 26003</t>
  </si>
  <si>
    <t>21 BETHANY PKE, WHEELING, WV, 26003</t>
  </si>
  <si>
    <t>2200 MARKET ST, WHEELING, WV, 26003</t>
  </si>
  <si>
    <t>928 WILDLIFE RD, VALLEY GROVE, WV, 26060</t>
  </si>
  <si>
    <t>118 ZANE ST, WHEELING, WV, 26003</t>
  </si>
  <si>
    <t>24 HOMESTEAD AVE, WHEELING, WV, 26003</t>
  </si>
  <si>
    <t>146 LEATHERWOOD LN, WHEELING, WV, 26003</t>
  </si>
  <si>
    <t>2300 MAIN ST, WHEELING, WV, 26003</t>
  </si>
  <si>
    <t>44 16TH ST, WHEELING, WV, 26003</t>
  </si>
  <si>
    <t>1502 MAIN ST, WHEELING, WV, 26003</t>
  </si>
  <si>
    <t>2600 MAIN ST, WHEELING, WV, 26003</t>
  </si>
  <si>
    <t>4135 JACOB ST, WHEELING, WV, 26003</t>
  </si>
  <si>
    <t>3101 CHAPLINE ST, WHEELING, WV, 26003</t>
  </si>
  <si>
    <t>JOSEPH DANIEL &amp; DEBORAH</t>
  </si>
  <si>
    <t>ST PAULS PROTESTANT EPISCOPAL CHURCH TRUSTEES</t>
  </si>
  <si>
    <t>FAINI JOHN P &amp; SHARON H</t>
  </si>
  <si>
    <t>PRZYBYSZ KATHRYN ANN</t>
  </si>
  <si>
    <t>EL TOR GROTTO</t>
  </si>
  <si>
    <t>P&amp;G REALTY LLC</t>
  </si>
  <si>
    <t>STAMP FREDERICK P JR &amp; J C</t>
  </si>
  <si>
    <t>FIRST NATIONAL BANK &amp; TR CO</t>
  </si>
  <si>
    <t>CENTER MARKET HOUSE</t>
  </si>
  <si>
    <t>WINEMAN KATHIE B &amp; LONNIE J</t>
  </si>
  <si>
    <t>MORGANS FOODS INC</t>
  </si>
  <si>
    <t>WOOD VIC DR INC</t>
  </si>
  <si>
    <t>FIRST NATIONAL BANK</t>
  </si>
  <si>
    <t>CAS-ROB COMPANY LLC</t>
  </si>
  <si>
    <t>MANUFACTURERS LIGHT &amp; HEAT CO BUILDING LLC</t>
  </si>
  <si>
    <t>MCCANN DISTRIBUTING INC</t>
  </si>
  <si>
    <t>WHEELING COIN LLC</t>
  </si>
  <si>
    <t>1913</t>
  </si>
  <si>
    <t>1922</t>
  </si>
  <si>
    <t>1912</t>
  </si>
  <si>
    <t>1853</t>
  </si>
  <si>
    <t>13920</t>
  </si>
  <si>
    <t>5808</t>
  </si>
  <si>
    <t>2183</t>
  </si>
  <si>
    <t>6629</t>
  </si>
  <si>
    <t>3993</t>
  </si>
  <si>
    <t>4306</t>
  </si>
  <si>
    <t>11800</t>
  </si>
  <si>
    <t>13167</t>
  </si>
  <si>
    <t>4554</t>
  </si>
  <si>
    <t>3752</t>
  </si>
  <si>
    <t>9768</t>
  </si>
  <si>
    <t>2907</t>
  </si>
  <si>
    <t>3497</t>
  </si>
  <si>
    <t>4500</t>
  </si>
  <si>
    <t>5660</t>
  </si>
  <si>
    <t>799</t>
  </si>
  <si>
    <t>21090</t>
  </si>
  <si>
    <t>17666</t>
  </si>
  <si>
    <t>6600</t>
  </si>
  <si>
    <t>8840</t>
  </si>
  <si>
    <t>21656</t>
  </si>
  <si>
    <t>(Higher than $2,000,000)</t>
  </si>
  <si>
    <t>(Higher than $500,000)</t>
  </si>
  <si>
    <t>Hundred</t>
  </si>
  <si>
    <t>Paden City**</t>
  </si>
  <si>
    <t>52-02-0004-0044-0000_165</t>
  </si>
  <si>
    <t>52-02-0004-0044-0000</t>
  </si>
  <si>
    <t>165 CARNEGIE LN, HUNDRED, WV, 26575</t>
  </si>
  <si>
    <t>WHITLATCH CLARENCE &amp; IRENE</t>
  </si>
  <si>
    <t>New utility changes applied manually on 12/7/2021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</si>
</sst>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"/>
    <numFmt numFmtId="166" formatCode="0.0%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3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/>
    <xf numFmtId="0" fontId="0" fillId="0" borderId="1" xfId="0" applyBorder="1"/>
    <xf numFmtId="0" fontId="0" fillId="3" borderId="1" xfId="0" applyFill="1" applyBorder="1"/>
    <xf numFmtId="0" fontId="0" fillId="2" borderId="1" xfId="0" applyFill="1" applyBorder="1"/>
    <xf numFmtId="0" fontId="5" fillId="5" borderId="0" xfId="0" applyFont="1" applyFill="1"/>
    <xf numFmtId="0" fontId="0" fillId="6" borderId="0" xfId="0" applyFill="1"/>
    <xf numFmtId="0" fontId="0" fillId="0" borderId="0" xfId="0" applyAlignment="1">
      <alignment horizontal="center"/>
    </xf>
    <xf numFmtId="164" fontId="0" fillId="4" borderId="0" xfId="2" applyNumberFormat="1" applyFont="1" applyFill="1"/>
    <xf numFmtId="165" fontId="0" fillId="0" borderId="0" xfId="0" applyNumberFormat="1" applyAlignment="1">
      <alignment horizontal="center"/>
    </xf>
    <xf numFmtId="9" fontId="0" fillId="0" borderId="0" xfId="3" applyFont="1" applyAlignment="1">
      <alignment horizontal="center"/>
    </xf>
    <xf numFmtId="164" fontId="0" fillId="0" borderId="0" xfId="2" applyNumberFormat="1" applyFont="1"/>
    <xf numFmtId="14" fontId="0" fillId="0" borderId="0" xfId="0" applyNumberFormat="1" applyAlignment="1">
      <alignment horizontal="left"/>
    </xf>
    <xf numFmtId="0" fontId="6" fillId="0" borderId="0" xfId="0" applyFont="1"/>
    <xf numFmtId="0" fontId="7" fillId="6" borderId="0" xfId="0" applyFont="1" applyFill="1" applyAlignment="1">
      <alignment horizontal="center"/>
    </xf>
    <xf numFmtId="0" fontId="3" fillId="0" borderId="0" xfId="1" applyAlignment="1" applyProtection="1"/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1" applyAlignment="1" applyProtection="1">
      <alignment horizontal="center"/>
    </xf>
    <xf numFmtId="0" fontId="0" fillId="0" borderId="0" xfId="0" applyFont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164" fontId="2" fillId="4" borderId="1" xfId="2" applyNumberFormat="1" applyFont="1" applyFill="1" applyBorder="1" applyAlignment="1">
      <alignment horizontal="center" vertical="center" wrapText="1"/>
    </xf>
    <xf numFmtId="164" fontId="0" fillId="0" borderId="1" xfId="2" applyNumberFormat="1" applyFont="1" applyBorder="1" applyAlignment="1">
      <alignment horizontal="center" vertical="center" wrapText="1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0" fontId="3" fillId="0" borderId="1" xfId="1" applyBorder="1" applyAlignment="1">
      <alignment horizontal="center"/>
    </xf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/>
    </xf>
    <xf numFmtId="0" fontId="9" fillId="0" borderId="1" xfId="0" applyFont="1" applyBorder="1"/>
    <xf numFmtId="165" fontId="0" fillId="0" borderId="1" xfId="0" applyNumberFormat="1" applyFill="1" applyBorder="1" applyAlignment="1">
      <alignment horizontal="center" vertical="center" wrapText="1"/>
    </xf>
    <xf numFmtId="166" fontId="0" fillId="0" borderId="1" xfId="3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64" fontId="9" fillId="4" borderId="1" xfId="2" applyNumberFormat="1" applyFont="1" applyFill="1" applyBorder="1"/>
    <xf numFmtId="165" fontId="9" fillId="0" borderId="1" xfId="0" applyNumberFormat="1" applyFont="1" applyFill="1" applyBorder="1" applyAlignment="1">
      <alignment horizontal="center"/>
    </xf>
    <xf numFmtId="166" fontId="9" fillId="0" borderId="1" xfId="3" applyNumberFormat="1" applyFont="1" applyFill="1" applyBorder="1" applyAlignment="1">
      <alignment horizontal="center"/>
    </xf>
    <xf numFmtId="164" fontId="9" fillId="0" borderId="1" xfId="2" applyNumberFormat="1" applyFont="1" applyBorder="1"/>
    <xf numFmtId="164" fontId="1" fillId="0" borderId="0" xfId="2" applyNumberFormat="1" applyFont="1" applyFill="1" applyAlignment="1">
      <alignment horizontal="center"/>
    </xf>
    <xf numFmtId="0" fontId="3" fillId="0" borderId="0" xfId="1" applyAlignment="1" applyProtection="1">
      <alignment horizontal="left"/>
    </xf>
    <xf numFmtId="0" fontId="12" fillId="3" borderId="1" xfId="0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0" fontId="11" fillId="0" borderId="1" xfId="0" applyFont="1" applyBorder="1"/>
    <xf numFmtId="0" fontId="14" fillId="0" borderId="1" xfId="1" applyFont="1" applyBorder="1" applyAlignment="1">
      <alignment horizontal="center"/>
    </xf>
    <xf numFmtId="0" fontId="10" fillId="3" borderId="1" xfId="0" applyFont="1" applyFill="1" applyBorder="1"/>
    <xf numFmtId="164" fontId="11" fillId="4" borderId="1" xfId="2" applyNumberFormat="1" applyFont="1" applyFill="1" applyBorder="1"/>
    <xf numFmtId="0" fontId="10" fillId="0" borderId="0" xfId="0" applyFont="1"/>
    <xf numFmtId="0" fontId="10" fillId="7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0" fillId="0" borderId="1" xfId="0" applyFont="1" applyFill="1" applyBorder="1"/>
    <xf numFmtId="164" fontId="12" fillId="0" borderId="0" xfId="2" applyNumberFormat="1" applyFont="1" applyFill="1" applyAlignment="1">
      <alignment horizontal="center"/>
    </xf>
    <xf numFmtId="0" fontId="10" fillId="0" borderId="1" xfId="0" applyFont="1" applyBorder="1"/>
    <xf numFmtId="0" fontId="15" fillId="0" borderId="0" xfId="0" applyFont="1"/>
    <xf numFmtId="0" fontId="15" fillId="0" borderId="0" xfId="0" applyFont="1" applyAlignment="1">
      <alignment vertical="center"/>
    </xf>
    <xf numFmtId="0" fontId="9" fillId="0" borderId="1" xfId="0" applyFont="1" applyBorder="1" applyAlignment="1">
      <alignment horizontal="left"/>
    </xf>
    <xf numFmtId="0" fontId="0" fillId="0" borderId="0" xfId="0" applyFont="1"/>
  </cellXfs>
  <cellStyles count="4">
    <cellStyle name="Currency" xfId="2" builtinId="4"/>
    <cellStyle name="Hyperlink" xfId="1" builtinId="8"/>
    <cellStyle name="Normal" xfId="0" builtinId="0"/>
    <cellStyle name="Percent" xfId="3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2F2F2"/>
      <color rgb="FFFDE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Relationship Id="rId4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data.wvgis.wvu.edu/pub/RA/_resources/FRA/Basement-Foundation_Types-FFH_Reference.xlsx" TargetMode="External"/><Relationship Id="rId2" Type="http://schemas.openxmlformats.org/officeDocument/2006/relationships/hyperlink" Target="https://data.wvgis.wvu.edu/pub/RA/_resources/FRA/Occupancy_Class_Types_Reference.xlsx" TargetMode="External"/><Relationship Id="rId1" Type="http://schemas.openxmlformats.org/officeDocument/2006/relationships/hyperlink" Target="https://data.wvgis.wvu.edu/pub/RA/_resources/FRA/CL-FRA_Bldg_FIRM-Status_Freeboard_FloodStudie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94ADC-E109-4EB3-AFCE-CB95FE0DEBCF}">
  <dimension ref="A1:X146"/>
  <sheetViews>
    <sheetView tabSelected="1" workbookViewId="0">
      <pane ySplit="6" topLeftCell="A7" activePane="bottomLeft" state="frozen"/>
      <selection pane="bottomLeft" activeCell="E3" sqref="E3"/>
    </sheetView>
  </sheetViews>
  <sheetFormatPr defaultRowHeight="15" x14ac:dyDescent="0.25"/>
  <cols>
    <col min="1" max="1" width="36.28515625" customWidth="1"/>
    <col min="2" max="2" width="22.85546875" bestFit="1" customWidth="1"/>
    <col min="3" max="3" width="11.42578125" customWidth="1"/>
    <col min="5" max="5" width="64.5703125" bestFit="1" customWidth="1"/>
    <col min="7" max="7" width="12.28515625" style="7" customWidth="1"/>
    <col min="8" max="8" width="9.85546875" style="7" customWidth="1"/>
    <col min="13" max="13" width="11.28515625" customWidth="1"/>
    <col min="14" max="14" width="11.140625" customWidth="1"/>
    <col min="17" max="17" width="11.85546875" customWidth="1"/>
    <col min="19" max="19" width="22.5703125" bestFit="1" customWidth="1"/>
    <col min="24" max="24" width="11.5703125" bestFit="1" customWidth="1"/>
  </cols>
  <sheetData>
    <row r="1" spans="1:24" ht="14.25" customHeight="1" x14ac:dyDescent="0.25">
      <c r="A1" s="5" t="s">
        <v>76</v>
      </c>
      <c r="B1" s="5"/>
      <c r="C1" s="5"/>
      <c r="D1" s="5"/>
      <c r="F1" s="19" t="s">
        <v>77</v>
      </c>
      <c r="J1" s="7"/>
      <c r="K1" s="7"/>
      <c r="L1" s="7"/>
      <c r="N1" s="6" t="s">
        <v>78</v>
      </c>
      <c r="O1" s="7"/>
      <c r="P1" s="7"/>
      <c r="R1" s="7"/>
      <c r="S1" s="8" t="s">
        <v>79</v>
      </c>
      <c r="U1" s="9"/>
      <c r="V1" s="9"/>
      <c r="W1" s="10"/>
      <c r="X1" s="11"/>
    </row>
    <row r="2" spans="1:24" x14ac:dyDescent="0.25">
      <c r="A2" s="12">
        <v>44475</v>
      </c>
      <c r="B2" s="13" t="s">
        <v>80</v>
      </c>
      <c r="F2" s="7"/>
      <c r="J2" s="7"/>
      <c r="K2" s="7"/>
      <c r="L2" s="7"/>
      <c r="N2" s="14" t="s">
        <v>44</v>
      </c>
      <c r="O2" s="7"/>
      <c r="P2" s="7"/>
      <c r="R2" s="7"/>
      <c r="S2" s="8"/>
      <c r="U2" s="9"/>
      <c r="V2" s="9"/>
      <c r="W2" s="10"/>
      <c r="X2" s="11"/>
    </row>
    <row r="3" spans="1:24" x14ac:dyDescent="0.25">
      <c r="A3" t="s">
        <v>82</v>
      </c>
      <c r="B3" s="58" t="s">
        <v>1377</v>
      </c>
      <c r="F3" s="7"/>
      <c r="J3" s="18" t="s">
        <v>81</v>
      </c>
      <c r="K3" s="7"/>
      <c r="L3" s="7"/>
      <c r="M3" s="15" t="s">
        <v>81</v>
      </c>
      <c r="N3" s="6"/>
      <c r="O3" s="7"/>
      <c r="P3" s="7"/>
      <c r="Q3" s="15" t="s">
        <v>81</v>
      </c>
      <c r="R3" s="16"/>
      <c r="S3" s="8"/>
      <c r="U3" s="9"/>
      <c r="V3" s="9"/>
      <c r="W3" s="10"/>
      <c r="X3" s="11"/>
    </row>
    <row r="4" spans="1:24" x14ac:dyDescent="0.25">
      <c r="F4" s="7"/>
      <c r="J4" s="7"/>
      <c r="K4" s="7"/>
      <c r="L4" s="7"/>
      <c r="N4" s="6"/>
      <c r="O4" s="7"/>
      <c r="P4" s="7"/>
      <c r="R4" s="7"/>
      <c r="S4" s="8"/>
      <c r="U4" s="9"/>
      <c r="V4" s="9"/>
      <c r="W4" s="10"/>
      <c r="X4" s="11"/>
    </row>
    <row r="5" spans="1:24" x14ac:dyDescent="0.25">
      <c r="A5" s="1" t="s">
        <v>187</v>
      </c>
      <c r="F5" s="7"/>
      <c r="J5" s="7"/>
      <c r="K5" s="7"/>
      <c r="L5" s="7"/>
      <c r="O5" s="7"/>
      <c r="P5" s="7"/>
      <c r="R5" s="7"/>
      <c r="S5" s="40" t="s">
        <v>173</v>
      </c>
      <c r="U5" s="7"/>
      <c r="V5" s="7"/>
      <c r="W5" s="10"/>
      <c r="X5" s="11"/>
    </row>
    <row r="6" spans="1:24" ht="45" x14ac:dyDescent="0.25">
      <c r="A6" s="28" t="s">
        <v>0</v>
      </c>
      <c r="B6" s="20" t="s">
        <v>1</v>
      </c>
      <c r="C6" s="20" t="s">
        <v>2</v>
      </c>
      <c r="D6" s="30" t="s">
        <v>3</v>
      </c>
      <c r="E6" s="30" t="s">
        <v>4</v>
      </c>
      <c r="F6" s="20" t="s">
        <v>5</v>
      </c>
      <c r="G6" s="20" t="s">
        <v>6</v>
      </c>
      <c r="H6" s="28" t="s">
        <v>7</v>
      </c>
      <c r="I6" s="20" t="s">
        <v>8</v>
      </c>
      <c r="J6" s="28" t="s">
        <v>9</v>
      </c>
      <c r="K6" s="30" t="s">
        <v>10</v>
      </c>
      <c r="L6" s="20" t="s">
        <v>11</v>
      </c>
      <c r="M6" s="30" t="s">
        <v>12</v>
      </c>
      <c r="N6" s="21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22" t="s">
        <v>18</v>
      </c>
      <c r="T6" s="20" t="s">
        <v>19</v>
      </c>
      <c r="U6" s="33" t="s">
        <v>20</v>
      </c>
      <c r="V6" s="33" t="s">
        <v>21</v>
      </c>
      <c r="W6" s="34" t="s">
        <v>22</v>
      </c>
      <c r="X6" s="23" t="s">
        <v>23</v>
      </c>
    </row>
    <row r="7" spans="1:24" x14ac:dyDescent="0.25">
      <c r="A7" s="24" t="s">
        <v>188</v>
      </c>
      <c r="B7" s="32" t="s">
        <v>252</v>
      </c>
      <c r="C7" s="32" t="s">
        <v>253</v>
      </c>
      <c r="D7" s="32" t="s">
        <v>254</v>
      </c>
      <c r="E7" s="32" t="s">
        <v>255</v>
      </c>
      <c r="F7" s="26" t="str">
        <f>HYPERLINK("https://mapwv.gov/flood/map/?wkid=102100&amp;x=-8989390.653655592&amp;y=4857623.448660685&amp;l=13&amp;v=2","FT")</f>
        <v>FT</v>
      </c>
      <c r="G7" s="17" t="s">
        <v>33</v>
      </c>
      <c r="H7" s="25" t="s">
        <v>26</v>
      </c>
      <c r="I7" s="32" t="s">
        <v>69</v>
      </c>
      <c r="J7" s="25" t="s">
        <v>27</v>
      </c>
      <c r="K7" s="31" t="s">
        <v>147</v>
      </c>
      <c r="L7" s="31" t="s">
        <v>28</v>
      </c>
      <c r="M7" s="32" t="s">
        <v>70</v>
      </c>
      <c r="N7" s="3" t="s">
        <v>116</v>
      </c>
      <c r="O7" s="31" t="s">
        <v>122</v>
      </c>
      <c r="P7" s="32" t="s">
        <v>433</v>
      </c>
      <c r="Q7" s="31" t="s">
        <v>31</v>
      </c>
      <c r="R7" s="25" t="s">
        <v>126</v>
      </c>
      <c r="S7" s="36">
        <v>41200242</v>
      </c>
      <c r="T7" s="2" t="s">
        <v>71</v>
      </c>
      <c r="U7" s="37">
        <v>0</v>
      </c>
      <c r="V7" s="37">
        <v>-1</v>
      </c>
      <c r="W7" s="38">
        <v>0</v>
      </c>
      <c r="X7" s="39">
        <v>0</v>
      </c>
    </row>
    <row r="8" spans="1:24" x14ac:dyDescent="0.25">
      <c r="A8" s="24" t="s">
        <v>189</v>
      </c>
      <c r="B8" s="32" t="s">
        <v>256</v>
      </c>
      <c r="C8" s="32" t="s">
        <v>257</v>
      </c>
      <c r="D8" s="32" t="s">
        <v>258</v>
      </c>
      <c r="E8" s="32" t="s">
        <v>259</v>
      </c>
      <c r="F8" s="26" t="str">
        <f>HYPERLINK("https://mapwv.gov/flood/map/?wkid=102100&amp;x=-8995759.027211221&amp;y=4838986.433448118&amp;l=13&amp;v=2","FT")</f>
        <v>FT</v>
      </c>
      <c r="G8" s="17" t="s">
        <v>33</v>
      </c>
      <c r="H8" s="25" t="s">
        <v>26</v>
      </c>
      <c r="I8" s="32" t="s">
        <v>383</v>
      </c>
      <c r="J8" s="25" t="s">
        <v>27</v>
      </c>
      <c r="K8" s="31" t="s">
        <v>86</v>
      </c>
      <c r="L8" s="31" t="s">
        <v>28</v>
      </c>
      <c r="M8" s="32" t="s">
        <v>35</v>
      </c>
      <c r="N8" s="3" t="s">
        <v>119</v>
      </c>
      <c r="O8" s="31" t="s">
        <v>120</v>
      </c>
      <c r="P8" s="32" t="s">
        <v>434</v>
      </c>
      <c r="Q8" s="31" t="s">
        <v>31</v>
      </c>
      <c r="R8" s="25" t="s">
        <v>126</v>
      </c>
      <c r="S8" s="36">
        <v>22087200</v>
      </c>
      <c r="T8" s="2" t="s">
        <v>46</v>
      </c>
      <c r="U8" s="37">
        <v>0</v>
      </c>
      <c r="V8" s="37">
        <v>-1</v>
      </c>
      <c r="W8" s="38">
        <v>0</v>
      </c>
      <c r="X8" s="39">
        <v>0</v>
      </c>
    </row>
    <row r="9" spans="1:24" x14ac:dyDescent="0.25">
      <c r="A9" s="24" t="s">
        <v>190</v>
      </c>
      <c r="B9" s="32" t="s">
        <v>260</v>
      </c>
      <c r="C9" s="32" t="s">
        <v>253</v>
      </c>
      <c r="D9" s="32" t="s">
        <v>261</v>
      </c>
      <c r="E9" s="32" t="s">
        <v>262</v>
      </c>
      <c r="F9" s="26" t="str">
        <f>HYPERLINK("https://mapwv.gov/flood/map/?wkid=102100&amp;x=-8988584.430815125&amp;y=4854635.070269086&amp;l=13&amp;v=2","FT")</f>
        <v>FT</v>
      </c>
      <c r="G9" s="17" t="s">
        <v>83</v>
      </c>
      <c r="H9" s="25" t="s">
        <v>26</v>
      </c>
      <c r="I9" s="32" t="s">
        <v>69</v>
      </c>
      <c r="J9" s="25" t="s">
        <v>27</v>
      </c>
      <c r="K9" s="31" t="s">
        <v>98</v>
      </c>
      <c r="L9" s="31" t="s">
        <v>28</v>
      </c>
      <c r="M9" s="32" t="s">
        <v>70</v>
      </c>
      <c r="N9" s="3" t="s">
        <v>116</v>
      </c>
      <c r="O9" s="31" t="s">
        <v>121</v>
      </c>
      <c r="P9" s="32" t="s">
        <v>435</v>
      </c>
      <c r="Q9" s="31" t="s">
        <v>31</v>
      </c>
      <c r="R9" s="25" t="s">
        <v>126</v>
      </c>
      <c r="S9" s="36">
        <v>14651600</v>
      </c>
      <c r="T9" s="2" t="s">
        <v>32</v>
      </c>
      <c r="U9" s="37">
        <v>0</v>
      </c>
      <c r="V9" s="37">
        <v>-1</v>
      </c>
      <c r="W9" s="38">
        <v>0</v>
      </c>
      <c r="X9" s="39">
        <v>0</v>
      </c>
    </row>
    <row r="10" spans="1:24" x14ac:dyDescent="0.25">
      <c r="A10" s="24" t="s">
        <v>195</v>
      </c>
      <c r="B10" s="32" t="s">
        <v>260</v>
      </c>
      <c r="C10" s="32" t="s">
        <v>272</v>
      </c>
      <c r="D10" s="32" t="s">
        <v>275</v>
      </c>
      <c r="E10" s="32" t="s">
        <v>276</v>
      </c>
      <c r="F10" s="26" t="str">
        <f>HYPERLINK("https://mapwv.gov/flood/map/?wkid=102100&amp;x=-8989671.690619415&amp;y=4852188.746644906&amp;l=13&amp;v=2","FT")</f>
        <v>FT</v>
      </c>
      <c r="G10" s="17" t="s">
        <v>33</v>
      </c>
      <c r="H10" s="25" t="s">
        <v>26</v>
      </c>
      <c r="I10" s="32" t="s">
        <v>387</v>
      </c>
      <c r="J10" s="25" t="s">
        <v>27</v>
      </c>
      <c r="K10" s="31" t="s">
        <v>133</v>
      </c>
      <c r="L10" s="31" t="s">
        <v>28</v>
      </c>
      <c r="M10" s="32" t="s">
        <v>29</v>
      </c>
      <c r="N10" s="3" t="s">
        <v>117</v>
      </c>
      <c r="O10" s="31" t="s">
        <v>121</v>
      </c>
      <c r="P10" s="32" t="s">
        <v>440</v>
      </c>
      <c r="Q10" s="31" t="s">
        <v>31</v>
      </c>
      <c r="R10" s="25" t="s">
        <v>126</v>
      </c>
      <c r="S10" s="36">
        <v>10000000</v>
      </c>
      <c r="T10" s="2" t="s">
        <v>30</v>
      </c>
      <c r="U10" s="37">
        <v>5.7644042999999998</v>
      </c>
      <c r="V10" s="37">
        <v>4.764404296875</v>
      </c>
      <c r="W10" s="38">
        <v>0.33350830078124999</v>
      </c>
      <c r="X10" s="39">
        <v>3335083.0078125</v>
      </c>
    </row>
    <row r="11" spans="1:24" x14ac:dyDescent="0.25">
      <c r="A11" s="24" t="s">
        <v>191</v>
      </c>
      <c r="B11" s="32" t="s">
        <v>260</v>
      </c>
      <c r="C11" s="32" t="s">
        <v>253</v>
      </c>
      <c r="D11" s="32" t="s">
        <v>263</v>
      </c>
      <c r="E11" s="32" t="s">
        <v>264</v>
      </c>
      <c r="F11" s="26" t="str">
        <f>HYPERLINK("https://mapwv.gov/flood/map/?wkid=102100&amp;x=-8988749.696176434&amp;y=4855359.588897909&amp;l=13&amp;v=2","FT")</f>
        <v>FT</v>
      </c>
      <c r="G11" s="17" t="s">
        <v>33</v>
      </c>
      <c r="H11" s="25" t="s">
        <v>26</v>
      </c>
      <c r="I11" s="32" t="s">
        <v>384</v>
      </c>
      <c r="J11" s="25" t="s">
        <v>27</v>
      </c>
      <c r="K11" s="31" t="s">
        <v>84</v>
      </c>
      <c r="L11" s="31" t="s">
        <v>28</v>
      </c>
      <c r="M11" s="32" t="s">
        <v>50</v>
      </c>
      <c r="N11" s="3" t="s">
        <v>36</v>
      </c>
      <c r="O11" s="31" t="s">
        <v>120</v>
      </c>
      <c r="P11" s="32" t="s">
        <v>436</v>
      </c>
      <c r="Q11" s="31" t="s">
        <v>31</v>
      </c>
      <c r="R11" s="25" t="s">
        <v>126</v>
      </c>
      <c r="S11" s="36">
        <v>8420600</v>
      </c>
      <c r="T11" s="2" t="s">
        <v>46</v>
      </c>
      <c r="U11" s="37">
        <v>17.223082999999999</v>
      </c>
      <c r="V11" s="37">
        <v>16.2230834960937</v>
      </c>
      <c r="W11" s="38">
        <v>0.61669250488281202</v>
      </c>
      <c r="X11" s="39">
        <v>5192920.90661621</v>
      </c>
    </row>
    <row r="12" spans="1:24" x14ac:dyDescent="0.25">
      <c r="A12" s="24" t="s">
        <v>192</v>
      </c>
      <c r="B12" s="32" t="s">
        <v>265</v>
      </c>
      <c r="C12" s="32" t="s">
        <v>266</v>
      </c>
      <c r="D12" s="32" t="s">
        <v>267</v>
      </c>
      <c r="E12" s="32" t="s">
        <v>268</v>
      </c>
      <c r="F12" s="26" t="str">
        <f>HYPERLINK("https://mapwv.gov/flood/map/?wkid=102100&amp;x=-8968405.367717285&amp;y=4840672.991177574&amp;l=13&amp;v=2","FT")</f>
        <v>FT</v>
      </c>
      <c r="G12" s="17" t="s">
        <v>33</v>
      </c>
      <c r="H12" s="25" t="s">
        <v>26</v>
      </c>
      <c r="I12" s="32" t="s">
        <v>69</v>
      </c>
      <c r="J12" s="25" t="s">
        <v>41</v>
      </c>
      <c r="K12" s="31" t="s">
        <v>94</v>
      </c>
      <c r="L12" s="31" t="s">
        <v>28</v>
      </c>
      <c r="M12" s="32" t="s">
        <v>70</v>
      </c>
      <c r="N12" s="3" t="s">
        <v>116</v>
      </c>
      <c r="O12" s="31" t="s">
        <v>121</v>
      </c>
      <c r="P12" s="32" t="s">
        <v>437</v>
      </c>
      <c r="Q12" s="31" t="s">
        <v>31</v>
      </c>
      <c r="R12" s="25" t="s">
        <v>126</v>
      </c>
      <c r="S12" s="36">
        <v>7415458</v>
      </c>
      <c r="T12" s="2" t="s">
        <v>71</v>
      </c>
      <c r="U12" s="37">
        <v>1.3800049000000001</v>
      </c>
      <c r="V12" s="37">
        <v>0.3800048828125</v>
      </c>
      <c r="W12" s="38">
        <v>1.9000244140625001E-2</v>
      </c>
      <c r="X12" s="39">
        <v>140895.51241455</v>
      </c>
    </row>
    <row r="13" spans="1:24" x14ac:dyDescent="0.25">
      <c r="A13" s="24" t="s">
        <v>193</v>
      </c>
      <c r="B13" s="32" t="s">
        <v>252</v>
      </c>
      <c r="C13" s="32" t="s">
        <v>269</v>
      </c>
      <c r="D13" s="32" t="s">
        <v>270</v>
      </c>
      <c r="E13" s="32" t="s">
        <v>271</v>
      </c>
      <c r="F13" s="26" t="str">
        <f>HYPERLINK("https://mapwv.gov/flood/map/?wkid=102100&amp;x=-8989986.218163358&amp;y=4858916.364446812&amp;l=13&amp;v=2","FT")</f>
        <v>FT</v>
      </c>
      <c r="G13" s="17" t="s">
        <v>33</v>
      </c>
      <c r="H13" s="25" t="s">
        <v>26</v>
      </c>
      <c r="I13" s="32" t="s">
        <v>385</v>
      </c>
      <c r="J13" s="25" t="s">
        <v>41</v>
      </c>
      <c r="K13" s="31" t="s">
        <v>172</v>
      </c>
      <c r="L13" s="31" t="s">
        <v>53</v>
      </c>
      <c r="M13" s="32" t="s">
        <v>35</v>
      </c>
      <c r="N13" s="3" t="s">
        <v>119</v>
      </c>
      <c r="O13" s="31" t="s">
        <v>120</v>
      </c>
      <c r="P13" s="32" t="s">
        <v>438</v>
      </c>
      <c r="Q13" s="31" t="s">
        <v>31</v>
      </c>
      <c r="R13" s="25" t="s">
        <v>126</v>
      </c>
      <c r="S13" s="36">
        <v>5780700</v>
      </c>
      <c r="T13" s="2" t="s">
        <v>46</v>
      </c>
      <c r="U13" s="37">
        <v>0.21960449000000001</v>
      </c>
      <c r="V13" s="37">
        <v>-0.7803955078125</v>
      </c>
      <c r="W13" s="38">
        <v>2.1960449218749898E-3</v>
      </c>
      <c r="X13" s="39">
        <v>12694.6768798828</v>
      </c>
    </row>
    <row r="14" spans="1:24" x14ac:dyDescent="0.25">
      <c r="A14" s="24" t="s">
        <v>194</v>
      </c>
      <c r="B14" s="32" t="s">
        <v>260</v>
      </c>
      <c r="C14" s="32" t="s">
        <v>272</v>
      </c>
      <c r="D14" s="32" t="s">
        <v>273</v>
      </c>
      <c r="E14" s="32" t="s">
        <v>274</v>
      </c>
      <c r="F14" s="26" t="str">
        <f>HYPERLINK("https://mapwv.gov/flood/map/?wkid=102100&amp;x=-8988686.200206805&amp;y=4852567.106727892&amp;l=13&amp;v=2","FT")</f>
        <v>FT</v>
      </c>
      <c r="G14" s="17" t="s">
        <v>33</v>
      </c>
      <c r="H14" s="25" t="s">
        <v>26</v>
      </c>
      <c r="I14" s="32" t="s">
        <v>386</v>
      </c>
      <c r="J14" s="25" t="s">
        <v>27</v>
      </c>
      <c r="K14" s="31" t="s">
        <v>109</v>
      </c>
      <c r="L14" s="31" t="s">
        <v>47</v>
      </c>
      <c r="M14" s="32" t="s">
        <v>58</v>
      </c>
      <c r="N14" s="3" t="s">
        <v>36</v>
      </c>
      <c r="O14" s="31" t="s">
        <v>120</v>
      </c>
      <c r="P14" s="32" t="s">
        <v>439</v>
      </c>
      <c r="Q14" s="31" t="s">
        <v>31</v>
      </c>
      <c r="R14" s="25" t="s">
        <v>126</v>
      </c>
      <c r="S14" s="36">
        <v>5273200</v>
      </c>
      <c r="T14" s="2" t="s">
        <v>46</v>
      </c>
      <c r="U14" s="37">
        <v>0</v>
      </c>
      <c r="V14" s="37">
        <v>-1</v>
      </c>
      <c r="W14" s="38">
        <v>0</v>
      </c>
      <c r="X14" s="39">
        <v>0</v>
      </c>
    </row>
    <row r="15" spans="1:24" x14ac:dyDescent="0.25">
      <c r="A15" s="24" t="s">
        <v>196</v>
      </c>
      <c r="B15" s="32" t="s">
        <v>277</v>
      </c>
      <c r="C15" s="32" t="s">
        <v>269</v>
      </c>
      <c r="D15" s="32" t="s">
        <v>278</v>
      </c>
      <c r="E15" s="32" t="s">
        <v>279</v>
      </c>
      <c r="F15" s="26" t="str">
        <f>HYPERLINK("https://mapwv.gov/flood/map/?wkid=102100&amp;x=-8987539.138681505&amp;y=4867831.433512766&amp;l=13&amp;v=2","FT")</f>
        <v>FT</v>
      </c>
      <c r="G15" s="17" t="s">
        <v>33</v>
      </c>
      <c r="H15" s="25" t="s">
        <v>26</v>
      </c>
      <c r="I15" s="32" t="s">
        <v>388</v>
      </c>
      <c r="J15" s="25" t="s">
        <v>41</v>
      </c>
      <c r="K15" s="31" t="s">
        <v>429</v>
      </c>
      <c r="L15" s="31" t="s">
        <v>75</v>
      </c>
      <c r="M15" s="32" t="s">
        <v>35</v>
      </c>
      <c r="N15" s="3" t="s">
        <v>119</v>
      </c>
      <c r="O15" s="31" t="s">
        <v>120</v>
      </c>
      <c r="P15" s="32" t="s">
        <v>441</v>
      </c>
      <c r="Q15" s="31" t="s">
        <v>31</v>
      </c>
      <c r="R15" s="25" t="s">
        <v>126</v>
      </c>
      <c r="S15" s="36">
        <v>3094300</v>
      </c>
      <c r="T15" s="2" t="s">
        <v>46</v>
      </c>
      <c r="U15" s="37">
        <v>0.76232909999999998</v>
      </c>
      <c r="V15" s="37">
        <v>-0.2376708984375</v>
      </c>
      <c r="W15" s="38">
        <v>7.6232910156250003E-3</v>
      </c>
      <c r="X15" s="39">
        <v>23588.749389648401</v>
      </c>
    </row>
    <row r="16" spans="1:24" x14ac:dyDescent="0.25">
      <c r="A16" s="24" t="s">
        <v>197</v>
      </c>
      <c r="B16" s="32" t="s">
        <v>277</v>
      </c>
      <c r="C16" s="32" t="s">
        <v>269</v>
      </c>
      <c r="D16" s="32" t="s">
        <v>280</v>
      </c>
      <c r="E16" s="32" t="s">
        <v>279</v>
      </c>
      <c r="F16" s="26" t="str">
        <f>HYPERLINK("https://mapwv.gov/flood/map/?wkid=102100&amp;x=-8987534.296840252&amp;y=4867194.626952802&amp;l=13&amp;v=2","FT")</f>
        <v>FT</v>
      </c>
      <c r="G16" s="17" t="s">
        <v>33</v>
      </c>
      <c r="H16" s="25" t="s">
        <v>26</v>
      </c>
      <c r="I16" s="32" t="s">
        <v>389</v>
      </c>
      <c r="J16" s="25" t="s">
        <v>27</v>
      </c>
      <c r="K16" s="31" t="s">
        <v>124</v>
      </c>
      <c r="L16" s="31" t="s">
        <v>55</v>
      </c>
      <c r="M16" s="32" t="s">
        <v>35</v>
      </c>
      <c r="N16" s="3" t="s">
        <v>119</v>
      </c>
      <c r="O16" s="31" t="s">
        <v>120</v>
      </c>
      <c r="P16" s="32" t="s">
        <v>442</v>
      </c>
      <c r="Q16" s="31" t="s">
        <v>31</v>
      </c>
      <c r="R16" s="25" t="s">
        <v>126</v>
      </c>
      <c r="S16" s="36">
        <v>2805400</v>
      </c>
      <c r="T16" s="2" t="s">
        <v>46</v>
      </c>
      <c r="U16" s="37">
        <v>1.9499512000000001</v>
      </c>
      <c r="V16" s="37">
        <v>0.949951171875</v>
      </c>
      <c r="W16" s="38">
        <v>8.5996093750000002E-2</v>
      </c>
      <c r="X16" s="39">
        <v>241253.44140625</v>
      </c>
    </row>
    <row r="17" spans="1:24" x14ac:dyDescent="0.25">
      <c r="A17" s="24" t="s">
        <v>198</v>
      </c>
      <c r="B17" s="32" t="s">
        <v>256</v>
      </c>
      <c r="C17" s="32" t="s">
        <v>272</v>
      </c>
      <c r="D17" s="32" t="s">
        <v>281</v>
      </c>
      <c r="E17" s="32" t="s">
        <v>282</v>
      </c>
      <c r="F17" s="26" t="str">
        <f>HYPERLINK("https://mapwv.gov/flood/map/?wkid=102100&amp;x=-8986978.572799014&amp;y=4852747.349965977&amp;l=13&amp;v=2","FT")</f>
        <v>FT</v>
      </c>
      <c r="G17" s="17" t="s">
        <v>33</v>
      </c>
      <c r="H17" s="25" t="s">
        <v>26</v>
      </c>
      <c r="I17" s="32" t="s">
        <v>390</v>
      </c>
      <c r="J17" s="25" t="s">
        <v>27</v>
      </c>
      <c r="K17" s="31" t="s">
        <v>124</v>
      </c>
      <c r="L17" s="31" t="s">
        <v>53</v>
      </c>
      <c r="M17" s="32" t="s">
        <v>29</v>
      </c>
      <c r="N17" s="3" t="s">
        <v>117</v>
      </c>
      <c r="O17" s="31" t="s">
        <v>120</v>
      </c>
      <c r="P17" s="32" t="s">
        <v>443</v>
      </c>
      <c r="Q17" s="31" t="s">
        <v>31</v>
      </c>
      <c r="R17" s="25" t="s">
        <v>126</v>
      </c>
      <c r="S17" s="36">
        <v>2738300</v>
      </c>
      <c r="T17" s="2" t="s">
        <v>32</v>
      </c>
      <c r="U17" s="37">
        <v>0</v>
      </c>
      <c r="V17" s="37">
        <v>-1</v>
      </c>
      <c r="W17" s="38">
        <v>0</v>
      </c>
      <c r="X17" s="39">
        <v>0</v>
      </c>
    </row>
    <row r="18" spans="1:24" x14ac:dyDescent="0.25">
      <c r="A18" s="24" t="s">
        <v>199</v>
      </c>
      <c r="B18" s="32" t="s">
        <v>252</v>
      </c>
      <c r="C18" s="32" t="s">
        <v>269</v>
      </c>
      <c r="D18" s="32" t="s">
        <v>283</v>
      </c>
      <c r="E18" s="32" t="s">
        <v>284</v>
      </c>
      <c r="F18" s="26" t="str">
        <f>HYPERLINK("https://mapwv.gov/flood/map/?wkid=102100&amp;x=-8990049.41178925&amp;y=4858231.759618561&amp;l=13&amp;v=2","FT")</f>
        <v>FT</v>
      </c>
      <c r="G18" s="17" t="s">
        <v>33</v>
      </c>
      <c r="H18" s="25" t="s">
        <v>26</v>
      </c>
      <c r="I18" s="32" t="s">
        <v>391</v>
      </c>
      <c r="J18" s="25" t="s">
        <v>41</v>
      </c>
      <c r="K18" s="31" t="s">
        <v>102</v>
      </c>
      <c r="L18" s="31" t="s">
        <v>47</v>
      </c>
      <c r="M18" s="32" t="s">
        <v>35</v>
      </c>
      <c r="N18" s="3" t="s">
        <v>119</v>
      </c>
      <c r="O18" s="31" t="s">
        <v>120</v>
      </c>
      <c r="P18" s="32" t="s">
        <v>444</v>
      </c>
      <c r="Q18" s="31" t="s">
        <v>31</v>
      </c>
      <c r="R18" s="25" t="s">
        <v>126</v>
      </c>
      <c r="S18" s="36">
        <v>2505500</v>
      </c>
      <c r="T18" s="2" t="s">
        <v>46</v>
      </c>
      <c r="U18" s="37">
        <v>0</v>
      </c>
      <c r="V18" s="37">
        <v>-1</v>
      </c>
      <c r="W18" s="38">
        <v>0</v>
      </c>
      <c r="X18" s="39">
        <v>0</v>
      </c>
    </row>
    <row r="19" spans="1:24" x14ac:dyDescent="0.25">
      <c r="A19" s="24" t="s">
        <v>200</v>
      </c>
      <c r="B19" s="32" t="s">
        <v>260</v>
      </c>
      <c r="C19" s="32" t="s">
        <v>269</v>
      </c>
      <c r="D19" s="32" t="s">
        <v>285</v>
      </c>
      <c r="E19" s="32" t="s">
        <v>286</v>
      </c>
      <c r="F19" s="26" t="str">
        <f>HYPERLINK("https://mapwv.gov/flood/map/?wkid=102100&amp;x=-8989083.375904813&amp;y=4854609.522404843&amp;l=13&amp;v=2","FT")</f>
        <v>FT</v>
      </c>
      <c r="G19" s="17" t="s">
        <v>33</v>
      </c>
      <c r="H19" s="25" t="s">
        <v>26</v>
      </c>
      <c r="I19" s="32" t="s">
        <v>392</v>
      </c>
      <c r="J19" s="25" t="s">
        <v>41</v>
      </c>
      <c r="K19" s="31" t="s">
        <v>153</v>
      </c>
      <c r="L19" s="31" t="s">
        <v>28</v>
      </c>
      <c r="M19" s="32" t="s">
        <v>50</v>
      </c>
      <c r="N19" s="3" t="s">
        <v>36</v>
      </c>
      <c r="O19" s="31" t="s">
        <v>120</v>
      </c>
      <c r="P19" s="32" t="s">
        <v>445</v>
      </c>
      <c r="Q19" s="31" t="s">
        <v>31</v>
      </c>
      <c r="R19" s="25" t="s">
        <v>126</v>
      </c>
      <c r="S19" s="36">
        <v>1896300</v>
      </c>
      <c r="T19" s="2" t="s">
        <v>46</v>
      </c>
      <c r="U19" s="37">
        <v>5.0045165999999996</v>
      </c>
      <c r="V19" s="37">
        <v>4.0045166015625</v>
      </c>
      <c r="W19" s="38">
        <v>0.18009033203124999</v>
      </c>
      <c r="X19" s="39">
        <v>341505.29663085903</v>
      </c>
    </row>
    <row r="20" spans="1:24" x14ac:dyDescent="0.25">
      <c r="A20" s="24" t="s">
        <v>201</v>
      </c>
      <c r="B20" s="32" t="s">
        <v>260</v>
      </c>
      <c r="C20" s="32" t="s">
        <v>269</v>
      </c>
      <c r="D20" s="32" t="s">
        <v>287</v>
      </c>
      <c r="E20" s="32" t="s">
        <v>288</v>
      </c>
      <c r="F20" s="26" t="str">
        <f>HYPERLINK("https://mapwv.gov/flood/map/?wkid=102100&amp;x=-8989600.907230638&amp;y=4855753.276209336&amp;l=13&amp;v=2","FT")</f>
        <v>FT</v>
      </c>
      <c r="G20" s="17" t="s">
        <v>33</v>
      </c>
      <c r="H20" s="25" t="s">
        <v>26</v>
      </c>
      <c r="I20" s="32" t="s">
        <v>387</v>
      </c>
      <c r="J20" s="25" t="s">
        <v>27</v>
      </c>
      <c r="K20" s="31" t="s">
        <v>150</v>
      </c>
      <c r="L20" s="31" t="s">
        <v>42</v>
      </c>
      <c r="M20" s="32" t="s">
        <v>54</v>
      </c>
      <c r="N20" s="3" t="s">
        <v>36</v>
      </c>
      <c r="O20" s="31" t="s">
        <v>120</v>
      </c>
      <c r="P20" s="32" t="s">
        <v>446</v>
      </c>
      <c r="Q20" s="31" t="s">
        <v>31</v>
      </c>
      <c r="R20" s="25" t="s">
        <v>126</v>
      </c>
      <c r="S20" s="36">
        <v>1689400</v>
      </c>
      <c r="T20" s="2" t="s">
        <v>46</v>
      </c>
      <c r="U20" s="37">
        <v>1</v>
      </c>
      <c r="V20" s="37">
        <v>0</v>
      </c>
      <c r="W20" s="38">
        <v>0.01</v>
      </c>
      <c r="X20" s="39">
        <v>16894</v>
      </c>
    </row>
    <row r="21" spans="1:24" x14ac:dyDescent="0.25">
      <c r="A21" s="24" t="s">
        <v>202</v>
      </c>
      <c r="B21" s="32" t="s">
        <v>256</v>
      </c>
      <c r="C21" s="32" t="s">
        <v>289</v>
      </c>
      <c r="D21" s="32" t="s">
        <v>290</v>
      </c>
      <c r="E21" s="32" t="s">
        <v>291</v>
      </c>
      <c r="F21" s="26" t="str">
        <f>HYPERLINK("https://mapwv.gov/flood/map/?wkid=102100&amp;x=-8993615.40922537&amp;y=4845188.666468019&amp;l=13&amp;v=2","FT")</f>
        <v>FT</v>
      </c>
      <c r="G21" s="17" t="s">
        <v>33</v>
      </c>
      <c r="H21" s="25" t="s">
        <v>26</v>
      </c>
      <c r="I21" s="32" t="s">
        <v>393</v>
      </c>
      <c r="J21" s="25" t="s">
        <v>41</v>
      </c>
      <c r="K21" s="31" t="s">
        <v>102</v>
      </c>
      <c r="L21" s="31" t="s">
        <v>34</v>
      </c>
      <c r="M21" s="32" t="s">
        <v>73</v>
      </c>
      <c r="N21" s="3" t="s">
        <v>36</v>
      </c>
      <c r="O21" s="31" t="s">
        <v>121</v>
      </c>
      <c r="P21" s="32" t="s">
        <v>447</v>
      </c>
      <c r="Q21" s="31" t="s">
        <v>31</v>
      </c>
      <c r="R21" s="25" t="s">
        <v>126</v>
      </c>
      <c r="S21" s="36">
        <v>1665800</v>
      </c>
      <c r="T21" s="2" t="s">
        <v>46</v>
      </c>
      <c r="U21" s="37">
        <v>0</v>
      </c>
      <c r="V21" s="37">
        <v>-1</v>
      </c>
      <c r="W21" s="38">
        <v>0</v>
      </c>
      <c r="X21" s="39">
        <v>0</v>
      </c>
    </row>
    <row r="22" spans="1:24" x14ac:dyDescent="0.25">
      <c r="A22" s="24" t="s">
        <v>203</v>
      </c>
      <c r="B22" s="32" t="s">
        <v>260</v>
      </c>
      <c r="C22" s="32" t="s">
        <v>253</v>
      </c>
      <c r="D22" s="32" t="s">
        <v>292</v>
      </c>
      <c r="E22" s="32" t="s">
        <v>293</v>
      </c>
      <c r="F22" s="26" t="str">
        <f>HYPERLINK("https://mapwv.gov/flood/map/?wkid=102100&amp;x=-8989023.105083466&amp;y=4855396.765371622&amp;l=13&amp;v=2","FT")</f>
        <v>FT</v>
      </c>
      <c r="G22" s="17" t="s">
        <v>33</v>
      </c>
      <c r="H22" s="25" t="s">
        <v>26</v>
      </c>
      <c r="I22" s="32" t="s">
        <v>394</v>
      </c>
      <c r="J22" s="25" t="s">
        <v>27</v>
      </c>
      <c r="K22" s="31" t="s">
        <v>124</v>
      </c>
      <c r="L22" s="31" t="s">
        <v>55</v>
      </c>
      <c r="M22" s="32" t="s">
        <v>50</v>
      </c>
      <c r="N22" s="3" t="s">
        <v>36</v>
      </c>
      <c r="O22" s="31" t="s">
        <v>120</v>
      </c>
      <c r="P22" s="32" t="s">
        <v>448</v>
      </c>
      <c r="Q22" s="31" t="s">
        <v>31</v>
      </c>
      <c r="R22" s="25" t="s">
        <v>126</v>
      </c>
      <c r="S22" s="36">
        <v>1515100</v>
      </c>
      <c r="T22" s="2" t="s">
        <v>46</v>
      </c>
      <c r="U22" s="37">
        <v>0</v>
      </c>
      <c r="V22" s="37">
        <v>-1</v>
      </c>
      <c r="W22" s="38">
        <v>0</v>
      </c>
      <c r="X22" s="39">
        <v>0</v>
      </c>
    </row>
    <row r="23" spans="1:24" x14ac:dyDescent="0.25">
      <c r="A23" s="24" t="s">
        <v>204</v>
      </c>
      <c r="B23" s="32" t="s">
        <v>277</v>
      </c>
      <c r="C23" s="32" t="s">
        <v>269</v>
      </c>
      <c r="D23" s="32" t="s">
        <v>294</v>
      </c>
      <c r="E23" s="32" t="s">
        <v>295</v>
      </c>
      <c r="F23" s="26" t="str">
        <f>HYPERLINK("https://mapwv.gov/flood/map/?wkid=102100&amp;x=-8986524.014241213&amp;y=4870375.916340503&amp;l=13&amp;v=2","FT")</f>
        <v>FT</v>
      </c>
      <c r="G23" s="17" t="s">
        <v>33</v>
      </c>
      <c r="H23" s="25" t="s">
        <v>26</v>
      </c>
      <c r="I23" s="32" t="s">
        <v>395</v>
      </c>
      <c r="J23" s="25" t="s">
        <v>41</v>
      </c>
      <c r="K23" s="31" t="s">
        <v>131</v>
      </c>
      <c r="L23" s="31" t="s">
        <v>28</v>
      </c>
      <c r="M23" s="32" t="s">
        <v>50</v>
      </c>
      <c r="N23" s="3" t="s">
        <v>36</v>
      </c>
      <c r="O23" s="31" t="s">
        <v>121</v>
      </c>
      <c r="P23" s="32" t="s">
        <v>449</v>
      </c>
      <c r="Q23" s="31" t="s">
        <v>31</v>
      </c>
      <c r="R23" s="25" t="s">
        <v>126</v>
      </c>
      <c r="S23" s="36">
        <v>1513400</v>
      </c>
      <c r="T23" s="2" t="s">
        <v>46</v>
      </c>
      <c r="U23" s="37">
        <v>1</v>
      </c>
      <c r="V23" s="37">
        <v>0</v>
      </c>
      <c r="W23" s="38">
        <v>0.01</v>
      </c>
      <c r="X23" s="39">
        <v>15134</v>
      </c>
    </row>
    <row r="24" spans="1:24" x14ac:dyDescent="0.25">
      <c r="A24" s="24" t="s">
        <v>241</v>
      </c>
      <c r="B24" s="32" t="s">
        <v>334</v>
      </c>
      <c r="C24" s="32" t="s">
        <v>269</v>
      </c>
      <c r="D24" s="32" t="s">
        <v>364</v>
      </c>
      <c r="E24" s="32" t="s">
        <v>365</v>
      </c>
      <c r="F24" s="26" t="str">
        <f>HYPERLINK("https://mapwv.gov/flood/map/?wkid=102100&amp;x=-8987136.703916796&amp;y=4863271.677431506&amp;l=13&amp;v=2","FT")</f>
        <v>FT</v>
      </c>
      <c r="G24" s="17" t="s">
        <v>33</v>
      </c>
      <c r="H24" s="25" t="s">
        <v>26</v>
      </c>
      <c r="I24" s="32" t="s">
        <v>422</v>
      </c>
      <c r="J24" s="25" t="s">
        <v>27</v>
      </c>
      <c r="K24" s="31" t="s">
        <v>163</v>
      </c>
      <c r="L24" s="31" t="s">
        <v>28</v>
      </c>
      <c r="M24" s="32" t="s">
        <v>58</v>
      </c>
      <c r="N24" s="3" t="s">
        <v>36</v>
      </c>
      <c r="O24" s="31" t="s">
        <v>120</v>
      </c>
      <c r="P24" s="32">
        <v>9000</v>
      </c>
      <c r="Q24" s="31" t="s">
        <v>31</v>
      </c>
      <c r="R24" s="25" t="s">
        <v>126</v>
      </c>
      <c r="S24" s="36">
        <v>1500000</v>
      </c>
      <c r="T24" s="2" t="s">
        <v>30</v>
      </c>
      <c r="U24" s="37">
        <v>0</v>
      </c>
      <c r="V24" s="37">
        <v>-1</v>
      </c>
      <c r="W24" s="38">
        <v>0</v>
      </c>
      <c r="X24" s="39">
        <v>0</v>
      </c>
    </row>
    <row r="25" spans="1:24" x14ac:dyDescent="0.25">
      <c r="A25" s="24" t="s">
        <v>205</v>
      </c>
      <c r="B25" s="32" t="s">
        <v>277</v>
      </c>
      <c r="C25" s="32" t="s">
        <v>269</v>
      </c>
      <c r="D25" s="32" t="s">
        <v>296</v>
      </c>
      <c r="E25" s="32" t="s">
        <v>297</v>
      </c>
      <c r="F25" s="26" t="str">
        <f>HYPERLINK("https://mapwv.gov/flood/map/?wkid=102100&amp;x=-8986850.004130485&amp;y=4870263.4260159945&amp;l=13&amp;v=2","FT")</f>
        <v>FT</v>
      </c>
      <c r="G25" s="17" t="s">
        <v>33</v>
      </c>
      <c r="H25" s="25" t="s">
        <v>26</v>
      </c>
      <c r="I25" s="32" t="s">
        <v>396</v>
      </c>
      <c r="J25" s="25" t="s">
        <v>27</v>
      </c>
      <c r="K25" s="31" t="s">
        <v>99</v>
      </c>
      <c r="L25" s="31" t="s">
        <v>59</v>
      </c>
      <c r="M25" s="32" t="s">
        <v>35</v>
      </c>
      <c r="N25" s="3" t="s">
        <v>119</v>
      </c>
      <c r="O25" s="31" t="s">
        <v>120</v>
      </c>
      <c r="P25" s="32" t="s">
        <v>450</v>
      </c>
      <c r="Q25" s="31" t="s">
        <v>31</v>
      </c>
      <c r="R25" s="25" t="s">
        <v>126</v>
      </c>
      <c r="S25" s="36">
        <v>1408300</v>
      </c>
      <c r="T25" s="2" t="s">
        <v>32</v>
      </c>
      <c r="U25" s="37">
        <v>2.3885497999999998</v>
      </c>
      <c r="V25" s="37">
        <v>1.3885498046875</v>
      </c>
      <c r="W25" s="38">
        <v>0.10942749023437499</v>
      </c>
      <c r="X25" s="39">
        <v>154106.73449706999</v>
      </c>
    </row>
    <row r="26" spans="1:24" x14ac:dyDescent="0.25">
      <c r="A26" s="24" t="s">
        <v>206</v>
      </c>
      <c r="B26" s="32" t="s">
        <v>260</v>
      </c>
      <c r="C26" s="32" t="s">
        <v>272</v>
      </c>
      <c r="D26" s="32" t="s">
        <v>298</v>
      </c>
      <c r="E26" s="32" t="s">
        <v>299</v>
      </c>
      <c r="F26" s="26" t="str">
        <f>HYPERLINK("https://mapwv.gov/flood/map/?wkid=102100&amp;x=-8988238.470320525&amp;y=4852913.493332711&amp;l=13&amp;v=2","FT")</f>
        <v>FT</v>
      </c>
      <c r="G26" s="17" t="s">
        <v>33</v>
      </c>
      <c r="H26" s="25" t="s">
        <v>26</v>
      </c>
      <c r="I26" s="32" t="s">
        <v>397</v>
      </c>
      <c r="J26" s="25" t="s">
        <v>27</v>
      </c>
      <c r="K26" s="31" t="s">
        <v>86</v>
      </c>
      <c r="L26" s="31" t="s">
        <v>40</v>
      </c>
      <c r="M26" s="32" t="s">
        <v>29</v>
      </c>
      <c r="N26" s="3" t="s">
        <v>117</v>
      </c>
      <c r="O26" s="31" t="s">
        <v>121</v>
      </c>
      <c r="P26" s="32" t="s">
        <v>182</v>
      </c>
      <c r="Q26" s="31" t="s">
        <v>31</v>
      </c>
      <c r="R26" s="25" t="s">
        <v>126</v>
      </c>
      <c r="S26" s="36">
        <v>1255000</v>
      </c>
      <c r="T26" s="2" t="s">
        <v>32</v>
      </c>
      <c r="U26" s="37">
        <v>0</v>
      </c>
      <c r="V26" s="37">
        <v>-1</v>
      </c>
      <c r="W26" s="38">
        <v>0</v>
      </c>
      <c r="X26" s="39">
        <v>0</v>
      </c>
    </row>
    <row r="27" spans="1:24" x14ac:dyDescent="0.25">
      <c r="A27" s="24" t="s">
        <v>207</v>
      </c>
      <c r="B27" s="32" t="s">
        <v>260</v>
      </c>
      <c r="C27" s="32" t="s">
        <v>272</v>
      </c>
      <c r="D27" s="32" t="s">
        <v>300</v>
      </c>
      <c r="E27" s="32" t="s">
        <v>301</v>
      </c>
      <c r="F27" s="26" t="str">
        <f>HYPERLINK("https://mapwv.gov/flood/map/?wkid=102100&amp;x=-8988220.58450662&amp;y=4852752.425110745&amp;l=13&amp;v=2","FT")</f>
        <v>FT</v>
      </c>
      <c r="G27" s="17" t="s">
        <v>33</v>
      </c>
      <c r="H27" s="25" t="s">
        <v>26</v>
      </c>
      <c r="I27" s="32" t="s">
        <v>398</v>
      </c>
      <c r="J27" s="25" t="s">
        <v>27</v>
      </c>
      <c r="K27" s="31" t="s">
        <v>88</v>
      </c>
      <c r="L27" s="31" t="s">
        <v>28</v>
      </c>
      <c r="M27" s="32" t="s">
        <v>29</v>
      </c>
      <c r="N27" s="3" t="s">
        <v>117</v>
      </c>
      <c r="O27" s="31" t="s">
        <v>120</v>
      </c>
      <c r="P27" s="32" t="s">
        <v>451</v>
      </c>
      <c r="Q27" s="31" t="s">
        <v>31</v>
      </c>
      <c r="R27" s="25" t="s">
        <v>126</v>
      </c>
      <c r="S27" s="36">
        <v>1072800</v>
      </c>
      <c r="T27" s="2" t="s">
        <v>46</v>
      </c>
      <c r="U27" s="37">
        <v>0</v>
      </c>
      <c r="V27" s="37">
        <v>-1</v>
      </c>
      <c r="W27" s="38">
        <v>0</v>
      </c>
      <c r="X27" s="39">
        <v>0</v>
      </c>
    </row>
    <row r="28" spans="1:24" x14ac:dyDescent="0.25">
      <c r="A28" s="24" t="s">
        <v>208</v>
      </c>
      <c r="B28" s="32" t="s">
        <v>265</v>
      </c>
      <c r="C28" s="32" t="s">
        <v>266</v>
      </c>
      <c r="D28" s="32" t="s">
        <v>302</v>
      </c>
      <c r="E28" s="32" t="s">
        <v>303</v>
      </c>
      <c r="F28" s="26" t="str">
        <f>HYPERLINK("https://mapwv.gov/flood/map/?wkid=102100&amp;x=-8969864.279107498&amp;y=4840792.946656293&amp;l=13&amp;v=2","FT")</f>
        <v>FT</v>
      </c>
      <c r="G28" s="17" t="s">
        <v>33</v>
      </c>
      <c r="H28" s="25" t="s">
        <v>67</v>
      </c>
      <c r="I28" s="32" t="s">
        <v>399</v>
      </c>
      <c r="J28" s="25" t="s">
        <v>41</v>
      </c>
      <c r="K28" s="31" t="s">
        <v>148</v>
      </c>
      <c r="L28" s="31" t="s">
        <v>28</v>
      </c>
      <c r="M28" s="32" t="s">
        <v>113</v>
      </c>
      <c r="N28" s="3" t="s">
        <v>44</v>
      </c>
      <c r="O28" s="31" t="s">
        <v>120</v>
      </c>
      <c r="P28" s="32" t="s">
        <v>452</v>
      </c>
      <c r="Q28" s="31" t="s">
        <v>31</v>
      </c>
      <c r="R28" s="25" t="s">
        <v>126</v>
      </c>
      <c r="S28" s="36">
        <v>986400</v>
      </c>
      <c r="T28" s="2" t="s">
        <v>46</v>
      </c>
      <c r="U28" s="37">
        <v>1</v>
      </c>
      <c r="V28" s="37">
        <v>0</v>
      </c>
      <c r="W28" s="38">
        <v>0</v>
      </c>
      <c r="X28" s="39">
        <v>0</v>
      </c>
    </row>
    <row r="29" spans="1:24" x14ac:dyDescent="0.25">
      <c r="A29" s="24" t="s">
        <v>209</v>
      </c>
      <c r="B29" s="32" t="s">
        <v>260</v>
      </c>
      <c r="C29" s="32" t="s">
        <v>269</v>
      </c>
      <c r="D29" s="32" t="s">
        <v>304</v>
      </c>
      <c r="E29" s="32" t="s">
        <v>305</v>
      </c>
      <c r="F29" s="26" t="str">
        <f>HYPERLINK("https://mapwv.gov/flood/map/?wkid=102100&amp;x=-8988870.541387377&amp;y=4854434.186412658&amp;l=13&amp;v=2","FT")</f>
        <v>FT</v>
      </c>
      <c r="G29" s="17" t="s">
        <v>33</v>
      </c>
      <c r="H29" s="25" t="s">
        <v>26</v>
      </c>
      <c r="I29" s="32" t="s">
        <v>400</v>
      </c>
      <c r="J29" s="25" t="s">
        <v>27</v>
      </c>
      <c r="K29" s="31" t="s">
        <v>133</v>
      </c>
      <c r="L29" s="31" t="s">
        <v>42</v>
      </c>
      <c r="M29" s="32" t="s">
        <v>54</v>
      </c>
      <c r="N29" s="3" t="s">
        <v>36</v>
      </c>
      <c r="O29" s="31" t="s">
        <v>120</v>
      </c>
      <c r="P29" s="32" t="s">
        <v>453</v>
      </c>
      <c r="Q29" s="31" t="s">
        <v>31</v>
      </c>
      <c r="R29" s="25" t="s">
        <v>126</v>
      </c>
      <c r="S29" s="36">
        <v>968800</v>
      </c>
      <c r="T29" s="2" t="s">
        <v>46</v>
      </c>
      <c r="U29" s="37">
        <v>0</v>
      </c>
      <c r="V29" s="37">
        <v>-1</v>
      </c>
      <c r="W29" s="38">
        <v>0</v>
      </c>
      <c r="X29" s="39">
        <v>0</v>
      </c>
    </row>
    <row r="30" spans="1:24" x14ac:dyDescent="0.25">
      <c r="A30" s="24" t="s">
        <v>210</v>
      </c>
      <c r="B30" s="32" t="s">
        <v>256</v>
      </c>
      <c r="C30" s="32" t="s">
        <v>269</v>
      </c>
      <c r="D30" s="32" t="s">
        <v>306</v>
      </c>
      <c r="E30" s="32" t="s">
        <v>307</v>
      </c>
      <c r="F30" s="26" t="str">
        <f>HYPERLINK("https://mapwv.gov/flood/map/?wkid=102100&amp;x=-8995944.166997815&amp;y=4844327.362003755&amp;l=13&amp;v=2","FT")</f>
        <v>FT</v>
      </c>
      <c r="G30" s="17" t="s">
        <v>33</v>
      </c>
      <c r="H30" s="25" t="s">
        <v>26</v>
      </c>
      <c r="I30" s="32" t="s">
        <v>393</v>
      </c>
      <c r="J30" s="25" t="s">
        <v>27</v>
      </c>
      <c r="K30" s="31" t="s">
        <v>91</v>
      </c>
      <c r="L30" s="31" t="s">
        <v>75</v>
      </c>
      <c r="M30" s="32" t="s">
        <v>35</v>
      </c>
      <c r="N30" s="3" t="s">
        <v>119</v>
      </c>
      <c r="O30" s="31" t="s">
        <v>120</v>
      </c>
      <c r="P30" s="32" t="s">
        <v>454</v>
      </c>
      <c r="Q30" s="31" t="s">
        <v>31</v>
      </c>
      <c r="R30" s="25" t="s">
        <v>126</v>
      </c>
      <c r="S30" s="36">
        <v>907000</v>
      </c>
      <c r="T30" s="2" t="s">
        <v>46</v>
      </c>
      <c r="U30" s="37">
        <v>1.7010498000000001</v>
      </c>
      <c r="V30" s="37">
        <v>0.7010498046875</v>
      </c>
      <c r="W30" s="38">
        <v>6.6083984375000002E-2</v>
      </c>
      <c r="X30" s="39">
        <v>59938.173828125</v>
      </c>
    </row>
    <row r="31" spans="1:24" x14ac:dyDescent="0.25">
      <c r="A31" s="24" t="s">
        <v>211</v>
      </c>
      <c r="B31" s="32" t="s">
        <v>256</v>
      </c>
      <c r="C31" s="32" t="s">
        <v>269</v>
      </c>
      <c r="D31" s="32" t="s">
        <v>308</v>
      </c>
      <c r="E31" s="32" t="s">
        <v>309</v>
      </c>
      <c r="F31" s="26" t="str">
        <f>HYPERLINK("https://mapwv.gov/flood/map/?wkid=102100&amp;x=-8996966.880978355&amp;y=4836746.564589918&amp;l=13&amp;v=2","FT")</f>
        <v>FT</v>
      </c>
      <c r="G31" s="17" t="s">
        <v>33</v>
      </c>
      <c r="H31" s="25" t="s">
        <v>26</v>
      </c>
      <c r="I31" s="32" t="s">
        <v>401</v>
      </c>
      <c r="J31" s="25" t="s">
        <v>41</v>
      </c>
      <c r="K31" s="31" t="s">
        <v>93</v>
      </c>
      <c r="L31" s="31" t="s">
        <v>55</v>
      </c>
      <c r="M31" s="32" t="s">
        <v>73</v>
      </c>
      <c r="N31" s="3" t="s">
        <v>36</v>
      </c>
      <c r="O31" s="31" t="s">
        <v>120</v>
      </c>
      <c r="P31" s="32" t="s">
        <v>455</v>
      </c>
      <c r="Q31" s="31" t="s">
        <v>31</v>
      </c>
      <c r="R31" s="25" t="s">
        <v>126</v>
      </c>
      <c r="S31" s="36">
        <v>896800</v>
      </c>
      <c r="T31" s="2" t="s">
        <v>46</v>
      </c>
      <c r="U31" s="37">
        <v>2.1519775000000001</v>
      </c>
      <c r="V31" s="37">
        <v>1.1519775390625</v>
      </c>
      <c r="W31" s="38">
        <v>5.4559326171874999E-2</v>
      </c>
      <c r="X31" s="39">
        <v>48928.8037109375</v>
      </c>
    </row>
    <row r="32" spans="1:24" x14ac:dyDescent="0.25">
      <c r="A32" s="24" t="s">
        <v>212</v>
      </c>
      <c r="B32" s="32" t="s">
        <v>256</v>
      </c>
      <c r="C32" s="32" t="s">
        <v>269</v>
      </c>
      <c r="D32" s="32" t="s">
        <v>310</v>
      </c>
      <c r="E32" s="32" t="s">
        <v>311</v>
      </c>
      <c r="F32" s="26" t="str">
        <f>HYPERLINK("https://mapwv.gov/flood/map/?wkid=102100&amp;x=-8999643.40262115&amp;y=4828520.548797051&amp;l=13&amp;v=2","FT")</f>
        <v>FT</v>
      </c>
      <c r="G32" s="17" t="s">
        <v>33</v>
      </c>
      <c r="H32" s="25" t="s">
        <v>26</v>
      </c>
      <c r="I32" s="32" t="s">
        <v>402</v>
      </c>
      <c r="J32" s="25" t="s">
        <v>27</v>
      </c>
      <c r="K32" s="31" t="s">
        <v>109</v>
      </c>
      <c r="L32" s="31" t="s">
        <v>34</v>
      </c>
      <c r="M32" s="32" t="s">
        <v>35</v>
      </c>
      <c r="N32" s="3" t="s">
        <v>119</v>
      </c>
      <c r="O32" s="31" t="s">
        <v>120</v>
      </c>
      <c r="P32" s="32" t="s">
        <v>456</v>
      </c>
      <c r="Q32" s="31" t="s">
        <v>31</v>
      </c>
      <c r="R32" s="25" t="s">
        <v>126</v>
      </c>
      <c r="S32" s="36">
        <v>879400</v>
      </c>
      <c r="T32" s="2" t="s">
        <v>32</v>
      </c>
      <c r="U32" s="37">
        <v>0</v>
      </c>
      <c r="V32" s="37">
        <v>-1</v>
      </c>
      <c r="W32" s="38">
        <v>0</v>
      </c>
      <c r="X32" s="39">
        <v>0</v>
      </c>
    </row>
    <row r="33" spans="1:24" x14ac:dyDescent="0.25">
      <c r="A33" s="24" t="s">
        <v>213</v>
      </c>
      <c r="B33" s="32" t="s">
        <v>277</v>
      </c>
      <c r="C33" s="32" t="s">
        <v>269</v>
      </c>
      <c r="D33" s="32" t="s">
        <v>312</v>
      </c>
      <c r="E33" s="32" t="s">
        <v>297</v>
      </c>
      <c r="F33" s="26" t="str">
        <f>HYPERLINK("https://mapwv.gov/flood/map/?wkid=102100&amp;x=-8986897.927282589&amp;y=4869937.315816013&amp;l=13&amp;v=2","FT")</f>
        <v>FT</v>
      </c>
      <c r="G33" s="17" t="s">
        <v>33</v>
      </c>
      <c r="H33" s="25" t="s">
        <v>26</v>
      </c>
      <c r="I33" s="32" t="s">
        <v>396</v>
      </c>
      <c r="J33" s="25" t="s">
        <v>27</v>
      </c>
      <c r="K33" s="31" t="s">
        <v>99</v>
      </c>
      <c r="L33" s="31" t="s">
        <v>59</v>
      </c>
      <c r="M33" s="32" t="s">
        <v>35</v>
      </c>
      <c r="N33" s="3" t="s">
        <v>119</v>
      </c>
      <c r="O33" s="31" t="s">
        <v>120</v>
      </c>
      <c r="P33" s="32" t="s">
        <v>457</v>
      </c>
      <c r="Q33" s="31" t="s">
        <v>31</v>
      </c>
      <c r="R33" s="25" t="s">
        <v>126</v>
      </c>
      <c r="S33" s="36">
        <v>846000</v>
      </c>
      <c r="T33" s="2" t="s">
        <v>32</v>
      </c>
      <c r="U33" s="37">
        <v>0.66790769999999999</v>
      </c>
      <c r="V33" s="37">
        <v>-0.33209228515625</v>
      </c>
      <c r="W33" s="38">
        <v>6.6790771484375004E-3</v>
      </c>
      <c r="X33" s="39">
        <v>5650.4992675781205</v>
      </c>
    </row>
    <row r="34" spans="1:24" x14ac:dyDescent="0.25">
      <c r="A34" s="24" t="s">
        <v>214</v>
      </c>
      <c r="B34" s="32" t="s">
        <v>260</v>
      </c>
      <c r="C34" s="32" t="s">
        <v>272</v>
      </c>
      <c r="D34" s="32" t="s">
        <v>313</v>
      </c>
      <c r="E34" s="32" t="s">
        <v>314</v>
      </c>
      <c r="F34" s="26" t="str">
        <f>HYPERLINK("https://mapwv.gov/flood/map/?wkid=102100&amp;x=-8988353.369289547&amp;y=4852701.780735798&amp;l=13&amp;v=2","FT")</f>
        <v>FT</v>
      </c>
      <c r="G34" s="17" t="s">
        <v>33</v>
      </c>
      <c r="H34" s="25" t="s">
        <v>26</v>
      </c>
      <c r="I34" s="32" t="s">
        <v>403</v>
      </c>
      <c r="J34" s="25" t="s">
        <v>27</v>
      </c>
      <c r="K34" s="31" t="s">
        <v>88</v>
      </c>
      <c r="L34" s="31" t="s">
        <v>55</v>
      </c>
      <c r="M34" s="32" t="s">
        <v>73</v>
      </c>
      <c r="N34" s="3" t="s">
        <v>36</v>
      </c>
      <c r="O34" s="31" t="s">
        <v>120</v>
      </c>
      <c r="P34" s="32" t="s">
        <v>458</v>
      </c>
      <c r="Q34" s="31" t="s">
        <v>31</v>
      </c>
      <c r="R34" s="25" t="s">
        <v>126</v>
      </c>
      <c r="S34" s="36">
        <v>839400</v>
      </c>
      <c r="T34" s="2" t="s">
        <v>46</v>
      </c>
      <c r="U34" s="37">
        <v>0</v>
      </c>
      <c r="V34" s="37">
        <v>-1</v>
      </c>
      <c r="W34" s="38">
        <v>0</v>
      </c>
      <c r="X34" s="39">
        <v>0</v>
      </c>
    </row>
    <row r="35" spans="1:24" x14ac:dyDescent="0.25">
      <c r="A35" s="24" t="s">
        <v>215</v>
      </c>
      <c r="B35" s="32" t="s">
        <v>260</v>
      </c>
      <c r="C35" s="32" t="s">
        <v>272</v>
      </c>
      <c r="D35" s="32" t="s">
        <v>315</v>
      </c>
      <c r="E35" s="32" t="s">
        <v>316</v>
      </c>
      <c r="F35" s="26" t="str">
        <f>HYPERLINK("https://mapwv.gov/flood/map/?wkid=102100&amp;x=-8988672.349167844&amp;y=4853425.101874082&amp;l=13&amp;v=2","FT")</f>
        <v>FT</v>
      </c>
      <c r="G35" s="17" t="s">
        <v>33</v>
      </c>
      <c r="H35" s="25" t="s">
        <v>26</v>
      </c>
      <c r="I35" s="32" t="s">
        <v>404</v>
      </c>
      <c r="J35" s="25" t="s">
        <v>27</v>
      </c>
      <c r="K35" s="31" t="s">
        <v>135</v>
      </c>
      <c r="L35" s="31" t="s">
        <v>47</v>
      </c>
      <c r="M35" s="32" t="s">
        <v>50</v>
      </c>
      <c r="N35" s="3" t="s">
        <v>36</v>
      </c>
      <c r="O35" s="31" t="s">
        <v>121</v>
      </c>
      <c r="P35" s="32" t="s">
        <v>459</v>
      </c>
      <c r="Q35" s="31" t="s">
        <v>31</v>
      </c>
      <c r="R35" s="25" t="s">
        <v>126</v>
      </c>
      <c r="S35" s="36">
        <v>812100</v>
      </c>
      <c r="T35" s="2" t="s">
        <v>46</v>
      </c>
      <c r="U35" s="37">
        <v>0</v>
      </c>
      <c r="V35" s="37">
        <v>-1</v>
      </c>
      <c r="W35" s="38">
        <v>0</v>
      </c>
      <c r="X35" s="39">
        <v>0</v>
      </c>
    </row>
    <row r="36" spans="1:24" x14ac:dyDescent="0.25">
      <c r="A36" s="24" t="s">
        <v>216</v>
      </c>
      <c r="B36" s="32" t="s">
        <v>256</v>
      </c>
      <c r="C36" s="32" t="s">
        <v>272</v>
      </c>
      <c r="D36" s="32" t="s">
        <v>317</v>
      </c>
      <c r="E36" s="32" t="s">
        <v>318</v>
      </c>
      <c r="F36" s="26" t="str">
        <f>HYPERLINK("https://mapwv.gov/flood/map/?wkid=102100&amp;x=-8984911.794538839&amp;y=4853540.075126159&amp;l=13&amp;v=2","FT")</f>
        <v>FT</v>
      </c>
      <c r="G36" s="17" t="s">
        <v>56</v>
      </c>
      <c r="H36" s="25" t="s">
        <v>26</v>
      </c>
      <c r="I36" s="32" t="s">
        <v>405</v>
      </c>
      <c r="J36" s="25" t="s">
        <v>169</v>
      </c>
      <c r="K36" s="31" t="s">
        <v>149</v>
      </c>
      <c r="L36" s="31" t="s">
        <v>55</v>
      </c>
      <c r="M36" s="32" t="s">
        <v>430</v>
      </c>
      <c r="N36" s="3" t="s">
        <v>44</v>
      </c>
      <c r="O36" s="31" t="s">
        <v>121</v>
      </c>
      <c r="P36" s="32" t="s">
        <v>460</v>
      </c>
      <c r="Q36" s="31" t="s">
        <v>31</v>
      </c>
      <c r="R36" s="25" t="s">
        <v>126</v>
      </c>
      <c r="S36" s="36">
        <v>769300</v>
      </c>
      <c r="T36" s="2" t="s">
        <v>30</v>
      </c>
      <c r="U36" s="37">
        <v>0.31817626999999998</v>
      </c>
      <c r="V36" s="37">
        <v>-0.68182373046875</v>
      </c>
      <c r="W36" s="38">
        <v>4.7726440429687503E-2</v>
      </c>
      <c r="X36" s="39">
        <v>36715.950622558499</v>
      </c>
    </row>
    <row r="37" spans="1:24" x14ac:dyDescent="0.25">
      <c r="A37" s="24" t="s">
        <v>217</v>
      </c>
      <c r="B37" s="32" t="s">
        <v>256</v>
      </c>
      <c r="C37" s="32" t="s">
        <v>272</v>
      </c>
      <c r="D37" s="32" t="s">
        <v>317</v>
      </c>
      <c r="E37" s="32" t="s">
        <v>319</v>
      </c>
      <c r="F37" s="26" t="str">
        <f>HYPERLINK("https://mapwv.gov/flood/map/?wkid=102100&amp;x=-8984992.000231957&amp;y=4853505.635883742&amp;l=13&amp;v=2","FT")</f>
        <v>FT</v>
      </c>
      <c r="G37" s="17" t="s">
        <v>33</v>
      </c>
      <c r="H37" s="25" t="s">
        <v>26</v>
      </c>
      <c r="I37" s="32" t="s">
        <v>405</v>
      </c>
      <c r="J37" s="25" t="s">
        <v>27</v>
      </c>
      <c r="K37" s="31" t="s">
        <v>149</v>
      </c>
      <c r="L37" s="31" t="s">
        <v>55</v>
      </c>
      <c r="M37" s="32" t="s">
        <v>430</v>
      </c>
      <c r="N37" s="3" t="s">
        <v>44</v>
      </c>
      <c r="O37" s="31" t="s">
        <v>121</v>
      </c>
      <c r="P37" s="32" t="s">
        <v>460</v>
      </c>
      <c r="Q37" s="31" t="s">
        <v>31</v>
      </c>
      <c r="R37" s="25" t="s">
        <v>126</v>
      </c>
      <c r="S37" s="36">
        <v>769300</v>
      </c>
      <c r="T37" s="2" t="s">
        <v>32</v>
      </c>
      <c r="U37" s="37">
        <v>0</v>
      </c>
      <c r="V37" s="37">
        <v>-1</v>
      </c>
      <c r="W37" s="38">
        <v>0</v>
      </c>
      <c r="X37" s="39">
        <v>0</v>
      </c>
    </row>
    <row r="38" spans="1:24" x14ac:dyDescent="0.25">
      <c r="A38" s="24" t="s">
        <v>218</v>
      </c>
      <c r="B38" s="32" t="s">
        <v>256</v>
      </c>
      <c r="C38" s="32" t="s">
        <v>269</v>
      </c>
      <c r="D38" s="32" t="s">
        <v>310</v>
      </c>
      <c r="E38" s="32" t="s">
        <v>320</v>
      </c>
      <c r="F38" s="26" t="str">
        <f>HYPERLINK("https://mapwv.gov/flood/map/?wkid=102100&amp;x=-8999702.69761584&amp;y=4828485.289270298&amp;l=13&amp;v=2","FT")</f>
        <v>FT</v>
      </c>
      <c r="G38" s="17" t="s">
        <v>33</v>
      </c>
      <c r="H38" s="25" t="s">
        <v>26</v>
      </c>
      <c r="I38" s="32" t="s">
        <v>402</v>
      </c>
      <c r="J38" s="25" t="s">
        <v>27</v>
      </c>
      <c r="K38" s="31" t="s">
        <v>109</v>
      </c>
      <c r="L38" s="31" t="s">
        <v>34</v>
      </c>
      <c r="M38" s="32" t="s">
        <v>35</v>
      </c>
      <c r="N38" s="3" t="s">
        <v>119</v>
      </c>
      <c r="O38" s="31" t="s">
        <v>432</v>
      </c>
      <c r="P38" s="32" t="s">
        <v>461</v>
      </c>
      <c r="Q38" s="31" t="s">
        <v>31</v>
      </c>
      <c r="R38" s="25" t="s">
        <v>126</v>
      </c>
      <c r="S38" s="36">
        <v>744900</v>
      </c>
      <c r="T38" s="2" t="s">
        <v>32</v>
      </c>
      <c r="U38" s="37">
        <v>0</v>
      </c>
      <c r="V38" s="37">
        <v>-1</v>
      </c>
      <c r="W38" s="38">
        <v>0</v>
      </c>
      <c r="X38" s="39">
        <v>0</v>
      </c>
    </row>
    <row r="39" spans="1:24" x14ac:dyDescent="0.25">
      <c r="A39" s="24" t="s">
        <v>219</v>
      </c>
      <c r="B39" s="32" t="s">
        <v>256</v>
      </c>
      <c r="C39" s="32" t="s">
        <v>269</v>
      </c>
      <c r="D39" s="32" t="s">
        <v>310</v>
      </c>
      <c r="E39" s="32" t="s">
        <v>321</v>
      </c>
      <c r="F39" s="26" t="str">
        <f>HYPERLINK("https://mapwv.gov/flood/map/?wkid=102100&amp;x=-9000634.317409908&amp;y=4829121.45715953&amp;l=13&amp;v=2","FT")</f>
        <v>FT</v>
      </c>
      <c r="G39" s="17" t="s">
        <v>33</v>
      </c>
      <c r="H39" s="25" t="s">
        <v>67</v>
      </c>
      <c r="I39" s="32" t="s">
        <v>402</v>
      </c>
      <c r="J39" s="25" t="s">
        <v>27</v>
      </c>
      <c r="K39" s="31" t="s">
        <v>109</v>
      </c>
      <c r="L39" s="31" t="s">
        <v>34</v>
      </c>
      <c r="M39" s="32" t="s">
        <v>35</v>
      </c>
      <c r="N39" s="3" t="s">
        <v>119</v>
      </c>
      <c r="O39" s="31" t="s">
        <v>432</v>
      </c>
      <c r="P39" s="32" t="s">
        <v>461</v>
      </c>
      <c r="Q39" s="31" t="s">
        <v>31</v>
      </c>
      <c r="R39" s="25" t="s">
        <v>126</v>
      </c>
      <c r="S39" s="36">
        <v>744900</v>
      </c>
      <c r="T39" s="2" t="s">
        <v>32</v>
      </c>
      <c r="U39" s="37">
        <v>13.429871</v>
      </c>
      <c r="V39" s="37">
        <v>12.4298706054687</v>
      </c>
      <c r="W39" s="38">
        <v>0.468597412109375</v>
      </c>
      <c r="X39" s="39">
        <v>349058.21228027297</v>
      </c>
    </row>
    <row r="40" spans="1:24" x14ac:dyDescent="0.25">
      <c r="A40" s="24" t="s">
        <v>220</v>
      </c>
      <c r="B40" s="32" t="s">
        <v>252</v>
      </c>
      <c r="C40" s="32" t="s">
        <v>253</v>
      </c>
      <c r="D40" s="32" t="s">
        <v>322</v>
      </c>
      <c r="E40" s="32" t="s">
        <v>323</v>
      </c>
      <c r="F40" s="26" t="str">
        <f>HYPERLINK("https://mapwv.gov/flood/map/?wkid=102100&amp;x=-8989137.427528841&amp;y=4858175.355396643&amp;l=13&amp;v=2","FT")</f>
        <v>FT</v>
      </c>
      <c r="G40" s="17" t="s">
        <v>33</v>
      </c>
      <c r="H40" s="25" t="s">
        <v>26</v>
      </c>
      <c r="I40" s="32" t="s">
        <v>406</v>
      </c>
      <c r="J40" s="25" t="s">
        <v>27</v>
      </c>
      <c r="K40" s="31" t="s">
        <v>86</v>
      </c>
      <c r="L40" s="31" t="s">
        <v>28</v>
      </c>
      <c r="M40" s="32" t="s">
        <v>68</v>
      </c>
      <c r="N40" s="3" t="s">
        <v>118</v>
      </c>
      <c r="O40" s="31" t="s">
        <v>120</v>
      </c>
      <c r="P40" s="32" t="s">
        <v>462</v>
      </c>
      <c r="Q40" s="31" t="s">
        <v>31</v>
      </c>
      <c r="R40" s="25" t="s">
        <v>126</v>
      </c>
      <c r="S40" s="36">
        <v>729300</v>
      </c>
      <c r="T40" s="2" t="s">
        <v>46</v>
      </c>
      <c r="U40" s="37">
        <v>0.77514649999999996</v>
      </c>
      <c r="V40" s="37">
        <v>-0.224853515625</v>
      </c>
      <c r="W40" s="38">
        <v>0</v>
      </c>
      <c r="X40" s="39">
        <v>0</v>
      </c>
    </row>
    <row r="41" spans="1:24" x14ac:dyDescent="0.25">
      <c r="A41" s="24" t="s">
        <v>221</v>
      </c>
      <c r="B41" s="32" t="s">
        <v>277</v>
      </c>
      <c r="C41" s="32" t="s">
        <v>269</v>
      </c>
      <c r="D41" s="32" t="s">
        <v>324</v>
      </c>
      <c r="E41" s="32" t="s">
        <v>279</v>
      </c>
      <c r="F41" s="26" t="str">
        <f>HYPERLINK("https://mapwv.gov/flood/map/?wkid=102100&amp;x=-8987553.25365898&amp;y=4866927.562106052&amp;l=13&amp;v=2","FT")</f>
        <v>FT</v>
      </c>
      <c r="G41" s="17" t="s">
        <v>33</v>
      </c>
      <c r="H41" s="25" t="s">
        <v>26</v>
      </c>
      <c r="I41" s="32" t="s">
        <v>407</v>
      </c>
      <c r="J41" s="25" t="s">
        <v>27</v>
      </c>
      <c r="K41" s="31" t="s">
        <v>150</v>
      </c>
      <c r="L41" s="31" t="s">
        <v>112</v>
      </c>
      <c r="M41" s="32" t="s">
        <v>35</v>
      </c>
      <c r="N41" s="3" t="s">
        <v>119</v>
      </c>
      <c r="O41" s="31" t="s">
        <v>120</v>
      </c>
      <c r="P41" s="32" t="s">
        <v>463</v>
      </c>
      <c r="Q41" s="31" t="s">
        <v>31</v>
      </c>
      <c r="R41" s="25" t="s">
        <v>126</v>
      </c>
      <c r="S41" s="36">
        <v>725100</v>
      </c>
      <c r="T41" s="2" t="s">
        <v>46</v>
      </c>
      <c r="U41" s="37">
        <v>0</v>
      </c>
      <c r="V41" s="37">
        <v>-1</v>
      </c>
      <c r="W41" s="38">
        <v>0</v>
      </c>
      <c r="X41" s="39">
        <v>0</v>
      </c>
    </row>
    <row r="42" spans="1:24" x14ac:dyDescent="0.25">
      <c r="A42" s="24" t="s">
        <v>222</v>
      </c>
      <c r="B42" s="32" t="s">
        <v>260</v>
      </c>
      <c r="C42" s="32" t="s">
        <v>253</v>
      </c>
      <c r="D42" s="32" t="s">
        <v>261</v>
      </c>
      <c r="E42" s="32" t="s">
        <v>325</v>
      </c>
      <c r="F42" s="26" t="str">
        <f>HYPERLINK("https://mapwv.gov/flood/map/?wkid=102100&amp;x=-8988647.08264906&amp;y=4854484.148992513&amp;l=13&amp;v=2","FT")</f>
        <v>FT</v>
      </c>
      <c r="G42" s="17" t="s">
        <v>33</v>
      </c>
      <c r="H42" s="25" t="s">
        <v>26</v>
      </c>
      <c r="I42" s="32" t="s">
        <v>69</v>
      </c>
      <c r="J42" s="25" t="s">
        <v>41</v>
      </c>
      <c r="K42" s="31" t="s">
        <v>92</v>
      </c>
      <c r="L42" s="31" t="s">
        <v>28</v>
      </c>
      <c r="M42" s="32" t="s">
        <v>70</v>
      </c>
      <c r="N42" s="3" t="s">
        <v>116</v>
      </c>
      <c r="O42" s="31" t="s">
        <v>121</v>
      </c>
      <c r="P42" s="32" t="s">
        <v>464</v>
      </c>
      <c r="Q42" s="31" t="s">
        <v>31</v>
      </c>
      <c r="R42" s="25" t="s">
        <v>126</v>
      </c>
      <c r="S42" s="36">
        <v>695600</v>
      </c>
      <c r="T42" s="2" t="s">
        <v>32</v>
      </c>
      <c r="U42" s="37">
        <v>0</v>
      </c>
      <c r="V42" s="37">
        <v>-1</v>
      </c>
      <c r="W42" s="38">
        <v>0</v>
      </c>
      <c r="X42" s="39">
        <v>0</v>
      </c>
    </row>
    <row r="43" spans="1:24" x14ac:dyDescent="0.25">
      <c r="A43" s="24" t="s">
        <v>223</v>
      </c>
      <c r="B43" s="32" t="s">
        <v>277</v>
      </c>
      <c r="C43" s="32" t="s">
        <v>269</v>
      </c>
      <c r="D43" s="32" t="s">
        <v>326</v>
      </c>
      <c r="E43" s="32" t="s">
        <v>279</v>
      </c>
      <c r="F43" s="26" t="str">
        <f>HYPERLINK("https://mapwv.gov/flood/map/?wkid=102100&amp;x=-8987479.384605234&amp;y=4867912.78835541&amp;l=13&amp;v=2","FT")</f>
        <v>FT</v>
      </c>
      <c r="G43" s="17" t="s">
        <v>33</v>
      </c>
      <c r="H43" s="25" t="s">
        <v>26</v>
      </c>
      <c r="I43" s="32" t="s">
        <v>408</v>
      </c>
      <c r="J43" s="25" t="s">
        <v>27</v>
      </c>
      <c r="K43" s="31" t="s">
        <v>88</v>
      </c>
      <c r="L43" s="31" t="s">
        <v>28</v>
      </c>
      <c r="M43" s="32" t="s">
        <v>35</v>
      </c>
      <c r="N43" s="3" t="s">
        <v>119</v>
      </c>
      <c r="O43" s="31" t="s">
        <v>121</v>
      </c>
      <c r="P43" s="32" t="s">
        <v>465</v>
      </c>
      <c r="Q43" s="31" t="s">
        <v>31</v>
      </c>
      <c r="R43" s="25" t="s">
        <v>126</v>
      </c>
      <c r="S43" s="36">
        <v>671300</v>
      </c>
      <c r="T43" s="2" t="s">
        <v>46</v>
      </c>
      <c r="U43" s="37">
        <v>0.26525880000000002</v>
      </c>
      <c r="V43" s="37">
        <v>-0.7347412109375</v>
      </c>
      <c r="W43" s="38">
        <v>2.6525878906250001E-3</v>
      </c>
      <c r="X43" s="39">
        <v>1780.68225097656</v>
      </c>
    </row>
    <row r="44" spans="1:24" x14ac:dyDescent="0.25">
      <c r="A44" s="24" t="s">
        <v>224</v>
      </c>
      <c r="B44" s="32" t="s">
        <v>260</v>
      </c>
      <c r="C44" s="32" t="s">
        <v>327</v>
      </c>
      <c r="D44" s="32" t="s">
        <v>328</v>
      </c>
      <c r="E44" s="32" t="s">
        <v>329</v>
      </c>
      <c r="F44" s="26" t="str">
        <f>HYPERLINK("https://mapwv.gov/flood/map/?wkid=102100&amp;x=-8987607.721951867&amp;y=4855176.712987748&amp;l=13&amp;v=2","FT")</f>
        <v>FT</v>
      </c>
      <c r="G44" s="17" t="s">
        <v>40</v>
      </c>
      <c r="H44" s="25" t="s">
        <v>26</v>
      </c>
      <c r="I44" s="32" t="s">
        <v>409</v>
      </c>
      <c r="J44" s="25" t="s">
        <v>27</v>
      </c>
      <c r="K44" s="31" t="s">
        <v>176</v>
      </c>
      <c r="L44" s="31" t="s">
        <v>40</v>
      </c>
      <c r="M44" s="32" t="s">
        <v>74</v>
      </c>
      <c r="N44" s="3" t="s">
        <v>117</v>
      </c>
      <c r="O44" s="31" t="s">
        <v>120</v>
      </c>
      <c r="P44" s="32" t="s">
        <v>466</v>
      </c>
      <c r="Q44" s="31" t="s">
        <v>31</v>
      </c>
      <c r="R44" s="25" t="s">
        <v>126</v>
      </c>
      <c r="S44" s="36">
        <v>641800</v>
      </c>
      <c r="T44" s="2" t="s">
        <v>46</v>
      </c>
      <c r="U44" s="37">
        <v>0</v>
      </c>
      <c r="V44" s="37">
        <v>-1</v>
      </c>
      <c r="W44" s="38">
        <v>0</v>
      </c>
      <c r="X44" s="39">
        <v>0</v>
      </c>
    </row>
    <row r="45" spans="1:24" x14ac:dyDescent="0.25">
      <c r="A45" s="24" t="s">
        <v>225</v>
      </c>
      <c r="B45" s="32" t="s">
        <v>256</v>
      </c>
      <c r="C45" s="32" t="s">
        <v>269</v>
      </c>
      <c r="D45" s="32" t="s">
        <v>330</v>
      </c>
      <c r="E45" s="32" t="s">
        <v>331</v>
      </c>
      <c r="F45" s="26" t="str">
        <f>HYPERLINK("https://mapwv.gov/flood/map/?wkid=102100&amp;x=-8997161.62975208&amp;y=4843125.649026035&amp;l=13&amp;v=2","FT")</f>
        <v>FT</v>
      </c>
      <c r="G45" s="17" t="s">
        <v>33</v>
      </c>
      <c r="H45" s="25" t="s">
        <v>26</v>
      </c>
      <c r="I45" s="32" t="s">
        <v>410</v>
      </c>
      <c r="J45" s="25" t="s">
        <v>27</v>
      </c>
      <c r="K45" s="31" t="s">
        <v>129</v>
      </c>
      <c r="L45" s="31"/>
      <c r="M45" s="32" t="s">
        <v>58</v>
      </c>
      <c r="N45" s="3" t="s">
        <v>36</v>
      </c>
      <c r="O45" s="31" t="s">
        <v>120</v>
      </c>
      <c r="P45" s="32" t="s">
        <v>467</v>
      </c>
      <c r="Q45" s="31" t="s">
        <v>31</v>
      </c>
      <c r="R45" s="25" t="s">
        <v>126</v>
      </c>
      <c r="S45" s="36">
        <v>641400</v>
      </c>
      <c r="T45" s="2" t="s">
        <v>128</v>
      </c>
      <c r="U45" s="37">
        <v>2.2602540000000002</v>
      </c>
      <c r="V45" s="37">
        <v>1.26025390625</v>
      </c>
      <c r="W45" s="38">
        <v>0.1230126953125</v>
      </c>
      <c r="X45" s="39">
        <v>78900.3427734375</v>
      </c>
    </row>
    <row r="46" spans="1:24" x14ac:dyDescent="0.25">
      <c r="A46" s="24" t="s">
        <v>226</v>
      </c>
      <c r="B46" s="32" t="s">
        <v>256</v>
      </c>
      <c r="C46" s="32" t="s">
        <v>269</v>
      </c>
      <c r="D46" s="32" t="s">
        <v>332</v>
      </c>
      <c r="E46" s="32" t="s">
        <v>333</v>
      </c>
      <c r="F46" s="26" t="str">
        <f>HYPERLINK("https://mapwv.gov/flood/map/?wkid=102100&amp;x=-8997788.389098106&amp;y=4826097.291085777&amp;l=13&amp;v=2","FT")</f>
        <v>FT</v>
      </c>
      <c r="G46" s="17" t="s">
        <v>56</v>
      </c>
      <c r="H46" s="25" t="s">
        <v>26</v>
      </c>
      <c r="I46" s="32" t="s">
        <v>411</v>
      </c>
      <c r="J46" s="25" t="s">
        <v>169</v>
      </c>
      <c r="K46" s="31" t="s">
        <v>150</v>
      </c>
      <c r="L46" s="31" t="s">
        <v>112</v>
      </c>
      <c r="M46" s="32" t="s">
        <v>431</v>
      </c>
      <c r="N46" s="3" t="s">
        <v>119</v>
      </c>
      <c r="O46" s="31" t="s">
        <v>123</v>
      </c>
      <c r="P46" s="32" t="s">
        <v>468</v>
      </c>
      <c r="Q46" s="31" t="s">
        <v>31</v>
      </c>
      <c r="R46" s="25" t="s">
        <v>126</v>
      </c>
      <c r="S46" s="36">
        <v>631100</v>
      </c>
      <c r="T46" s="2" t="s">
        <v>32</v>
      </c>
      <c r="U46" s="37">
        <v>0.10852051</v>
      </c>
      <c r="V46" s="37">
        <v>-0.8914794921875</v>
      </c>
      <c r="W46" s="38">
        <v>0</v>
      </c>
      <c r="X46" s="39">
        <v>0</v>
      </c>
    </row>
    <row r="47" spans="1:24" x14ac:dyDescent="0.25">
      <c r="A47" s="24" t="s">
        <v>227</v>
      </c>
      <c r="B47" s="32" t="s">
        <v>334</v>
      </c>
      <c r="C47" s="32" t="s">
        <v>269</v>
      </c>
      <c r="D47" s="32" t="s">
        <v>335</v>
      </c>
      <c r="E47" s="32" t="s">
        <v>336</v>
      </c>
      <c r="F47" s="26" t="str">
        <f>HYPERLINK("https://mapwv.gov/flood/map/?wkid=102100&amp;x=-8987376.797794541&amp;y=4864949.960794452&amp;l=13&amp;v=2","FT")</f>
        <v>FT</v>
      </c>
      <c r="G47" s="17" t="s">
        <v>33</v>
      </c>
      <c r="H47" s="25" t="s">
        <v>26</v>
      </c>
      <c r="I47" s="32" t="s">
        <v>412</v>
      </c>
      <c r="J47" s="25" t="s">
        <v>27</v>
      </c>
      <c r="K47" s="31" t="s">
        <v>99</v>
      </c>
      <c r="L47" s="31" t="s">
        <v>28</v>
      </c>
      <c r="M47" s="32" t="s">
        <v>29</v>
      </c>
      <c r="N47" s="3" t="s">
        <v>117</v>
      </c>
      <c r="O47" s="31" t="s">
        <v>120</v>
      </c>
      <c r="P47" s="32" t="s">
        <v>184</v>
      </c>
      <c r="Q47" s="31" t="s">
        <v>31</v>
      </c>
      <c r="R47" s="25" t="s">
        <v>126</v>
      </c>
      <c r="S47" s="36">
        <v>625900</v>
      </c>
      <c r="T47" s="2" t="s">
        <v>32</v>
      </c>
      <c r="U47" s="37">
        <v>0</v>
      </c>
      <c r="V47" s="37">
        <v>-1</v>
      </c>
      <c r="W47" s="38">
        <v>0</v>
      </c>
      <c r="X47" s="39">
        <v>0</v>
      </c>
    </row>
    <row r="48" spans="1:24" x14ac:dyDescent="0.25">
      <c r="A48" s="24" t="s">
        <v>228</v>
      </c>
      <c r="B48" s="32" t="s">
        <v>256</v>
      </c>
      <c r="C48" s="32" t="s">
        <v>269</v>
      </c>
      <c r="D48" s="32" t="s">
        <v>337</v>
      </c>
      <c r="E48" s="32" t="s">
        <v>338</v>
      </c>
      <c r="F48" s="26" t="str">
        <f>HYPERLINK("https://mapwv.gov/flood/map/?wkid=102100&amp;x=-8994187.145350851&amp;y=4853429.730641472&amp;l=13&amp;v=2","FT")</f>
        <v>FT</v>
      </c>
      <c r="G48" s="17" t="s">
        <v>33</v>
      </c>
      <c r="H48" s="25" t="s">
        <v>26</v>
      </c>
      <c r="I48" s="32" t="s">
        <v>413</v>
      </c>
      <c r="J48" s="25" t="s">
        <v>27</v>
      </c>
      <c r="K48" s="31" t="s">
        <v>147</v>
      </c>
      <c r="L48" s="31" t="s">
        <v>112</v>
      </c>
      <c r="M48" s="32" t="s">
        <v>35</v>
      </c>
      <c r="N48" s="3" t="s">
        <v>119</v>
      </c>
      <c r="O48" s="31" t="s">
        <v>120</v>
      </c>
      <c r="P48" s="32" t="s">
        <v>170</v>
      </c>
      <c r="Q48" s="31" t="s">
        <v>31</v>
      </c>
      <c r="R48" s="25" t="s">
        <v>126</v>
      </c>
      <c r="S48" s="36">
        <v>613600</v>
      </c>
      <c r="T48" s="2" t="s">
        <v>32</v>
      </c>
      <c r="U48" s="37">
        <v>0</v>
      </c>
      <c r="V48" s="37">
        <v>-1</v>
      </c>
      <c r="W48" s="38">
        <v>0</v>
      </c>
      <c r="X48" s="39">
        <v>0</v>
      </c>
    </row>
    <row r="49" spans="1:24" x14ac:dyDescent="0.25">
      <c r="A49" s="24" t="s">
        <v>229</v>
      </c>
      <c r="B49" s="32" t="s">
        <v>256</v>
      </c>
      <c r="C49" s="32" t="s">
        <v>269</v>
      </c>
      <c r="D49" s="32" t="s">
        <v>339</v>
      </c>
      <c r="E49" s="32" t="s">
        <v>340</v>
      </c>
      <c r="F49" s="26" t="str">
        <f>HYPERLINK("https://mapwv.gov/flood/map/?wkid=102100&amp;x=-8998108.55419502&amp;y=4826072.538122744&amp;l=13&amp;v=2","FT")</f>
        <v>FT</v>
      </c>
      <c r="G49" s="17" t="s">
        <v>33</v>
      </c>
      <c r="H49" s="25" t="s">
        <v>26</v>
      </c>
      <c r="I49" s="32" t="s">
        <v>411</v>
      </c>
      <c r="J49" s="25" t="s">
        <v>27</v>
      </c>
      <c r="K49" s="31" t="s">
        <v>150</v>
      </c>
      <c r="L49" s="31" t="s">
        <v>112</v>
      </c>
      <c r="M49" s="32" t="s">
        <v>431</v>
      </c>
      <c r="N49" s="3" t="s">
        <v>119</v>
      </c>
      <c r="O49" s="31" t="s">
        <v>123</v>
      </c>
      <c r="P49" s="32" t="s">
        <v>469</v>
      </c>
      <c r="Q49" s="31" t="s">
        <v>31</v>
      </c>
      <c r="R49" s="25" t="s">
        <v>126</v>
      </c>
      <c r="S49" s="36">
        <v>556700</v>
      </c>
      <c r="T49" s="2" t="s">
        <v>32</v>
      </c>
      <c r="U49" s="37">
        <v>1</v>
      </c>
      <c r="V49" s="37">
        <v>0</v>
      </c>
      <c r="W49" s="38">
        <v>0</v>
      </c>
      <c r="X49" s="39">
        <v>0</v>
      </c>
    </row>
    <row r="50" spans="1:24" x14ac:dyDescent="0.25">
      <c r="A50" s="24" t="s">
        <v>230</v>
      </c>
      <c r="B50" s="32" t="s">
        <v>260</v>
      </c>
      <c r="C50" s="32" t="s">
        <v>269</v>
      </c>
      <c r="D50" s="32" t="s">
        <v>341</v>
      </c>
      <c r="E50" s="32" t="s">
        <v>342</v>
      </c>
      <c r="F50" s="26" t="str">
        <f>HYPERLINK("https://mapwv.gov/flood/map/?wkid=102100&amp;x=-8988991.242996173&amp;y=4854726.570969655&amp;l=13&amp;v=2","FT")</f>
        <v>FT</v>
      </c>
      <c r="G50" s="17" t="s">
        <v>33</v>
      </c>
      <c r="H50" s="25" t="s">
        <v>26</v>
      </c>
      <c r="I50" s="32" t="s">
        <v>414</v>
      </c>
      <c r="J50" s="25" t="s">
        <v>27</v>
      </c>
      <c r="K50" s="31" t="s">
        <v>149</v>
      </c>
      <c r="L50" s="31" t="s">
        <v>53</v>
      </c>
      <c r="M50" s="32" t="s">
        <v>48</v>
      </c>
      <c r="N50" s="3" t="s">
        <v>36</v>
      </c>
      <c r="O50" s="31" t="s">
        <v>120</v>
      </c>
      <c r="P50" s="32" t="s">
        <v>470</v>
      </c>
      <c r="Q50" s="31" t="s">
        <v>31</v>
      </c>
      <c r="R50" s="25" t="s">
        <v>126</v>
      </c>
      <c r="S50" s="36">
        <v>530400</v>
      </c>
      <c r="T50" s="2" t="s">
        <v>46</v>
      </c>
      <c r="U50" s="37">
        <v>0</v>
      </c>
      <c r="V50" s="37">
        <v>-1</v>
      </c>
      <c r="W50" s="38">
        <v>0</v>
      </c>
      <c r="X50" s="39">
        <v>0</v>
      </c>
    </row>
    <row r="51" spans="1:24" x14ac:dyDescent="0.25">
      <c r="A51" s="24" t="s">
        <v>231</v>
      </c>
      <c r="B51" s="32" t="s">
        <v>260</v>
      </c>
      <c r="C51" s="32" t="s">
        <v>269</v>
      </c>
      <c r="D51" s="32" t="s">
        <v>343</v>
      </c>
      <c r="E51" s="32" t="s">
        <v>344</v>
      </c>
      <c r="F51" s="26" t="str">
        <f>HYPERLINK("https://mapwv.gov/flood/map/?wkid=102100&amp;x=-8988976.56273832&amp;y=4854179.653527103&amp;l=13&amp;v=2","FT")</f>
        <v>FT</v>
      </c>
      <c r="G51" s="17" t="s">
        <v>33</v>
      </c>
      <c r="H51" s="25" t="s">
        <v>26</v>
      </c>
      <c r="I51" s="32" t="s">
        <v>69</v>
      </c>
      <c r="J51" s="25" t="s">
        <v>27</v>
      </c>
      <c r="K51" s="31" t="s">
        <v>97</v>
      </c>
      <c r="L51" s="31" t="s">
        <v>59</v>
      </c>
      <c r="M51" s="32" t="s">
        <v>58</v>
      </c>
      <c r="N51" s="3" t="s">
        <v>36</v>
      </c>
      <c r="O51" s="31" t="s">
        <v>120</v>
      </c>
      <c r="P51" s="32" t="s">
        <v>471</v>
      </c>
      <c r="Q51" s="31" t="s">
        <v>31</v>
      </c>
      <c r="R51" s="25" t="s">
        <v>126</v>
      </c>
      <c r="S51" s="36">
        <v>510900</v>
      </c>
      <c r="T51" s="2" t="s">
        <v>46</v>
      </c>
      <c r="U51" s="37">
        <v>0</v>
      </c>
      <c r="V51" s="37">
        <v>-1</v>
      </c>
      <c r="W51" s="38">
        <v>0</v>
      </c>
      <c r="X51" s="39">
        <v>0</v>
      </c>
    </row>
    <row r="52" spans="1:24" x14ac:dyDescent="0.25">
      <c r="A52" s="24" t="s">
        <v>232</v>
      </c>
      <c r="B52" s="32" t="s">
        <v>277</v>
      </c>
      <c r="C52" s="32" t="s">
        <v>269</v>
      </c>
      <c r="D52" s="32" t="s">
        <v>345</v>
      </c>
      <c r="E52" s="32" t="s">
        <v>346</v>
      </c>
      <c r="F52" s="26" t="str">
        <f>HYPERLINK("https://mapwv.gov/flood/map/?wkid=102100&amp;x=-8986831.645987976&amp;y=4869720.713747742&amp;l=13&amp;v=2","FT")</f>
        <v>FT</v>
      </c>
      <c r="G52" s="17" t="s">
        <v>33</v>
      </c>
      <c r="H52" s="25" t="s">
        <v>26</v>
      </c>
      <c r="I52" s="32" t="s">
        <v>415</v>
      </c>
      <c r="J52" s="25" t="s">
        <v>41</v>
      </c>
      <c r="K52" s="31" t="s">
        <v>152</v>
      </c>
      <c r="L52" s="31" t="s">
        <v>55</v>
      </c>
      <c r="M52" s="32" t="s">
        <v>50</v>
      </c>
      <c r="N52" s="3" t="s">
        <v>36</v>
      </c>
      <c r="O52" s="31" t="s">
        <v>121</v>
      </c>
      <c r="P52" s="32" t="s">
        <v>472</v>
      </c>
      <c r="Q52" s="31" t="s">
        <v>31</v>
      </c>
      <c r="R52" s="25" t="s">
        <v>126</v>
      </c>
      <c r="S52" s="36">
        <v>486200</v>
      </c>
      <c r="T52" s="2" t="s">
        <v>32</v>
      </c>
      <c r="U52" s="37">
        <v>1.4786376999999999</v>
      </c>
      <c r="V52" s="37">
        <v>0.4786376953125</v>
      </c>
      <c r="W52" s="38">
        <v>4.8291015625000003E-2</v>
      </c>
      <c r="X52" s="39">
        <v>23479.091796875</v>
      </c>
    </row>
    <row r="53" spans="1:24" x14ac:dyDescent="0.25">
      <c r="A53" s="24" t="s">
        <v>233</v>
      </c>
      <c r="B53" s="32" t="s">
        <v>256</v>
      </c>
      <c r="C53" s="32" t="s">
        <v>269</v>
      </c>
      <c r="D53" s="32" t="s">
        <v>347</v>
      </c>
      <c r="E53" s="32" t="s">
        <v>348</v>
      </c>
      <c r="F53" s="26" t="str">
        <f>HYPERLINK("https://mapwv.gov/flood/map/?wkid=102100&amp;x=-8996894.78301771&amp;y=4843313.353385094&amp;l=13&amp;v=2","FT")</f>
        <v>FT</v>
      </c>
      <c r="G53" s="17" t="s">
        <v>33</v>
      </c>
      <c r="H53" s="25" t="s">
        <v>26</v>
      </c>
      <c r="I53" s="32" t="s">
        <v>410</v>
      </c>
      <c r="J53" s="25" t="s">
        <v>41</v>
      </c>
      <c r="K53" s="31" t="s">
        <v>151</v>
      </c>
      <c r="L53" s="31"/>
      <c r="M53" s="32" t="s">
        <v>114</v>
      </c>
      <c r="N53" s="3" t="s">
        <v>119</v>
      </c>
      <c r="O53" s="31" t="s">
        <v>120</v>
      </c>
      <c r="P53" s="32" t="s">
        <v>158</v>
      </c>
      <c r="Q53" s="31" t="s">
        <v>31</v>
      </c>
      <c r="R53" s="25" t="s">
        <v>126</v>
      </c>
      <c r="S53" s="36">
        <v>421358</v>
      </c>
      <c r="T53" s="2" t="s">
        <v>128</v>
      </c>
      <c r="U53" s="37">
        <v>1</v>
      </c>
      <c r="V53" s="37">
        <v>0</v>
      </c>
      <c r="W53" s="38">
        <v>0.01</v>
      </c>
      <c r="X53" s="39">
        <v>4213.58</v>
      </c>
    </row>
    <row r="54" spans="1:24" x14ac:dyDescent="0.25">
      <c r="A54" s="24" t="s">
        <v>234</v>
      </c>
      <c r="B54" s="32" t="s">
        <v>260</v>
      </c>
      <c r="C54" s="32" t="s">
        <v>272</v>
      </c>
      <c r="D54" s="32" t="s">
        <v>349</v>
      </c>
      <c r="E54" s="32" t="s">
        <v>350</v>
      </c>
      <c r="F54" s="26" t="str">
        <f>HYPERLINK("https://mapwv.gov/flood/map/?wkid=102100&amp;x=-8987299.819810057&amp;y=4853731.994848155&amp;l=13&amp;v=2","FT")</f>
        <v>FT</v>
      </c>
      <c r="G54" s="17" t="s">
        <v>33</v>
      </c>
      <c r="H54" s="25" t="s">
        <v>26</v>
      </c>
      <c r="I54" s="32" t="s">
        <v>416</v>
      </c>
      <c r="J54" s="25" t="s">
        <v>41</v>
      </c>
      <c r="K54" s="31" t="s">
        <v>136</v>
      </c>
      <c r="L54" s="31" t="s">
        <v>28</v>
      </c>
      <c r="M54" s="32" t="s">
        <v>29</v>
      </c>
      <c r="N54" s="3" t="s">
        <v>117</v>
      </c>
      <c r="O54" s="31" t="s">
        <v>120</v>
      </c>
      <c r="P54" s="32" t="s">
        <v>473</v>
      </c>
      <c r="Q54" s="31" t="s">
        <v>31</v>
      </c>
      <c r="R54" s="25" t="s">
        <v>126</v>
      </c>
      <c r="S54" s="36">
        <v>410500</v>
      </c>
      <c r="T54" s="2" t="s">
        <v>32</v>
      </c>
      <c r="U54" s="37">
        <v>0</v>
      </c>
      <c r="V54" s="37">
        <v>-1</v>
      </c>
      <c r="W54" s="38">
        <v>0</v>
      </c>
      <c r="X54" s="39">
        <v>0</v>
      </c>
    </row>
    <row r="55" spans="1:24" x14ac:dyDescent="0.25">
      <c r="A55" s="24" t="s">
        <v>235</v>
      </c>
      <c r="B55" s="32" t="s">
        <v>256</v>
      </c>
      <c r="C55" s="32" t="s">
        <v>351</v>
      </c>
      <c r="D55" s="32" t="s">
        <v>352</v>
      </c>
      <c r="E55" s="32" t="s">
        <v>353</v>
      </c>
      <c r="F55" s="26" t="str">
        <f>HYPERLINK("https://mapwv.gov/flood/map/?wkid=102100&amp;x=-8993011.749786882&amp;y=4849647.664132452&amp;l=13&amp;v=2","FT")</f>
        <v>FT</v>
      </c>
      <c r="G55" s="17" t="s">
        <v>33</v>
      </c>
      <c r="H55" s="25" t="s">
        <v>26</v>
      </c>
      <c r="I55" s="32" t="s">
        <v>417</v>
      </c>
      <c r="J55" s="25" t="s">
        <v>27</v>
      </c>
      <c r="K55" s="31" t="s">
        <v>147</v>
      </c>
      <c r="L55" s="31" t="s">
        <v>52</v>
      </c>
      <c r="M55" s="32" t="s">
        <v>155</v>
      </c>
      <c r="N55" s="3" t="s">
        <v>119</v>
      </c>
      <c r="O55" s="31" t="s">
        <v>121</v>
      </c>
      <c r="P55" s="32" t="s">
        <v>474</v>
      </c>
      <c r="Q55" s="31" t="s">
        <v>31</v>
      </c>
      <c r="R55" s="25" t="s">
        <v>126</v>
      </c>
      <c r="S55" s="36">
        <v>408000</v>
      </c>
      <c r="T55" s="2" t="s">
        <v>46</v>
      </c>
      <c r="U55" s="37">
        <v>0</v>
      </c>
      <c r="V55" s="37">
        <v>-1</v>
      </c>
      <c r="W55" s="38">
        <v>0</v>
      </c>
      <c r="X55" s="39">
        <v>0</v>
      </c>
    </row>
    <row r="56" spans="1:24" x14ac:dyDescent="0.25">
      <c r="A56" s="24" t="s">
        <v>236</v>
      </c>
      <c r="B56" s="32" t="s">
        <v>260</v>
      </c>
      <c r="C56" s="32" t="s">
        <v>253</v>
      </c>
      <c r="D56" s="32" t="s">
        <v>354</v>
      </c>
      <c r="E56" s="32" t="s">
        <v>355</v>
      </c>
      <c r="F56" s="26" t="str">
        <f>HYPERLINK("https://mapwv.gov/flood/map/?wkid=102100&amp;x=-8988422.538768344&amp;y=4855322.017577616&amp;l=13&amp;v=2","FT")</f>
        <v>FT</v>
      </c>
      <c r="G56" s="17" t="s">
        <v>33</v>
      </c>
      <c r="H56" s="25" t="s">
        <v>26</v>
      </c>
      <c r="I56" s="32" t="s">
        <v>387</v>
      </c>
      <c r="J56" s="25" t="s">
        <v>27</v>
      </c>
      <c r="K56" s="31" t="s">
        <v>176</v>
      </c>
      <c r="L56" s="31" t="s">
        <v>75</v>
      </c>
      <c r="M56" s="32" t="s">
        <v>154</v>
      </c>
      <c r="N56" s="3" t="s">
        <v>36</v>
      </c>
      <c r="O56" s="31" t="s">
        <v>120</v>
      </c>
      <c r="P56" s="32" t="s">
        <v>175</v>
      </c>
      <c r="Q56" s="31" t="s">
        <v>31</v>
      </c>
      <c r="R56" s="25" t="s">
        <v>126</v>
      </c>
      <c r="S56" s="36">
        <v>386900</v>
      </c>
      <c r="T56" s="2" t="s">
        <v>32</v>
      </c>
      <c r="U56" s="37">
        <v>0.52362059999999999</v>
      </c>
      <c r="V56" s="37">
        <v>-0.47637939453125</v>
      </c>
      <c r="W56" s="38">
        <v>0</v>
      </c>
      <c r="X56" s="39">
        <v>0</v>
      </c>
    </row>
    <row r="57" spans="1:24" x14ac:dyDescent="0.25">
      <c r="A57" s="24" t="s">
        <v>237</v>
      </c>
      <c r="B57" s="32" t="s">
        <v>334</v>
      </c>
      <c r="C57" s="32" t="s">
        <v>269</v>
      </c>
      <c r="D57" s="32" t="s">
        <v>356</v>
      </c>
      <c r="E57" s="32" t="s">
        <v>357</v>
      </c>
      <c r="F57" s="26" t="str">
        <f>HYPERLINK("https://mapwv.gov/flood/map/?wkid=102100&amp;x=-8987188.100125697&amp;y=4863185.58944418&amp;l=13&amp;v=2","FT")</f>
        <v>FT</v>
      </c>
      <c r="G57" s="17" t="s">
        <v>33</v>
      </c>
      <c r="H57" s="25" t="s">
        <v>26</v>
      </c>
      <c r="I57" s="32" t="s">
        <v>418</v>
      </c>
      <c r="J57" s="25" t="s">
        <v>41</v>
      </c>
      <c r="K57" s="31" t="s">
        <v>98</v>
      </c>
      <c r="L57" s="31" t="s">
        <v>28</v>
      </c>
      <c r="M57" s="32" t="s">
        <v>73</v>
      </c>
      <c r="N57" s="3" t="s">
        <v>36</v>
      </c>
      <c r="O57" s="31" t="s">
        <v>120</v>
      </c>
      <c r="P57" s="32" t="s">
        <v>475</v>
      </c>
      <c r="Q57" s="31" t="s">
        <v>31</v>
      </c>
      <c r="R57" s="25" t="s">
        <v>126</v>
      </c>
      <c r="S57" s="36">
        <v>384200</v>
      </c>
      <c r="T57" s="2" t="s">
        <v>46</v>
      </c>
      <c r="U57" s="37">
        <v>0</v>
      </c>
      <c r="V57" s="37">
        <v>-1</v>
      </c>
      <c r="W57" s="38">
        <v>0</v>
      </c>
      <c r="X57" s="39">
        <v>0</v>
      </c>
    </row>
    <row r="58" spans="1:24" x14ac:dyDescent="0.25">
      <c r="A58" s="24" t="s">
        <v>238</v>
      </c>
      <c r="B58" s="32" t="s">
        <v>260</v>
      </c>
      <c r="C58" s="32" t="s">
        <v>272</v>
      </c>
      <c r="D58" s="32" t="s">
        <v>358</v>
      </c>
      <c r="E58" s="32" t="s">
        <v>359</v>
      </c>
      <c r="F58" s="26" t="str">
        <f>HYPERLINK("https://mapwv.gov/flood/map/?wkid=102100&amp;x=-8986823.205966827&amp;y=4853726.745182017&amp;l=13&amp;v=2","FT")</f>
        <v>FT</v>
      </c>
      <c r="G58" s="17" t="s">
        <v>33</v>
      </c>
      <c r="H58" s="25" t="s">
        <v>26</v>
      </c>
      <c r="I58" s="32" t="s">
        <v>419</v>
      </c>
      <c r="J58" s="25" t="s">
        <v>27</v>
      </c>
      <c r="K58" s="31" t="s">
        <v>105</v>
      </c>
      <c r="L58" s="31" t="s">
        <v>75</v>
      </c>
      <c r="M58" s="32" t="s">
        <v>73</v>
      </c>
      <c r="N58" s="3" t="s">
        <v>36</v>
      </c>
      <c r="O58" s="31" t="s">
        <v>120</v>
      </c>
      <c r="P58" s="32" t="s">
        <v>476</v>
      </c>
      <c r="Q58" s="31" t="s">
        <v>31</v>
      </c>
      <c r="R58" s="25" t="s">
        <v>126</v>
      </c>
      <c r="S58" s="36">
        <v>374900</v>
      </c>
      <c r="T58" s="2" t="s">
        <v>46</v>
      </c>
      <c r="U58" s="37">
        <v>5.3204345999999996</v>
      </c>
      <c r="V58" s="37">
        <v>4.3204345703125</v>
      </c>
      <c r="W58" s="38">
        <v>0.139613037109375</v>
      </c>
      <c r="X58" s="39">
        <v>52340.9276123046</v>
      </c>
    </row>
    <row r="59" spans="1:24" x14ac:dyDescent="0.25">
      <c r="A59" s="24" t="s">
        <v>239</v>
      </c>
      <c r="B59" s="32" t="s">
        <v>256</v>
      </c>
      <c r="C59" s="32" t="s">
        <v>272</v>
      </c>
      <c r="D59" s="32" t="s">
        <v>360</v>
      </c>
      <c r="E59" s="32" t="s">
        <v>361</v>
      </c>
      <c r="F59" s="26" t="str">
        <f>HYPERLINK("https://mapwv.gov/flood/map/?wkid=102100&amp;x=-8984986.07102192&amp;y=4853298.004133706&amp;l=13&amp;v=2","FT")</f>
        <v>FT</v>
      </c>
      <c r="G59" s="17" t="s">
        <v>33</v>
      </c>
      <c r="H59" s="25" t="s">
        <v>26</v>
      </c>
      <c r="I59" s="32" t="s">
        <v>420</v>
      </c>
      <c r="J59" s="25" t="s">
        <v>27</v>
      </c>
      <c r="K59" s="31" t="s">
        <v>144</v>
      </c>
      <c r="L59" s="31" t="s">
        <v>55</v>
      </c>
      <c r="M59" s="32" t="s">
        <v>115</v>
      </c>
      <c r="N59" s="3" t="s">
        <v>44</v>
      </c>
      <c r="O59" s="31" t="s">
        <v>121</v>
      </c>
      <c r="P59" s="32" t="s">
        <v>477</v>
      </c>
      <c r="Q59" s="31" t="s">
        <v>31</v>
      </c>
      <c r="R59" s="25" t="s">
        <v>126</v>
      </c>
      <c r="S59" s="36">
        <v>361500</v>
      </c>
      <c r="T59" s="2" t="s">
        <v>32</v>
      </c>
      <c r="U59" s="37">
        <v>0</v>
      </c>
      <c r="V59" s="37">
        <v>-1</v>
      </c>
      <c r="W59" s="38">
        <v>0</v>
      </c>
      <c r="X59" s="39">
        <v>0</v>
      </c>
    </row>
    <row r="60" spans="1:24" x14ac:dyDescent="0.25">
      <c r="A60" s="24" t="s">
        <v>240</v>
      </c>
      <c r="B60" s="32" t="s">
        <v>277</v>
      </c>
      <c r="C60" s="32" t="s">
        <v>269</v>
      </c>
      <c r="D60" s="32" t="s">
        <v>362</v>
      </c>
      <c r="E60" s="32" t="s">
        <v>363</v>
      </c>
      <c r="F60" s="26" t="str">
        <f>HYPERLINK("https://mapwv.gov/flood/map/?wkid=102100&amp;x=-8986416.17726937&amp;y=4870663.4800399095&amp;l=13&amp;v=2","FT")</f>
        <v>FT</v>
      </c>
      <c r="G60" s="17" t="s">
        <v>33</v>
      </c>
      <c r="H60" s="25" t="s">
        <v>26</v>
      </c>
      <c r="I60" s="32" t="s">
        <v>421</v>
      </c>
      <c r="J60" s="25" t="s">
        <v>27</v>
      </c>
      <c r="K60" s="31" t="s">
        <v>144</v>
      </c>
      <c r="L60" s="31" t="s">
        <v>28</v>
      </c>
      <c r="M60" s="32" t="s">
        <v>58</v>
      </c>
      <c r="N60" s="3" t="s">
        <v>36</v>
      </c>
      <c r="O60" s="31" t="s">
        <v>120</v>
      </c>
      <c r="P60" s="32" t="s">
        <v>478</v>
      </c>
      <c r="Q60" s="31" t="s">
        <v>31</v>
      </c>
      <c r="R60" s="25" t="s">
        <v>126</v>
      </c>
      <c r="S60" s="36">
        <v>360200</v>
      </c>
      <c r="T60" s="2" t="s">
        <v>46</v>
      </c>
      <c r="U60" s="37">
        <v>1.1240844999999999</v>
      </c>
      <c r="V60" s="37">
        <v>0.12408447265625</v>
      </c>
      <c r="W60" s="38">
        <v>3.1167602539062499E-2</v>
      </c>
      <c r="X60" s="39">
        <v>11226.5704345703</v>
      </c>
    </row>
    <row r="61" spans="1:24" x14ac:dyDescent="0.25">
      <c r="A61" s="24" t="s">
        <v>242</v>
      </c>
      <c r="B61" s="32" t="s">
        <v>256</v>
      </c>
      <c r="C61" s="32" t="s">
        <v>269</v>
      </c>
      <c r="D61" s="32" t="s">
        <v>332</v>
      </c>
      <c r="E61" s="32" t="s">
        <v>366</v>
      </c>
      <c r="F61" s="26" t="str">
        <f>HYPERLINK("https://mapwv.gov/flood/map/?wkid=102100&amp;x=-8997886.002376596&amp;y=4826021.814865923&amp;l=13&amp;v=2","FT")</f>
        <v>FT</v>
      </c>
      <c r="G61" s="17" t="s">
        <v>33</v>
      </c>
      <c r="H61" s="25" t="s">
        <v>26</v>
      </c>
      <c r="I61" s="32" t="s">
        <v>411</v>
      </c>
      <c r="J61" s="25" t="s">
        <v>27</v>
      </c>
      <c r="K61" s="31" t="s">
        <v>150</v>
      </c>
      <c r="L61" s="31" t="s">
        <v>112</v>
      </c>
      <c r="M61" s="32" t="s">
        <v>431</v>
      </c>
      <c r="N61" s="3" t="s">
        <v>119</v>
      </c>
      <c r="O61" s="31" t="s">
        <v>123</v>
      </c>
      <c r="P61" s="32" t="s">
        <v>479</v>
      </c>
      <c r="Q61" s="31" t="s">
        <v>31</v>
      </c>
      <c r="R61" s="25" t="s">
        <v>126</v>
      </c>
      <c r="S61" s="36">
        <v>359200</v>
      </c>
      <c r="T61" s="2" t="s">
        <v>32</v>
      </c>
      <c r="U61" s="37">
        <v>1</v>
      </c>
      <c r="V61" s="37">
        <v>0</v>
      </c>
      <c r="W61" s="38">
        <v>0</v>
      </c>
      <c r="X61" s="39">
        <v>0</v>
      </c>
    </row>
    <row r="62" spans="1:24" x14ac:dyDescent="0.25">
      <c r="A62" s="24" t="s">
        <v>243</v>
      </c>
      <c r="B62" s="32" t="s">
        <v>260</v>
      </c>
      <c r="C62" s="32" t="s">
        <v>253</v>
      </c>
      <c r="D62" s="32" t="s">
        <v>367</v>
      </c>
      <c r="E62" s="32" t="s">
        <v>368</v>
      </c>
      <c r="F62" s="26" t="str">
        <f>HYPERLINK("https://mapwv.gov/flood/map/?wkid=102100&amp;x=-8989025.425315613&amp;y=4855161.929632419&amp;l=13&amp;v=2","FT")</f>
        <v>FT</v>
      </c>
      <c r="G62" s="17" t="s">
        <v>33</v>
      </c>
      <c r="H62" s="25" t="s">
        <v>26</v>
      </c>
      <c r="I62" s="32" t="s">
        <v>423</v>
      </c>
      <c r="J62" s="25" t="s">
        <v>27</v>
      </c>
      <c r="K62" s="31" t="s">
        <v>149</v>
      </c>
      <c r="L62" s="31" t="s">
        <v>42</v>
      </c>
      <c r="M62" s="32" t="s">
        <v>54</v>
      </c>
      <c r="N62" s="3" t="s">
        <v>36</v>
      </c>
      <c r="O62" s="31" t="s">
        <v>120</v>
      </c>
      <c r="P62" s="32" t="s">
        <v>480</v>
      </c>
      <c r="Q62" s="31" t="s">
        <v>31</v>
      </c>
      <c r="R62" s="25" t="s">
        <v>126</v>
      </c>
      <c r="S62" s="36">
        <v>358500</v>
      </c>
      <c r="T62" s="2" t="s">
        <v>46</v>
      </c>
      <c r="U62" s="37">
        <v>0</v>
      </c>
      <c r="V62" s="37">
        <v>-1</v>
      </c>
      <c r="W62" s="38">
        <v>0</v>
      </c>
      <c r="X62" s="39">
        <v>0</v>
      </c>
    </row>
    <row r="63" spans="1:24" x14ac:dyDescent="0.25">
      <c r="A63" s="24" t="s">
        <v>244</v>
      </c>
      <c r="B63" s="32" t="s">
        <v>277</v>
      </c>
      <c r="C63" s="32" t="s">
        <v>269</v>
      </c>
      <c r="D63" s="32" t="s">
        <v>369</v>
      </c>
      <c r="E63" s="32" t="s">
        <v>370</v>
      </c>
      <c r="F63" s="26" t="str">
        <f>HYPERLINK("https://mapwv.gov/flood/map/?wkid=102100&amp;x=-8986700.983399823&amp;y=4870098.490198976&amp;l=13&amp;v=2","FT")</f>
        <v>FT</v>
      </c>
      <c r="G63" s="17" t="s">
        <v>33</v>
      </c>
      <c r="H63" s="25" t="s">
        <v>26</v>
      </c>
      <c r="I63" s="32" t="s">
        <v>424</v>
      </c>
      <c r="J63" s="25" t="s">
        <v>27</v>
      </c>
      <c r="K63" s="31" t="s">
        <v>85</v>
      </c>
      <c r="L63" s="31" t="s">
        <v>42</v>
      </c>
      <c r="M63" s="32" t="s">
        <v>54</v>
      </c>
      <c r="N63" s="3" t="s">
        <v>36</v>
      </c>
      <c r="O63" s="31" t="s">
        <v>120</v>
      </c>
      <c r="P63" s="32" t="s">
        <v>481</v>
      </c>
      <c r="Q63" s="31" t="s">
        <v>31</v>
      </c>
      <c r="R63" s="25" t="s">
        <v>126</v>
      </c>
      <c r="S63" s="36">
        <v>356600</v>
      </c>
      <c r="T63" s="2" t="s">
        <v>46</v>
      </c>
      <c r="U63" s="37">
        <v>10.274231</v>
      </c>
      <c r="V63" s="37">
        <v>9.27423095703125</v>
      </c>
      <c r="W63" s="38">
        <v>0.26822692871093701</v>
      </c>
      <c r="X63" s="39">
        <v>95649.722778320298</v>
      </c>
    </row>
    <row r="64" spans="1:24" x14ac:dyDescent="0.25">
      <c r="A64" s="24" t="s">
        <v>245</v>
      </c>
      <c r="B64" s="32" t="s">
        <v>256</v>
      </c>
      <c r="C64" s="32" t="s">
        <v>272</v>
      </c>
      <c r="D64" s="32" t="s">
        <v>360</v>
      </c>
      <c r="E64" s="32" t="s">
        <v>371</v>
      </c>
      <c r="F64" s="26" t="str">
        <f>HYPERLINK("https://mapwv.gov/flood/map/?wkid=102100&amp;x=-8984940.634635914&amp;y=4853371.974321391&amp;l=13&amp;v=2","FT")</f>
        <v>FT</v>
      </c>
      <c r="G64" s="17" t="s">
        <v>56</v>
      </c>
      <c r="H64" s="25" t="s">
        <v>26</v>
      </c>
      <c r="I64" s="32" t="s">
        <v>420</v>
      </c>
      <c r="J64" s="25" t="s">
        <v>169</v>
      </c>
      <c r="K64" s="31" t="s">
        <v>144</v>
      </c>
      <c r="L64" s="31" t="s">
        <v>55</v>
      </c>
      <c r="M64" s="32" t="s">
        <v>115</v>
      </c>
      <c r="N64" s="3" t="s">
        <v>44</v>
      </c>
      <c r="O64" s="31" t="s">
        <v>121</v>
      </c>
      <c r="P64" s="32" t="s">
        <v>482</v>
      </c>
      <c r="Q64" s="31" t="s">
        <v>31</v>
      </c>
      <c r="R64" s="25" t="s">
        <v>126</v>
      </c>
      <c r="S64" s="36">
        <v>344000</v>
      </c>
      <c r="T64" s="2" t="s">
        <v>32</v>
      </c>
      <c r="U64" s="37">
        <v>0.28338623000000002</v>
      </c>
      <c r="V64" s="37">
        <v>-0.71661376953125</v>
      </c>
      <c r="W64" s="38">
        <v>4.2507934570312503E-2</v>
      </c>
      <c r="X64" s="39">
        <v>14622.7294921875</v>
      </c>
    </row>
    <row r="65" spans="1:24" x14ac:dyDescent="0.25">
      <c r="A65" s="24" t="s">
        <v>246</v>
      </c>
      <c r="B65" s="32" t="s">
        <v>256</v>
      </c>
      <c r="C65" s="32" t="s">
        <v>253</v>
      </c>
      <c r="D65" s="32" t="s">
        <v>372</v>
      </c>
      <c r="E65" s="32" t="s">
        <v>373</v>
      </c>
      <c r="F65" s="26" t="str">
        <f>HYPERLINK("https://mapwv.gov/flood/map/?wkid=102100&amp;x=-8987094.03348618&amp;y=4859842.645488646&amp;l=13&amp;v=2","FT")</f>
        <v>FT</v>
      </c>
      <c r="G65" s="17" t="s">
        <v>40</v>
      </c>
      <c r="H65" s="25" t="s">
        <v>26</v>
      </c>
      <c r="I65" s="32" t="s">
        <v>425</v>
      </c>
      <c r="J65" s="25" t="s">
        <v>27</v>
      </c>
      <c r="K65" s="31" t="s">
        <v>84</v>
      </c>
      <c r="L65" s="31" t="s">
        <v>53</v>
      </c>
      <c r="M65" s="32" t="s">
        <v>43</v>
      </c>
      <c r="N65" s="3" t="s">
        <v>44</v>
      </c>
      <c r="O65" s="31" t="s">
        <v>121</v>
      </c>
      <c r="P65" s="32" t="s">
        <v>483</v>
      </c>
      <c r="Q65" s="31" t="s">
        <v>45</v>
      </c>
      <c r="R65" s="25" t="s">
        <v>127</v>
      </c>
      <c r="S65" s="36">
        <v>340800</v>
      </c>
      <c r="T65" s="2" t="s">
        <v>46</v>
      </c>
      <c r="U65" s="37">
        <v>0</v>
      </c>
      <c r="V65" s="37">
        <v>-4</v>
      </c>
      <c r="W65" s="38">
        <v>0</v>
      </c>
      <c r="X65" s="39">
        <v>0</v>
      </c>
    </row>
    <row r="66" spans="1:24" x14ac:dyDescent="0.25">
      <c r="A66" s="24" t="s">
        <v>247</v>
      </c>
      <c r="B66" s="32" t="s">
        <v>256</v>
      </c>
      <c r="C66" s="32" t="s">
        <v>269</v>
      </c>
      <c r="D66" s="32" t="s">
        <v>374</v>
      </c>
      <c r="E66" s="32" t="s">
        <v>375</v>
      </c>
      <c r="F66" s="26" t="str">
        <f>HYPERLINK("https://mapwv.gov/flood/map/?wkid=102100&amp;x=-8996900.962807922&amp;y=4843561.7066699965&amp;l=13&amp;v=2","FT")</f>
        <v>FT</v>
      </c>
      <c r="G66" s="17" t="s">
        <v>33</v>
      </c>
      <c r="H66" s="25" t="s">
        <v>67</v>
      </c>
      <c r="I66" s="32" t="s">
        <v>426</v>
      </c>
      <c r="J66" s="25" t="s">
        <v>41</v>
      </c>
      <c r="K66" s="31" t="s">
        <v>101</v>
      </c>
      <c r="L66" s="31" t="s">
        <v>28</v>
      </c>
      <c r="M66" s="32" t="s">
        <v>39</v>
      </c>
      <c r="N66" s="3" t="s">
        <v>119</v>
      </c>
      <c r="O66" s="31" t="s">
        <v>120</v>
      </c>
      <c r="P66" s="32" t="s">
        <v>484</v>
      </c>
      <c r="Q66" s="31" t="s">
        <v>31</v>
      </c>
      <c r="R66" s="25" t="s">
        <v>126</v>
      </c>
      <c r="S66" s="36">
        <v>337600</v>
      </c>
      <c r="T66" s="2" t="s">
        <v>46</v>
      </c>
      <c r="U66" s="37">
        <v>16.196411000000001</v>
      </c>
      <c r="V66" s="37">
        <v>15.1964111328125</v>
      </c>
      <c r="W66" s="38">
        <v>0.5</v>
      </c>
      <c r="X66" s="39">
        <v>168800</v>
      </c>
    </row>
    <row r="67" spans="1:24" x14ac:dyDescent="0.25">
      <c r="A67" s="24" t="s">
        <v>248</v>
      </c>
      <c r="B67" s="32" t="s">
        <v>277</v>
      </c>
      <c r="C67" s="32" t="s">
        <v>269</v>
      </c>
      <c r="D67" s="32" t="s">
        <v>376</v>
      </c>
      <c r="E67" s="32" t="s">
        <v>377</v>
      </c>
      <c r="F67" s="26" t="str">
        <f>HYPERLINK("https://mapwv.gov/flood/map/?wkid=102100&amp;x=-8986502.804427313&amp;y=4870467.044237649&amp;l=13&amp;v=2","FT")</f>
        <v>FT</v>
      </c>
      <c r="G67" s="17" t="s">
        <v>33</v>
      </c>
      <c r="H67" s="25" t="s">
        <v>26</v>
      </c>
      <c r="I67" s="32" t="s">
        <v>427</v>
      </c>
      <c r="J67" s="25" t="s">
        <v>41</v>
      </c>
      <c r="K67" s="31" t="s">
        <v>138</v>
      </c>
      <c r="L67" s="31" t="s">
        <v>59</v>
      </c>
      <c r="M67" s="32" t="s">
        <v>58</v>
      </c>
      <c r="N67" s="3" t="s">
        <v>36</v>
      </c>
      <c r="O67" s="31" t="s">
        <v>120</v>
      </c>
      <c r="P67" s="32" t="s">
        <v>485</v>
      </c>
      <c r="Q67" s="31" t="s">
        <v>31</v>
      </c>
      <c r="R67" s="25" t="s">
        <v>126</v>
      </c>
      <c r="S67" s="36">
        <v>328900</v>
      </c>
      <c r="T67" s="2" t="s">
        <v>46</v>
      </c>
      <c r="U67" s="37">
        <v>5.3912354000000002</v>
      </c>
      <c r="V67" s="37">
        <v>4.3912353515625</v>
      </c>
      <c r="W67" s="38">
        <v>0.30738647460937502</v>
      </c>
      <c r="X67" s="39">
        <v>101099.411499023</v>
      </c>
    </row>
    <row r="68" spans="1:24" x14ac:dyDescent="0.25">
      <c r="A68" s="24" t="s">
        <v>249</v>
      </c>
      <c r="B68" s="32" t="s">
        <v>260</v>
      </c>
      <c r="C68" s="32" t="s">
        <v>272</v>
      </c>
      <c r="D68" s="32" t="s">
        <v>378</v>
      </c>
      <c r="E68" s="32" t="s">
        <v>379</v>
      </c>
      <c r="F68" s="26" t="str">
        <f>HYPERLINK("https://mapwv.gov/flood/map/?wkid=102100&amp;x=-8987851.567630408&amp;y=4853335.578833834&amp;l=13&amp;v=2","FT")</f>
        <v>FT</v>
      </c>
      <c r="G68" s="17" t="s">
        <v>33</v>
      </c>
      <c r="H68" s="25" t="s">
        <v>26</v>
      </c>
      <c r="I68" s="32" t="s">
        <v>428</v>
      </c>
      <c r="J68" s="25" t="s">
        <v>27</v>
      </c>
      <c r="K68" s="31" t="s">
        <v>146</v>
      </c>
      <c r="L68" s="31" t="s">
        <v>59</v>
      </c>
      <c r="M68" s="32" t="s">
        <v>50</v>
      </c>
      <c r="N68" s="3" t="s">
        <v>36</v>
      </c>
      <c r="O68" s="31" t="s">
        <v>120</v>
      </c>
      <c r="P68" s="32" t="s">
        <v>486</v>
      </c>
      <c r="Q68" s="31" t="s">
        <v>31</v>
      </c>
      <c r="R68" s="25" t="s">
        <v>126</v>
      </c>
      <c r="S68" s="36">
        <v>324500</v>
      </c>
      <c r="T68" s="2" t="s">
        <v>46</v>
      </c>
      <c r="U68" s="37">
        <v>8.1194459999999999</v>
      </c>
      <c r="V68" s="37">
        <v>7.11944580078125</v>
      </c>
      <c r="W68" s="38">
        <v>0.26477783203124999</v>
      </c>
      <c r="X68" s="39">
        <v>85920.406494140596</v>
      </c>
    </row>
    <row r="69" spans="1:24" x14ac:dyDescent="0.25">
      <c r="A69" s="24" t="s">
        <v>250</v>
      </c>
      <c r="B69" s="32" t="s">
        <v>256</v>
      </c>
      <c r="C69" s="32" t="s">
        <v>257</v>
      </c>
      <c r="D69" s="32" t="s">
        <v>380</v>
      </c>
      <c r="E69" s="32" t="s">
        <v>381</v>
      </c>
      <c r="F69" s="26" t="str">
        <f>HYPERLINK("https://mapwv.gov/flood/map/?wkid=102100&amp;x=-8994074.552365081&amp;y=4839965.38458781&amp;l=13&amp;v=2","FT")</f>
        <v>FT</v>
      </c>
      <c r="G69" s="17" t="s">
        <v>33</v>
      </c>
      <c r="H69" s="25" t="s">
        <v>26</v>
      </c>
      <c r="I69" s="32" t="s">
        <v>393</v>
      </c>
      <c r="J69" s="25" t="s">
        <v>27</v>
      </c>
      <c r="K69" s="31" t="s">
        <v>97</v>
      </c>
      <c r="L69" s="31" t="s">
        <v>55</v>
      </c>
      <c r="M69" s="32" t="s">
        <v>35</v>
      </c>
      <c r="N69" s="3" t="s">
        <v>119</v>
      </c>
      <c r="O69" s="31" t="s">
        <v>120</v>
      </c>
      <c r="P69" s="32" t="s">
        <v>487</v>
      </c>
      <c r="Q69" s="31" t="s">
        <v>31</v>
      </c>
      <c r="R69" s="25" t="s">
        <v>126</v>
      </c>
      <c r="S69" s="36">
        <v>323000</v>
      </c>
      <c r="T69" s="2" t="s">
        <v>32</v>
      </c>
      <c r="U69" s="37">
        <v>0</v>
      </c>
      <c r="V69" s="37">
        <v>-1</v>
      </c>
      <c r="W69" s="38">
        <v>0</v>
      </c>
      <c r="X69" s="39">
        <v>0</v>
      </c>
    </row>
    <row r="70" spans="1:24" x14ac:dyDescent="0.25">
      <c r="A70" s="24" t="s">
        <v>251</v>
      </c>
      <c r="B70" s="32" t="s">
        <v>277</v>
      </c>
      <c r="C70" s="32" t="s">
        <v>269</v>
      </c>
      <c r="D70" s="32" t="s">
        <v>345</v>
      </c>
      <c r="E70" s="32" t="s">
        <v>382</v>
      </c>
      <c r="F70" s="26" t="str">
        <f>HYPERLINK("https://mapwv.gov/flood/map/?wkid=102100&amp;x=-8986791.874094266&amp;y=4869999.866427246&amp;l=13&amp;v=2","FT")</f>
        <v>FT</v>
      </c>
      <c r="G70" s="17" t="s">
        <v>33</v>
      </c>
      <c r="H70" s="25" t="s">
        <v>26</v>
      </c>
      <c r="I70" s="32" t="s">
        <v>415</v>
      </c>
      <c r="J70" s="25" t="s">
        <v>41</v>
      </c>
      <c r="K70" s="31" t="s">
        <v>152</v>
      </c>
      <c r="L70" s="31" t="s">
        <v>55</v>
      </c>
      <c r="M70" s="32" t="s">
        <v>50</v>
      </c>
      <c r="N70" s="3" t="s">
        <v>36</v>
      </c>
      <c r="O70" s="31" t="s">
        <v>121</v>
      </c>
      <c r="P70" s="32" t="s">
        <v>488</v>
      </c>
      <c r="Q70" s="31" t="s">
        <v>31</v>
      </c>
      <c r="R70" s="25" t="s">
        <v>126</v>
      </c>
      <c r="S70" s="36">
        <v>319100</v>
      </c>
      <c r="T70" s="2" t="s">
        <v>32</v>
      </c>
      <c r="U70" s="37">
        <v>2.5914307000000001</v>
      </c>
      <c r="V70" s="37">
        <v>1.5914306640625</v>
      </c>
      <c r="W70" s="38">
        <v>0.119571533203125</v>
      </c>
      <c r="X70" s="39">
        <v>38155.2762451171</v>
      </c>
    </row>
    <row r="72" spans="1:24" x14ac:dyDescent="0.25">
      <c r="A72" s="4" t="s">
        <v>61</v>
      </c>
      <c r="B72" s="4" t="s">
        <v>1</v>
      </c>
      <c r="C72" s="4" t="s">
        <v>62</v>
      </c>
      <c r="D72" s="4" t="s">
        <v>63</v>
      </c>
      <c r="E72" s="4" t="s">
        <v>64</v>
      </c>
    </row>
    <row r="73" spans="1:24" x14ac:dyDescent="0.25">
      <c r="A73" s="4">
        <v>540108</v>
      </c>
      <c r="B73" s="1" t="s">
        <v>983</v>
      </c>
      <c r="C73" s="4" t="s">
        <v>187</v>
      </c>
      <c r="D73" s="1" t="s">
        <v>65</v>
      </c>
      <c r="E73" s="4">
        <v>10</v>
      </c>
      <c r="S73" s="40" t="s">
        <v>173</v>
      </c>
    </row>
    <row r="74" spans="1:24" x14ac:dyDescent="0.25">
      <c r="A74" s="24" t="s">
        <v>196</v>
      </c>
      <c r="B74" s="32" t="s">
        <v>277</v>
      </c>
      <c r="C74" s="32" t="s">
        <v>269</v>
      </c>
      <c r="D74" s="32" t="s">
        <v>278</v>
      </c>
      <c r="E74" s="32" t="s">
        <v>279</v>
      </c>
      <c r="F74" s="26" t="s">
        <v>24</v>
      </c>
      <c r="G74" s="17" t="s">
        <v>33</v>
      </c>
      <c r="H74" s="25" t="s">
        <v>26</v>
      </c>
      <c r="I74" s="32" t="s">
        <v>388</v>
      </c>
      <c r="J74" s="25" t="s">
        <v>41</v>
      </c>
      <c r="K74" s="31" t="s">
        <v>429</v>
      </c>
      <c r="L74" s="31" t="s">
        <v>75</v>
      </c>
      <c r="M74" s="32" t="s">
        <v>35</v>
      </c>
      <c r="N74" s="3" t="s">
        <v>119</v>
      </c>
      <c r="O74" s="31" t="s">
        <v>120</v>
      </c>
      <c r="P74" s="32" t="s">
        <v>441</v>
      </c>
      <c r="Q74" s="31" t="s">
        <v>31</v>
      </c>
      <c r="R74" s="25" t="s">
        <v>126</v>
      </c>
      <c r="S74" s="36">
        <v>3094300</v>
      </c>
      <c r="T74" s="2" t="s">
        <v>46</v>
      </c>
      <c r="U74" s="37">
        <v>0.76232909999999998</v>
      </c>
      <c r="V74" s="37">
        <v>-0.2376708984375</v>
      </c>
      <c r="W74" s="38">
        <v>7.6232910156250003E-3</v>
      </c>
      <c r="X74" s="39">
        <v>23588.749389648401</v>
      </c>
    </row>
    <row r="75" spans="1:24" x14ac:dyDescent="0.25">
      <c r="A75" s="24" t="s">
        <v>197</v>
      </c>
      <c r="B75" s="32" t="s">
        <v>277</v>
      </c>
      <c r="C75" s="32" t="s">
        <v>269</v>
      </c>
      <c r="D75" s="32" t="s">
        <v>280</v>
      </c>
      <c r="E75" s="32" t="s">
        <v>279</v>
      </c>
      <c r="F75" s="26" t="s">
        <v>24</v>
      </c>
      <c r="G75" s="17" t="s">
        <v>33</v>
      </c>
      <c r="H75" s="25" t="s">
        <v>26</v>
      </c>
      <c r="I75" s="32" t="s">
        <v>389</v>
      </c>
      <c r="J75" s="25" t="s">
        <v>27</v>
      </c>
      <c r="K75" s="31" t="s">
        <v>124</v>
      </c>
      <c r="L75" s="31" t="s">
        <v>55</v>
      </c>
      <c r="M75" s="32" t="s">
        <v>35</v>
      </c>
      <c r="N75" s="3" t="s">
        <v>119</v>
      </c>
      <c r="O75" s="31" t="s">
        <v>120</v>
      </c>
      <c r="P75" s="32" t="s">
        <v>442</v>
      </c>
      <c r="Q75" s="31" t="s">
        <v>31</v>
      </c>
      <c r="R75" s="25" t="s">
        <v>126</v>
      </c>
      <c r="S75" s="36">
        <v>2805400</v>
      </c>
      <c r="T75" s="2" t="s">
        <v>46</v>
      </c>
      <c r="U75" s="37">
        <v>1.9499512000000001</v>
      </c>
      <c r="V75" s="37">
        <v>0.949951171875</v>
      </c>
      <c r="W75" s="38">
        <v>8.5996093750000002E-2</v>
      </c>
      <c r="X75" s="39">
        <v>241253.44140625</v>
      </c>
    </row>
    <row r="76" spans="1:24" x14ac:dyDescent="0.25">
      <c r="A76" s="24" t="s">
        <v>204</v>
      </c>
      <c r="B76" s="32" t="s">
        <v>277</v>
      </c>
      <c r="C76" s="32" t="s">
        <v>269</v>
      </c>
      <c r="D76" s="32" t="s">
        <v>294</v>
      </c>
      <c r="E76" s="32" t="s">
        <v>295</v>
      </c>
      <c r="F76" s="26" t="s">
        <v>24</v>
      </c>
      <c r="G76" s="17" t="s">
        <v>33</v>
      </c>
      <c r="H76" s="25" t="s">
        <v>26</v>
      </c>
      <c r="I76" s="32" t="s">
        <v>395</v>
      </c>
      <c r="J76" s="25" t="s">
        <v>41</v>
      </c>
      <c r="K76" s="31" t="s">
        <v>131</v>
      </c>
      <c r="L76" s="31" t="s">
        <v>28</v>
      </c>
      <c r="M76" s="32" t="s">
        <v>50</v>
      </c>
      <c r="N76" s="3" t="s">
        <v>36</v>
      </c>
      <c r="O76" s="31" t="s">
        <v>121</v>
      </c>
      <c r="P76" s="32" t="s">
        <v>449</v>
      </c>
      <c r="Q76" s="31" t="s">
        <v>31</v>
      </c>
      <c r="R76" s="25" t="s">
        <v>126</v>
      </c>
      <c r="S76" s="36">
        <v>1513400</v>
      </c>
      <c r="T76" s="2" t="s">
        <v>46</v>
      </c>
      <c r="U76" s="37">
        <v>1</v>
      </c>
      <c r="V76" s="37">
        <v>0</v>
      </c>
      <c r="W76" s="38">
        <v>0.01</v>
      </c>
      <c r="X76" s="39">
        <v>15134</v>
      </c>
    </row>
    <row r="77" spans="1:24" x14ac:dyDescent="0.25">
      <c r="A77" s="24" t="s">
        <v>205</v>
      </c>
      <c r="B77" s="32" t="s">
        <v>277</v>
      </c>
      <c r="C77" s="32" t="s">
        <v>269</v>
      </c>
      <c r="D77" s="32" t="s">
        <v>296</v>
      </c>
      <c r="E77" s="32" t="s">
        <v>297</v>
      </c>
      <c r="F77" s="26" t="s">
        <v>24</v>
      </c>
      <c r="G77" s="17" t="s">
        <v>33</v>
      </c>
      <c r="H77" s="25" t="s">
        <v>26</v>
      </c>
      <c r="I77" s="32" t="s">
        <v>396</v>
      </c>
      <c r="J77" s="25" t="s">
        <v>27</v>
      </c>
      <c r="K77" s="31" t="s">
        <v>99</v>
      </c>
      <c r="L77" s="31" t="s">
        <v>59</v>
      </c>
      <c r="M77" s="32" t="s">
        <v>35</v>
      </c>
      <c r="N77" s="3" t="s">
        <v>119</v>
      </c>
      <c r="O77" s="31" t="s">
        <v>120</v>
      </c>
      <c r="P77" s="32" t="s">
        <v>450</v>
      </c>
      <c r="Q77" s="31" t="s">
        <v>31</v>
      </c>
      <c r="R77" s="25" t="s">
        <v>126</v>
      </c>
      <c r="S77" s="36">
        <v>1408300</v>
      </c>
      <c r="T77" s="2" t="s">
        <v>32</v>
      </c>
      <c r="U77" s="37">
        <v>2.3885497999999998</v>
      </c>
      <c r="V77" s="37">
        <v>1.3885498046875</v>
      </c>
      <c r="W77" s="38">
        <v>0.10942749023437499</v>
      </c>
      <c r="X77" s="39">
        <v>154106.73449706999</v>
      </c>
    </row>
    <row r="78" spans="1:24" x14ac:dyDescent="0.25">
      <c r="A78" s="24" t="s">
        <v>213</v>
      </c>
      <c r="B78" s="32" t="s">
        <v>277</v>
      </c>
      <c r="C78" s="32" t="s">
        <v>269</v>
      </c>
      <c r="D78" s="32" t="s">
        <v>312</v>
      </c>
      <c r="E78" s="32" t="s">
        <v>297</v>
      </c>
      <c r="F78" s="26" t="s">
        <v>24</v>
      </c>
      <c r="G78" s="17" t="s">
        <v>33</v>
      </c>
      <c r="H78" s="25" t="s">
        <v>26</v>
      </c>
      <c r="I78" s="32" t="s">
        <v>396</v>
      </c>
      <c r="J78" s="25" t="s">
        <v>27</v>
      </c>
      <c r="K78" s="31" t="s">
        <v>99</v>
      </c>
      <c r="L78" s="31" t="s">
        <v>59</v>
      </c>
      <c r="M78" s="32" t="s">
        <v>35</v>
      </c>
      <c r="N78" s="3" t="s">
        <v>119</v>
      </c>
      <c r="O78" s="31" t="s">
        <v>120</v>
      </c>
      <c r="P78" s="32" t="s">
        <v>457</v>
      </c>
      <c r="Q78" s="31" t="s">
        <v>31</v>
      </c>
      <c r="R78" s="25" t="s">
        <v>126</v>
      </c>
      <c r="S78" s="36">
        <v>846000</v>
      </c>
      <c r="T78" s="2" t="s">
        <v>32</v>
      </c>
      <c r="U78" s="37">
        <v>0.66790769999999999</v>
      </c>
      <c r="V78" s="37">
        <v>-0.33209228515625</v>
      </c>
      <c r="W78" s="38">
        <v>6.6790771484375004E-3</v>
      </c>
      <c r="X78" s="39">
        <v>5650.4992675781205</v>
      </c>
    </row>
    <row r="79" spans="1:24" x14ac:dyDescent="0.25">
      <c r="A79" s="24" t="s">
        <v>221</v>
      </c>
      <c r="B79" s="32" t="s">
        <v>277</v>
      </c>
      <c r="C79" s="32" t="s">
        <v>269</v>
      </c>
      <c r="D79" s="32" t="s">
        <v>324</v>
      </c>
      <c r="E79" s="32" t="s">
        <v>279</v>
      </c>
      <c r="F79" s="26" t="s">
        <v>24</v>
      </c>
      <c r="G79" s="17" t="s">
        <v>33</v>
      </c>
      <c r="H79" s="25" t="s">
        <v>26</v>
      </c>
      <c r="I79" s="32" t="s">
        <v>407</v>
      </c>
      <c r="J79" s="25" t="s">
        <v>27</v>
      </c>
      <c r="K79" s="31" t="s">
        <v>150</v>
      </c>
      <c r="L79" s="31" t="s">
        <v>112</v>
      </c>
      <c r="M79" s="32" t="s">
        <v>35</v>
      </c>
      <c r="N79" s="3" t="s">
        <v>119</v>
      </c>
      <c r="O79" s="31" t="s">
        <v>120</v>
      </c>
      <c r="P79" s="32" t="s">
        <v>463</v>
      </c>
      <c r="Q79" s="31" t="s">
        <v>31</v>
      </c>
      <c r="R79" s="25" t="s">
        <v>126</v>
      </c>
      <c r="S79" s="36">
        <v>725100</v>
      </c>
      <c r="T79" s="2" t="s">
        <v>46</v>
      </c>
      <c r="U79" s="37">
        <v>0</v>
      </c>
      <c r="V79" s="37">
        <v>-1</v>
      </c>
      <c r="W79" s="38">
        <v>0</v>
      </c>
      <c r="X79" s="39">
        <v>0</v>
      </c>
    </row>
    <row r="80" spans="1:24" x14ac:dyDescent="0.25">
      <c r="A80" s="24" t="s">
        <v>223</v>
      </c>
      <c r="B80" s="32" t="s">
        <v>277</v>
      </c>
      <c r="C80" s="32" t="s">
        <v>269</v>
      </c>
      <c r="D80" s="32" t="s">
        <v>326</v>
      </c>
      <c r="E80" s="32" t="s">
        <v>279</v>
      </c>
      <c r="F80" s="26" t="s">
        <v>24</v>
      </c>
      <c r="G80" s="17" t="s">
        <v>33</v>
      </c>
      <c r="H80" s="25" t="s">
        <v>26</v>
      </c>
      <c r="I80" s="32" t="s">
        <v>408</v>
      </c>
      <c r="J80" s="25" t="s">
        <v>27</v>
      </c>
      <c r="K80" s="31" t="s">
        <v>88</v>
      </c>
      <c r="L80" s="31" t="s">
        <v>28</v>
      </c>
      <c r="M80" s="32" t="s">
        <v>35</v>
      </c>
      <c r="N80" s="3" t="s">
        <v>119</v>
      </c>
      <c r="O80" s="31" t="s">
        <v>121</v>
      </c>
      <c r="P80" s="32" t="s">
        <v>465</v>
      </c>
      <c r="Q80" s="31" t="s">
        <v>31</v>
      </c>
      <c r="R80" s="25" t="s">
        <v>126</v>
      </c>
      <c r="S80" s="36">
        <v>671300</v>
      </c>
      <c r="T80" s="2" t="s">
        <v>46</v>
      </c>
      <c r="U80" s="37">
        <v>0.26525880000000002</v>
      </c>
      <c r="V80" s="37">
        <v>-0.7347412109375</v>
      </c>
      <c r="W80" s="38">
        <v>2.6525878906250001E-3</v>
      </c>
      <c r="X80" s="39">
        <v>1780.68225097656</v>
      </c>
    </row>
    <row r="81" spans="1:24" x14ac:dyDescent="0.25">
      <c r="A81" s="24" t="s">
        <v>232</v>
      </c>
      <c r="B81" s="32" t="s">
        <v>277</v>
      </c>
      <c r="C81" s="32" t="s">
        <v>269</v>
      </c>
      <c r="D81" s="32" t="s">
        <v>345</v>
      </c>
      <c r="E81" s="32" t="s">
        <v>346</v>
      </c>
      <c r="F81" s="26" t="s">
        <v>24</v>
      </c>
      <c r="G81" s="17" t="s">
        <v>33</v>
      </c>
      <c r="H81" s="25" t="s">
        <v>26</v>
      </c>
      <c r="I81" s="32" t="s">
        <v>415</v>
      </c>
      <c r="J81" s="25" t="s">
        <v>41</v>
      </c>
      <c r="K81" s="31" t="s">
        <v>152</v>
      </c>
      <c r="L81" s="31" t="s">
        <v>55</v>
      </c>
      <c r="M81" s="32" t="s">
        <v>50</v>
      </c>
      <c r="N81" s="3" t="s">
        <v>36</v>
      </c>
      <c r="O81" s="31" t="s">
        <v>121</v>
      </c>
      <c r="P81" s="32" t="s">
        <v>472</v>
      </c>
      <c r="Q81" s="31" t="s">
        <v>31</v>
      </c>
      <c r="R81" s="25" t="s">
        <v>126</v>
      </c>
      <c r="S81" s="36">
        <v>486200</v>
      </c>
      <c r="T81" s="2" t="s">
        <v>32</v>
      </c>
      <c r="U81" s="37">
        <v>1.4786376999999999</v>
      </c>
      <c r="V81" s="37">
        <v>0.4786376953125</v>
      </c>
      <c r="W81" s="38">
        <v>4.8291015625000003E-2</v>
      </c>
      <c r="X81" s="39">
        <v>23479.091796875</v>
      </c>
    </row>
    <row r="82" spans="1:24" x14ac:dyDescent="0.25">
      <c r="A82" s="24" t="s">
        <v>240</v>
      </c>
      <c r="B82" s="32" t="s">
        <v>277</v>
      </c>
      <c r="C82" s="32" t="s">
        <v>269</v>
      </c>
      <c r="D82" s="32" t="s">
        <v>362</v>
      </c>
      <c r="E82" s="32" t="s">
        <v>363</v>
      </c>
      <c r="F82" s="26" t="s">
        <v>24</v>
      </c>
      <c r="G82" s="17" t="s">
        <v>33</v>
      </c>
      <c r="H82" s="25" t="s">
        <v>26</v>
      </c>
      <c r="I82" s="32" t="s">
        <v>421</v>
      </c>
      <c r="J82" s="25" t="s">
        <v>27</v>
      </c>
      <c r="K82" s="31" t="s">
        <v>144</v>
      </c>
      <c r="L82" s="31" t="s">
        <v>28</v>
      </c>
      <c r="M82" s="32" t="s">
        <v>58</v>
      </c>
      <c r="N82" s="3" t="s">
        <v>36</v>
      </c>
      <c r="O82" s="31" t="s">
        <v>120</v>
      </c>
      <c r="P82" s="32" t="s">
        <v>478</v>
      </c>
      <c r="Q82" s="31" t="s">
        <v>31</v>
      </c>
      <c r="R82" s="25" t="s">
        <v>126</v>
      </c>
      <c r="S82" s="36">
        <v>360200</v>
      </c>
      <c r="T82" s="2" t="s">
        <v>46</v>
      </c>
      <c r="U82" s="37">
        <v>1.1240844999999999</v>
      </c>
      <c r="V82" s="37">
        <v>0.12408447265625</v>
      </c>
      <c r="W82" s="38">
        <v>3.1167602539062499E-2</v>
      </c>
      <c r="X82" s="39">
        <v>11226.5704345703</v>
      </c>
    </row>
    <row r="83" spans="1:24" x14ac:dyDescent="0.25">
      <c r="A83" s="24" t="s">
        <v>244</v>
      </c>
      <c r="B83" s="32" t="s">
        <v>277</v>
      </c>
      <c r="C83" s="32" t="s">
        <v>269</v>
      </c>
      <c r="D83" s="32" t="s">
        <v>369</v>
      </c>
      <c r="E83" s="32" t="s">
        <v>370</v>
      </c>
      <c r="F83" s="26" t="s">
        <v>24</v>
      </c>
      <c r="G83" s="17" t="s">
        <v>33</v>
      </c>
      <c r="H83" s="25" t="s">
        <v>26</v>
      </c>
      <c r="I83" s="32" t="s">
        <v>424</v>
      </c>
      <c r="J83" s="25" t="s">
        <v>27</v>
      </c>
      <c r="K83" s="31" t="s">
        <v>85</v>
      </c>
      <c r="L83" s="31" t="s">
        <v>42</v>
      </c>
      <c r="M83" s="32" t="s">
        <v>54</v>
      </c>
      <c r="N83" s="3" t="s">
        <v>36</v>
      </c>
      <c r="O83" s="31" t="s">
        <v>120</v>
      </c>
      <c r="P83" s="32" t="s">
        <v>481</v>
      </c>
      <c r="Q83" s="31" t="s">
        <v>31</v>
      </c>
      <c r="R83" s="25" t="s">
        <v>126</v>
      </c>
      <c r="S83" s="36">
        <v>356600</v>
      </c>
      <c r="T83" s="2" t="s">
        <v>46</v>
      </c>
      <c r="U83" s="37">
        <v>10.274231</v>
      </c>
      <c r="V83" s="37">
        <v>9.27423095703125</v>
      </c>
      <c r="W83" s="38">
        <v>0.26822692871093701</v>
      </c>
      <c r="X83" s="39">
        <v>95649.722778320298</v>
      </c>
    </row>
    <row r="84" spans="1:24" x14ac:dyDescent="0.25">
      <c r="A84" s="24" t="s">
        <v>248</v>
      </c>
      <c r="B84" s="32" t="s">
        <v>277</v>
      </c>
      <c r="C84" s="32" t="s">
        <v>269</v>
      </c>
      <c r="D84" s="32" t="s">
        <v>376</v>
      </c>
      <c r="E84" s="32" t="s">
        <v>377</v>
      </c>
      <c r="F84" s="26" t="s">
        <v>24</v>
      </c>
      <c r="G84" s="17" t="s">
        <v>33</v>
      </c>
      <c r="H84" s="25" t="s">
        <v>26</v>
      </c>
      <c r="I84" s="32" t="s">
        <v>427</v>
      </c>
      <c r="J84" s="25" t="s">
        <v>41</v>
      </c>
      <c r="K84" s="31" t="s">
        <v>138</v>
      </c>
      <c r="L84" s="31" t="s">
        <v>59</v>
      </c>
      <c r="M84" s="32" t="s">
        <v>58</v>
      </c>
      <c r="N84" s="3" t="s">
        <v>36</v>
      </c>
      <c r="O84" s="31" t="s">
        <v>120</v>
      </c>
      <c r="P84" s="32" t="s">
        <v>485</v>
      </c>
      <c r="Q84" s="31" t="s">
        <v>31</v>
      </c>
      <c r="R84" s="25" t="s">
        <v>126</v>
      </c>
      <c r="S84" s="36">
        <v>328900</v>
      </c>
      <c r="T84" s="2" t="s">
        <v>46</v>
      </c>
      <c r="U84" s="37">
        <v>5.3912354000000002</v>
      </c>
      <c r="V84" s="37">
        <v>4.3912353515625</v>
      </c>
      <c r="W84" s="38">
        <v>0.30738647460937502</v>
      </c>
      <c r="X84" s="39">
        <v>101099.411499023</v>
      </c>
    </row>
    <row r="85" spans="1:24" x14ac:dyDescent="0.25">
      <c r="A85" s="24" t="s">
        <v>251</v>
      </c>
      <c r="B85" s="32" t="s">
        <v>277</v>
      </c>
      <c r="C85" s="32" t="s">
        <v>269</v>
      </c>
      <c r="D85" s="32" t="s">
        <v>345</v>
      </c>
      <c r="E85" s="32" t="s">
        <v>382</v>
      </c>
      <c r="F85" s="26" t="s">
        <v>24</v>
      </c>
      <c r="G85" s="17" t="s">
        <v>33</v>
      </c>
      <c r="H85" s="25" t="s">
        <v>26</v>
      </c>
      <c r="I85" s="32" t="s">
        <v>415</v>
      </c>
      <c r="J85" s="25" t="s">
        <v>41</v>
      </c>
      <c r="K85" s="31" t="s">
        <v>152</v>
      </c>
      <c r="L85" s="31" t="s">
        <v>55</v>
      </c>
      <c r="M85" s="32" t="s">
        <v>50</v>
      </c>
      <c r="N85" s="3" t="s">
        <v>36</v>
      </c>
      <c r="O85" s="31" t="s">
        <v>121</v>
      </c>
      <c r="P85" s="32" t="s">
        <v>488</v>
      </c>
      <c r="Q85" s="31" t="s">
        <v>31</v>
      </c>
      <c r="R85" s="25" t="s">
        <v>126</v>
      </c>
      <c r="S85" s="36">
        <v>319100</v>
      </c>
      <c r="T85" s="2" t="s">
        <v>32</v>
      </c>
      <c r="U85" s="37">
        <v>2.5914307000000001</v>
      </c>
      <c r="V85" s="37">
        <v>1.5914306640625</v>
      </c>
      <c r="W85" s="38">
        <v>0.119571533203125</v>
      </c>
      <c r="X85" s="39">
        <v>38155.2762451171</v>
      </c>
    </row>
    <row r="87" spans="1:24" x14ac:dyDescent="0.25">
      <c r="A87" s="4" t="s">
        <v>61</v>
      </c>
      <c r="B87" s="4" t="s">
        <v>1</v>
      </c>
      <c r="C87" s="4" t="s">
        <v>62</v>
      </c>
      <c r="D87" s="4" t="s">
        <v>63</v>
      </c>
      <c r="E87" s="4" t="s">
        <v>64</v>
      </c>
    </row>
    <row r="88" spans="1:24" x14ac:dyDescent="0.25">
      <c r="A88" s="4">
        <v>540287</v>
      </c>
      <c r="B88" s="1" t="s">
        <v>984</v>
      </c>
      <c r="C88" s="4" t="s">
        <v>187</v>
      </c>
      <c r="D88" s="1" t="s">
        <v>65</v>
      </c>
      <c r="E88" s="4">
        <v>10</v>
      </c>
      <c r="S88" s="40" t="s">
        <v>173</v>
      </c>
    </row>
    <row r="89" spans="1:24" x14ac:dyDescent="0.25">
      <c r="A89" s="24" t="s">
        <v>192</v>
      </c>
      <c r="B89" s="32" t="s">
        <v>265</v>
      </c>
      <c r="C89" s="32" t="s">
        <v>266</v>
      </c>
      <c r="D89" s="32" t="s">
        <v>267</v>
      </c>
      <c r="E89" s="32" t="s">
        <v>268</v>
      </c>
      <c r="F89" s="26" t="s">
        <v>24</v>
      </c>
      <c r="G89" s="17" t="s">
        <v>33</v>
      </c>
      <c r="H89" s="25" t="s">
        <v>26</v>
      </c>
      <c r="I89" s="32" t="s">
        <v>69</v>
      </c>
      <c r="J89" s="25" t="s">
        <v>41</v>
      </c>
      <c r="K89" s="31" t="s">
        <v>94</v>
      </c>
      <c r="L89" s="31" t="s">
        <v>28</v>
      </c>
      <c r="M89" s="32" t="s">
        <v>70</v>
      </c>
      <c r="N89" s="3" t="s">
        <v>116</v>
      </c>
      <c r="O89" s="31" t="s">
        <v>121</v>
      </c>
      <c r="P89" s="32" t="s">
        <v>437</v>
      </c>
      <c r="Q89" s="31" t="s">
        <v>31</v>
      </c>
      <c r="R89" s="25" t="s">
        <v>126</v>
      </c>
      <c r="S89" s="36">
        <v>7415458</v>
      </c>
      <c r="T89" s="2" t="s">
        <v>71</v>
      </c>
      <c r="U89" s="37">
        <v>1.3800049000000001</v>
      </c>
      <c r="V89" s="37">
        <v>0.3800048828125</v>
      </c>
      <c r="W89" s="38">
        <v>1.9000244140625001E-2</v>
      </c>
      <c r="X89" s="39">
        <v>140895.51241455</v>
      </c>
    </row>
    <row r="90" spans="1:24" x14ac:dyDescent="0.25">
      <c r="A90" s="24" t="s">
        <v>208</v>
      </c>
      <c r="B90" s="32" t="s">
        <v>265</v>
      </c>
      <c r="C90" s="32" t="s">
        <v>266</v>
      </c>
      <c r="D90" s="32" t="s">
        <v>302</v>
      </c>
      <c r="E90" s="32" t="s">
        <v>303</v>
      </c>
      <c r="F90" s="26" t="s">
        <v>24</v>
      </c>
      <c r="G90" s="17" t="s">
        <v>33</v>
      </c>
      <c r="H90" s="25" t="s">
        <v>67</v>
      </c>
      <c r="I90" s="32" t="s">
        <v>399</v>
      </c>
      <c r="J90" s="25" t="s">
        <v>41</v>
      </c>
      <c r="K90" s="31" t="s">
        <v>148</v>
      </c>
      <c r="L90" s="31" t="s">
        <v>28</v>
      </c>
      <c r="M90" s="32" t="s">
        <v>113</v>
      </c>
      <c r="N90" s="3" t="s">
        <v>44</v>
      </c>
      <c r="O90" s="31" t="s">
        <v>120</v>
      </c>
      <c r="P90" s="32" t="s">
        <v>452</v>
      </c>
      <c r="Q90" s="31" t="s">
        <v>31</v>
      </c>
      <c r="R90" s="25" t="s">
        <v>126</v>
      </c>
      <c r="S90" s="36">
        <v>986400</v>
      </c>
      <c r="T90" s="2" t="s">
        <v>46</v>
      </c>
      <c r="U90" s="37">
        <v>1</v>
      </c>
      <c r="V90" s="37">
        <v>0</v>
      </c>
      <c r="W90" s="38">
        <v>0</v>
      </c>
      <c r="X90" s="39">
        <v>0</v>
      </c>
    </row>
    <row r="92" spans="1:24" x14ac:dyDescent="0.25">
      <c r="A92" s="4" t="s">
        <v>61</v>
      </c>
      <c r="B92" s="4" t="s">
        <v>1</v>
      </c>
      <c r="C92" s="4" t="s">
        <v>62</v>
      </c>
      <c r="D92" s="4" t="s">
        <v>63</v>
      </c>
      <c r="E92" s="4" t="s">
        <v>64</v>
      </c>
    </row>
    <row r="93" spans="1:24" x14ac:dyDescent="0.25">
      <c r="A93" s="4">
        <v>540109</v>
      </c>
      <c r="B93" s="1" t="s">
        <v>985</v>
      </c>
      <c r="C93" s="4" t="s">
        <v>187</v>
      </c>
      <c r="D93" s="1" t="s">
        <v>65</v>
      </c>
      <c r="E93" s="4">
        <v>10</v>
      </c>
      <c r="S93" s="40" t="s">
        <v>173</v>
      </c>
    </row>
    <row r="94" spans="1:24" x14ac:dyDescent="0.25">
      <c r="A94" s="24" t="s">
        <v>188</v>
      </c>
      <c r="B94" s="32" t="s">
        <v>252</v>
      </c>
      <c r="C94" s="32" t="s">
        <v>253</v>
      </c>
      <c r="D94" s="32" t="s">
        <v>254</v>
      </c>
      <c r="E94" s="32" t="s">
        <v>255</v>
      </c>
      <c r="F94" s="26" t="s">
        <v>24</v>
      </c>
      <c r="G94" s="17" t="s">
        <v>33</v>
      </c>
      <c r="H94" s="25" t="s">
        <v>26</v>
      </c>
      <c r="I94" s="32" t="s">
        <v>69</v>
      </c>
      <c r="J94" s="25" t="s">
        <v>27</v>
      </c>
      <c r="K94" s="31" t="s">
        <v>147</v>
      </c>
      <c r="L94" s="31" t="s">
        <v>28</v>
      </c>
      <c r="M94" s="32" t="s">
        <v>70</v>
      </c>
      <c r="N94" s="3" t="s">
        <v>116</v>
      </c>
      <c r="O94" s="31" t="s">
        <v>122</v>
      </c>
      <c r="P94" s="32" t="s">
        <v>433</v>
      </c>
      <c r="Q94" s="31" t="s">
        <v>31</v>
      </c>
      <c r="R94" s="25" t="s">
        <v>126</v>
      </c>
      <c r="S94" s="36">
        <v>41200242</v>
      </c>
      <c r="T94" s="2" t="s">
        <v>71</v>
      </c>
      <c r="U94" s="37">
        <v>0</v>
      </c>
      <c r="V94" s="37">
        <v>-1</v>
      </c>
      <c r="W94" s="38">
        <v>0</v>
      </c>
      <c r="X94" s="39">
        <v>0</v>
      </c>
    </row>
    <row r="95" spans="1:24" x14ac:dyDescent="0.25">
      <c r="A95" s="24" t="s">
        <v>193</v>
      </c>
      <c r="B95" s="32" t="s">
        <v>252</v>
      </c>
      <c r="C95" s="32" t="s">
        <v>269</v>
      </c>
      <c r="D95" s="32" t="s">
        <v>270</v>
      </c>
      <c r="E95" s="32" t="s">
        <v>271</v>
      </c>
      <c r="F95" s="26" t="s">
        <v>24</v>
      </c>
      <c r="G95" s="17" t="s">
        <v>33</v>
      </c>
      <c r="H95" s="25" t="s">
        <v>26</v>
      </c>
      <c r="I95" s="32" t="s">
        <v>385</v>
      </c>
      <c r="J95" s="25" t="s">
        <v>41</v>
      </c>
      <c r="K95" s="31" t="s">
        <v>172</v>
      </c>
      <c r="L95" s="31" t="s">
        <v>53</v>
      </c>
      <c r="M95" s="32" t="s">
        <v>35</v>
      </c>
      <c r="N95" s="3" t="s">
        <v>119</v>
      </c>
      <c r="O95" s="31" t="s">
        <v>120</v>
      </c>
      <c r="P95" s="32" t="s">
        <v>438</v>
      </c>
      <c r="Q95" s="31" t="s">
        <v>31</v>
      </c>
      <c r="R95" s="25" t="s">
        <v>126</v>
      </c>
      <c r="S95" s="36">
        <v>5780700</v>
      </c>
      <c r="T95" s="2" t="s">
        <v>46</v>
      </c>
      <c r="U95" s="37">
        <v>0.21960449000000001</v>
      </c>
      <c r="V95" s="37">
        <v>-0.7803955078125</v>
      </c>
      <c r="W95" s="38">
        <v>2.1960449218749898E-3</v>
      </c>
      <c r="X95" s="39">
        <v>12694.6768798828</v>
      </c>
    </row>
    <row r="96" spans="1:24" x14ac:dyDescent="0.25">
      <c r="A96" s="24" t="s">
        <v>199</v>
      </c>
      <c r="B96" s="32" t="s">
        <v>252</v>
      </c>
      <c r="C96" s="32" t="s">
        <v>269</v>
      </c>
      <c r="D96" s="32" t="s">
        <v>283</v>
      </c>
      <c r="E96" s="32" t="s">
        <v>284</v>
      </c>
      <c r="F96" s="26" t="s">
        <v>24</v>
      </c>
      <c r="G96" s="17" t="s">
        <v>33</v>
      </c>
      <c r="H96" s="25" t="s">
        <v>26</v>
      </c>
      <c r="I96" s="32" t="s">
        <v>391</v>
      </c>
      <c r="J96" s="25" t="s">
        <v>41</v>
      </c>
      <c r="K96" s="31" t="s">
        <v>102</v>
      </c>
      <c r="L96" s="31" t="s">
        <v>47</v>
      </c>
      <c r="M96" s="32" t="s">
        <v>35</v>
      </c>
      <c r="N96" s="3" t="s">
        <v>119</v>
      </c>
      <c r="O96" s="31" t="s">
        <v>120</v>
      </c>
      <c r="P96" s="32" t="s">
        <v>444</v>
      </c>
      <c r="Q96" s="31" t="s">
        <v>31</v>
      </c>
      <c r="R96" s="25" t="s">
        <v>126</v>
      </c>
      <c r="S96" s="36">
        <v>2505500</v>
      </c>
      <c r="T96" s="2" t="s">
        <v>46</v>
      </c>
      <c r="U96" s="37">
        <v>0</v>
      </c>
      <c r="V96" s="37">
        <v>-1</v>
      </c>
      <c r="W96" s="38">
        <v>0</v>
      </c>
      <c r="X96" s="39">
        <v>0</v>
      </c>
    </row>
    <row r="97" spans="1:24" x14ac:dyDescent="0.25">
      <c r="A97" s="24" t="s">
        <v>220</v>
      </c>
      <c r="B97" s="32" t="s">
        <v>252</v>
      </c>
      <c r="C97" s="32" t="s">
        <v>253</v>
      </c>
      <c r="D97" s="32" t="s">
        <v>322</v>
      </c>
      <c r="E97" s="32" t="s">
        <v>323</v>
      </c>
      <c r="F97" s="26" t="s">
        <v>24</v>
      </c>
      <c r="G97" s="17" t="s">
        <v>33</v>
      </c>
      <c r="H97" s="25" t="s">
        <v>26</v>
      </c>
      <c r="I97" s="32" t="s">
        <v>406</v>
      </c>
      <c r="J97" s="25" t="s">
        <v>27</v>
      </c>
      <c r="K97" s="31" t="s">
        <v>86</v>
      </c>
      <c r="L97" s="31" t="s">
        <v>28</v>
      </c>
      <c r="M97" s="32" t="s">
        <v>68</v>
      </c>
      <c r="N97" s="3" t="s">
        <v>118</v>
      </c>
      <c r="O97" s="31" t="s">
        <v>120</v>
      </c>
      <c r="P97" s="32" t="s">
        <v>462</v>
      </c>
      <c r="Q97" s="31" t="s">
        <v>31</v>
      </c>
      <c r="R97" s="25" t="s">
        <v>126</v>
      </c>
      <c r="S97" s="36">
        <v>729300</v>
      </c>
      <c r="T97" s="2" t="s">
        <v>46</v>
      </c>
      <c r="U97" s="37">
        <v>0.77514649999999996</v>
      </c>
      <c r="V97" s="37">
        <v>-0.224853515625</v>
      </c>
      <c r="W97" s="38">
        <v>0</v>
      </c>
      <c r="X97" s="39">
        <v>0</v>
      </c>
    </row>
    <row r="99" spans="1:24" x14ac:dyDescent="0.25">
      <c r="A99" s="4" t="s">
        <v>61</v>
      </c>
      <c r="B99" s="4" t="s">
        <v>1</v>
      </c>
      <c r="C99" s="4" t="s">
        <v>62</v>
      </c>
      <c r="D99" s="4" t="s">
        <v>63</v>
      </c>
      <c r="E99" s="4" t="s">
        <v>64</v>
      </c>
    </row>
    <row r="100" spans="1:24" x14ac:dyDescent="0.25">
      <c r="A100" s="4">
        <v>540107</v>
      </c>
      <c r="B100" s="1" t="s">
        <v>986</v>
      </c>
      <c r="C100" s="4" t="s">
        <v>187</v>
      </c>
      <c r="D100" s="1" t="s">
        <v>66</v>
      </c>
      <c r="E100" s="4">
        <v>10</v>
      </c>
      <c r="S100" s="40" t="s">
        <v>173</v>
      </c>
    </row>
    <row r="101" spans="1:24" x14ac:dyDescent="0.25">
      <c r="A101" s="24" t="s">
        <v>189</v>
      </c>
      <c r="B101" s="32" t="s">
        <v>256</v>
      </c>
      <c r="C101" s="32" t="s">
        <v>257</v>
      </c>
      <c r="D101" s="32" t="s">
        <v>258</v>
      </c>
      <c r="E101" s="32" t="s">
        <v>259</v>
      </c>
      <c r="F101" s="26" t="s">
        <v>24</v>
      </c>
      <c r="G101" s="17" t="s">
        <v>33</v>
      </c>
      <c r="H101" s="25" t="s">
        <v>26</v>
      </c>
      <c r="I101" s="32" t="s">
        <v>383</v>
      </c>
      <c r="J101" s="25" t="s">
        <v>27</v>
      </c>
      <c r="K101" s="31" t="s">
        <v>86</v>
      </c>
      <c r="L101" s="31" t="s">
        <v>28</v>
      </c>
      <c r="M101" s="32" t="s">
        <v>35</v>
      </c>
      <c r="N101" s="3" t="s">
        <v>119</v>
      </c>
      <c r="O101" s="31" t="s">
        <v>120</v>
      </c>
      <c r="P101" s="32" t="s">
        <v>434</v>
      </c>
      <c r="Q101" s="31" t="s">
        <v>31</v>
      </c>
      <c r="R101" s="25" t="s">
        <v>126</v>
      </c>
      <c r="S101" s="36">
        <v>22087200</v>
      </c>
      <c r="T101" s="2" t="s">
        <v>46</v>
      </c>
      <c r="U101" s="37">
        <v>0</v>
      </c>
      <c r="V101" s="37">
        <v>-1</v>
      </c>
      <c r="W101" s="38">
        <v>0</v>
      </c>
      <c r="X101" s="39">
        <v>0</v>
      </c>
    </row>
    <row r="102" spans="1:24" x14ac:dyDescent="0.25">
      <c r="A102" s="24" t="s">
        <v>198</v>
      </c>
      <c r="B102" s="32" t="s">
        <v>256</v>
      </c>
      <c r="C102" s="32" t="s">
        <v>272</v>
      </c>
      <c r="D102" s="32" t="s">
        <v>281</v>
      </c>
      <c r="E102" s="32" t="s">
        <v>282</v>
      </c>
      <c r="F102" s="26" t="s">
        <v>24</v>
      </c>
      <c r="G102" s="17" t="s">
        <v>33</v>
      </c>
      <c r="H102" s="25" t="s">
        <v>26</v>
      </c>
      <c r="I102" s="32" t="s">
        <v>390</v>
      </c>
      <c r="J102" s="25" t="s">
        <v>27</v>
      </c>
      <c r="K102" s="31" t="s">
        <v>124</v>
      </c>
      <c r="L102" s="31" t="s">
        <v>53</v>
      </c>
      <c r="M102" s="32" t="s">
        <v>29</v>
      </c>
      <c r="N102" s="3" t="s">
        <v>117</v>
      </c>
      <c r="O102" s="31" t="s">
        <v>120</v>
      </c>
      <c r="P102" s="32" t="s">
        <v>443</v>
      </c>
      <c r="Q102" s="31" t="s">
        <v>31</v>
      </c>
      <c r="R102" s="25" t="s">
        <v>126</v>
      </c>
      <c r="S102" s="36">
        <v>2738300</v>
      </c>
      <c r="T102" s="2" t="s">
        <v>32</v>
      </c>
      <c r="U102" s="37">
        <v>0</v>
      </c>
      <c r="V102" s="37">
        <v>-1</v>
      </c>
      <c r="W102" s="38">
        <v>0</v>
      </c>
      <c r="X102" s="39">
        <v>0</v>
      </c>
    </row>
    <row r="103" spans="1:24" x14ac:dyDescent="0.25">
      <c r="A103" s="24" t="s">
        <v>202</v>
      </c>
      <c r="B103" s="32" t="s">
        <v>256</v>
      </c>
      <c r="C103" s="32" t="s">
        <v>289</v>
      </c>
      <c r="D103" s="32" t="s">
        <v>290</v>
      </c>
      <c r="E103" s="32" t="s">
        <v>291</v>
      </c>
      <c r="F103" s="26" t="s">
        <v>24</v>
      </c>
      <c r="G103" s="17" t="s">
        <v>33</v>
      </c>
      <c r="H103" s="25" t="s">
        <v>26</v>
      </c>
      <c r="I103" s="32" t="s">
        <v>393</v>
      </c>
      <c r="J103" s="25" t="s">
        <v>41</v>
      </c>
      <c r="K103" s="31" t="s">
        <v>102</v>
      </c>
      <c r="L103" s="31" t="s">
        <v>34</v>
      </c>
      <c r="M103" s="32" t="s">
        <v>73</v>
      </c>
      <c r="N103" s="3" t="s">
        <v>36</v>
      </c>
      <c r="O103" s="31" t="s">
        <v>121</v>
      </c>
      <c r="P103" s="32" t="s">
        <v>447</v>
      </c>
      <c r="Q103" s="31" t="s">
        <v>31</v>
      </c>
      <c r="R103" s="25" t="s">
        <v>126</v>
      </c>
      <c r="S103" s="36">
        <v>1665800</v>
      </c>
      <c r="T103" s="2" t="s">
        <v>46</v>
      </c>
      <c r="U103" s="37">
        <v>0</v>
      </c>
      <c r="V103" s="37">
        <v>-1</v>
      </c>
      <c r="W103" s="38">
        <v>0</v>
      </c>
      <c r="X103" s="39">
        <v>0</v>
      </c>
    </row>
    <row r="104" spans="1:24" x14ac:dyDescent="0.25">
      <c r="A104" s="24" t="s">
        <v>210</v>
      </c>
      <c r="B104" s="32" t="s">
        <v>256</v>
      </c>
      <c r="C104" s="32" t="s">
        <v>269</v>
      </c>
      <c r="D104" s="32" t="s">
        <v>306</v>
      </c>
      <c r="E104" s="32" t="s">
        <v>307</v>
      </c>
      <c r="F104" s="26" t="s">
        <v>24</v>
      </c>
      <c r="G104" s="17" t="s">
        <v>33</v>
      </c>
      <c r="H104" s="25" t="s">
        <v>26</v>
      </c>
      <c r="I104" s="32" t="s">
        <v>393</v>
      </c>
      <c r="J104" s="25" t="s">
        <v>27</v>
      </c>
      <c r="K104" s="31" t="s">
        <v>91</v>
      </c>
      <c r="L104" s="31" t="s">
        <v>75</v>
      </c>
      <c r="M104" s="32" t="s">
        <v>35</v>
      </c>
      <c r="N104" s="3" t="s">
        <v>119</v>
      </c>
      <c r="O104" s="31" t="s">
        <v>120</v>
      </c>
      <c r="P104" s="32" t="s">
        <v>454</v>
      </c>
      <c r="Q104" s="31" t="s">
        <v>31</v>
      </c>
      <c r="R104" s="25" t="s">
        <v>126</v>
      </c>
      <c r="S104" s="36">
        <v>907000</v>
      </c>
      <c r="T104" s="2" t="s">
        <v>46</v>
      </c>
      <c r="U104" s="37">
        <v>1.7010498000000001</v>
      </c>
      <c r="V104" s="37">
        <v>0.7010498046875</v>
      </c>
      <c r="W104" s="38">
        <v>6.6083984375000002E-2</v>
      </c>
      <c r="X104" s="39">
        <v>59938.173828125</v>
      </c>
    </row>
    <row r="105" spans="1:24" x14ac:dyDescent="0.25">
      <c r="A105" s="24" t="s">
        <v>211</v>
      </c>
      <c r="B105" s="32" t="s">
        <v>256</v>
      </c>
      <c r="C105" s="32" t="s">
        <v>269</v>
      </c>
      <c r="D105" s="32" t="s">
        <v>308</v>
      </c>
      <c r="E105" s="32" t="s">
        <v>309</v>
      </c>
      <c r="F105" s="26" t="s">
        <v>24</v>
      </c>
      <c r="G105" s="17" t="s">
        <v>33</v>
      </c>
      <c r="H105" s="25" t="s">
        <v>26</v>
      </c>
      <c r="I105" s="32" t="s">
        <v>401</v>
      </c>
      <c r="J105" s="25" t="s">
        <v>41</v>
      </c>
      <c r="K105" s="31" t="s">
        <v>93</v>
      </c>
      <c r="L105" s="31" t="s">
        <v>55</v>
      </c>
      <c r="M105" s="32" t="s">
        <v>73</v>
      </c>
      <c r="N105" s="3" t="s">
        <v>36</v>
      </c>
      <c r="O105" s="31" t="s">
        <v>120</v>
      </c>
      <c r="P105" s="32" t="s">
        <v>455</v>
      </c>
      <c r="Q105" s="31" t="s">
        <v>31</v>
      </c>
      <c r="R105" s="25" t="s">
        <v>126</v>
      </c>
      <c r="S105" s="36">
        <v>896800</v>
      </c>
      <c r="T105" s="2" t="s">
        <v>46</v>
      </c>
      <c r="U105" s="37">
        <v>2.1519775000000001</v>
      </c>
      <c r="V105" s="37">
        <v>1.1519775390625</v>
      </c>
      <c r="W105" s="38">
        <v>5.4559326171874999E-2</v>
      </c>
      <c r="X105" s="39">
        <v>48928.8037109375</v>
      </c>
    </row>
    <row r="106" spans="1:24" x14ac:dyDescent="0.25">
      <c r="A106" s="24" t="s">
        <v>212</v>
      </c>
      <c r="B106" s="32" t="s">
        <v>256</v>
      </c>
      <c r="C106" s="32" t="s">
        <v>269</v>
      </c>
      <c r="D106" s="32" t="s">
        <v>310</v>
      </c>
      <c r="E106" s="32" t="s">
        <v>311</v>
      </c>
      <c r="F106" s="26" t="s">
        <v>24</v>
      </c>
      <c r="G106" s="17" t="s">
        <v>33</v>
      </c>
      <c r="H106" s="25" t="s">
        <v>26</v>
      </c>
      <c r="I106" s="32" t="s">
        <v>402</v>
      </c>
      <c r="J106" s="25" t="s">
        <v>27</v>
      </c>
      <c r="K106" s="31" t="s">
        <v>109</v>
      </c>
      <c r="L106" s="31" t="s">
        <v>34</v>
      </c>
      <c r="M106" s="32" t="s">
        <v>35</v>
      </c>
      <c r="N106" s="3" t="s">
        <v>119</v>
      </c>
      <c r="O106" s="31" t="s">
        <v>120</v>
      </c>
      <c r="P106" s="32" t="s">
        <v>456</v>
      </c>
      <c r="Q106" s="31" t="s">
        <v>31</v>
      </c>
      <c r="R106" s="25" t="s">
        <v>126</v>
      </c>
      <c r="S106" s="36">
        <v>879400</v>
      </c>
      <c r="T106" s="2" t="s">
        <v>32</v>
      </c>
      <c r="U106" s="37">
        <v>0</v>
      </c>
      <c r="V106" s="37">
        <v>-1</v>
      </c>
      <c r="W106" s="38">
        <v>0</v>
      </c>
      <c r="X106" s="39">
        <v>0</v>
      </c>
    </row>
    <row r="107" spans="1:24" x14ac:dyDescent="0.25">
      <c r="A107" s="24" t="s">
        <v>216</v>
      </c>
      <c r="B107" s="32" t="s">
        <v>256</v>
      </c>
      <c r="C107" s="32" t="s">
        <v>272</v>
      </c>
      <c r="D107" s="32" t="s">
        <v>317</v>
      </c>
      <c r="E107" s="32" t="s">
        <v>318</v>
      </c>
      <c r="F107" s="26" t="s">
        <v>24</v>
      </c>
      <c r="G107" s="17" t="s">
        <v>56</v>
      </c>
      <c r="H107" s="25" t="s">
        <v>26</v>
      </c>
      <c r="I107" s="32" t="s">
        <v>405</v>
      </c>
      <c r="J107" s="25" t="s">
        <v>169</v>
      </c>
      <c r="K107" s="31" t="s">
        <v>149</v>
      </c>
      <c r="L107" s="31" t="s">
        <v>55</v>
      </c>
      <c r="M107" s="32" t="s">
        <v>430</v>
      </c>
      <c r="N107" s="3" t="s">
        <v>44</v>
      </c>
      <c r="O107" s="31" t="s">
        <v>121</v>
      </c>
      <c r="P107" s="32" t="s">
        <v>460</v>
      </c>
      <c r="Q107" s="31" t="s">
        <v>31</v>
      </c>
      <c r="R107" s="25" t="s">
        <v>126</v>
      </c>
      <c r="S107" s="36">
        <v>769300</v>
      </c>
      <c r="T107" s="2" t="s">
        <v>30</v>
      </c>
      <c r="U107" s="37">
        <v>0.31817626999999998</v>
      </c>
      <c r="V107" s="37">
        <v>-0.68182373046875</v>
      </c>
      <c r="W107" s="38">
        <v>4.7726440429687503E-2</v>
      </c>
      <c r="X107" s="39">
        <v>36715.950622558499</v>
      </c>
    </row>
    <row r="108" spans="1:24" x14ac:dyDescent="0.25">
      <c r="A108" s="24" t="s">
        <v>217</v>
      </c>
      <c r="B108" s="32" t="s">
        <v>256</v>
      </c>
      <c r="C108" s="32" t="s">
        <v>272</v>
      </c>
      <c r="D108" s="32" t="s">
        <v>317</v>
      </c>
      <c r="E108" s="32" t="s">
        <v>319</v>
      </c>
      <c r="F108" s="26" t="s">
        <v>24</v>
      </c>
      <c r="G108" s="17" t="s">
        <v>33</v>
      </c>
      <c r="H108" s="25" t="s">
        <v>26</v>
      </c>
      <c r="I108" s="32" t="s">
        <v>405</v>
      </c>
      <c r="J108" s="25" t="s">
        <v>27</v>
      </c>
      <c r="K108" s="31" t="s">
        <v>149</v>
      </c>
      <c r="L108" s="31" t="s">
        <v>55</v>
      </c>
      <c r="M108" s="32" t="s">
        <v>430</v>
      </c>
      <c r="N108" s="3" t="s">
        <v>44</v>
      </c>
      <c r="O108" s="31" t="s">
        <v>121</v>
      </c>
      <c r="P108" s="32" t="s">
        <v>460</v>
      </c>
      <c r="Q108" s="31" t="s">
        <v>31</v>
      </c>
      <c r="R108" s="25" t="s">
        <v>126</v>
      </c>
      <c r="S108" s="36">
        <v>769300</v>
      </c>
      <c r="T108" s="2" t="s">
        <v>32</v>
      </c>
      <c r="U108" s="37">
        <v>0</v>
      </c>
      <c r="V108" s="37">
        <v>-1</v>
      </c>
      <c r="W108" s="38">
        <v>0</v>
      </c>
      <c r="X108" s="39">
        <v>0</v>
      </c>
    </row>
    <row r="109" spans="1:24" x14ac:dyDescent="0.25">
      <c r="A109" s="24" t="s">
        <v>218</v>
      </c>
      <c r="B109" s="32" t="s">
        <v>256</v>
      </c>
      <c r="C109" s="32" t="s">
        <v>269</v>
      </c>
      <c r="D109" s="32" t="s">
        <v>310</v>
      </c>
      <c r="E109" s="32" t="s">
        <v>320</v>
      </c>
      <c r="F109" s="26" t="s">
        <v>24</v>
      </c>
      <c r="G109" s="17" t="s">
        <v>33</v>
      </c>
      <c r="H109" s="25" t="s">
        <v>26</v>
      </c>
      <c r="I109" s="32" t="s">
        <v>402</v>
      </c>
      <c r="J109" s="25" t="s">
        <v>27</v>
      </c>
      <c r="K109" s="31" t="s">
        <v>109</v>
      </c>
      <c r="L109" s="31" t="s">
        <v>34</v>
      </c>
      <c r="M109" s="32" t="s">
        <v>35</v>
      </c>
      <c r="N109" s="3" t="s">
        <v>119</v>
      </c>
      <c r="O109" s="31" t="s">
        <v>432</v>
      </c>
      <c r="P109" s="32" t="s">
        <v>461</v>
      </c>
      <c r="Q109" s="31" t="s">
        <v>31</v>
      </c>
      <c r="R109" s="25" t="s">
        <v>126</v>
      </c>
      <c r="S109" s="36">
        <v>744900</v>
      </c>
      <c r="T109" s="2" t="s">
        <v>32</v>
      </c>
      <c r="U109" s="37">
        <v>0</v>
      </c>
      <c r="V109" s="37">
        <v>-1</v>
      </c>
      <c r="W109" s="38">
        <v>0</v>
      </c>
      <c r="X109" s="39">
        <v>0</v>
      </c>
    </row>
    <row r="110" spans="1:24" x14ac:dyDescent="0.25">
      <c r="A110" s="24" t="s">
        <v>219</v>
      </c>
      <c r="B110" s="32" t="s">
        <v>256</v>
      </c>
      <c r="C110" s="32" t="s">
        <v>269</v>
      </c>
      <c r="D110" s="32" t="s">
        <v>310</v>
      </c>
      <c r="E110" s="32" t="s">
        <v>321</v>
      </c>
      <c r="F110" s="26" t="s">
        <v>24</v>
      </c>
      <c r="G110" s="17" t="s">
        <v>33</v>
      </c>
      <c r="H110" s="25" t="s">
        <v>67</v>
      </c>
      <c r="I110" s="32" t="s">
        <v>402</v>
      </c>
      <c r="J110" s="25" t="s">
        <v>27</v>
      </c>
      <c r="K110" s="31" t="s">
        <v>109</v>
      </c>
      <c r="L110" s="31" t="s">
        <v>34</v>
      </c>
      <c r="M110" s="32" t="s">
        <v>35</v>
      </c>
      <c r="N110" s="3" t="s">
        <v>119</v>
      </c>
      <c r="O110" s="31" t="s">
        <v>432</v>
      </c>
      <c r="P110" s="32" t="s">
        <v>461</v>
      </c>
      <c r="Q110" s="31" t="s">
        <v>31</v>
      </c>
      <c r="R110" s="25" t="s">
        <v>126</v>
      </c>
      <c r="S110" s="36">
        <v>744900</v>
      </c>
      <c r="T110" s="2" t="s">
        <v>32</v>
      </c>
      <c r="U110" s="37">
        <v>13.429871</v>
      </c>
      <c r="V110" s="37">
        <v>12.4298706054687</v>
      </c>
      <c r="W110" s="38">
        <v>0.468597412109375</v>
      </c>
      <c r="X110" s="39">
        <v>349058.21228027297</v>
      </c>
    </row>
    <row r="111" spans="1:24" x14ac:dyDescent="0.25">
      <c r="A111" s="24" t="s">
        <v>225</v>
      </c>
      <c r="B111" s="32" t="s">
        <v>256</v>
      </c>
      <c r="C111" s="32" t="s">
        <v>269</v>
      </c>
      <c r="D111" s="32" t="s">
        <v>330</v>
      </c>
      <c r="E111" s="32" t="s">
        <v>331</v>
      </c>
      <c r="F111" s="26" t="s">
        <v>24</v>
      </c>
      <c r="G111" s="17" t="s">
        <v>33</v>
      </c>
      <c r="H111" s="25" t="s">
        <v>26</v>
      </c>
      <c r="I111" s="32" t="s">
        <v>410</v>
      </c>
      <c r="J111" s="25" t="s">
        <v>27</v>
      </c>
      <c r="K111" s="31" t="s">
        <v>129</v>
      </c>
      <c r="L111" s="31"/>
      <c r="M111" s="32" t="s">
        <v>58</v>
      </c>
      <c r="N111" s="3" t="s">
        <v>36</v>
      </c>
      <c r="O111" s="31" t="s">
        <v>120</v>
      </c>
      <c r="P111" s="32" t="s">
        <v>467</v>
      </c>
      <c r="Q111" s="31" t="s">
        <v>31</v>
      </c>
      <c r="R111" s="25" t="s">
        <v>126</v>
      </c>
      <c r="S111" s="36">
        <v>641400</v>
      </c>
      <c r="T111" s="2" t="s">
        <v>128</v>
      </c>
      <c r="U111" s="37">
        <v>2.2602540000000002</v>
      </c>
      <c r="V111" s="37">
        <v>1.26025390625</v>
      </c>
      <c r="W111" s="38">
        <v>0.1230126953125</v>
      </c>
      <c r="X111" s="39">
        <v>78900.3427734375</v>
      </c>
    </row>
    <row r="112" spans="1:24" x14ac:dyDescent="0.25">
      <c r="A112" s="24" t="s">
        <v>226</v>
      </c>
      <c r="B112" s="32" t="s">
        <v>256</v>
      </c>
      <c r="C112" s="32" t="s">
        <v>269</v>
      </c>
      <c r="D112" s="32" t="s">
        <v>332</v>
      </c>
      <c r="E112" s="32" t="s">
        <v>333</v>
      </c>
      <c r="F112" s="26" t="s">
        <v>24</v>
      </c>
      <c r="G112" s="17" t="s">
        <v>56</v>
      </c>
      <c r="H112" s="25" t="s">
        <v>26</v>
      </c>
      <c r="I112" s="32" t="s">
        <v>411</v>
      </c>
      <c r="J112" s="25" t="s">
        <v>169</v>
      </c>
      <c r="K112" s="31" t="s">
        <v>150</v>
      </c>
      <c r="L112" s="31" t="s">
        <v>112</v>
      </c>
      <c r="M112" s="32" t="s">
        <v>431</v>
      </c>
      <c r="N112" s="3" t="s">
        <v>119</v>
      </c>
      <c r="O112" s="31" t="s">
        <v>123</v>
      </c>
      <c r="P112" s="32" t="s">
        <v>468</v>
      </c>
      <c r="Q112" s="31" t="s">
        <v>31</v>
      </c>
      <c r="R112" s="25" t="s">
        <v>126</v>
      </c>
      <c r="S112" s="36">
        <v>631100</v>
      </c>
      <c r="T112" s="2" t="s">
        <v>32</v>
      </c>
      <c r="U112" s="37">
        <v>0.10852051</v>
      </c>
      <c r="V112" s="37">
        <v>-0.8914794921875</v>
      </c>
      <c r="W112" s="38">
        <v>0</v>
      </c>
      <c r="X112" s="39">
        <v>0</v>
      </c>
    </row>
    <row r="113" spans="1:24" x14ac:dyDescent="0.25">
      <c r="A113" s="24" t="s">
        <v>228</v>
      </c>
      <c r="B113" s="32" t="s">
        <v>256</v>
      </c>
      <c r="C113" s="32" t="s">
        <v>269</v>
      </c>
      <c r="D113" s="32" t="s">
        <v>337</v>
      </c>
      <c r="E113" s="32" t="s">
        <v>338</v>
      </c>
      <c r="F113" s="26" t="s">
        <v>24</v>
      </c>
      <c r="G113" s="17" t="s">
        <v>33</v>
      </c>
      <c r="H113" s="25" t="s">
        <v>26</v>
      </c>
      <c r="I113" s="32" t="s">
        <v>413</v>
      </c>
      <c r="J113" s="25" t="s">
        <v>27</v>
      </c>
      <c r="K113" s="31" t="s">
        <v>147</v>
      </c>
      <c r="L113" s="31" t="s">
        <v>112</v>
      </c>
      <c r="M113" s="32" t="s">
        <v>35</v>
      </c>
      <c r="N113" s="3" t="s">
        <v>119</v>
      </c>
      <c r="O113" s="31" t="s">
        <v>120</v>
      </c>
      <c r="P113" s="32" t="s">
        <v>170</v>
      </c>
      <c r="Q113" s="31" t="s">
        <v>31</v>
      </c>
      <c r="R113" s="25" t="s">
        <v>126</v>
      </c>
      <c r="S113" s="36">
        <v>613600</v>
      </c>
      <c r="T113" s="2" t="s">
        <v>32</v>
      </c>
      <c r="U113" s="37">
        <v>0</v>
      </c>
      <c r="V113" s="37">
        <v>-1</v>
      </c>
      <c r="W113" s="38">
        <v>0</v>
      </c>
      <c r="X113" s="39">
        <v>0</v>
      </c>
    </row>
    <row r="114" spans="1:24" x14ac:dyDescent="0.25">
      <c r="A114" s="24" t="s">
        <v>229</v>
      </c>
      <c r="B114" s="32" t="s">
        <v>256</v>
      </c>
      <c r="C114" s="32" t="s">
        <v>269</v>
      </c>
      <c r="D114" s="32" t="s">
        <v>339</v>
      </c>
      <c r="E114" s="32" t="s">
        <v>340</v>
      </c>
      <c r="F114" s="26" t="s">
        <v>24</v>
      </c>
      <c r="G114" s="17" t="s">
        <v>33</v>
      </c>
      <c r="H114" s="25" t="s">
        <v>26</v>
      </c>
      <c r="I114" s="32" t="s">
        <v>411</v>
      </c>
      <c r="J114" s="25" t="s">
        <v>27</v>
      </c>
      <c r="K114" s="31" t="s">
        <v>150</v>
      </c>
      <c r="L114" s="31" t="s">
        <v>112</v>
      </c>
      <c r="M114" s="32" t="s">
        <v>431</v>
      </c>
      <c r="N114" s="3" t="s">
        <v>119</v>
      </c>
      <c r="O114" s="31" t="s">
        <v>123</v>
      </c>
      <c r="P114" s="32" t="s">
        <v>469</v>
      </c>
      <c r="Q114" s="31" t="s">
        <v>31</v>
      </c>
      <c r="R114" s="25" t="s">
        <v>126</v>
      </c>
      <c r="S114" s="36">
        <v>556700</v>
      </c>
      <c r="T114" s="2" t="s">
        <v>32</v>
      </c>
      <c r="U114" s="37">
        <v>1</v>
      </c>
      <c r="V114" s="37">
        <v>0</v>
      </c>
      <c r="W114" s="38">
        <v>0</v>
      </c>
      <c r="X114" s="39">
        <v>0</v>
      </c>
    </row>
    <row r="115" spans="1:24" x14ac:dyDescent="0.25">
      <c r="A115" s="24" t="s">
        <v>233</v>
      </c>
      <c r="B115" s="32" t="s">
        <v>256</v>
      </c>
      <c r="C115" s="32" t="s">
        <v>269</v>
      </c>
      <c r="D115" s="32" t="s">
        <v>347</v>
      </c>
      <c r="E115" s="32" t="s">
        <v>348</v>
      </c>
      <c r="F115" s="26" t="s">
        <v>24</v>
      </c>
      <c r="G115" s="17" t="s">
        <v>33</v>
      </c>
      <c r="H115" s="25" t="s">
        <v>26</v>
      </c>
      <c r="I115" s="32" t="s">
        <v>410</v>
      </c>
      <c r="J115" s="25" t="s">
        <v>41</v>
      </c>
      <c r="K115" s="31" t="s">
        <v>151</v>
      </c>
      <c r="L115" s="31"/>
      <c r="M115" s="32" t="s">
        <v>114</v>
      </c>
      <c r="N115" s="3" t="s">
        <v>119</v>
      </c>
      <c r="O115" s="31" t="s">
        <v>120</v>
      </c>
      <c r="P115" s="32" t="s">
        <v>158</v>
      </c>
      <c r="Q115" s="31" t="s">
        <v>31</v>
      </c>
      <c r="R115" s="25" t="s">
        <v>126</v>
      </c>
      <c r="S115" s="36">
        <v>421358</v>
      </c>
      <c r="T115" s="2" t="s">
        <v>128</v>
      </c>
      <c r="U115" s="37">
        <v>1</v>
      </c>
      <c r="V115" s="37">
        <v>0</v>
      </c>
      <c r="W115" s="38">
        <v>0.01</v>
      </c>
      <c r="X115" s="39">
        <v>4213.58</v>
      </c>
    </row>
    <row r="116" spans="1:24" x14ac:dyDescent="0.25">
      <c r="A116" s="24" t="s">
        <v>235</v>
      </c>
      <c r="B116" s="32" t="s">
        <v>256</v>
      </c>
      <c r="C116" s="32" t="s">
        <v>351</v>
      </c>
      <c r="D116" s="32" t="s">
        <v>352</v>
      </c>
      <c r="E116" s="32" t="s">
        <v>353</v>
      </c>
      <c r="F116" s="26" t="s">
        <v>24</v>
      </c>
      <c r="G116" s="17" t="s">
        <v>33</v>
      </c>
      <c r="H116" s="25" t="s">
        <v>26</v>
      </c>
      <c r="I116" s="32" t="s">
        <v>417</v>
      </c>
      <c r="J116" s="25" t="s">
        <v>27</v>
      </c>
      <c r="K116" s="31" t="s">
        <v>147</v>
      </c>
      <c r="L116" s="31" t="s">
        <v>52</v>
      </c>
      <c r="M116" s="32" t="s">
        <v>155</v>
      </c>
      <c r="N116" s="3" t="s">
        <v>119</v>
      </c>
      <c r="O116" s="31" t="s">
        <v>121</v>
      </c>
      <c r="P116" s="32" t="s">
        <v>474</v>
      </c>
      <c r="Q116" s="31" t="s">
        <v>31</v>
      </c>
      <c r="R116" s="25" t="s">
        <v>126</v>
      </c>
      <c r="S116" s="36">
        <v>408000</v>
      </c>
      <c r="T116" s="2" t="s">
        <v>46</v>
      </c>
      <c r="U116" s="37">
        <v>0</v>
      </c>
      <c r="V116" s="37">
        <v>-1</v>
      </c>
      <c r="W116" s="38">
        <v>0</v>
      </c>
      <c r="X116" s="39">
        <v>0</v>
      </c>
    </row>
    <row r="117" spans="1:24" x14ac:dyDescent="0.25">
      <c r="A117" s="24" t="s">
        <v>239</v>
      </c>
      <c r="B117" s="32" t="s">
        <v>256</v>
      </c>
      <c r="C117" s="32" t="s">
        <v>272</v>
      </c>
      <c r="D117" s="32" t="s">
        <v>360</v>
      </c>
      <c r="E117" s="32" t="s">
        <v>361</v>
      </c>
      <c r="F117" s="26" t="s">
        <v>24</v>
      </c>
      <c r="G117" s="17" t="s">
        <v>33</v>
      </c>
      <c r="H117" s="25" t="s">
        <v>26</v>
      </c>
      <c r="I117" s="32" t="s">
        <v>420</v>
      </c>
      <c r="J117" s="25" t="s">
        <v>27</v>
      </c>
      <c r="K117" s="31" t="s">
        <v>144</v>
      </c>
      <c r="L117" s="31" t="s">
        <v>55</v>
      </c>
      <c r="M117" s="32" t="s">
        <v>115</v>
      </c>
      <c r="N117" s="3" t="s">
        <v>44</v>
      </c>
      <c r="O117" s="31" t="s">
        <v>121</v>
      </c>
      <c r="P117" s="32" t="s">
        <v>477</v>
      </c>
      <c r="Q117" s="31" t="s">
        <v>31</v>
      </c>
      <c r="R117" s="25" t="s">
        <v>126</v>
      </c>
      <c r="S117" s="36">
        <v>361500</v>
      </c>
      <c r="T117" s="2" t="s">
        <v>32</v>
      </c>
      <c r="U117" s="37">
        <v>0</v>
      </c>
      <c r="V117" s="37">
        <v>-1</v>
      </c>
      <c r="W117" s="38">
        <v>0</v>
      </c>
      <c r="X117" s="39">
        <v>0</v>
      </c>
    </row>
    <row r="118" spans="1:24" x14ac:dyDescent="0.25">
      <c r="A118" s="24" t="s">
        <v>242</v>
      </c>
      <c r="B118" s="32" t="s">
        <v>256</v>
      </c>
      <c r="C118" s="32" t="s">
        <v>269</v>
      </c>
      <c r="D118" s="32" t="s">
        <v>332</v>
      </c>
      <c r="E118" s="32" t="s">
        <v>366</v>
      </c>
      <c r="F118" s="26" t="s">
        <v>24</v>
      </c>
      <c r="G118" s="17" t="s">
        <v>33</v>
      </c>
      <c r="H118" s="25" t="s">
        <v>26</v>
      </c>
      <c r="I118" s="32" t="s">
        <v>411</v>
      </c>
      <c r="J118" s="25" t="s">
        <v>27</v>
      </c>
      <c r="K118" s="31" t="s">
        <v>150</v>
      </c>
      <c r="L118" s="31" t="s">
        <v>112</v>
      </c>
      <c r="M118" s="32" t="s">
        <v>431</v>
      </c>
      <c r="N118" s="3" t="s">
        <v>119</v>
      </c>
      <c r="O118" s="31" t="s">
        <v>123</v>
      </c>
      <c r="P118" s="32" t="s">
        <v>479</v>
      </c>
      <c r="Q118" s="31" t="s">
        <v>31</v>
      </c>
      <c r="R118" s="25" t="s">
        <v>126</v>
      </c>
      <c r="S118" s="36">
        <v>359200</v>
      </c>
      <c r="T118" s="2" t="s">
        <v>32</v>
      </c>
      <c r="U118" s="37">
        <v>1</v>
      </c>
      <c r="V118" s="37">
        <v>0</v>
      </c>
      <c r="W118" s="38">
        <v>0</v>
      </c>
      <c r="X118" s="39">
        <v>0</v>
      </c>
    </row>
    <row r="119" spans="1:24" x14ac:dyDescent="0.25">
      <c r="A119" s="24" t="s">
        <v>245</v>
      </c>
      <c r="B119" s="32" t="s">
        <v>256</v>
      </c>
      <c r="C119" s="32" t="s">
        <v>272</v>
      </c>
      <c r="D119" s="32" t="s">
        <v>360</v>
      </c>
      <c r="E119" s="32" t="s">
        <v>371</v>
      </c>
      <c r="F119" s="26" t="s">
        <v>24</v>
      </c>
      <c r="G119" s="17" t="s">
        <v>56</v>
      </c>
      <c r="H119" s="25" t="s">
        <v>26</v>
      </c>
      <c r="I119" s="32" t="s">
        <v>420</v>
      </c>
      <c r="J119" s="25" t="s">
        <v>169</v>
      </c>
      <c r="K119" s="31" t="s">
        <v>144</v>
      </c>
      <c r="L119" s="31" t="s">
        <v>55</v>
      </c>
      <c r="M119" s="32" t="s">
        <v>115</v>
      </c>
      <c r="N119" s="3" t="s">
        <v>44</v>
      </c>
      <c r="O119" s="31" t="s">
        <v>121</v>
      </c>
      <c r="P119" s="32" t="s">
        <v>482</v>
      </c>
      <c r="Q119" s="31" t="s">
        <v>31</v>
      </c>
      <c r="R119" s="25" t="s">
        <v>126</v>
      </c>
      <c r="S119" s="36">
        <v>344000</v>
      </c>
      <c r="T119" s="2" t="s">
        <v>32</v>
      </c>
      <c r="U119" s="37">
        <v>0.28338623000000002</v>
      </c>
      <c r="V119" s="37">
        <v>-0.71661376953125</v>
      </c>
      <c r="W119" s="38">
        <v>4.2507934570312503E-2</v>
      </c>
      <c r="X119" s="39">
        <v>14622.7294921875</v>
      </c>
    </row>
    <row r="120" spans="1:24" x14ac:dyDescent="0.25">
      <c r="A120" s="24" t="s">
        <v>246</v>
      </c>
      <c r="B120" s="32" t="s">
        <v>256</v>
      </c>
      <c r="C120" s="32" t="s">
        <v>253</v>
      </c>
      <c r="D120" s="32" t="s">
        <v>372</v>
      </c>
      <c r="E120" s="32" t="s">
        <v>373</v>
      </c>
      <c r="F120" s="26" t="s">
        <v>24</v>
      </c>
      <c r="G120" s="17" t="s">
        <v>40</v>
      </c>
      <c r="H120" s="25" t="s">
        <v>26</v>
      </c>
      <c r="I120" s="32" t="s">
        <v>425</v>
      </c>
      <c r="J120" s="25" t="s">
        <v>27</v>
      </c>
      <c r="K120" s="31" t="s">
        <v>84</v>
      </c>
      <c r="L120" s="31" t="s">
        <v>53</v>
      </c>
      <c r="M120" s="32" t="s">
        <v>43</v>
      </c>
      <c r="N120" s="3" t="s">
        <v>44</v>
      </c>
      <c r="O120" s="31" t="s">
        <v>121</v>
      </c>
      <c r="P120" s="32" t="s">
        <v>483</v>
      </c>
      <c r="Q120" s="31" t="s">
        <v>45</v>
      </c>
      <c r="R120" s="25" t="s">
        <v>127</v>
      </c>
      <c r="S120" s="36">
        <v>340800</v>
      </c>
      <c r="T120" s="2" t="s">
        <v>46</v>
      </c>
      <c r="U120" s="37">
        <v>0</v>
      </c>
      <c r="V120" s="37">
        <v>-4</v>
      </c>
      <c r="W120" s="38">
        <v>0</v>
      </c>
      <c r="X120" s="39">
        <v>0</v>
      </c>
    </row>
    <row r="121" spans="1:24" x14ac:dyDescent="0.25">
      <c r="A121" s="24" t="s">
        <v>247</v>
      </c>
      <c r="B121" s="32" t="s">
        <v>256</v>
      </c>
      <c r="C121" s="32" t="s">
        <v>269</v>
      </c>
      <c r="D121" s="32" t="s">
        <v>374</v>
      </c>
      <c r="E121" s="32" t="s">
        <v>375</v>
      </c>
      <c r="F121" s="26" t="s">
        <v>24</v>
      </c>
      <c r="G121" s="17" t="s">
        <v>33</v>
      </c>
      <c r="H121" s="25" t="s">
        <v>67</v>
      </c>
      <c r="I121" s="32" t="s">
        <v>426</v>
      </c>
      <c r="J121" s="25" t="s">
        <v>41</v>
      </c>
      <c r="K121" s="31" t="s">
        <v>101</v>
      </c>
      <c r="L121" s="31" t="s">
        <v>28</v>
      </c>
      <c r="M121" s="32" t="s">
        <v>39</v>
      </c>
      <c r="N121" s="3" t="s">
        <v>119</v>
      </c>
      <c r="O121" s="31" t="s">
        <v>120</v>
      </c>
      <c r="P121" s="32" t="s">
        <v>484</v>
      </c>
      <c r="Q121" s="31" t="s">
        <v>31</v>
      </c>
      <c r="R121" s="25" t="s">
        <v>126</v>
      </c>
      <c r="S121" s="36">
        <v>337600</v>
      </c>
      <c r="T121" s="2" t="s">
        <v>46</v>
      </c>
      <c r="U121" s="37">
        <v>16.196411000000001</v>
      </c>
      <c r="V121" s="37">
        <v>15.1964111328125</v>
      </c>
      <c r="W121" s="38">
        <v>0.5</v>
      </c>
      <c r="X121" s="39">
        <v>168800</v>
      </c>
    </row>
    <row r="122" spans="1:24" x14ac:dyDescent="0.25">
      <c r="A122" s="24" t="s">
        <v>250</v>
      </c>
      <c r="B122" s="32" t="s">
        <v>256</v>
      </c>
      <c r="C122" s="32" t="s">
        <v>257</v>
      </c>
      <c r="D122" s="32" t="s">
        <v>380</v>
      </c>
      <c r="E122" s="32" t="s">
        <v>381</v>
      </c>
      <c r="F122" s="26" t="s">
        <v>24</v>
      </c>
      <c r="G122" s="17" t="s">
        <v>33</v>
      </c>
      <c r="H122" s="25" t="s">
        <v>26</v>
      </c>
      <c r="I122" s="32" t="s">
        <v>393</v>
      </c>
      <c r="J122" s="25" t="s">
        <v>27</v>
      </c>
      <c r="K122" s="31" t="s">
        <v>97</v>
      </c>
      <c r="L122" s="31" t="s">
        <v>55</v>
      </c>
      <c r="M122" s="32" t="s">
        <v>35</v>
      </c>
      <c r="N122" s="3" t="s">
        <v>119</v>
      </c>
      <c r="O122" s="31" t="s">
        <v>120</v>
      </c>
      <c r="P122" s="32" t="s">
        <v>487</v>
      </c>
      <c r="Q122" s="31" t="s">
        <v>31</v>
      </c>
      <c r="R122" s="25" t="s">
        <v>126</v>
      </c>
      <c r="S122" s="36">
        <v>323000</v>
      </c>
      <c r="T122" s="2" t="s">
        <v>32</v>
      </c>
      <c r="U122" s="37">
        <v>0</v>
      </c>
      <c r="V122" s="37">
        <v>-1</v>
      </c>
      <c r="W122" s="38">
        <v>0</v>
      </c>
      <c r="X122" s="39">
        <v>0</v>
      </c>
    </row>
    <row r="124" spans="1:24" x14ac:dyDescent="0.25">
      <c r="A124" s="4" t="s">
        <v>61</v>
      </c>
      <c r="B124" s="4" t="s">
        <v>1</v>
      </c>
      <c r="C124" s="4" t="s">
        <v>62</v>
      </c>
      <c r="D124" s="4" t="s">
        <v>63</v>
      </c>
      <c r="E124" s="4" t="s">
        <v>64</v>
      </c>
    </row>
    <row r="125" spans="1:24" x14ac:dyDescent="0.25">
      <c r="A125" s="4">
        <v>540111</v>
      </c>
      <c r="B125" s="1" t="s">
        <v>987</v>
      </c>
      <c r="C125" s="4" t="s">
        <v>187</v>
      </c>
      <c r="D125" s="1" t="s">
        <v>65</v>
      </c>
      <c r="E125" s="4">
        <v>10</v>
      </c>
      <c r="S125" s="40" t="s">
        <v>173</v>
      </c>
    </row>
    <row r="126" spans="1:24" x14ac:dyDescent="0.25">
      <c r="A126" s="24" t="s">
        <v>190</v>
      </c>
      <c r="B126" s="32" t="s">
        <v>260</v>
      </c>
      <c r="C126" s="32" t="s">
        <v>253</v>
      </c>
      <c r="D126" s="32" t="s">
        <v>261</v>
      </c>
      <c r="E126" s="32" t="s">
        <v>262</v>
      </c>
      <c r="F126" s="26" t="s">
        <v>24</v>
      </c>
      <c r="G126" s="17" t="s">
        <v>83</v>
      </c>
      <c r="H126" s="25" t="s">
        <v>26</v>
      </c>
      <c r="I126" s="32" t="s">
        <v>69</v>
      </c>
      <c r="J126" s="25" t="s">
        <v>27</v>
      </c>
      <c r="K126" s="31" t="s">
        <v>98</v>
      </c>
      <c r="L126" s="31" t="s">
        <v>28</v>
      </c>
      <c r="M126" s="32" t="s">
        <v>70</v>
      </c>
      <c r="N126" s="3" t="s">
        <v>116</v>
      </c>
      <c r="O126" s="31" t="s">
        <v>121</v>
      </c>
      <c r="P126" s="32" t="s">
        <v>435</v>
      </c>
      <c r="Q126" s="31" t="s">
        <v>31</v>
      </c>
      <c r="R126" s="25" t="s">
        <v>126</v>
      </c>
      <c r="S126" s="36">
        <v>14651600</v>
      </c>
      <c r="T126" s="2" t="s">
        <v>32</v>
      </c>
      <c r="U126" s="37">
        <v>0</v>
      </c>
      <c r="V126" s="37">
        <v>-1</v>
      </c>
      <c r="W126" s="38">
        <v>0</v>
      </c>
      <c r="X126" s="39">
        <v>0</v>
      </c>
    </row>
    <row r="127" spans="1:24" x14ac:dyDescent="0.25">
      <c r="A127" s="24" t="s">
        <v>195</v>
      </c>
      <c r="B127" s="32" t="s">
        <v>260</v>
      </c>
      <c r="C127" s="32" t="s">
        <v>272</v>
      </c>
      <c r="D127" s="32" t="s">
        <v>275</v>
      </c>
      <c r="E127" s="32" t="s">
        <v>276</v>
      </c>
      <c r="F127" s="26" t="str">
        <f>HYPERLINK("https://mapwv.gov/flood/map/?wkid=102100&amp;x=-8989671.690619415&amp;y=4852188.746644906&amp;l=13&amp;v=2","FT")</f>
        <v>FT</v>
      </c>
      <c r="G127" s="17" t="s">
        <v>33</v>
      </c>
      <c r="H127" s="25" t="s">
        <v>26</v>
      </c>
      <c r="I127" s="32" t="s">
        <v>387</v>
      </c>
      <c r="J127" s="25" t="s">
        <v>27</v>
      </c>
      <c r="K127" s="31" t="s">
        <v>133</v>
      </c>
      <c r="L127" s="31" t="s">
        <v>28</v>
      </c>
      <c r="M127" s="32" t="s">
        <v>29</v>
      </c>
      <c r="N127" s="3" t="s">
        <v>117</v>
      </c>
      <c r="O127" s="31" t="s">
        <v>121</v>
      </c>
      <c r="P127" s="32" t="s">
        <v>440</v>
      </c>
      <c r="Q127" s="31" t="s">
        <v>31</v>
      </c>
      <c r="R127" s="25" t="s">
        <v>126</v>
      </c>
      <c r="S127" s="36">
        <v>10000000</v>
      </c>
      <c r="T127" s="2" t="s">
        <v>30</v>
      </c>
      <c r="U127" s="37">
        <v>5.7644042999999998</v>
      </c>
      <c r="V127" s="37">
        <v>4.764404296875</v>
      </c>
      <c r="W127" s="38">
        <v>0.33350830078124999</v>
      </c>
      <c r="X127" s="39">
        <v>3335083.0078125</v>
      </c>
    </row>
    <row r="128" spans="1:24" x14ac:dyDescent="0.25">
      <c r="A128" s="24" t="s">
        <v>191</v>
      </c>
      <c r="B128" s="32" t="s">
        <v>260</v>
      </c>
      <c r="C128" s="32" t="s">
        <v>253</v>
      </c>
      <c r="D128" s="32" t="s">
        <v>263</v>
      </c>
      <c r="E128" s="32" t="s">
        <v>264</v>
      </c>
      <c r="F128" s="26" t="s">
        <v>24</v>
      </c>
      <c r="G128" s="17" t="s">
        <v>33</v>
      </c>
      <c r="H128" s="25" t="s">
        <v>26</v>
      </c>
      <c r="I128" s="32" t="s">
        <v>384</v>
      </c>
      <c r="J128" s="25" t="s">
        <v>27</v>
      </c>
      <c r="K128" s="31" t="s">
        <v>84</v>
      </c>
      <c r="L128" s="31" t="s">
        <v>28</v>
      </c>
      <c r="M128" s="32" t="s">
        <v>50</v>
      </c>
      <c r="N128" s="3" t="s">
        <v>36</v>
      </c>
      <c r="O128" s="31" t="s">
        <v>120</v>
      </c>
      <c r="P128" s="32" t="s">
        <v>436</v>
      </c>
      <c r="Q128" s="31" t="s">
        <v>31</v>
      </c>
      <c r="R128" s="25" t="s">
        <v>126</v>
      </c>
      <c r="S128" s="36">
        <v>8420600</v>
      </c>
      <c r="T128" s="2" t="s">
        <v>46</v>
      </c>
      <c r="U128" s="37">
        <v>17.223082999999999</v>
      </c>
      <c r="V128" s="37">
        <v>16.2230834960937</v>
      </c>
      <c r="W128" s="38">
        <v>0.61669250488281202</v>
      </c>
      <c r="X128" s="39">
        <v>5192920.90661621</v>
      </c>
    </row>
    <row r="129" spans="1:24" x14ac:dyDescent="0.25">
      <c r="A129" s="24" t="s">
        <v>194</v>
      </c>
      <c r="B129" s="32" t="s">
        <v>260</v>
      </c>
      <c r="C129" s="32" t="s">
        <v>272</v>
      </c>
      <c r="D129" s="32" t="s">
        <v>273</v>
      </c>
      <c r="E129" s="32" t="s">
        <v>274</v>
      </c>
      <c r="F129" s="26" t="s">
        <v>24</v>
      </c>
      <c r="G129" s="17" t="s">
        <v>33</v>
      </c>
      <c r="H129" s="25" t="s">
        <v>26</v>
      </c>
      <c r="I129" s="32" t="s">
        <v>386</v>
      </c>
      <c r="J129" s="25" t="s">
        <v>27</v>
      </c>
      <c r="K129" s="31" t="s">
        <v>109</v>
      </c>
      <c r="L129" s="31" t="s">
        <v>47</v>
      </c>
      <c r="M129" s="32" t="s">
        <v>58</v>
      </c>
      <c r="N129" s="3" t="s">
        <v>36</v>
      </c>
      <c r="O129" s="31" t="s">
        <v>120</v>
      </c>
      <c r="P129" s="32" t="s">
        <v>439</v>
      </c>
      <c r="Q129" s="31" t="s">
        <v>31</v>
      </c>
      <c r="R129" s="25" t="s">
        <v>126</v>
      </c>
      <c r="S129" s="36">
        <v>5273200</v>
      </c>
      <c r="T129" s="2" t="s">
        <v>46</v>
      </c>
      <c r="U129" s="37">
        <v>0</v>
      </c>
      <c r="V129" s="37">
        <v>-1</v>
      </c>
      <c r="W129" s="38">
        <v>0</v>
      </c>
      <c r="X129" s="39">
        <v>0</v>
      </c>
    </row>
    <row r="130" spans="1:24" x14ac:dyDescent="0.25">
      <c r="A130" s="24" t="s">
        <v>200</v>
      </c>
      <c r="B130" s="32" t="s">
        <v>260</v>
      </c>
      <c r="C130" s="32" t="s">
        <v>269</v>
      </c>
      <c r="D130" s="32" t="s">
        <v>285</v>
      </c>
      <c r="E130" s="32" t="s">
        <v>286</v>
      </c>
      <c r="F130" s="26" t="s">
        <v>24</v>
      </c>
      <c r="G130" s="17" t="s">
        <v>33</v>
      </c>
      <c r="H130" s="25" t="s">
        <v>26</v>
      </c>
      <c r="I130" s="32" t="s">
        <v>392</v>
      </c>
      <c r="J130" s="25" t="s">
        <v>41</v>
      </c>
      <c r="K130" s="31" t="s">
        <v>153</v>
      </c>
      <c r="L130" s="31" t="s">
        <v>28</v>
      </c>
      <c r="M130" s="32" t="s">
        <v>50</v>
      </c>
      <c r="N130" s="3" t="s">
        <v>36</v>
      </c>
      <c r="O130" s="31" t="s">
        <v>120</v>
      </c>
      <c r="P130" s="32" t="s">
        <v>445</v>
      </c>
      <c r="Q130" s="31" t="s">
        <v>31</v>
      </c>
      <c r="R130" s="25" t="s">
        <v>126</v>
      </c>
      <c r="S130" s="36">
        <v>1896300</v>
      </c>
      <c r="T130" s="2" t="s">
        <v>46</v>
      </c>
      <c r="U130" s="37">
        <v>5.0045165999999996</v>
      </c>
      <c r="V130" s="37">
        <v>4.0045166015625</v>
      </c>
      <c r="W130" s="38">
        <v>0.18009033203124999</v>
      </c>
      <c r="X130" s="39">
        <v>341505.29663085903</v>
      </c>
    </row>
    <row r="131" spans="1:24" x14ac:dyDescent="0.25">
      <c r="A131" s="24" t="s">
        <v>201</v>
      </c>
      <c r="B131" s="32" t="s">
        <v>260</v>
      </c>
      <c r="C131" s="32" t="s">
        <v>269</v>
      </c>
      <c r="D131" s="32" t="s">
        <v>287</v>
      </c>
      <c r="E131" s="32" t="s">
        <v>288</v>
      </c>
      <c r="F131" s="26" t="s">
        <v>24</v>
      </c>
      <c r="G131" s="17" t="s">
        <v>33</v>
      </c>
      <c r="H131" s="25" t="s">
        <v>26</v>
      </c>
      <c r="I131" s="32" t="s">
        <v>387</v>
      </c>
      <c r="J131" s="25" t="s">
        <v>27</v>
      </c>
      <c r="K131" s="31" t="s">
        <v>150</v>
      </c>
      <c r="L131" s="31" t="s">
        <v>42</v>
      </c>
      <c r="M131" s="32" t="s">
        <v>54</v>
      </c>
      <c r="N131" s="3" t="s">
        <v>36</v>
      </c>
      <c r="O131" s="31" t="s">
        <v>120</v>
      </c>
      <c r="P131" s="32" t="s">
        <v>446</v>
      </c>
      <c r="Q131" s="31" t="s">
        <v>31</v>
      </c>
      <c r="R131" s="25" t="s">
        <v>126</v>
      </c>
      <c r="S131" s="36">
        <v>1689400</v>
      </c>
      <c r="T131" s="2" t="s">
        <v>46</v>
      </c>
      <c r="U131" s="37">
        <v>1</v>
      </c>
      <c r="V131" s="37">
        <v>0</v>
      </c>
      <c r="W131" s="38">
        <v>0.01</v>
      </c>
      <c r="X131" s="39">
        <v>16894</v>
      </c>
    </row>
    <row r="132" spans="1:24" x14ac:dyDescent="0.25">
      <c r="A132" s="24" t="s">
        <v>203</v>
      </c>
      <c r="B132" s="32" t="s">
        <v>260</v>
      </c>
      <c r="C132" s="32" t="s">
        <v>253</v>
      </c>
      <c r="D132" s="32" t="s">
        <v>292</v>
      </c>
      <c r="E132" s="32" t="s">
        <v>293</v>
      </c>
      <c r="F132" s="26" t="s">
        <v>24</v>
      </c>
      <c r="G132" s="17" t="s">
        <v>33</v>
      </c>
      <c r="H132" s="25" t="s">
        <v>26</v>
      </c>
      <c r="I132" s="32" t="s">
        <v>394</v>
      </c>
      <c r="J132" s="25" t="s">
        <v>27</v>
      </c>
      <c r="K132" s="31" t="s">
        <v>124</v>
      </c>
      <c r="L132" s="31" t="s">
        <v>55</v>
      </c>
      <c r="M132" s="32" t="s">
        <v>50</v>
      </c>
      <c r="N132" s="3" t="s">
        <v>36</v>
      </c>
      <c r="O132" s="31" t="s">
        <v>120</v>
      </c>
      <c r="P132" s="32" t="s">
        <v>448</v>
      </c>
      <c r="Q132" s="31" t="s">
        <v>31</v>
      </c>
      <c r="R132" s="25" t="s">
        <v>126</v>
      </c>
      <c r="S132" s="36">
        <v>1515100</v>
      </c>
      <c r="T132" s="2" t="s">
        <v>46</v>
      </c>
      <c r="U132" s="37">
        <v>0</v>
      </c>
      <c r="V132" s="37">
        <v>-1</v>
      </c>
      <c r="W132" s="38">
        <v>0</v>
      </c>
      <c r="X132" s="39">
        <v>0</v>
      </c>
    </row>
    <row r="133" spans="1:24" x14ac:dyDescent="0.25">
      <c r="A133" s="24" t="s">
        <v>206</v>
      </c>
      <c r="B133" s="32" t="s">
        <v>260</v>
      </c>
      <c r="C133" s="32" t="s">
        <v>272</v>
      </c>
      <c r="D133" s="32" t="s">
        <v>298</v>
      </c>
      <c r="E133" s="32" t="s">
        <v>299</v>
      </c>
      <c r="F133" s="26" t="s">
        <v>24</v>
      </c>
      <c r="G133" s="17" t="s">
        <v>33</v>
      </c>
      <c r="H133" s="25" t="s">
        <v>26</v>
      </c>
      <c r="I133" s="32" t="s">
        <v>397</v>
      </c>
      <c r="J133" s="25" t="s">
        <v>27</v>
      </c>
      <c r="K133" s="31" t="s">
        <v>86</v>
      </c>
      <c r="L133" s="31" t="s">
        <v>40</v>
      </c>
      <c r="M133" s="32" t="s">
        <v>29</v>
      </c>
      <c r="N133" s="3" t="s">
        <v>117</v>
      </c>
      <c r="O133" s="31" t="s">
        <v>121</v>
      </c>
      <c r="P133" s="32" t="s">
        <v>182</v>
      </c>
      <c r="Q133" s="31" t="s">
        <v>31</v>
      </c>
      <c r="R133" s="25" t="s">
        <v>126</v>
      </c>
      <c r="S133" s="36">
        <v>1255000</v>
      </c>
      <c r="T133" s="2" t="s">
        <v>32</v>
      </c>
      <c r="U133" s="37">
        <v>0</v>
      </c>
      <c r="V133" s="37">
        <v>-1</v>
      </c>
      <c r="W133" s="38">
        <v>0</v>
      </c>
      <c r="X133" s="39">
        <v>0</v>
      </c>
    </row>
    <row r="134" spans="1:24" x14ac:dyDescent="0.25">
      <c r="A134" s="24" t="s">
        <v>207</v>
      </c>
      <c r="B134" s="32" t="s">
        <v>260</v>
      </c>
      <c r="C134" s="32" t="s">
        <v>272</v>
      </c>
      <c r="D134" s="32" t="s">
        <v>300</v>
      </c>
      <c r="E134" s="32" t="s">
        <v>301</v>
      </c>
      <c r="F134" s="26" t="s">
        <v>24</v>
      </c>
      <c r="G134" s="17" t="s">
        <v>33</v>
      </c>
      <c r="H134" s="25" t="s">
        <v>26</v>
      </c>
      <c r="I134" s="32" t="s">
        <v>398</v>
      </c>
      <c r="J134" s="25" t="s">
        <v>27</v>
      </c>
      <c r="K134" s="31" t="s">
        <v>88</v>
      </c>
      <c r="L134" s="31" t="s">
        <v>28</v>
      </c>
      <c r="M134" s="32" t="s">
        <v>29</v>
      </c>
      <c r="N134" s="3" t="s">
        <v>117</v>
      </c>
      <c r="O134" s="31" t="s">
        <v>120</v>
      </c>
      <c r="P134" s="32" t="s">
        <v>451</v>
      </c>
      <c r="Q134" s="31" t="s">
        <v>31</v>
      </c>
      <c r="R134" s="25" t="s">
        <v>126</v>
      </c>
      <c r="S134" s="36">
        <v>1072800</v>
      </c>
      <c r="T134" s="2" t="s">
        <v>46</v>
      </c>
      <c r="U134" s="37">
        <v>0</v>
      </c>
      <c r="V134" s="37">
        <v>-1</v>
      </c>
      <c r="W134" s="38">
        <v>0</v>
      </c>
      <c r="X134" s="39">
        <v>0</v>
      </c>
    </row>
    <row r="135" spans="1:24" x14ac:dyDescent="0.25">
      <c r="A135" s="24" t="s">
        <v>209</v>
      </c>
      <c r="B135" s="32" t="s">
        <v>260</v>
      </c>
      <c r="C135" s="32" t="s">
        <v>269</v>
      </c>
      <c r="D135" s="32" t="s">
        <v>304</v>
      </c>
      <c r="E135" s="32" t="s">
        <v>305</v>
      </c>
      <c r="F135" s="26" t="s">
        <v>24</v>
      </c>
      <c r="G135" s="17" t="s">
        <v>33</v>
      </c>
      <c r="H135" s="25" t="s">
        <v>26</v>
      </c>
      <c r="I135" s="32" t="s">
        <v>400</v>
      </c>
      <c r="J135" s="25" t="s">
        <v>27</v>
      </c>
      <c r="K135" s="31" t="s">
        <v>133</v>
      </c>
      <c r="L135" s="31" t="s">
        <v>42</v>
      </c>
      <c r="M135" s="32" t="s">
        <v>54</v>
      </c>
      <c r="N135" s="3" t="s">
        <v>36</v>
      </c>
      <c r="O135" s="31" t="s">
        <v>120</v>
      </c>
      <c r="P135" s="32" t="s">
        <v>453</v>
      </c>
      <c r="Q135" s="31" t="s">
        <v>31</v>
      </c>
      <c r="R135" s="25" t="s">
        <v>126</v>
      </c>
      <c r="S135" s="36">
        <v>968800</v>
      </c>
      <c r="T135" s="2" t="s">
        <v>46</v>
      </c>
      <c r="U135" s="37">
        <v>0</v>
      </c>
      <c r="V135" s="37">
        <v>-1</v>
      </c>
      <c r="W135" s="38">
        <v>0</v>
      </c>
      <c r="X135" s="39">
        <v>0</v>
      </c>
    </row>
    <row r="136" spans="1:24" x14ac:dyDescent="0.25">
      <c r="A136" s="24" t="s">
        <v>214</v>
      </c>
      <c r="B136" s="32" t="s">
        <v>260</v>
      </c>
      <c r="C136" s="32" t="s">
        <v>272</v>
      </c>
      <c r="D136" s="32" t="s">
        <v>313</v>
      </c>
      <c r="E136" s="32" t="s">
        <v>314</v>
      </c>
      <c r="F136" s="26" t="s">
        <v>24</v>
      </c>
      <c r="G136" s="17" t="s">
        <v>33</v>
      </c>
      <c r="H136" s="25" t="s">
        <v>26</v>
      </c>
      <c r="I136" s="32" t="s">
        <v>403</v>
      </c>
      <c r="J136" s="25" t="s">
        <v>27</v>
      </c>
      <c r="K136" s="31" t="s">
        <v>88</v>
      </c>
      <c r="L136" s="31" t="s">
        <v>55</v>
      </c>
      <c r="M136" s="32" t="s">
        <v>73</v>
      </c>
      <c r="N136" s="3" t="s">
        <v>36</v>
      </c>
      <c r="O136" s="31" t="s">
        <v>120</v>
      </c>
      <c r="P136" s="32" t="s">
        <v>458</v>
      </c>
      <c r="Q136" s="31" t="s">
        <v>31</v>
      </c>
      <c r="R136" s="25" t="s">
        <v>126</v>
      </c>
      <c r="S136" s="36">
        <v>839400</v>
      </c>
      <c r="T136" s="2" t="s">
        <v>46</v>
      </c>
      <c r="U136" s="37">
        <v>0</v>
      </c>
      <c r="V136" s="37">
        <v>-1</v>
      </c>
      <c r="W136" s="38">
        <v>0</v>
      </c>
      <c r="X136" s="39">
        <v>0</v>
      </c>
    </row>
    <row r="137" spans="1:24" x14ac:dyDescent="0.25">
      <c r="A137" s="24" t="s">
        <v>215</v>
      </c>
      <c r="B137" s="32" t="s">
        <v>260</v>
      </c>
      <c r="C137" s="32" t="s">
        <v>272</v>
      </c>
      <c r="D137" s="32" t="s">
        <v>315</v>
      </c>
      <c r="E137" s="32" t="s">
        <v>316</v>
      </c>
      <c r="F137" s="26" t="s">
        <v>24</v>
      </c>
      <c r="G137" s="17" t="s">
        <v>33</v>
      </c>
      <c r="H137" s="25" t="s">
        <v>26</v>
      </c>
      <c r="I137" s="32" t="s">
        <v>404</v>
      </c>
      <c r="J137" s="25" t="s">
        <v>27</v>
      </c>
      <c r="K137" s="31" t="s">
        <v>135</v>
      </c>
      <c r="L137" s="31" t="s">
        <v>47</v>
      </c>
      <c r="M137" s="32" t="s">
        <v>50</v>
      </c>
      <c r="N137" s="3" t="s">
        <v>36</v>
      </c>
      <c r="O137" s="31" t="s">
        <v>121</v>
      </c>
      <c r="P137" s="32" t="s">
        <v>459</v>
      </c>
      <c r="Q137" s="31" t="s">
        <v>31</v>
      </c>
      <c r="R137" s="25" t="s">
        <v>126</v>
      </c>
      <c r="S137" s="36">
        <v>812100</v>
      </c>
      <c r="T137" s="2" t="s">
        <v>46</v>
      </c>
      <c r="U137" s="37">
        <v>0</v>
      </c>
      <c r="V137" s="37">
        <v>-1</v>
      </c>
      <c r="W137" s="38">
        <v>0</v>
      </c>
      <c r="X137" s="39">
        <v>0</v>
      </c>
    </row>
    <row r="138" spans="1:24" x14ac:dyDescent="0.25">
      <c r="A138" s="24" t="s">
        <v>222</v>
      </c>
      <c r="B138" s="32" t="s">
        <v>260</v>
      </c>
      <c r="C138" s="32" t="s">
        <v>253</v>
      </c>
      <c r="D138" s="32" t="s">
        <v>261</v>
      </c>
      <c r="E138" s="32" t="s">
        <v>325</v>
      </c>
      <c r="F138" s="26" t="s">
        <v>24</v>
      </c>
      <c r="G138" s="17" t="s">
        <v>33</v>
      </c>
      <c r="H138" s="25" t="s">
        <v>26</v>
      </c>
      <c r="I138" s="32" t="s">
        <v>69</v>
      </c>
      <c r="J138" s="25" t="s">
        <v>41</v>
      </c>
      <c r="K138" s="31" t="s">
        <v>92</v>
      </c>
      <c r="L138" s="31" t="s">
        <v>28</v>
      </c>
      <c r="M138" s="32" t="s">
        <v>70</v>
      </c>
      <c r="N138" s="3" t="s">
        <v>116</v>
      </c>
      <c r="O138" s="31" t="s">
        <v>121</v>
      </c>
      <c r="P138" s="32" t="s">
        <v>464</v>
      </c>
      <c r="Q138" s="31" t="s">
        <v>31</v>
      </c>
      <c r="R138" s="25" t="s">
        <v>126</v>
      </c>
      <c r="S138" s="36">
        <v>695600</v>
      </c>
      <c r="T138" s="2" t="s">
        <v>32</v>
      </c>
      <c r="U138" s="37">
        <v>0</v>
      </c>
      <c r="V138" s="37">
        <v>-1</v>
      </c>
      <c r="W138" s="38">
        <v>0</v>
      </c>
      <c r="X138" s="39">
        <v>0</v>
      </c>
    </row>
    <row r="139" spans="1:24" x14ac:dyDescent="0.25">
      <c r="A139" s="24" t="s">
        <v>224</v>
      </c>
      <c r="B139" s="32" t="s">
        <v>260</v>
      </c>
      <c r="C139" s="32" t="s">
        <v>327</v>
      </c>
      <c r="D139" s="32" t="s">
        <v>328</v>
      </c>
      <c r="E139" s="32" t="s">
        <v>329</v>
      </c>
      <c r="F139" s="26" t="s">
        <v>24</v>
      </c>
      <c r="G139" s="17" t="s">
        <v>40</v>
      </c>
      <c r="H139" s="25" t="s">
        <v>26</v>
      </c>
      <c r="I139" s="32" t="s">
        <v>409</v>
      </c>
      <c r="J139" s="25" t="s">
        <v>27</v>
      </c>
      <c r="K139" s="31" t="s">
        <v>176</v>
      </c>
      <c r="L139" s="31" t="s">
        <v>40</v>
      </c>
      <c r="M139" s="32" t="s">
        <v>74</v>
      </c>
      <c r="N139" s="3" t="s">
        <v>117</v>
      </c>
      <c r="O139" s="31" t="s">
        <v>120</v>
      </c>
      <c r="P139" s="32" t="s">
        <v>466</v>
      </c>
      <c r="Q139" s="31" t="s">
        <v>31</v>
      </c>
      <c r="R139" s="25" t="s">
        <v>126</v>
      </c>
      <c r="S139" s="36">
        <v>641800</v>
      </c>
      <c r="T139" s="2" t="s">
        <v>46</v>
      </c>
      <c r="U139" s="37">
        <v>0</v>
      </c>
      <c r="V139" s="37">
        <v>-1</v>
      </c>
      <c r="W139" s="38">
        <v>0</v>
      </c>
      <c r="X139" s="39">
        <v>0</v>
      </c>
    </row>
    <row r="140" spans="1:24" x14ac:dyDescent="0.25">
      <c r="A140" s="24" t="s">
        <v>230</v>
      </c>
      <c r="B140" s="32" t="s">
        <v>260</v>
      </c>
      <c r="C140" s="32" t="s">
        <v>269</v>
      </c>
      <c r="D140" s="32" t="s">
        <v>341</v>
      </c>
      <c r="E140" s="32" t="s">
        <v>342</v>
      </c>
      <c r="F140" s="26" t="s">
        <v>24</v>
      </c>
      <c r="G140" s="17" t="s">
        <v>33</v>
      </c>
      <c r="H140" s="25" t="s">
        <v>26</v>
      </c>
      <c r="I140" s="32" t="s">
        <v>414</v>
      </c>
      <c r="J140" s="25" t="s">
        <v>27</v>
      </c>
      <c r="K140" s="31" t="s">
        <v>149</v>
      </c>
      <c r="L140" s="31" t="s">
        <v>53</v>
      </c>
      <c r="M140" s="32" t="s">
        <v>48</v>
      </c>
      <c r="N140" s="3" t="s">
        <v>36</v>
      </c>
      <c r="O140" s="31" t="s">
        <v>120</v>
      </c>
      <c r="P140" s="32" t="s">
        <v>470</v>
      </c>
      <c r="Q140" s="31" t="s">
        <v>31</v>
      </c>
      <c r="R140" s="25" t="s">
        <v>126</v>
      </c>
      <c r="S140" s="36">
        <v>530400</v>
      </c>
      <c r="T140" s="2" t="s">
        <v>46</v>
      </c>
      <c r="U140" s="37">
        <v>0</v>
      </c>
      <c r="V140" s="37">
        <v>-1</v>
      </c>
      <c r="W140" s="38">
        <v>0</v>
      </c>
      <c r="X140" s="39">
        <v>0</v>
      </c>
    </row>
    <row r="141" spans="1:24" x14ac:dyDescent="0.25">
      <c r="A141" s="24" t="s">
        <v>231</v>
      </c>
      <c r="B141" s="32" t="s">
        <v>260</v>
      </c>
      <c r="C141" s="32" t="s">
        <v>269</v>
      </c>
      <c r="D141" s="32" t="s">
        <v>343</v>
      </c>
      <c r="E141" s="32" t="s">
        <v>344</v>
      </c>
      <c r="F141" s="26" t="s">
        <v>24</v>
      </c>
      <c r="G141" s="17" t="s">
        <v>33</v>
      </c>
      <c r="H141" s="25" t="s">
        <v>26</v>
      </c>
      <c r="I141" s="32" t="s">
        <v>69</v>
      </c>
      <c r="J141" s="25" t="s">
        <v>27</v>
      </c>
      <c r="K141" s="31" t="s">
        <v>97</v>
      </c>
      <c r="L141" s="31" t="s">
        <v>59</v>
      </c>
      <c r="M141" s="32" t="s">
        <v>58</v>
      </c>
      <c r="N141" s="3" t="s">
        <v>36</v>
      </c>
      <c r="O141" s="31" t="s">
        <v>120</v>
      </c>
      <c r="P141" s="32" t="s">
        <v>471</v>
      </c>
      <c r="Q141" s="31" t="s">
        <v>31</v>
      </c>
      <c r="R141" s="25" t="s">
        <v>126</v>
      </c>
      <c r="S141" s="36">
        <v>510900</v>
      </c>
      <c r="T141" s="2" t="s">
        <v>46</v>
      </c>
      <c r="U141" s="37">
        <v>0</v>
      </c>
      <c r="V141" s="37">
        <v>-1</v>
      </c>
      <c r="W141" s="38">
        <v>0</v>
      </c>
      <c r="X141" s="39">
        <v>0</v>
      </c>
    </row>
    <row r="142" spans="1:24" x14ac:dyDescent="0.25">
      <c r="A142" s="24" t="s">
        <v>234</v>
      </c>
      <c r="B142" s="32" t="s">
        <v>260</v>
      </c>
      <c r="C142" s="32" t="s">
        <v>272</v>
      </c>
      <c r="D142" s="32" t="s">
        <v>349</v>
      </c>
      <c r="E142" s="32" t="s">
        <v>350</v>
      </c>
      <c r="F142" s="26" t="s">
        <v>24</v>
      </c>
      <c r="G142" s="17" t="s">
        <v>33</v>
      </c>
      <c r="H142" s="25" t="s">
        <v>26</v>
      </c>
      <c r="I142" s="32" t="s">
        <v>416</v>
      </c>
      <c r="J142" s="25" t="s">
        <v>41</v>
      </c>
      <c r="K142" s="31" t="s">
        <v>136</v>
      </c>
      <c r="L142" s="31" t="s">
        <v>28</v>
      </c>
      <c r="M142" s="32" t="s">
        <v>29</v>
      </c>
      <c r="N142" s="3" t="s">
        <v>117</v>
      </c>
      <c r="O142" s="31" t="s">
        <v>120</v>
      </c>
      <c r="P142" s="32" t="s">
        <v>473</v>
      </c>
      <c r="Q142" s="31" t="s">
        <v>31</v>
      </c>
      <c r="R142" s="25" t="s">
        <v>126</v>
      </c>
      <c r="S142" s="36">
        <v>410500</v>
      </c>
      <c r="T142" s="2" t="s">
        <v>32</v>
      </c>
      <c r="U142" s="37">
        <v>0</v>
      </c>
      <c r="V142" s="37">
        <v>-1</v>
      </c>
      <c r="W142" s="38">
        <v>0</v>
      </c>
      <c r="X142" s="39">
        <v>0</v>
      </c>
    </row>
    <row r="143" spans="1:24" x14ac:dyDescent="0.25">
      <c r="A143" s="24" t="s">
        <v>236</v>
      </c>
      <c r="B143" s="32" t="s">
        <v>260</v>
      </c>
      <c r="C143" s="32" t="s">
        <v>253</v>
      </c>
      <c r="D143" s="32" t="s">
        <v>354</v>
      </c>
      <c r="E143" s="32" t="s">
        <v>355</v>
      </c>
      <c r="F143" s="26" t="s">
        <v>24</v>
      </c>
      <c r="G143" s="17" t="s">
        <v>33</v>
      </c>
      <c r="H143" s="25" t="s">
        <v>26</v>
      </c>
      <c r="I143" s="32" t="s">
        <v>387</v>
      </c>
      <c r="J143" s="25" t="s">
        <v>27</v>
      </c>
      <c r="K143" s="31" t="s">
        <v>176</v>
      </c>
      <c r="L143" s="31" t="s">
        <v>75</v>
      </c>
      <c r="M143" s="32" t="s">
        <v>154</v>
      </c>
      <c r="N143" s="3" t="s">
        <v>36</v>
      </c>
      <c r="O143" s="31" t="s">
        <v>120</v>
      </c>
      <c r="P143" s="32" t="s">
        <v>175</v>
      </c>
      <c r="Q143" s="31" t="s">
        <v>31</v>
      </c>
      <c r="R143" s="25" t="s">
        <v>126</v>
      </c>
      <c r="S143" s="36">
        <v>386900</v>
      </c>
      <c r="T143" s="2" t="s">
        <v>32</v>
      </c>
      <c r="U143" s="37">
        <v>0.52362059999999999</v>
      </c>
      <c r="V143" s="37">
        <v>-0.47637939453125</v>
      </c>
      <c r="W143" s="38">
        <v>0</v>
      </c>
      <c r="X143" s="39">
        <v>0</v>
      </c>
    </row>
    <row r="144" spans="1:24" x14ac:dyDescent="0.25">
      <c r="A144" s="24" t="s">
        <v>238</v>
      </c>
      <c r="B144" s="32" t="s">
        <v>260</v>
      </c>
      <c r="C144" s="32" t="s">
        <v>272</v>
      </c>
      <c r="D144" s="32" t="s">
        <v>358</v>
      </c>
      <c r="E144" s="32" t="s">
        <v>359</v>
      </c>
      <c r="F144" s="26" t="s">
        <v>24</v>
      </c>
      <c r="G144" s="17" t="s">
        <v>33</v>
      </c>
      <c r="H144" s="25" t="s">
        <v>26</v>
      </c>
      <c r="I144" s="32" t="s">
        <v>419</v>
      </c>
      <c r="J144" s="25" t="s">
        <v>27</v>
      </c>
      <c r="K144" s="31" t="s">
        <v>105</v>
      </c>
      <c r="L144" s="31" t="s">
        <v>75</v>
      </c>
      <c r="M144" s="32" t="s">
        <v>73</v>
      </c>
      <c r="N144" s="3" t="s">
        <v>36</v>
      </c>
      <c r="O144" s="31" t="s">
        <v>120</v>
      </c>
      <c r="P144" s="32" t="s">
        <v>476</v>
      </c>
      <c r="Q144" s="31" t="s">
        <v>31</v>
      </c>
      <c r="R144" s="25" t="s">
        <v>126</v>
      </c>
      <c r="S144" s="36">
        <v>374900</v>
      </c>
      <c r="T144" s="2" t="s">
        <v>46</v>
      </c>
      <c r="U144" s="37">
        <v>5.3204345999999996</v>
      </c>
      <c r="V144" s="37">
        <v>4.3204345703125</v>
      </c>
      <c r="W144" s="38">
        <v>0.139613037109375</v>
      </c>
      <c r="X144" s="39">
        <v>52340.9276123046</v>
      </c>
    </row>
    <row r="145" spans="1:24" x14ac:dyDescent="0.25">
      <c r="A145" s="24" t="s">
        <v>243</v>
      </c>
      <c r="B145" s="32" t="s">
        <v>260</v>
      </c>
      <c r="C145" s="32" t="s">
        <v>253</v>
      </c>
      <c r="D145" s="32" t="s">
        <v>367</v>
      </c>
      <c r="E145" s="32" t="s">
        <v>368</v>
      </c>
      <c r="F145" s="26" t="s">
        <v>24</v>
      </c>
      <c r="G145" s="17" t="s">
        <v>33</v>
      </c>
      <c r="H145" s="25" t="s">
        <v>26</v>
      </c>
      <c r="I145" s="32" t="s">
        <v>423</v>
      </c>
      <c r="J145" s="25" t="s">
        <v>27</v>
      </c>
      <c r="K145" s="31" t="s">
        <v>149</v>
      </c>
      <c r="L145" s="31" t="s">
        <v>42</v>
      </c>
      <c r="M145" s="32" t="s">
        <v>54</v>
      </c>
      <c r="N145" s="3" t="s">
        <v>36</v>
      </c>
      <c r="O145" s="31" t="s">
        <v>120</v>
      </c>
      <c r="P145" s="32" t="s">
        <v>480</v>
      </c>
      <c r="Q145" s="31" t="s">
        <v>31</v>
      </c>
      <c r="R145" s="25" t="s">
        <v>126</v>
      </c>
      <c r="S145" s="36">
        <v>358500</v>
      </c>
      <c r="T145" s="2" t="s">
        <v>46</v>
      </c>
      <c r="U145" s="37">
        <v>0</v>
      </c>
      <c r="V145" s="37">
        <v>-1</v>
      </c>
      <c r="W145" s="38">
        <v>0</v>
      </c>
      <c r="X145" s="39">
        <v>0</v>
      </c>
    </row>
    <row r="146" spans="1:24" x14ac:dyDescent="0.25">
      <c r="A146" s="24" t="s">
        <v>249</v>
      </c>
      <c r="B146" s="32" t="s">
        <v>260</v>
      </c>
      <c r="C146" s="32" t="s">
        <v>272</v>
      </c>
      <c r="D146" s="32" t="s">
        <v>378</v>
      </c>
      <c r="E146" s="32" t="s">
        <v>379</v>
      </c>
      <c r="F146" s="26" t="s">
        <v>24</v>
      </c>
      <c r="G146" s="17" t="s">
        <v>33</v>
      </c>
      <c r="H146" s="25" t="s">
        <v>26</v>
      </c>
      <c r="I146" s="32" t="s">
        <v>428</v>
      </c>
      <c r="J146" s="25" t="s">
        <v>27</v>
      </c>
      <c r="K146" s="31" t="s">
        <v>146</v>
      </c>
      <c r="L146" s="31" t="s">
        <v>59</v>
      </c>
      <c r="M146" s="32" t="s">
        <v>50</v>
      </c>
      <c r="N146" s="3" t="s">
        <v>36</v>
      </c>
      <c r="O146" s="31" t="s">
        <v>120</v>
      </c>
      <c r="P146" s="32" t="s">
        <v>486</v>
      </c>
      <c r="Q146" s="31" t="s">
        <v>31</v>
      </c>
      <c r="R146" s="25" t="s">
        <v>126</v>
      </c>
      <c r="S146" s="36">
        <v>324500</v>
      </c>
      <c r="T146" s="2" t="s">
        <v>46</v>
      </c>
      <c r="U146" s="37">
        <v>8.1194459999999999</v>
      </c>
      <c r="V146" s="37">
        <v>7.11944580078125</v>
      </c>
      <c r="W146" s="38">
        <v>0.26477783203124999</v>
      </c>
      <c r="X146" s="39">
        <v>85920.406494140596</v>
      </c>
    </row>
  </sheetData>
  <hyperlinks>
    <hyperlink ref="J3" r:id="rId1" xr:uid="{683C1405-555F-4644-ACA0-E65BC59DBDA5}"/>
    <hyperlink ref="M3" r:id="rId2" xr:uid="{0381B268-5350-4D21-92D4-283C701E52F7}"/>
    <hyperlink ref="Q3" r:id="rId3" xr:uid="{3B9C946A-8BFB-4FD3-BC45-37DF2F3D6A30}"/>
  </hyperlinks>
  <pageMargins left="0.7" right="0.7" top="0.75" bottom="0.75" header="0.3" footer="0.3"/>
  <pageSetup orientation="portrait" horizontalDpi="4294967295" verticalDpi="4294967295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C24E9-7998-4FE9-BC54-1BB0C718E811}">
  <dimension ref="B1:G34"/>
  <sheetViews>
    <sheetView workbookViewId="0">
      <selection activeCell="I2" sqref="I2"/>
    </sheetView>
  </sheetViews>
  <sheetFormatPr defaultRowHeight="15" x14ac:dyDescent="0.25"/>
  <cols>
    <col min="2" max="2" width="16" style="48" bestFit="1" customWidth="1"/>
    <col min="3" max="3" width="5.42578125" style="48" customWidth="1"/>
    <col min="4" max="4" width="51.7109375" style="48" bestFit="1" customWidth="1"/>
    <col min="5" max="5" width="9.140625" style="48"/>
    <col min="6" max="6" width="13.140625" style="48" bestFit="1" customWidth="1"/>
    <col min="7" max="7" width="12.7109375" style="48" bestFit="1" customWidth="1"/>
  </cols>
  <sheetData>
    <row r="1" spans="2:7" x14ac:dyDescent="0.25">
      <c r="B1" s="58" t="s">
        <v>1377</v>
      </c>
      <c r="G1" s="53" t="s">
        <v>186</v>
      </c>
    </row>
    <row r="2" spans="2:7" ht="48" x14ac:dyDescent="0.25">
      <c r="B2" s="49" t="s">
        <v>1</v>
      </c>
      <c r="C2" s="49" t="s">
        <v>5</v>
      </c>
      <c r="D2" s="49" t="s">
        <v>185</v>
      </c>
      <c r="E2" s="50" t="s">
        <v>12</v>
      </c>
      <c r="F2" s="42" t="s">
        <v>13</v>
      </c>
      <c r="G2" s="43" t="s">
        <v>18</v>
      </c>
    </row>
    <row r="3" spans="2:7" x14ac:dyDescent="0.25">
      <c r="B3" s="44" t="s">
        <v>985</v>
      </c>
      <c r="C3" s="45" t="str">
        <f>HYPERLINK("https://mapwv.gov/flood/map/?wkid=102100&amp;x=-8989390.653655592&amp;y=4857623.448660685&amp;l=13&amp;v=2","FT")</f>
        <v>FT</v>
      </c>
      <c r="D3" s="44" t="s">
        <v>69</v>
      </c>
      <c r="E3" s="44" t="s">
        <v>70</v>
      </c>
      <c r="F3" s="46" t="s">
        <v>30</v>
      </c>
      <c r="G3" s="47">
        <v>41200242</v>
      </c>
    </row>
    <row r="4" spans="2:7" x14ac:dyDescent="0.25">
      <c r="B4" s="44" t="s">
        <v>986</v>
      </c>
      <c r="C4" s="45" t="str">
        <f>HYPERLINK("https://mapwv.gov/flood/map/?wkid=102100&amp;x=-8995759.027211221&amp;y=4838986.433448118&amp;l=13&amp;v=2","FT")</f>
        <v>FT</v>
      </c>
      <c r="D4" s="44" t="s">
        <v>383</v>
      </c>
      <c r="E4" s="44" t="s">
        <v>35</v>
      </c>
      <c r="F4" s="46" t="s">
        <v>36</v>
      </c>
      <c r="G4" s="47">
        <v>22087200</v>
      </c>
    </row>
    <row r="5" spans="2:7" x14ac:dyDescent="0.25">
      <c r="B5" s="44" t="s">
        <v>987</v>
      </c>
      <c r="C5" s="45" t="str">
        <f>HYPERLINK("https://mapwv.gov/flood/map/?wkid=102100&amp;x=-8988584.430815125&amp;y=4854635.070269086&amp;l=13&amp;v=2","FT")</f>
        <v>FT</v>
      </c>
      <c r="D5" s="44" t="s">
        <v>69</v>
      </c>
      <c r="E5" s="44" t="s">
        <v>70</v>
      </c>
      <c r="F5" s="46" t="s">
        <v>30</v>
      </c>
      <c r="G5" s="47">
        <v>14651600</v>
      </c>
    </row>
    <row r="6" spans="2:7" x14ac:dyDescent="0.25">
      <c r="B6" s="44" t="s">
        <v>260</v>
      </c>
      <c r="C6" s="45" t="str">
        <f>HYPERLINK("https://mapwv.gov/flood/map/?wkid=102100&amp;x=-8989671.690619415&amp;y=4852188.746644906&amp;l=13&amp;v=2","FT")</f>
        <v>FT</v>
      </c>
      <c r="D6" s="44" t="s">
        <v>387</v>
      </c>
      <c r="E6" s="44" t="s">
        <v>29</v>
      </c>
      <c r="F6" s="46" t="s">
        <v>30</v>
      </c>
      <c r="G6" s="47">
        <v>10000000</v>
      </c>
    </row>
    <row r="7" spans="2:7" x14ac:dyDescent="0.25">
      <c r="B7" s="44" t="s">
        <v>987</v>
      </c>
      <c r="C7" s="45" t="str">
        <f>HYPERLINK("https://mapwv.gov/flood/map/?wkid=102100&amp;x=-8988749.696176434&amp;y=4855359.588897909&amp;l=13&amp;v=2","FT")</f>
        <v>FT</v>
      </c>
      <c r="D7" s="44" t="s">
        <v>384</v>
      </c>
      <c r="E7" s="44" t="s">
        <v>50</v>
      </c>
      <c r="F7" s="46" t="s">
        <v>36</v>
      </c>
      <c r="G7" s="47">
        <v>8420600</v>
      </c>
    </row>
    <row r="8" spans="2:7" x14ac:dyDescent="0.25">
      <c r="B8" s="44" t="s">
        <v>984</v>
      </c>
      <c r="C8" s="45" t="str">
        <f>HYPERLINK("https://mapwv.gov/flood/map/?wkid=102100&amp;x=-8968405.367717285&amp;y=4840672.991177574&amp;l=13&amp;v=2","FT")</f>
        <v>FT</v>
      </c>
      <c r="D8" s="44" t="s">
        <v>69</v>
      </c>
      <c r="E8" s="44" t="s">
        <v>70</v>
      </c>
      <c r="F8" s="46" t="s">
        <v>30</v>
      </c>
      <c r="G8" s="47">
        <v>7415458</v>
      </c>
    </row>
    <row r="9" spans="2:7" x14ac:dyDescent="0.25">
      <c r="B9" s="44" t="s">
        <v>985</v>
      </c>
      <c r="C9" s="45" t="str">
        <f>HYPERLINK("https://mapwv.gov/flood/map/?wkid=102100&amp;x=-8989986.218163358&amp;y=4858916.364446812&amp;l=13&amp;v=2","FT")</f>
        <v>FT</v>
      </c>
      <c r="D9" s="44" t="s">
        <v>385</v>
      </c>
      <c r="E9" s="44" t="s">
        <v>35</v>
      </c>
      <c r="F9" s="46" t="s">
        <v>36</v>
      </c>
      <c r="G9" s="47">
        <v>5780700</v>
      </c>
    </row>
    <row r="10" spans="2:7" x14ac:dyDescent="0.25">
      <c r="B10" s="44" t="s">
        <v>987</v>
      </c>
      <c r="C10" s="45" t="str">
        <f>HYPERLINK("https://mapwv.gov/flood/map/?wkid=102100&amp;x=-8988686.200206805&amp;y=4852567.106727892&amp;l=13&amp;v=2","FT")</f>
        <v>FT</v>
      </c>
      <c r="D10" s="44" t="s">
        <v>386</v>
      </c>
      <c r="E10" s="44" t="s">
        <v>58</v>
      </c>
      <c r="F10" s="46" t="s">
        <v>36</v>
      </c>
      <c r="G10" s="47">
        <v>5273200</v>
      </c>
    </row>
    <row r="11" spans="2:7" x14ac:dyDescent="0.25">
      <c r="B11" s="44" t="s">
        <v>987</v>
      </c>
      <c r="C11" s="45" t="str">
        <f>HYPERLINK("https://mapwv.gov/flood/map/?wkid=102100&amp;x=-8989671.690619415&amp;y=4852188.746644906&amp;l=13&amp;v=2","FT")</f>
        <v>FT</v>
      </c>
      <c r="D11" s="44" t="s">
        <v>387</v>
      </c>
      <c r="E11" s="44" t="s">
        <v>58</v>
      </c>
      <c r="F11" s="46" t="s">
        <v>36</v>
      </c>
      <c r="G11" s="47">
        <v>3551500</v>
      </c>
    </row>
    <row r="12" spans="2:7" x14ac:dyDescent="0.25">
      <c r="B12" s="44" t="s">
        <v>983</v>
      </c>
      <c r="C12" s="45" t="str">
        <f>HYPERLINK("https://mapwv.gov/flood/map/?wkid=102100&amp;x=-8987539.138681505&amp;y=4867831.433512766&amp;l=13&amp;v=2","FT")</f>
        <v>FT</v>
      </c>
      <c r="D12" s="44" t="s">
        <v>388</v>
      </c>
      <c r="E12" s="44" t="s">
        <v>35</v>
      </c>
      <c r="F12" s="46" t="s">
        <v>36</v>
      </c>
      <c r="G12" s="47">
        <v>3094300</v>
      </c>
    </row>
    <row r="13" spans="2:7" x14ac:dyDescent="0.25">
      <c r="B13" s="44" t="s">
        <v>983</v>
      </c>
      <c r="C13" s="45" t="str">
        <f>HYPERLINK("https://mapwv.gov/flood/map/?wkid=102100&amp;x=-8987534.296840252&amp;y=4867194.626952802&amp;l=13&amp;v=2","FT")</f>
        <v>FT</v>
      </c>
      <c r="D13" s="44" t="s">
        <v>389</v>
      </c>
      <c r="E13" s="44" t="s">
        <v>35</v>
      </c>
      <c r="F13" s="46" t="s">
        <v>36</v>
      </c>
      <c r="G13" s="47">
        <v>2805400</v>
      </c>
    </row>
    <row r="14" spans="2:7" x14ac:dyDescent="0.25">
      <c r="B14" s="44" t="s">
        <v>986</v>
      </c>
      <c r="C14" s="45" t="str">
        <f>HYPERLINK("https://mapwv.gov/flood/map/?wkid=102100&amp;x=-8986978.572799014&amp;y=4852747.349965977&amp;l=13&amp;v=2","FT")</f>
        <v>FT</v>
      </c>
      <c r="D14" s="44" t="s">
        <v>390</v>
      </c>
      <c r="E14" s="44" t="s">
        <v>29</v>
      </c>
      <c r="F14" s="46" t="s">
        <v>30</v>
      </c>
      <c r="G14" s="47">
        <v>2738300</v>
      </c>
    </row>
    <row r="15" spans="2:7" x14ac:dyDescent="0.25">
      <c r="B15" s="44" t="s">
        <v>985</v>
      </c>
      <c r="C15" s="45" t="str">
        <f>HYPERLINK("https://mapwv.gov/flood/map/?wkid=102100&amp;x=-8990049.41178925&amp;y=4858231.759618561&amp;l=13&amp;v=2","FT")</f>
        <v>FT</v>
      </c>
      <c r="D15" s="44" t="s">
        <v>391</v>
      </c>
      <c r="E15" s="44" t="s">
        <v>35</v>
      </c>
      <c r="F15" s="46" t="s">
        <v>36</v>
      </c>
      <c r="G15" s="47">
        <v>2505500</v>
      </c>
    </row>
    <row r="16" spans="2:7" x14ac:dyDescent="0.25">
      <c r="B16" s="44" t="s">
        <v>987</v>
      </c>
      <c r="C16" s="45" t="str">
        <f>HYPERLINK("https://mapwv.gov/flood/map/?wkid=102100&amp;x=-8989083.375904813&amp;y=4854609.522404843&amp;l=13&amp;v=2","FT")</f>
        <v>FT</v>
      </c>
      <c r="D16" s="44" t="s">
        <v>392</v>
      </c>
      <c r="E16" s="44" t="s">
        <v>50</v>
      </c>
      <c r="F16" s="46" t="s">
        <v>36</v>
      </c>
      <c r="G16" s="47">
        <v>1896300</v>
      </c>
    </row>
    <row r="17" spans="2:7" x14ac:dyDescent="0.25">
      <c r="B17" s="44" t="s">
        <v>987</v>
      </c>
      <c r="C17" s="45" t="str">
        <f>HYPERLINK("https://mapwv.gov/flood/map/?wkid=102100&amp;x=-8989600.907230638&amp;y=4855753.276209336&amp;l=13&amp;v=2","FT")</f>
        <v>FT</v>
      </c>
      <c r="D17" s="44" t="s">
        <v>387</v>
      </c>
      <c r="E17" s="44" t="s">
        <v>54</v>
      </c>
      <c r="F17" s="46" t="s">
        <v>36</v>
      </c>
      <c r="G17" s="47">
        <v>1689400</v>
      </c>
    </row>
    <row r="18" spans="2:7" x14ac:dyDescent="0.25">
      <c r="B18" s="44" t="s">
        <v>986</v>
      </c>
      <c r="C18" s="45" t="str">
        <f>HYPERLINK("https://mapwv.gov/flood/map/?wkid=102100&amp;x=-8993615.40922537&amp;y=4845188.666468019&amp;l=13&amp;v=2","FT")</f>
        <v>FT</v>
      </c>
      <c r="D18" s="44" t="s">
        <v>393</v>
      </c>
      <c r="E18" s="44" t="s">
        <v>73</v>
      </c>
      <c r="F18" s="46" t="s">
        <v>36</v>
      </c>
      <c r="G18" s="47">
        <v>1665800</v>
      </c>
    </row>
    <row r="19" spans="2:7" x14ac:dyDescent="0.25">
      <c r="B19" s="44" t="s">
        <v>987</v>
      </c>
      <c r="C19" s="45" t="str">
        <f>HYPERLINK("https://mapwv.gov/flood/map/?wkid=102100&amp;x=-8989023.105083466&amp;y=4855396.765371622&amp;l=13&amp;v=2","FT")</f>
        <v>FT</v>
      </c>
      <c r="D19" s="44" t="s">
        <v>394</v>
      </c>
      <c r="E19" s="44" t="s">
        <v>50</v>
      </c>
      <c r="F19" s="46" t="s">
        <v>36</v>
      </c>
      <c r="G19" s="47">
        <v>1515100</v>
      </c>
    </row>
    <row r="20" spans="2:7" x14ac:dyDescent="0.25">
      <c r="B20" s="44" t="s">
        <v>983</v>
      </c>
      <c r="C20" s="45" t="str">
        <f>HYPERLINK("https://mapwv.gov/flood/map/?wkid=102100&amp;x=-8986524.014241213&amp;y=4870375.916340503&amp;l=13&amp;v=2","FT")</f>
        <v>FT</v>
      </c>
      <c r="D20" s="44" t="s">
        <v>395</v>
      </c>
      <c r="E20" s="44" t="s">
        <v>50</v>
      </c>
      <c r="F20" s="46" t="s">
        <v>36</v>
      </c>
      <c r="G20" s="47">
        <v>1513400</v>
      </c>
    </row>
    <row r="21" spans="2:7" x14ac:dyDescent="0.25">
      <c r="B21" s="44" t="s">
        <v>334</v>
      </c>
      <c r="C21" s="45" t="str">
        <f>HYPERLINK("https://mapwv.gov/flood/map/?wkid=102100&amp;x=-8987136.703916796&amp;y=4863271.677431506&amp;l=13&amp;v=2","FT")</f>
        <v>FT</v>
      </c>
      <c r="D21" s="44" t="s">
        <v>422</v>
      </c>
      <c r="E21" s="44" t="s">
        <v>58</v>
      </c>
      <c r="F21" s="46" t="s">
        <v>36</v>
      </c>
      <c r="G21" s="47">
        <v>1500000</v>
      </c>
    </row>
    <row r="22" spans="2:7" x14ac:dyDescent="0.25">
      <c r="B22" s="44" t="s">
        <v>983</v>
      </c>
      <c r="C22" s="45" t="str">
        <f>HYPERLINK("https://mapwv.gov/flood/map/?wkid=102100&amp;x=-8986850.004130485&amp;y=4870263.4260159945&amp;l=13&amp;v=2","FT")</f>
        <v>FT</v>
      </c>
      <c r="D22" s="44" t="s">
        <v>396</v>
      </c>
      <c r="E22" s="44" t="s">
        <v>35</v>
      </c>
      <c r="F22" s="46" t="s">
        <v>36</v>
      </c>
      <c r="G22" s="47">
        <v>1408300</v>
      </c>
    </row>
    <row r="23" spans="2:7" x14ac:dyDescent="0.25">
      <c r="B23" s="44" t="s">
        <v>987</v>
      </c>
      <c r="C23" s="45" t="str">
        <f>HYPERLINK("https://mapwv.gov/flood/map/?wkid=102100&amp;x=-8988238.470320525&amp;y=4852913.493332711&amp;l=13&amp;v=2","FT")</f>
        <v>FT</v>
      </c>
      <c r="D23" s="44" t="s">
        <v>397</v>
      </c>
      <c r="E23" s="44" t="s">
        <v>29</v>
      </c>
      <c r="F23" s="46" t="s">
        <v>30</v>
      </c>
      <c r="G23" s="47">
        <v>1255000</v>
      </c>
    </row>
    <row r="24" spans="2:7" x14ac:dyDescent="0.25">
      <c r="B24" s="44" t="s">
        <v>987</v>
      </c>
      <c r="C24" s="45" t="str">
        <f>HYPERLINK("https://mapwv.gov/flood/map/?wkid=102100&amp;x=-8988220.58450662&amp;y=4852752.425110745&amp;l=13&amp;v=2","FT")</f>
        <v>FT</v>
      </c>
      <c r="D24" s="44" t="s">
        <v>398</v>
      </c>
      <c r="E24" s="44" t="s">
        <v>29</v>
      </c>
      <c r="F24" s="46" t="s">
        <v>30</v>
      </c>
      <c r="G24" s="47">
        <v>1072800</v>
      </c>
    </row>
    <row r="25" spans="2:7" x14ac:dyDescent="0.25">
      <c r="B25" s="44" t="s">
        <v>987</v>
      </c>
      <c r="C25" s="45" t="str">
        <f>HYPERLINK("https://mapwv.gov/flood/map/?wkid=102100&amp;x=-8988870.541387377&amp;y=4854434.186412658&amp;l=13&amp;v=2","FT")</f>
        <v>FT</v>
      </c>
      <c r="D25" s="44" t="s">
        <v>400</v>
      </c>
      <c r="E25" s="44" t="s">
        <v>54</v>
      </c>
      <c r="F25" s="46" t="s">
        <v>36</v>
      </c>
      <c r="G25" s="47">
        <v>968800</v>
      </c>
    </row>
    <row r="26" spans="2:7" x14ac:dyDescent="0.25">
      <c r="B26" s="44" t="s">
        <v>986</v>
      </c>
      <c r="C26" s="45" t="str">
        <f>HYPERLINK("https://mapwv.gov/flood/map/?wkid=102100&amp;x=-8995944.166997815&amp;y=4844327.362003755&amp;l=13&amp;v=2","FT")</f>
        <v>FT</v>
      </c>
      <c r="D26" s="44" t="s">
        <v>393</v>
      </c>
      <c r="E26" s="44" t="s">
        <v>35</v>
      </c>
      <c r="F26" s="46" t="s">
        <v>36</v>
      </c>
      <c r="G26" s="47">
        <v>907000</v>
      </c>
    </row>
    <row r="27" spans="2:7" x14ac:dyDescent="0.25">
      <c r="B27" s="44" t="s">
        <v>986</v>
      </c>
      <c r="C27" s="45" t="str">
        <f>HYPERLINK("https://mapwv.gov/flood/map/?wkid=102100&amp;x=-8996966.880978355&amp;y=4836746.564589918&amp;l=13&amp;v=2","FT")</f>
        <v>FT</v>
      </c>
      <c r="D27" s="44" t="s">
        <v>401</v>
      </c>
      <c r="E27" s="44" t="s">
        <v>73</v>
      </c>
      <c r="F27" s="46" t="s">
        <v>36</v>
      </c>
      <c r="G27" s="47">
        <v>896800</v>
      </c>
    </row>
    <row r="28" spans="2:7" x14ac:dyDescent="0.25">
      <c r="B28" s="44" t="s">
        <v>986</v>
      </c>
      <c r="C28" s="45" t="str">
        <f>HYPERLINK("https://mapwv.gov/flood/map/?wkid=102100&amp;x=-8999643.40262115&amp;y=4828520.548797051&amp;l=13&amp;v=2","FT")</f>
        <v>FT</v>
      </c>
      <c r="D28" s="44" t="s">
        <v>402</v>
      </c>
      <c r="E28" s="44" t="s">
        <v>35</v>
      </c>
      <c r="F28" s="46" t="s">
        <v>36</v>
      </c>
      <c r="G28" s="47">
        <v>879400</v>
      </c>
    </row>
    <row r="29" spans="2:7" x14ac:dyDescent="0.25">
      <c r="B29" s="44" t="s">
        <v>983</v>
      </c>
      <c r="C29" s="45" t="str">
        <f>HYPERLINK("https://mapwv.gov/flood/map/?wkid=102100&amp;x=-8986897.927282589&amp;y=4869937.315816013&amp;l=13&amp;v=2","FT")</f>
        <v>FT</v>
      </c>
      <c r="D29" s="44" t="s">
        <v>396</v>
      </c>
      <c r="E29" s="44" t="s">
        <v>35</v>
      </c>
      <c r="F29" s="46" t="s">
        <v>36</v>
      </c>
      <c r="G29" s="47">
        <v>846000</v>
      </c>
    </row>
    <row r="30" spans="2:7" x14ac:dyDescent="0.25">
      <c r="B30" s="44" t="s">
        <v>987</v>
      </c>
      <c r="C30" s="45" t="str">
        <f>HYPERLINK("https://mapwv.gov/flood/map/?wkid=102100&amp;x=-8988353.369289547&amp;y=4852701.780735798&amp;l=13&amp;v=2","FT")</f>
        <v>FT</v>
      </c>
      <c r="D30" s="44" t="s">
        <v>403</v>
      </c>
      <c r="E30" s="44" t="s">
        <v>73</v>
      </c>
      <c r="F30" s="46" t="s">
        <v>36</v>
      </c>
      <c r="G30" s="47">
        <v>839400</v>
      </c>
    </row>
    <row r="31" spans="2:7" x14ac:dyDescent="0.25">
      <c r="B31" s="44" t="s">
        <v>987</v>
      </c>
      <c r="C31" s="45" t="str">
        <f>HYPERLINK("https://mapwv.gov/flood/map/?wkid=102100&amp;x=-8988672.349167844&amp;y=4853425.101874082&amp;l=13&amp;v=2","FT")</f>
        <v>FT</v>
      </c>
      <c r="D31" s="44" t="s">
        <v>404</v>
      </c>
      <c r="E31" s="44" t="s">
        <v>50</v>
      </c>
      <c r="F31" s="46" t="s">
        <v>36</v>
      </c>
      <c r="G31" s="47">
        <v>812100</v>
      </c>
    </row>
    <row r="33" spans="2:2" x14ac:dyDescent="0.25">
      <c r="B33" s="55" t="s">
        <v>992</v>
      </c>
    </row>
    <row r="34" spans="2:2" x14ac:dyDescent="0.25">
      <c r="B34" s="55" t="s">
        <v>993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20EA46-F7C8-4252-BEE2-698565D32572}">
  <dimension ref="A1:X128"/>
  <sheetViews>
    <sheetView workbookViewId="0">
      <pane ySplit="6" topLeftCell="A7" activePane="bottomLeft" state="frozen"/>
      <selection pane="bottomLeft" activeCell="B3" sqref="B3"/>
    </sheetView>
  </sheetViews>
  <sheetFormatPr defaultRowHeight="15" x14ac:dyDescent="0.25"/>
  <cols>
    <col min="1" max="1" width="37" bestFit="1" customWidth="1"/>
    <col min="2" max="2" width="22.85546875" bestFit="1" customWidth="1"/>
    <col min="4" max="4" width="14.7109375" customWidth="1"/>
    <col min="5" max="5" width="45.140625" bestFit="1" customWidth="1"/>
    <col min="6" max="6" width="9.140625" style="7"/>
    <col min="7" max="7" width="12" style="7" customWidth="1"/>
    <col min="8" max="8" width="10.5703125" style="7" customWidth="1"/>
    <col min="13" max="13" width="10.5703125" customWidth="1"/>
    <col min="14" max="14" width="11" customWidth="1"/>
    <col min="15" max="15" width="9.140625" style="7"/>
    <col min="17" max="17" width="11.42578125" customWidth="1"/>
    <col min="19" max="19" width="22.5703125" bestFit="1" customWidth="1"/>
    <col min="24" max="24" width="11.5703125" bestFit="1" customWidth="1"/>
  </cols>
  <sheetData>
    <row r="1" spans="1:24" ht="14.25" customHeight="1" x14ac:dyDescent="0.25">
      <c r="A1" s="5" t="s">
        <v>76</v>
      </c>
      <c r="B1" s="5"/>
      <c r="C1" s="5"/>
      <c r="D1" s="5"/>
      <c r="F1" s="19" t="s">
        <v>77</v>
      </c>
      <c r="J1" s="7"/>
      <c r="K1" s="7"/>
      <c r="L1" s="7"/>
      <c r="N1" s="6" t="s">
        <v>78</v>
      </c>
      <c r="P1" s="7"/>
      <c r="R1" s="7"/>
      <c r="S1" s="8" t="s">
        <v>79</v>
      </c>
      <c r="U1" s="9"/>
      <c r="V1" s="9"/>
      <c r="W1" s="10"/>
      <c r="X1" s="11"/>
    </row>
    <row r="2" spans="1:24" x14ac:dyDescent="0.25">
      <c r="A2" s="12">
        <v>44475</v>
      </c>
      <c r="B2" s="13" t="s">
        <v>80</v>
      </c>
      <c r="J2" s="7"/>
      <c r="K2" s="7"/>
      <c r="L2" s="7"/>
      <c r="N2" s="14" t="s">
        <v>44</v>
      </c>
      <c r="P2" s="7"/>
      <c r="R2" s="7"/>
      <c r="S2" s="8"/>
      <c r="U2" s="9"/>
      <c r="V2" s="9"/>
      <c r="W2" s="10"/>
      <c r="X2" s="11"/>
    </row>
    <row r="3" spans="1:24" x14ac:dyDescent="0.25">
      <c r="A3" t="s">
        <v>82</v>
      </c>
      <c r="B3" s="58" t="s">
        <v>1377</v>
      </c>
      <c r="J3" s="18" t="s">
        <v>81</v>
      </c>
      <c r="K3" s="7"/>
      <c r="L3" s="7"/>
      <c r="M3" s="15" t="s">
        <v>81</v>
      </c>
      <c r="N3" s="6"/>
      <c r="P3" s="7"/>
      <c r="Q3" s="15" t="s">
        <v>81</v>
      </c>
      <c r="R3" s="16"/>
      <c r="S3" s="8"/>
      <c r="U3" s="9"/>
      <c r="V3" s="9"/>
      <c r="W3" s="10"/>
      <c r="X3" s="11"/>
    </row>
    <row r="4" spans="1:24" x14ac:dyDescent="0.25">
      <c r="J4" s="7"/>
      <c r="K4" s="7"/>
      <c r="L4" s="7"/>
      <c r="N4" s="6"/>
      <c r="P4" s="7"/>
      <c r="R4" s="7"/>
      <c r="S4" s="8"/>
      <c r="U4" s="9"/>
      <c r="V4" s="9"/>
      <c r="W4" s="10"/>
      <c r="X4" s="11"/>
    </row>
    <row r="5" spans="1:24" x14ac:dyDescent="0.25">
      <c r="A5" s="1" t="s">
        <v>711</v>
      </c>
      <c r="J5" s="7"/>
      <c r="K5" s="7"/>
      <c r="L5" s="7"/>
      <c r="P5" s="7"/>
      <c r="R5" s="7"/>
      <c r="S5" s="40" t="s">
        <v>489</v>
      </c>
      <c r="U5" s="7"/>
      <c r="V5" s="7"/>
      <c r="W5" s="10"/>
      <c r="X5" s="11"/>
    </row>
    <row r="6" spans="1:24" ht="45" x14ac:dyDescent="0.25">
      <c r="A6" s="28" t="s">
        <v>0</v>
      </c>
      <c r="B6" s="20" t="s">
        <v>1</v>
      </c>
      <c r="C6" s="20" t="s">
        <v>2</v>
      </c>
      <c r="D6" s="30" t="s">
        <v>3</v>
      </c>
      <c r="E6" s="30" t="s">
        <v>4</v>
      </c>
      <c r="F6" s="20" t="s">
        <v>5</v>
      </c>
      <c r="G6" s="20" t="s">
        <v>6</v>
      </c>
      <c r="H6" s="28" t="s">
        <v>7</v>
      </c>
      <c r="I6" s="20" t="s">
        <v>8</v>
      </c>
      <c r="J6" s="28" t="s">
        <v>9</v>
      </c>
      <c r="K6" s="30" t="s">
        <v>10</v>
      </c>
      <c r="L6" s="20" t="s">
        <v>11</v>
      </c>
      <c r="M6" s="30" t="s">
        <v>12</v>
      </c>
      <c r="N6" s="21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22" t="s">
        <v>18</v>
      </c>
      <c r="T6" s="20" t="s">
        <v>19</v>
      </c>
      <c r="U6" s="33" t="s">
        <v>20</v>
      </c>
      <c r="V6" s="33" t="s">
        <v>21</v>
      </c>
      <c r="W6" s="34" t="s">
        <v>22</v>
      </c>
      <c r="X6" s="23" t="s">
        <v>23</v>
      </c>
    </row>
    <row r="7" spans="1:24" x14ac:dyDescent="0.25">
      <c r="A7" s="24" t="s">
        <v>1035</v>
      </c>
      <c r="B7" s="24" t="s">
        <v>500</v>
      </c>
      <c r="C7" s="2" t="s">
        <v>269</v>
      </c>
      <c r="D7" s="32" t="s">
        <v>1127</v>
      </c>
      <c r="E7" s="32" t="s">
        <v>1219</v>
      </c>
      <c r="F7" s="26" t="str">
        <f>HYPERLINK("https://mapwv.gov/flood/map/?wkid=102100&amp;x=-8986553.1439916&amp;y=4874067.656873557&amp;l=13&amp;v=2","FT")</f>
        <v>FT</v>
      </c>
      <c r="G7" s="17" t="s">
        <v>33</v>
      </c>
      <c r="H7" s="25" t="s">
        <v>26</v>
      </c>
      <c r="I7" s="2" t="s">
        <v>525</v>
      </c>
      <c r="J7" s="25" t="s">
        <v>27</v>
      </c>
      <c r="K7" s="31">
        <v>9999</v>
      </c>
      <c r="L7" s="31"/>
      <c r="M7" s="32" t="s">
        <v>29</v>
      </c>
      <c r="N7" s="3" t="s">
        <v>117</v>
      </c>
      <c r="O7" s="31" t="s">
        <v>120</v>
      </c>
      <c r="P7" s="57">
        <v>55400</v>
      </c>
      <c r="Q7" s="32" t="s">
        <v>31</v>
      </c>
      <c r="R7" s="31" t="s">
        <v>126</v>
      </c>
      <c r="S7" s="36">
        <v>24000000</v>
      </c>
      <c r="T7" s="2" t="s">
        <v>30</v>
      </c>
      <c r="U7" s="37">
        <v>4.6615599999999997</v>
      </c>
      <c r="V7" s="37">
        <v>3.66156005859375</v>
      </c>
      <c r="W7" s="38">
        <v>0.136615600585937</v>
      </c>
      <c r="X7" s="39">
        <v>3278774.41406248</v>
      </c>
    </row>
    <row r="8" spans="1:24" x14ac:dyDescent="0.25">
      <c r="A8" s="24" t="s">
        <v>995</v>
      </c>
      <c r="B8" s="24" t="s">
        <v>500</v>
      </c>
      <c r="C8" s="2" t="s">
        <v>269</v>
      </c>
      <c r="D8" s="32" t="s">
        <v>1088</v>
      </c>
      <c r="E8" s="32" t="s">
        <v>1179</v>
      </c>
      <c r="F8" s="26" t="str">
        <f>HYPERLINK("https://mapwv.gov/flood/map/?wkid=102100&amp;x=-8986096.446318464&amp;y=4872440.927139323&amp;l=13&amp;v=2","FT")</f>
        <v>FT</v>
      </c>
      <c r="G8" s="17" t="s">
        <v>33</v>
      </c>
      <c r="H8" s="25" t="s">
        <v>26</v>
      </c>
      <c r="I8" s="2" t="s">
        <v>69</v>
      </c>
      <c r="J8" s="25" t="s">
        <v>41</v>
      </c>
      <c r="K8" s="31" t="s">
        <v>137</v>
      </c>
      <c r="L8" s="31"/>
      <c r="M8" s="32" t="s">
        <v>70</v>
      </c>
      <c r="N8" s="3" t="s">
        <v>116</v>
      </c>
      <c r="O8" s="31" t="s">
        <v>120</v>
      </c>
      <c r="P8" s="32" t="s">
        <v>617</v>
      </c>
      <c r="Q8" s="32" t="s">
        <v>31</v>
      </c>
      <c r="R8" s="31" t="s">
        <v>126</v>
      </c>
      <c r="S8" s="36">
        <v>15500000</v>
      </c>
      <c r="T8" s="2" t="s">
        <v>71</v>
      </c>
      <c r="U8" s="37">
        <v>2.0119630000000002</v>
      </c>
      <c r="V8" s="37">
        <v>1.011962890625</v>
      </c>
      <c r="W8" s="38">
        <v>5.02392578125E-2</v>
      </c>
      <c r="X8" s="39">
        <v>778708.49609375</v>
      </c>
    </row>
    <row r="9" spans="1:24" x14ac:dyDescent="0.25">
      <c r="A9" s="24" t="s">
        <v>996</v>
      </c>
      <c r="B9" s="24" t="s">
        <v>500</v>
      </c>
      <c r="C9" s="2" t="s">
        <v>269</v>
      </c>
      <c r="D9" s="32" t="s">
        <v>1089</v>
      </c>
      <c r="E9" s="32" t="s">
        <v>1180</v>
      </c>
      <c r="F9" s="26" t="str">
        <f>HYPERLINK("https://mapwv.gov/flood/map/?wkid=102100&amp;x=-8987216.140948826&amp;y=4876435.371278921&amp;l=13&amp;v=2","FT")</f>
        <v>FT</v>
      </c>
      <c r="G9" s="17" t="s">
        <v>33</v>
      </c>
      <c r="H9" s="25" t="s">
        <v>26</v>
      </c>
      <c r="I9" s="2" t="s">
        <v>69</v>
      </c>
      <c r="J9" s="25" t="s">
        <v>41</v>
      </c>
      <c r="K9" s="31" t="s">
        <v>596</v>
      </c>
      <c r="L9" s="31"/>
      <c r="M9" s="32" t="s">
        <v>70</v>
      </c>
      <c r="N9" s="3" t="s">
        <v>116</v>
      </c>
      <c r="O9" s="31" t="s">
        <v>122</v>
      </c>
      <c r="P9" s="32" t="s">
        <v>618</v>
      </c>
      <c r="Q9" s="32" t="s">
        <v>31</v>
      </c>
      <c r="R9" s="31" t="s">
        <v>126</v>
      </c>
      <c r="S9" s="36">
        <v>14800000</v>
      </c>
      <c r="T9" s="2" t="s">
        <v>71</v>
      </c>
      <c r="U9" s="37">
        <v>5.017029</v>
      </c>
      <c r="V9" s="37">
        <v>4.01702880859375</v>
      </c>
      <c r="W9" s="38">
        <v>9.0170288085937494E-2</v>
      </c>
      <c r="X9" s="39">
        <v>1334520.2636718701</v>
      </c>
    </row>
    <row r="10" spans="1:24" x14ac:dyDescent="0.25">
      <c r="A10" s="24" t="s">
        <v>997</v>
      </c>
      <c r="B10" s="24" t="s">
        <v>500</v>
      </c>
      <c r="C10" s="2" t="s">
        <v>501</v>
      </c>
      <c r="D10" s="32" t="s">
        <v>1090</v>
      </c>
      <c r="E10" s="32" t="s">
        <v>1181</v>
      </c>
      <c r="F10" s="26" t="str">
        <f>HYPERLINK("https://mapwv.gov/flood/map/?wkid=102100&amp;x=-8981640.25374247&amp;y=4876475.514849602&amp;l=13&amp;v=2","FT")</f>
        <v>FT</v>
      </c>
      <c r="G10" s="17" t="s">
        <v>33</v>
      </c>
      <c r="H10" s="25" t="s">
        <v>26</v>
      </c>
      <c r="I10" s="2" t="s">
        <v>519</v>
      </c>
      <c r="J10" s="25" t="s">
        <v>27</v>
      </c>
      <c r="K10" s="31" t="s">
        <v>150</v>
      </c>
      <c r="L10" s="31" t="s">
        <v>112</v>
      </c>
      <c r="M10" s="32" t="s">
        <v>113</v>
      </c>
      <c r="N10" s="3" t="s">
        <v>44</v>
      </c>
      <c r="O10" s="31" t="s">
        <v>432</v>
      </c>
      <c r="P10" s="32" t="s">
        <v>619</v>
      </c>
      <c r="Q10" s="32" t="s">
        <v>45</v>
      </c>
      <c r="R10" s="31" t="s">
        <v>127</v>
      </c>
      <c r="S10" s="36">
        <v>12695600</v>
      </c>
      <c r="T10" s="2" t="s">
        <v>46</v>
      </c>
      <c r="U10" s="37">
        <v>0</v>
      </c>
      <c r="V10" s="37">
        <v>-4</v>
      </c>
      <c r="W10" s="38">
        <v>0</v>
      </c>
      <c r="X10" s="39">
        <v>0</v>
      </c>
    </row>
    <row r="11" spans="1:24" x14ac:dyDescent="0.25">
      <c r="A11" s="24" t="s">
        <v>998</v>
      </c>
      <c r="B11" s="24" t="s">
        <v>500</v>
      </c>
      <c r="C11" s="2" t="s">
        <v>269</v>
      </c>
      <c r="D11" s="32" t="s">
        <v>1091</v>
      </c>
      <c r="E11" s="32" t="s">
        <v>1182</v>
      </c>
      <c r="F11" s="26" t="str">
        <f>HYPERLINK("https://mapwv.gov/flood/map/?wkid=102100&amp;x=-8986403.19129417&amp;y=4872807.5527708875&amp;l=13&amp;v=2","FT")</f>
        <v>FT</v>
      </c>
      <c r="G11" s="17" t="s">
        <v>33</v>
      </c>
      <c r="H11" s="25" t="s">
        <v>26</v>
      </c>
      <c r="I11" s="2" t="s">
        <v>69</v>
      </c>
      <c r="J11" s="25" t="s">
        <v>41</v>
      </c>
      <c r="K11" s="31" t="s">
        <v>96</v>
      </c>
      <c r="L11" s="31"/>
      <c r="M11" s="32" t="s">
        <v>70</v>
      </c>
      <c r="N11" s="3" t="s">
        <v>116</v>
      </c>
      <c r="O11" s="31" t="s">
        <v>120</v>
      </c>
      <c r="P11" s="32" t="s">
        <v>620</v>
      </c>
      <c r="Q11" s="32" t="s">
        <v>31</v>
      </c>
      <c r="R11" s="31" t="s">
        <v>126</v>
      </c>
      <c r="S11" s="36">
        <v>10300000</v>
      </c>
      <c r="T11" s="2" t="s">
        <v>71</v>
      </c>
      <c r="U11" s="37">
        <v>9.3301999999999996</v>
      </c>
      <c r="V11" s="37">
        <v>8.3302001953125</v>
      </c>
      <c r="W11" s="38">
        <v>0.15660400390625001</v>
      </c>
      <c r="X11" s="39">
        <v>1613021.2402343701</v>
      </c>
    </row>
    <row r="12" spans="1:24" x14ac:dyDescent="0.25">
      <c r="A12" s="24" t="s">
        <v>999</v>
      </c>
      <c r="B12" s="24" t="s">
        <v>500</v>
      </c>
      <c r="C12" s="2" t="s">
        <v>502</v>
      </c>
      <c r="D12" s="32" t="s">
        <v>1092</v>
      </c>
      <c r="E12" s="32" t="s">
        <v>1183</v>
      </c>
      <c r="F12" s="26" t="str">
        <f>HYPERLINK("https://mapwv.gov/flood/map/?wkid=102100&amp;x=-8982624.427245501&amp;y=4877476.352151273&amp;l=13&amp;v=2","FT")</f>
        <v>FT</v>
      </c>
      <c r="G12" s="17" t="s">
        <v>40</v>
      </c>
      <c r="H12" s="25" t="s">
        <v>26</v>
      </c>
      <c r="I12" s="2" t="s">
        <v>69</v>
      </c>
      <c r="J12" s="25" t="s">
        <v>41</v>
      </c>
      <c r="K12" s="31" t="s">
        <v>160</v>
      </c>
      <c r="L12" s="31"/>
      <c r="M12" s="32" t="s">
        <v>70</v>
      </c>
      <c r="N12" s="3" t="s">
        <v>116</v>
      </c>
      <c r="O12" s="31" t="s">
        <v>120</v>
      </c>
      <c r="P12" s="32" t="s">
        <v>621</v>
      </c>
      <c r="Q12" s="32" t="s">
        <v>31</v>
      </c>
      <c r="R12" s="31" t="s">
        <v>126</v>
      </c>
      <c r="S12" s="36">
        <v>9800000</v>
      </c>
      <c r="T12" s="2" t="s">
        <v>71</v>
      </c>
      <c r="U12" s="37">
        <v>0</v>
      </c>
      <c r="V12" s="37">
        <v>-1</v>
      </c>
      <c r="W12" s="38">
        <v>0</v>
      </c>
      <c r="X12" s="39">
        <v>0</v>
      </c>
    </row>
    <row r="13" spans="1:24" x14ac:dyDescent="0.25">
      <c r="A13" s="24" t="s">
        <v>1000</v>
      </c>
      <c r="B13" s="24" t="s">
        <v>500</v>
      </c>
      <c r="C13" s="2" t="s">
        <v>269</v>
      </c>
      <c r="D13" s="32" t="s">
        <v>1093</v>
      </c>
      <c r="E13" s="32" t="s">
        <v>1184</v>
      </c>
      <c r="F13" s="26" t="str">
        <f>HYPERLINK("https://mapwv.gov/flood/map/?wkid=102100&amp;x=-8986123.011045152&amp;y=4875379.845828068&amp;l=13&amp;v=2","FT")</f>
        <v>FT</v>
      </c>
      <c r="G13" s="17" t="s">
        <v>33</v>
      </c>
      <c r="H13" s="25" t="s">
        <v>26</v>
      </c>
      <c r="I13" s="2" t="s">
        <v>520</v>
      </c>
      <c r="J13" s="25" t="s">
        <v>27</v>
      </c>
      <c r="K13" s="31" t="s">
        <v>167</v>
      </c>
      <c r="L13" s="31" t="s">
        <v>59</v>
      </c>
      <c r="M13" s="32" t="s">
        <v>610</v>
      </c>
      <c r="N13" s="3" t="s">
        <v>36</v>
      </c>
      <c r="O13" s="31" t="s">
        <v>611</v>
      </c>
      <c r="P13" s="32" t="s">
        <v>622</v>
      </c>
      <c r="Q13" s="32" t="s">
        <v>31</v>
      </c>
      <c r="R13" s="31" t="s">
        <v>126</v>
      </c>
      <c r="S13" s="36">
        <v>9083800</v>
      </c>
      <c r="T13" s="2" t="s">
        <v>46</v>
      </c>
      <c r="U13" s="37">
        <v>4.6156005999999996</v>
      </c>
      <c r="V13" s="37">
        <v>3.6156005859375</v>
      </c>
      <c r="W13" s="38">
        <v>6.6156005859375006E-2</v>
      </c>
      <c r="X13" s="39">
        <v>600947.92602539004</v>
      </c>
    </row>
    <row r="14" spans="1:24" x14ac:dyDescent="0.25">
      <c r="A14" s="24" t="s">
        <v>1001</v>
      </c>
      <c r="B14" s="24" t="s">
        <v>500</v>
      </c>
      <c r="C14" s="2" t="s">
        <v>269</v>
      </c>
      <c r="D14" s="32" t="s">
        <v>1094</v>
      </c>
      <c r="E14" s="32" t="s">
        <v>1185</v>
      </c>
      <c r="F14" s="26" t="str">
        <f>HYPERLINK("https://mapwv.gov/flood/map/?wkid=102100&amp;x=-8986033.798937313&amp;y=4875500.188561505&amp;l=13&amp;v=2","FT")</f>
        <v>FT</v>
      </c>
      <c r="G14" s="17" t="s">
        <v>33</v>
      </c>
      <c r="H14" s="25" t="s">
        <v>26</v>
      </c>
      <c r="I14" s="2" t="s">
        <v>521</v>
      </c>
      <c r="J14" s="25" t="s">
        <v>41</v>
      </c>
      <c r="K14" s="31" t="s">
        <v>160</v>
      </c>
      <c r="L14" s="31" t="s">
        <v>47</v>
      </c>
      <c r="M14" s="32" t="s">
        <v>48</v>
      </c>
      <c r="N14" s="3" t="s">
        <v>36</v>
      </c>
      <c r="O14" s="31" t="s">
        <v>612</v>
      </c>
      <c r="P14" s="32" t="s">
        <v>623</v>
      </c>
      <c r="Q14" s="32" t="s">
        <v>45</v>
      </c>
      <c r="R14" s="31" t="s">
        <v>127</v>
      </c>
      <c r="S14" s="36">
        <v>8433400</v>
      </c>
      <c r="T14" s="2" t="s">
        <v>46</v>
      </c>
      <c r="U14" s="37">
        <v>0.90826415999999999</v>
      </c>
      <c r="V14" s="37">
        <v>-3.09173583984375</v>
      </c>
      <c r="W14" s="38">
        <v>0</v>
      </c>
      <c r="X14" s="39">
        <v>0</v>
      </c>
    </row>
    <row r="15" spans="1:24" x14ac:dyDescent="0.25">
      <c r="A15" s="24" t="s">
        <v>1002</v>
      </c>
      <c r="B15" s="24" t="s">
        <v>500</v>
      </c>
      <c r="C15" s="2" t="s">
        <v>501</v>
      </c>
      <c r="D15" s="32" t="s">
        <v>1095</v>
      </c>
      <c r="E15" s="32" t="s">
        <v>1186</v>
      </c>
      <c r="F15" s="26" t="str">
        <f>HYPERLINK("https://mapwv.gov/flood/map/?wkid=102100&amp;x=-8985856.738496719&amp;y=4875138.798933528&amp;l=13&amp;v=2","FT")</f>
        <v>FT</v>
      </c>
      <c r="G15" s="17" t="s">
        <v>33</v>
      </c>
      <c r="H15" s="25" t="s">
        <v>26</v>
      </c>
      <c r="I15" s="2" t="s">
        <v>522</v>
      </c>
      <c r="J15" s="25" t="s">
        <v>41</v>
      </c>
      <c r="K15" s="31" t="s">
        <v>597</v>
      </c>
      <c r="L15" s="31" t="s">
        <v>42</v>
      </c>
      <c r="M15" s="32" t="s">
        <v>174</v>
      </c>
      <c r="N15" s="3" t="s">
        <v>116</v>
      </c>
      <c r="O15" s="31" t="s">
        <v>123</v>
      </c>
      <c r="P15" s="32" t="s">
        <v>624</v>
      </c>
      <c r="Q15" s="32" t="s">
        <v>31</v>
      </c>
      <c r="R15" s="31" t="s">
        <v>126</v>
      </c>
      <c r="S15" s="36">
        <v>6401600</v>
      </c>
      <c r="T15" s="2" t="s">
        <v>46</v>
      </c>
      <c r="U15" s="37">
        <v>8.8073730000000003E-2</v>
      </c>
      <c r="V15" s="37">
        <v>-0.91192626953125</v>
      </c>
      <c r="W15" s="38">
        <v>0</v>
      </c>
      <c r="X15" s="39">
        <v>0</v>
      </c>
    </row>
    <row r="16" spans="1:24" x14ac:dyDescent="0.25">
      <c r="A16" s="24" t="s">
        <v>1003</v>
      </c>
      <c r="B16" s="24" t="s">
        <v>500</v>
      </c>
      <c r="C16" s="2" t="s">
        <v>269</v>
      </c>
      <c r="D16" s="32" t="s">
        <v>1096</v>
      </c>
      <c r="E16" s="32" t="s">
        <v>1187</v>
      </c>
      <c r="F16" s="26" t="str">
        <f>HYPERLINK("https://mapwv.gov/flood/map/?wkid=102100&amp;x=-8986573.608410195&amp;y=4873582.700190428&amp;l=13&amp;v=2","FT")</f>
        <v>FT</v>
      </c>
      <c r="G16" s="17" t="s">
        <v>33</v>
      </c>
      <c r="H16" s="25" t="s">
        <v>26</v>
      </c>
      <c r="I16" s="2" t="s">
        <v>523</v>
      </c>
      <c r="J16" s="25" t="s">
        <v>27</v>
      </c>
      <c r="K16" s="31" t="s">
        <v>98</v>
      </c>
      <c r="L16" s="31" t="s">
        <v>28</v>
      </c>
      <c r="M16" s="32" t="s">
        <v>50</v>
      </c>
      <c r="N16" s="3" t="s">
        <v>36</v>
      </c>
      <c r="O16" s="31" t="s">
        <v>120</v>
      </c>
      <c r="P16" s="32" t="s">
        <v>625</v>
      </c>
      <c r="Q16" s="32" t="s">
        <v>31</v>
      </c>
      <c r="R16" s="31" t="s">
        <v>126</v>
      </c>
      <c r="S16" s="36">
        <v>6268700</v>
      </c>
      <c r="T16" s="2" t="s">
        <v>46</v>
      </c>
      <c r="U16" s="37">
        <v>0.32440185999999999</v>
      </c>
      <c r="V16" s="37">
        <v>-0.67559814453125</v>
      </c>
      <c r="W16" s="38">
        <v>3.2440185546874999E-3</v>
      </c>
      <c r="X16" s="39">
        <v>20335.779113769499</v>
      </c>
    </row>
    <row r="17" spans="1:24" x14ac:dyDescent="0.25">
      <c r="A17" s="24" t="s">
        <v>1004</v>
      </c>
      <c r="B17" s="24" t="s">
        <v>500</v>
      </c>
      <c r="C17" s="2" t="s">
        <v>269</v>
      </c>
      <c r="D17" s="32" t="s">
        <v>1097</v>
      </c>
      <c r="E17" s="32" t="s">
        <v>1188</v>
      </c>
      <c r="F17" s="26" t="str">
        <f>HYPERLINK("https://mapwv.gov/flood/map/?wkid=102100&amp;x=-8986284.16682482&amp;y=4874928.632900376&amp;l=13&amp;v=2","FT")</f>
        <v>FT</v>
      </c>
      <c r="G17" s="17" t="s">
        <v>33</v>
      </c>
      <c r="H17" s="25" t="s">
        <v>26</v>
      </c>
      <c r="I17" s="2" t="s">
        <v>524</v>
      </c>
      <c r="J17" s="25" t="s">
        <v>41</v>
      </c>
      <c r="K17" s="31" t="s">
        <v>598</v>
      </c>
      <c r="L17" s="31" t="s">
        <v>59</v>
      </c>
      <c r="M17" s="32" t="s">
        <v>58</v>
      </c>
      <c r="N17" s="3" t="s">
        <v>36</v>
      </c>
      <c r="O17" s="31" t="s">
        <v>123</v>
      </c>
      <c r="P17" s="32" t="s">
        <v>626</v>
      </c>
      <c r="Q17" s="32" t="s">
        <v>45</v>
      </c>
      <c r="R17" s="31" t="s">
        <v>127</v>
      </c>
      <c r="S17" s="36">
        <v>6040600</v>
      </c>
      <c r="T17" s="2" t="s">
        <v>46</v>
      </c>
      <c r="U17" s="37">
        <v>2.6466064</v>
      </c>
      <c r="V17" s="37">
        <v>-1.3533935546875</v>
      </c>
      <c r="W17" s="38">
        <v>0</v>
      </c>
      <c r="X17" s="39">
        <v>0</v>
      </c>
    </row>
    <row r="18" spans="1:24" x14ac:dyDescent="0.25">
      <c r="A18" s="24" t="s">
        <v>1005</v>
      </c>
      <c r="B18" s="24" t="s">
        <v>500</v>
      </c>
      <c r="C18" s="2" t="s">
        <v>269</v>
      </c>
      <c r="D18" s="32" t="s">
        <v>1098</v>
      </c>
      <c r="E18" s="32" t="s">
        <v>1189</v>
      </c>
      <c r="F18" s="26" t="str">
        <f>HYPERLINK("https://mapwv.gov/flood/map/?wkid=102100&amp;x=-8986261.612828067&amp;y=4875352.5048586335&amp;l=13&amp;v=2","FT")</f>
        <v>FT</v>
      </c>
      <c r="G18" s="17" t="s">
        <v>33</v>
      </c>
      <c r="H18" s="25" t="s">
        <v>67</v>
      </c>
      <c r="I18" s="2" t="s">
        <v>525</v>
      </c>
      <c r="J18" s="25" t="s">
        <v>41</v>
      </c>
      <c r="K18" s="31" t="s">
        <v>160</v>
      </c>
      <c r="L18" s="31" t="s">
        <v>47</v>
      </c>
      <c r="M18" s="32" t="s">
        <v>54</v>
      </c>
      <c r="N18" s="3" t="s">
        <v>36</v>
      </c>
      <c r="O18" s="31" t="s">
        <v>120</v>
      </c>
      <c r="P18" s="32" t="s">
        <v>627</v>
      </c>
      <c r="Q18" s="32" t="s">
        <v>31</v>
      </c>
      <c r="R18" s="31" t="s">
        <v>126</v>
      </c>
      <c r="S18" s="36">
        <v>5614600</v>
      </c>
      <c r="T18" s="2" t="s">
        <v>46</v>
      </c>
      <c r="U18" s="37">
        <v>6.5184936999999996</v>
      </c>
      <c r="V18" s="37">
        <v>5.51849365234375</v>
      </c>
      <c r="W18" s="38">
        <v>0.17036987304687501</v>
      </c>
      <c r="X18" s="39">
        <v>956558.68920898403</v>
      </c>
    </row>
    <row r="19" spans="1:24" x14ac:dyDescent="0.25">
      <c r="A19" s="24" t="s">
        <v>1006</v>
      </c>
      <c r="B19" s="24" t="s">
        <v>500</v>
      </c>
      <c r="C19" s="2" t="s">
        <v>501</v>
      </c>
      <c r="D19" s="32" t="s">
        <v>1099</v>
      </c>
      <c r="E19" s="32" t="s">
        <v>1190</v>
      </c>
      <c r="F19" s="26" t="str">
        <f>HYPERLINK("https://mapwv.gov/flood/map/?wkid=102100&amp;x=-8985760.956535174&amp;y=4875077.963339178&amp;l=13&amp;v=2","FT")</f>
        <v>FT</v>
      </c>
      <c r="G19" s="17" t="s">
        <v>33</v>
      </c>
      <c r="H19" s="25" t="s">
        <v>26</v>
      </c>
      <c r="I19" s="2" t="s">
        <v>522</v>
      </c>
      <c r="J19" s="25" t="s">
        <v>41</v>
      </c>
      <c r="K19" s="31" t="s">
        <v>164</v>
      </c>
      <c r="L19" s="31" t="s">
        <v>28</v>
      </c>
      <c r="M19" s="32" t="s">
        <v>174</v>
      </c>
      <c r="N19" s="3" t="s">
        <v>116</v>
      </c>
      <c r="O19" s="31" t="s">
        <v>122</v>
      </c>
      <c r="P19" s="32" t="s">
        <v>628</v>
      </c>
      <c r="Q19" s="32" t="s">
        <v>45</v>
      </c>
      <c r="R19" s="31" t="s">
        <v>127</v>
      </c>
      <c r="S19" s="36">
        <v>5566200</v>
      </c>
      <c r="T19" s="2" t="s">
        <v>46</v>
      </c>
      <c r="U19" s="37">
        <v>8.8073730000000003E-2</v>
      </c>
      <c r="V19" s="37">
        <v>-3.91192626953125</v>
      </c>
      <c r="W19" s="38">
        <v>0</v>
      </c>
      <c r="X19" s="39">
        <v>0</v>
      </c>
    </row>
    <row r="20" spans="1:24" x14ac:dyDescent="0.25">
      <c r="A20" s="24" t="s">
        <v>1007</v>
      </c>
      <c r="B20" s="24" t="s">
        <v>500</v>
      </c>
      <c r="C20" s="2" t="s">
        <v>269</v>
      </c>
      <c r="D20" s="32" t="s">
        <v>1100</v>
      </c>
      <c r="E20" s="32" t="s">
        <v>1191</v>
      </c>
      <c r="F20" s="26" t="str">
        <f>HYPERLINK("https://mapwv.gov/flood/map/?wkid=102100&amp;x=-8987136.635789268&amp;y=4874829.664932949&amp;l=13&amp;v=2","FT")</f>
        <v>FT</v>
      </c>
      <c r="G20" s="17" t="s">
        <v>33</v>
      </c>
      <c r="H20" s="25" t="s">
        <v>67</v>
      </c>
      <c r="I20" s="2" t="s">
        <v>526</v>
      </c>
      <c r="J20" s="25" t="s">
        <v>27</v>
      </c>
      <c r="K20" s="31" t="s">
        <v>149</v>
      </c>
      <c r="L20" s="31" t="s">
        <v>34</v>
      </c>
      <c r="M20" s="32" t="s">
        <v>54</v>
      </c>
      <c r="N20" s="3" t="s">
        <v>36</v>
      </c>
      <c r="O20" s="31" t="s">
        <v>613</v>
      </c>
      <c r="P20" s="32" t="s">
        <v>629</v>
      </c>
      <c r="Q20" s="32" t="s">
        <v>45</v>
      </c>
      <c r="R20" s="31" t="s">
        <v>127</v>
      </c>
      <c r="S20" s="36">
        <v>4748900</v>
      </c>
      <c r="T20" s="2" t="s">
        <v>32</v>
      </c>
      <c r="U20" s="37">
        <v>12.0842285</v>
      </c>
      <c r="V20" s="37">
        <v>8.084228515625</v>
      </c>
      <c r="W20" s="38">
        <v>0.22336914062499999</v>
      </c>
      <c r="X20" s="39">
        <v>1060757.7119140599</v>
      </c>
    </row>
    <row r="21" spans="1:24" x14ac:dyDescent="0.25">
      <c r="A21" s="24" t="s">
        <v>1008</v>
      </c>
      <c r="B21" s="24" t="s">
        <v>500</v>
      </c>
      <c r="C21" s="2" t="s">
        <v>502</v>
      </c>
      <c r="D21" s="32" t="s">
        <v>1101</v>
      </c>
      <c r="E21" s="32" t="s">
        <v>1192</v>
      </c>
      <c r="F21" s="26" t="str">
        <f>HYPERLINK("https://mapwv.gov/flood/map/?wkid=102100&amp;x=-8983151.0680679&amp;y=4877135.905498533&amp;l=13&amp;v=2","FT")</f>
        <v>FT</v>
      </c>
      <c r="G21" s="17" t="s">
        <v>33</v>
      </c>
      <c r="H21" s="25" t="s">
        <v>26</v>
      </c>
      <c r="I21" s="2" t="s">
        <v>527</v>
      </c>
      <c r="J21" s="25" t="s">
        <v>27</v>
      </c>
      <c r="K21" s="31" t="s">
        <v>85</v>
      </c>
      <c r="L21" s="31" t="s">
        <v>53</v>
      </c>
      <c r="M21" s="32" t="s">
        <v>72</v>
      </c>
      <c r="N21" s="3" t="s">
        <v>44</v>
      </c>
      <c r="O21" s="31" t="s">
        <v>432</v>
      </c>
      <c r="P21" s="32" t="s">
        <v>630</v>
      </c>
      <c r="Q21" s="32" t="s">
        <v>31</v>
      </c>
      <c r="R21" s="31" t="s">
        <v>126</v>
      </c>
      <c r="S21" s="36">
        <v>4576000</v>
      </c>
      <c r="T21" s="2" t="s">
        <v>46</v>
      </c>
      <c r="U21" s="37">
        <v>0.80877686000000004</v>
      </c>
      <c r="V21" s="37">
        <v>-0.19122314453125</v>
      </c>
      <c r="W21" s="38">
        <v>0</v>
      </c>
      <c r="X21" s="39">
        <v>0</v>
      </c>
    </row>
    <row r="22" spans="1:24" x14ac:dyDescent="0.25">
      <c r="A22" s="24" t="s">
        <v>1009</v>
      </c>
      <c r="B22" s="24" t="s">
        <v>500</v>
      </c>
      <c r="C22" s="2" t="s">
        <v>269</v>
      </c>
      <c r="D22" s="32" t="s">
        <v>1102</v>
      </c>
      <c r="E22" s="32" t="s">
        <v>1193</v>
      </c>
      <c r="F22" s="26" t="str">
        <f>HYPERLINK("https://mapwv.gov/flood/map/?wkid=102100&amp;x=-8986397.416150307&amp;y=4872033.635173995&amp;l=13&amp;v=2","FT")</f>
        <v>FT</v>
      </c>
      <c r="G22" s="17" t="s">
        <v>33</v>
      </c>
      <c r="H22" s="25" t="s">
        <v>26</v>
      </c>
      <c r="I22" s="2" t="s">
        <v>528</v>
      </c>
      <c r="J22" s="25" t="s">
        <v>27</v>
      </c>
      <c r="K22" s="31" t="s">
        <v>141</v>
      </c>
      <c r="L22" s="31" t="s">
        <v>52</v>
      </c>
      <c r="M22" s="32" t="s">
        <v>35</v>
      </c>
      <c r="N22" s="3" t="s">
        <v>119</v>
      </c>
      <c r="O22" s="31" t="s">
        <v>613</v>
      </c>
      <c r="P22" s="32" t="s">
        <v>631</v>
      </c>
      <c r="Q22" s="32" t="s">
        <v>31</v>
      </c>
      <c r="R22" s="31" t="s">
        <v>126</v>
      </c>
      <c r="S22" s="36">
        <v>4155500</v>
      </c>
      <c r="T22" s="2" t="s">
        <v>32</v>
      </c>
      <c r="U22" s="37">
        <v>2.1152953999999999</v>
      </c>
      <c r="V22" s="37">
        <v>1.11529541015625</v>
      </c>
      <c r="W22" s="38">
        <v>9.5764770507812499E-2</v>
      </c>
      <c r="X22" s="39">
        <v>397950.50384521403</v>
      </c>
    </row>
    <row r="23" spans="1:24" x14ac:dyDescent="0.25">
      <c r="A23" s="24" t="s">
        <v>1010</v>
      </c>
      <c r="B23" s="24" t="s">
        <v>500</v>
      </c>
      <c r="C23" s="2" t="s">
        <v>501</v>
      </c>
      <c r="D23" s="32" t="s">
        <v>1103</v>
      </c>
      <c r="E23" s="32" t="s">
        <v>1194</v>
      </c>
      <c r="F23" s="26" t="str">
        <f>HYPERLINK("https://mapwv.gov/flood/map/?wkid=102100&amp;x=-8981581.340462314&amp;y=4876279.267570257&amp;l=13&amp;v=2","FT")</f>
        <v>FT</v>
      </c>
      <c r="G23" s="17" t="s">
        <v>33</v>
      </c>
      <c r="H23" s="25" t="s">
        <v>26</v>
      </c>
      <c r="I23" s="2" t="s">
        <v>529</v>
      </c>
      <c r="J23" s="25" t="s">
        <v>27</v>
      </c>
      <c r="K23" s="31" t="s">
        <v>133</v>
      </c>
      <c r="L23" s="31" t="s">
        <v>59</v>
      </c>
      <c r="M23" s="32" t="s">
        <v>614</v>
      </c>
      <c r="N23" s="3" t="s">
        <v>44</v>
      </c>
      <c r="O23" s="31" t="s">
        <v>123</v>
      </c>
      <c r="P23" s="32" t="s">
        <v>632</v>
      </c>
      <c r="Q23" s="32" t="s">
        <v>31</v>
      </c>
      <c r="R23" s="31" t="s">
        <v>126</v>
      </c>
      <c r="S23" s="36">
        <v>3816400</v>
      </c>
      <c r="T23" s="2" t="s">
        <v>46</v>
      </c>
      <c r="U23" s="37">
        <v>0</v>
      </c>
      <c r="V23" s="37">
        <v>-1</v>
      </c>
      <c r="W23" s="38">
        <v>0</v>
      </c>
      <c r="X23" s="39">
        <v>0</v>
      </c>
    </row>
    <row r="24" spans="1:24" x14ac:dyDescent="0.25">
      <c r="A24" s="24" t="s">
        <v>1011</v>
      </c>
      <c r="B24" s="24" t="s">
        <v>500</v>
      </c>
      <c r="C24" s="2" t="s">
        <v>269</v>
      </c>
      <c r="D24" s="32" t="s">
        <v>1104</v>
      </c>
      <c r="E24" s="32" t="s">
        <v>1195</v>
      </c>
      <c r="F24" s="26" t="str">
        <f>HYPERLINK("https://mapwv.gov/flood/map/?wkid=102100&amp;x=-8986140.909326842&amp;y=4875589.682803267&amp;l=13&amp;v=2","FT")</f>
        <v>FT</v>
      </c>
      <c r="G24" s="17" t="s">
        <v>33</v>
      </c>
      <c r="H24" s="25" t="s">
        <v>26</v>
      </c>
      <c r="I24" s="2" t="s">
        <v>530</v>
      </c>
      <c r="J24" s="25" t="s">
        <v>27</v>
      </c>
      <c r="K24" s="31" t="s">
        <v>107</v>
      </c>
      <c r="L24" s="31" t="s">
        <v>51</v>
      </c>
      <c r="M24" s="32" t="s">
        <v>58</v>
      </c>
      <c r="N24" s="3" t="s">
        <v>36</v>
      </c>
      <c r="O24" s="31" t="s">
        <v>123</v>
      </c>
      <c r="P24" s="32" t="s">
        <v>633</v>
      </c>
      <c r="Q24" s="32" t="s">
        <v>31</v>
      </c>
      <c r="R24" s="31" t="s">
        <v>126</v>
      </c>
      <c r="S24" s="36">
        <v>3804300</v>
      </c>
      <c r="T24" s="2" t="s">
        <v>46</v>
      </c>
      <c r="U24" s="37">
        <v>3.4016723999999998</v>
      </c>
      <c r="V24" s="37">
        <v>2.40167236328125</v>
      </c>
      <c r="W24" s="38">
        <v>0.18410034179687501</v>
      </c>
      <c r="X24" s="39">
        <v>700372.93029785098</v>
      </c>
    </row>
    <row r="25" spans="1:24" x14ac:dyDescent="0.25">
      <c r="A25" s="24" t="s">
        <v>1012</v>
      </c>
      <c r="B25" s="24" t="s">
        <v>500</v>
      </c>
      <c r="C25" s="2" t="s">
        <v>269</v>
      </c>
      <c r="D25" s="32" t="s">
        <v>1105</v>
      </c>
      <c r="E25" s="32" t="s">
        <v>1196</v>
      </c>
      <c r="F25" s="26" t="str">
        <f>HYPERLINK("https://mapwv.gov/flood/map/?wkid=102100&amp;x=-8986050.012509828&amp;y=4875433.479106838&amp;l=13&amp;v=2","FT")</f>
        <v>FT</v>
      </c>
      <c r="G25" s="17" t="s">
        <v>33</v>
      </c>
      <c r="H25" s="25" t="s">
        <v>26</v>
      </c>
      <c r="I25" s="2" t="s">
        <v>525</v>
      </c>
      <c r="J25" s="25" t="s">
        <v>41</v>
      </c>
      <c r="K25" s="31" t="s">
        <v>164</v>
      </c>
      <c r="L25" s="31" t="s">
        <v>47</v>
      </c>
      <c r="M25" s="32" t="s">
        <v>58</v>
      </c>
      <c r="N25" s="3" t="s">
        <v>36</v>
      </c>
      <c r="O25" s="31" t="s">
        <v>122</v>
      </c>
      <c r="P25" s="32" t="s">
        <v>634</v>
      </c>
      <c r="Q25" s="32" t="s">
        <v>45</v>
      </c>
      <c r="R25" s="31" t="s">
        <v>127</v>
      </c>
      <c r="S25" s="36">
        <v>3634700</v>
      </c>
      <c r="T25" s="2" t="s">
        <v>46</v>
      </c>
      <c r="U25" s="37">
        <v>3.1064452999999999</v>
      </c>
      <c r="V25" s="37">
        <v>-0.8935546875</v>
      </c>
      <c r="W25" s="38">
        <v>2.1289062500000002E-3</v>
      </c>
      <c r="X25" s="39">
        <v>7737.935546875</v>
      </c>
    </row>
    <row r="26" spans="1:24" x14ac:dyDescent="0.25">
      <c r="A26" s="24" t="s">
        <v>1013</v>
      </c>
      <c r="B26" s="24" t="s">
        <v>500</v>
      </c>
      <c r="C26" s="2" t="s">
        <v>269</v>
      </c>
      <c r="D26" s="32" t="s">
        <v>1106</v>
      </c>
      <c r="E26" s="32" t="s">
        <v>1197</v>
      </c>
      <c r="F26" s="26" t="str">
        <f>HYPERLINK("https://mapwv.gov/flood/map/?wkid=102100&amp;x=-8985995.518947417&amp;y=4875450.539415846&amp;l=13&amp;v=2","FT")</f>
        <v>FT</v>
      </c>
      <c r="G26" s="17" t="s">
        <v>33</v>
      </c>
      <c r="H26" s="25" t="s">
        <v>26</v>
      </c>
      <c r="I26" s="2" t="s">
        <v>531</v>
      </c>
      <c r="J26" s="25" t="s">
        <v>41</v>
      </c>
      <c r="K26" s="31" t="s">
        <v>164</v>
      </c>
      <c r="L26" s="31" t="s">
        <v>49</v>
      </c>
      <c r="M26" s="32" t="s">
        <v>58</v>
      </c>
      <c r="N26" s="3" t="s">
        <v>36</v>
      </c>
      <c r="O26" s="31" t="s">
        <v>615</v>
      </c>
      <c r="P26" s="32" t="s">
        <v>635</v>
      </c>
      <c r="Q26" s="32" t="s">
        <v>45</v>
      </c>
      <c r="R26" s="31" t="s">
        <v>127</v>
      </c>
      <c r="S26" s="36">
        <v>3559900</v>
      </c>
      <c r="T26" s="2" t="s">
        <v>46</v>
      </c>
      <c r="U26" s="37">
        <v>0.21929931999999999</v>
      </c>
      <c r="V26" s="37">
        <v>-3.78070068359375</v>
      </c>
      <c r="W26" s="38">
        <v>0</v>
      </c>
      <c r="X26" s="39">
        <v>0</v>
      </c>
    </row>
    <row r="27" spans="1:24" x14ac:dyDescent="0.25">
      <c r="A27" s="24" t="s">
        <v>1014</v>
      </c>
      <c r="B27" s="24" t="s">
        <v>500</v>
      </c>
      <c r="C27" s="2" t="s">
        <v>269</v>
      </c>
      <c r="D27" s="32" t="s">
        <v>1107</v>
      </c>
      <c r="E27" s="32" t="s">
        <v>1198</v>
      </c>
      <c r="F27" s="26" t="str">
        <f>HYPERLINK("https://mapwv.gov/flood/map/?wkid=102100&amp;x=-8986014.313573647&amp;y=4875183.225489032&amp;l=13&amp;v=2","FT")</f>
        <v>FT</v>
      </c>
      <c r="G27" s="17" t="s">
        <v>33</v>
      </c>
      <c r="H27" s="25" t="s">
        <v>26</v>
      </c>
      <c r="I27" s="2" t="s">
        <v>532</v>
      </c>
      <c r="J27" s="25" t="s">
        <v>41</v>
      </c>
      <c r="K27" s="31" t="s">
        <v>164</v>
      </c>
      <c r="L27" s="31" t="s">
        <v>179</v>
      </c>
      <c r="M27" s="32" t="s">
        <v>614</v>
      </c>
      <c r="N27" s="3" t="s">
        <v>44</v>
      </c>
      <c r="O27" s="31" t="s">
        <v>612</v>
      </c>
      <c r="P27" s="32" t="s">
        <v>636</v>
      </c>
      <c r="Q27" s="32" t="s">
        <v>45</v>
      </c>
      <c r="R27" s="31" t="s">
        <v>127</v>
      </c>
      <c r="S27" s="36">
        <v>3507400</v>
      </c>
      <c r="T27" s="2" t="s">
        <v>46</v>
      </c>
      <c r="U27" s="37">
        <v>5.3045654000000004</v>
      </c>
      <c r="V27" s="37">
        <v>1.3045654296875</v>
      </c>
      <c r="W27" s="38">
        <v>0.16522827148437499</v>
      </c>
      <c r="X27" s="39">
        <v>579521.63940429594</v>
      </c>
    </row>
    <row r="28" spans="1:24" x14ac:dyDescent="0.25">
      <c r="A28" s="24" t="s">
        <v>1015</v>
      </c>
      <c r="B28" s="24" t="s">
        <v>500</v>
      </c>
      <c r="C28" s="2" t="s">
        <v>501</v>
      </c>
      <c r="D28" s="32" t="s">
        <v>1108</v>
      </c>
      <c r="E28" s="32" t="s">
        <v>1199</v>
      </c>
      <c r="F28" s="26" t="str">
        <f>HYPERLINK("https://mapwv.gov/flood/map/?wkid=102100&amp;x=-8983377.167081896&amp;y=4876650.6972411685&amp;l=13&amp;v=2","FT")</f>
        <v>FT</v>
      </c>
      <c r="G28" s="17" t="s">
        <v>33</v>
      </c>
      <c r="H28" s="25" t="s">
        <v>26</v>
      </c>
      <c r="I28" s="2" t="s">
        <v>533</v>
      </c>
      <c r="J28" s="25" t="s">
        <v>27</v>
      </c>
      <c r="K28" s="31" t="s">
        <v>88</v>
      </c>
      <c r="L28" s="31" t="s">
        <v>28</v>
      </c>
      <c r="M28" s="32" t="s">
        <v>50</v>
      </c>
      <c r="N28" s="3" t="s">
        <v>36</v>
      </c>
      <c r="O28" s="31" t="s">
        <v>121</v>
      </c>
      <c r="P28" s="32" t="s">
        <v>637</v>
      </c>
      <c r="Q28" s="32" t="s">
        <v>31</v>
      </c>
      <c r="R28" s="31" t="s">
        <v>126</v>
      </c>
      <c r="S28" s="36">
        <v>3328000</v>
      </c>
      <c r="T28" s="2" t="s">
        <v>46</v>
      </c>
      <c r="U28" s="37">
        <v>3.7160644999999999</v>
      </c>
      <c r="V28" s="37">
        <v>2.716064453125</v>
      </c>
      <c r="W28" s="38">
        <v>0.15432128906250001</v>
      </c>
      <c r="X28" s="39">
        <v>513581.25</v>
      </c>
    </row>
    <row r="29" spans="1:24" x14ac:dyDescent="0.25">
      <c r="A29" s="24" t="s">
        <v>1016</v>
      </c>
      <c r="B29" s="24" t="s">
        <v>500</v>
      </c>
      <c r="C29" s="2" t="s">
        <v>269</v>
      </c>
      <c r="D29" s="32" t="s">
        <v>1109</v>
      </c>
      <c r="E29" s="32" t="s">
        <v>1200</v>
      </c>
      <c r="F29" s="26" t="str">
        <f>HYPERLINK("https://mapwv.gov/flood/map/?wkid=102100&amp;x=-8986167.598842675&amp;y=4875028.152531702&amp;l=13&amp;v=2","FT")</f>
        <v>FT</v>
      </c>
      <c r="G29" s="17" t="s">
        <v>33</v>
      </c>
      <c r="H29" s="25" t="s">
        <v>26</v>
      </c>
      <c r="I29" s="2" t="s">
        <v>534</v>
      </c>
      <c r="J29" s="25" t="s">
        <v>41</v>
      </c>
      <c r="K29" s="31" t="s">
        <v>164</v>
      </c>
      <c r="L29" s="31" t="s">
        <v>28</v>
      </c>
      <c r="M29" s="32" t="s">
        <v>58</v>
      </c>
      <c r="N29" s="3" t="s">
        <v>36</v>
      </c>
      <c r="O29" s="31" t="s">
        <v>613</v>
      </c>
      <c r="P29" s="32" t="s">
        <v>638</v>
      </c>
      <c r="Q29" s="32" t="s">
        <v>45</v>
      </c>
      <c r="R29" s="31" t="s">
        <v>127</v>
      </c>
      <c r="S29" s="36">
        <v>2626100</v>
      </c>
      <c r="T29" s="2" t="s">
        <v>46</v>
      </c>
      <c r="U29" s="37">
        <v>2.2532348999999998</v>
      </c>
      <c r="V29" s="37">
        <v>-1.74676513671875</v>
      </c>
      <c r="W29" s="38">
        <v>0</v>
      </c>
      <c r="X29" s="39">
        <v>0</v>
      </c>
    </row>
    <row r="30" spans="1:24" x14ac:dyDescent="0.25">
      <c r="A30" s="24" t="s">
        <v>1017</v>
      </c>
      <c r="B30" s="24" t="s">
        <v>500</v>
      </c>
      <c r="C30" s="2" t="s">
        <v>501</v>
      </c>
      <c r="D30" s="32" t="s">
        <v>1110</v>
      </c>
      <c r="E30" s="32" t="s">
        <v>1201</v>
      </c>
      <c r="F30" s="26" t="str">
        <f>HYPERLINK("https://mapwv.gov/flood/map/?wkid=102100&amp;x=-8981665.42185482&amp;y=4876323.632032526&amp;l=13&amp;v=2","FT")</f>
        <v>FT</v>
      </c>
      <c r="G30" s="17" t="s">
        <v>33</v>
      </c>
      <c r="H30" s="25" t="s">
        <v>67</v>
      </c>
      <c r="I30" s="2" t="s">
        <v>529</v>
      </c>
      <c r="J30" s="25" t="s">
        <v>41</v>
      </c>
      <c r="K30" s="31" t="s">
        <v>429</v>
      </c>
      <c r="L30" s="31" t="s">
        <v>47</v>
      </c>
      <c r="M30" s="32" t="s">
        <v>113</v>
      </c>
      <c r="N30" s="3" t="s">
        <v>44</v>
      </c>
      <c r="O30" s="31" t="s">
        <v>122</v>
      </c>
      <c r="P30" s="32" t="s">
        <v>639</v>
      </c>
      <c r="Q30" s="32" t="s">
        <v>45</v>
      </c>
      <c r="R30" s="31" t="s">
        <v>127</v>
      </c>
      <c r="S30" s="36">
        <v>2501900</v>
      </c>
      <c r="T30" s="2" t="s">
        <v>46</v>
      </c>
      <c r="U30" s="37">
        <v>0</v>
      </c>
      <c r="V30" s="37">
        <v>-4</v>
      </c>
      <c r="W30" s="38">
        <v>0</v>
      </c>
      <c r="X30" s="39">
        <v>0</v>
      </c>
    </row>
    <row r="31" spans="1:24" x14ac:dyDescent="0.25">
      <c r="A31" s="24" t="s">
        <v>1018</v>
      </c>
      <c r="B31" s="24" t="s">
        <v>500</v>
      </c>
      <c r="C31" s="2" t="s">
        <v>269</v>
      </c>
      <c r="D31" s="32" t="s">
        <v>1111</v>
      </c>
      <c r="E31" s="32" t="s">
        <v>1202</v>
      </c>
      <c r="F31" s="26" t="str">
        <f>HYPERLINK("https://mapwv.gov/flood/map/?wkid=102100&amp;x=-8985970.558223275&amp;y=4875255.484938925&amp;l=13&amp;v=2","FT")</f>
        <v>FT</v>
      </c>
      <c r="G31" s="17" t="s">
        <v>33</v>
      </c>
      <c r="H31" s="25" t="s">
        <v>26</v>
      </c>
      <c r="I31" s="2" t="s">
        <v>535</v>
      </c>
      <c r="J31" s="25" t="s">
        <v>41</v>
      </c>
      <c r="K31" s="31" t="s">
        <v>599</v>
      </c>
      <c r="L31" s="31" t="s">
        <v>47</v>
      </c>
      <c r="M31" s="32" t="s">
        <v>174</v>
      </c>
      <c r="N31" s="3" t="s">
        <v>116</v>
      </c>
      <c r="O31" s="31" t="s">
        <v>121</v>
      </c>
      <c r="P31" s="32" t="s">
        <v>640</v>
      </c>
      <c r="Q31" s="32" t="s">
        <v>31</v>
      </c>
      <c r="R31" s="31" t="s">
        <v>126</v>
      </c>
      <c r="S31" s="36">
        <v>2405500</v>
      </c>
      <c r="T31" s="2" t="s">
        <v>46</v>
      </c>
      <c r="U31" s="37">
        <v>2.0893554999999999</v>
      </c>
      <c r="V31" s="37">
        <v>1.08935546875</v>
      </c>
      <c r="W31" s="38">
        <v>5.1787109375000001E-2</v>
      </c>
      <c r="X31" s="39">
        <v>124573.89160156201</v>
      </c>
    </row>
    <row r="32" spans="1:24" x14ac:dyDescent="0.25">
      <c r="A32" s="24" t="s">
        <v>1019</v>
      </c>
      <c r="B32" s="24" t="s">
        <v>500</v>
      </c>
      <c r="C32" s="2" t="s">
        <v>501</v>
      </c>
      <c r="D32" s="32" t="s">
        <v>1112</v>
      </c>
      <c r="E32" s="32" t="s">
        <v>1203</v>
      </c>
      <c r="F32" s="26" t="str">
        <f>HYPERLINK("https://mapwv.gov/flood/map/?wkid=102100&amp;x=-8985214.309373887&amp;y=4874677.7052382305&amp;l=13&amp;v=2","FT")</f>
        <v>FT</v>
      </c>
      <c r="G32" s="17" t="s">
        <v>33</v>
      </c>
      <c r="H32" s="25" t="s">
        <v>26</v>
      </c>
      <c r="I32" s="2" t="s">
        <v>536</v>
      </c>
      <c r="J32" s="25" t="s">
        <v>41</v>
      </c>
      <c r="K32" s="31" t="s">
        <v>153</v>
      </c>
      <c r="L32" s="31" t="s">
        <v>52</v>
      </c>
      <c r="M32" s="32" t="s">
        <v>73</v>
      </c>
      <c r="N32" s="3" t="s">
        <v>36</v>
      </c>
      <c r="O32" s="31" t="s">
        <v>120</v>
      </c>
      <c r="P32" s="32" t="s">
        <v>641</v>
      </c>
      <c r="Q32" s="32" t="s">
        <v>31</v>
      </c>
      <c r="R32" s="31" t="s">
        <v>126</v>
      </c>
      <c r="S32" s="36">
        <v>2221500</v>
      </c>
      <c r="T32" s="2" t="s">
        <v>46</v>
      </c>
      <c r="U32" s="37">
        <v>0.4161377</v>
      </c>
      <c r="V32" s="37">
        <v>-0.5838623046875</v>
      </c>
      <c r="W32" s="38">
        <v>0</v>
      </c>
      <c r="X32" s="39">
        <v>0</v>
      </c>
    </row>
    <row r="33" spans="1:24" x14ac:dyDescent="0.25">
      <c r="A33" s="24" t="s">
        <v>1020</v>
      </c>
      <c r="B33" s="24" t="s">
        <v>500</v>
      </c>
      <c r="C33" s="2" t="s">
        <v>269</v>
      </c>
      <c r="D33" s="32" t="s">
        <v>1113</v>
      </c>
      <c r="E33" s="32" t="s">
        <v>1204</v>
      </c>
      <c r="F33" s="26" t="str">
        <f>HYPERLINK("https://mapwv.gov/flood/map/?wkid=102100&amp;x=-8986674.861613393&amp;y=4875951.938967858&amp;l=13&amp;v=2","FT")</f>
        <v>FT</v>
      </c>
      <c r="G33" s="17" t="s">
        <v>33</v>
      </c>
      <c r="H33" s="25" t="s">
        <v>67</v>
      </c>
      <c r="I33" s="2" t="s">
        <v>537</v>
      </c>
      <c r="J33" s="25" t="s">
        <v>27</v>
      </c>
      <c r="K33" s="31" t="s">
        <v>135</v>
      </c>
      <c r="L33" s="31" t="s">
        <v>53</v>
      </c>
      <c r="M33" s="32" t="s">
        <v>68</v>
      </c>
      <c r="N33" s="3" t="s">
        <v>118</v>
      </c>
      <c r="O33" s="31" t="s">
        <v>121</v>
      </c>
      <c r="P33" s="32" t="s">
        <v>642</v>
      </c>
      <c r="Q33" s="32" t="s">
        <v>45</v>
      </c>
      <c r="R33" s="31" t="s">
        <v>127</v>
      </c>
      <c r="S33" s="36">
        <v>1968300</v>
      </c>
      <c r="T33" s="2" t="s">
        <v>46</v>
      </c>
      <c r="U33" s="37">
        <v>8.3469850000000001</v>
      </c>
      <c r="V33" s="37">
        <v>4.34698486328125</v>
      </c>
      <c r="W33" s="38">
        <v>0.12</v>
      </c>
      <c r="X33" s="39">
        <v>236196</v>
      </c>
    </row>
    <row r="34" spans="1:24" x14ac:dyDescent="0.25">
      <c r="A34" s="24" t="s">
        <v>1021</v>
      </c>
      <c r="B34" s="24" t="s">
        <v>500</v>
      </c>
      <c r="C34" s="2" t="s">
        <v>499</v>
      </c>
      <c r="D34" s="32" t="s">
        <v>1114</v>
      </c>
      <c r="E34" s="32" t="s">
        <v>1205</v>
      </c>
      <c r="F34" s="26" t="str">
        <f>HYPERLINK("https://mapwv.gov/flood/map/?wkid=102100&amp;x=-8978056.843155&amp;y=4872850.092251641&amp;l=13&amp;v=2","FT")</f>
        <v>FT</v>
      </c>
      <c r="G34" s="17" t="s">
        <v>33</v>
      </c>
      <c r="H34" s="25" t="s">
        <v>26</v>
      </c>
      <c r="I34" s="2" t="s">
        <v>538</v>
      </c>
      <c r="J34" s="25" t="s">
        <v>27</v>
      </c>
      <c r="K34" s="31" t="s">
        <v>141</v>
      </c>
      <c r="L34" s="31" t="s">
        <v>52</v>
      </c>
      <c r="M34" s="32" t="s">
        <v>50</v>
      </c>
      <c r="N34" s="3" t="s">
        <v>36</v>
      </c>
      <c r="O34" s="31" t="s">
        <v>121</v>
      </c>
      <c r="P34" s="32" t="s">
        <v>643</v>
      </c>
      <c r="Q34" s="32" t="s">
        <v>31</v>
      </c>
      <c r="R34" s="31" t="s">
        <v>126</v>
      </c>
      <c r="S34" s="36">
        <v>1938800</v>
      </c>
      <c r="T34" s="2" t="s">
        <v>32</v>
      </c>
      <c r="U34" s="37">
        <v>0</v>
      </c>
      <c r="V34" s="37">
        <v>-1</v>
      </c>
      <c r="W34" s="38">
        <v>0</v>
      </c>
      <c r="X34" s="39">
        <v>0</v>
      </c>
    </row>
    <row r="35" spans="1:24" x14ac:dyDescent="0.25">
      <c r="A35" s="24" t="s">
        <v>1022</v>
      </c>
      <c r="B35" s="24" t="s">
        <v>500</v>
      </c>
      <c r="C35" s="2" t="s">
        <v>269</v>
      </c>
      <c r="D35" s="32" t="s">
        <v>1115</v>
      </c>
      <c r="E35" s="32" t="s">
        <v>1206</v>
      </c>
      <c r="F35" s="26" t="str">
        <f>HYPERLINK("https://mapwv.gov/flood/map/?wkid=102100&amp;x=-8986181.296483383&amp;y=4875760.617483267&amp;l=13&amp;v=2","FT")</f>
        <v>FT</v>
      </c>
      <c r="G35" s="17" t="s">
        <v>33</v>
      </c>
      <c r="H35" s="25" t="s">
        <v>26</v>
      </c>
      <c r="I35" s="2" t="s">
        <v>539</v>
      </c>
      <c r="J35" s="25" t="s">
        <v>41</v>
      </c>
      <c r="K35" s="31" t="s">
        <v>600</v>
      </c>
      <c r="L35" s="31" t="s">
        <v>28</v>
      </c>
      <c r="M35" s="32" t="s">
        <v>614</v>
      </c>
      <c r="N35" s="3" t="s">
        <v>44</v>
      </c>
      <c r="O35" s="31" t="s">
        <v>616</v>
      </c>
      <c r="P35" s="32" t="s">
        <v>644</v>
      </c>
      <c r="Q35" s="32" t="s">
        <v>45</v>
      </c>
      <c r="R35" s="31" t="s">
        <v>127</v>
      </c>
      <c r="S35" s="36">
        <v>1912700</v>
      </c>
      <c r="T35" s="2" t="s">
        <v>32</v>
      </c>
      <c r="U35" s="37">
        <v>1.2035522000000001</v>
      </c>
      <c r="V35" s="37">
        <v>-2.79644775390625</v>
      </c>
      <c r="W35" s="38">
        <v>8.1420898437500003E-3</v>
      </c>
      <c r="X35" s="39">
        <v>15573.3752441406</v>
      </c>
    </row>
    <row r="36" spans="1:24" x14ac:dyDescent="0.25">
      <c r="A36" s="24" t="s">
        <v>1023</v>
      </c>
      <c r="B36" s="24" t="s">
        <v>500</v>
      </c>
      <c r="C36" s="2" t="s">
        <v>501</v>
      </c>
      <c r="D36" s="32" t="s">
        <v>1116</v>
      </c>
      <c r="E36" s="32" t="s">
        <v>1207</v>
      </c>
      <c r="F36" s="26" t="str">
        <f>HYPERLINK("https://mapwv.gov/flood/map/?wkid=102100&amp;x=-8984580.41756545&amp;y=4877070.105775671&amp;l=13&amp;v=2","FT")</f>
        <v>FT</v>
      </c>
      <c r="G36" s="17" t="s">
        <v>33</v>
      </c>
      <c r="H36" s="25" t="s">
        <v>26</v>
      </c>
      <c r="I36" s="2" t="s">
        <v>540</v>
      </c>
      <c r="J36" s="25" t="s">
        <v>41</v>
      </c>
      <c r="K36" s="31" t="s">
        <v>601</v>
      </c>
      <c r="L36" s="31" t="s">
        <v>47</v>
      </c>
      <c r="M36" s="32" t="s">
        <v>70</v>
      </c>
      <c r="N36" s="3" t="s">
        <v>116</v>
      </c>
      <c r="O36" s="31" t="s">
        <v>122</v>
      </c>
      <c r="P36" s="32" t="s">
        <v>645</v>
      </c>
      <c r="Q36" s="32" t="s">
        <v>31</v>
      </c>
      <c r="R36" s="31" t="s">
        <v>126</v>
      </c>
      <c r="S36" s="36">
        <v>1837300</v>
      </c>
      <c r="T36" s="2" t="s">
        <v>46</v>
      </c>
      <c r="U36" s="37">
        <v>5.7058716</v>
      </c>
      <c r="V36" s="37">
        <v>4.70587158203125</v>
      </c>
      <c r="W36" s="38">
        <v>9.7058715820312502E-2</v>
      </c>
      <c r="X36" s="39">
        <v>178325.97857666001</v>
      </c>
    </row>
    <row r="37" spans="1:24" x14ac:dyDescent="0.25">
      <c r="A37" s="24" t="s">
        <v>1024</v>
      </c>
      <c r="B37" s="24" t="s">
        <v>500</v>
      </c>
      <c r="C37" s="2" t="s">
        <v>269</v>
      </c>
      <c r="D37" s="32" t="s">
        <v>1100</v>
      </c>
      <c r="E37" s="32" t="s">
        <v>1208</v>
      </c>
      <c r="F37" s="26" t="str">
        <f>HYPERLINK("https://mapwv.gov/flood/map/?wkid=102100&amp;x=-8987074.165406108&amp;y=4874738.183486686&amp;l=13&amp;v=2","FT")</f>
        <v>FT</v>
      </c>
      <c r="G37" s="17" t="s">
        <v>33</v>
      </c>
      <c r="H37" s="25" t="s">
        <v>67</v>
      </c>
      <c r="I37" s="2" t="s">
        <v>526</v>
      </c>
      <c r="J37" s="25" t="s">
        <v>27</v>
      </c>
      <c r="K37" s="31" t="s">
        <v>149</v>
      </c>
      <c r="L37" s="31" t="s">
        <v>34</v>
      </c>
      <c r="M37" s="32" t="s">
        <v>57</v>
      </c>
      <c r="N37" s="3" t="s">
        <v>36</v>
      </c>
      <c r="O37" s="31" t="s">
        <v>613</v>
      </c>
      <c r="P37" s="32" t="s">
        <v>646</v>
      </c>
      <c r="Q37" s="32" t="s">
        <v>45</v>
      </c>
      <c r="R37" s="31" t="s">
        <v>127</v>
      </c>
      <c r="S37" s="36">
        <v>1777800</v>
      </c>
      <c r="T37" s="2" t="s">
        <v>32</v>
      </c>
      <c r="U37" s="37">
        <v>10.365966999999999</v>
      </c>
      <c r="V37" s="37">
        <v>6.365966796875</v>
      </c>
      <c r="W37" s="38">
        <v>0.17365966796874999</v>
      </c>
      <c r="X37" s="39">
        <v>308732.15771484299</v>
      </c>
    </row>
    <row r="38" spans="1:24" x14ac:dyDescent="0.25">
      <c r="A38" s="24" t="s">
        <v>494</v>
      </c>
      <c r="B38" s="24" t="s">
        <v>500</v>
      </c>
      <c r="C38" s="2" t="s">
        <v>501</v>
      </c>
      <c r="D38" s="32" t="s">
        <v>511</v>
      </c>
      <c r="E38" s="32" t="s">
        <v>512</v>
      </c>
      <c r="F38" s="26" t="str">
        <f>HYPERLINK("https://mapwv.gov/flood/map/?wkid=102100&amp;x=-8983159.038877398&amp;y=4876445.3503134325&amp;l=13&amp;v=2","FT")</f>
        <v>FT</v>
      </c>
      <c r="G38" s="17" t="s">
        <v>56</v>
      </c>
      <c r="H38" s="25" t="s">
        <v>26</v>
      </c>
      <c r="I38" s="2" t="s">
        <v>541</v>
      </c>
      <c r="J38" s="25" t="s">
        <v>41</v>
      </c>
      <c r="K38" s="31" t="s">
        <v>181</v>
      </c>
      <c r="L38" s="31" t="s">
        <v>28</v>
      </c>
      <c r="M38" s="32" t="s">
        <v>70</v>
      </c>
      <c r="N38" s="3" t="s">
        <v>116</v>
      </c>
      <c r="O38" s="31" t="s">
        <v>120</v>
      </c>
      <c r="P38" s="32" t="s">
        <v>647</v>
      </c>
      <c r="Q38" s="32" t="s">
        <v>31</v>
      </c>
      <c r="R38" s="31" t="s">
        <v>126</v>
      </c>
      <c r="S38" s="36">
        <v>1716460</v>
      </c>
      <c r="T38" s="2" t="s">
        <v>32</v>
      </c>
      <c r="U38" s="37">
        <v>1.2869873000000001</v>
      </c>
      <c r="V38" s="37">
        <v>0.2869873046875</v>
      </c>
      <c r="W38" s="38">
        <v>1.4349365234375E-2</v>
      </c>
      <c r="X38" s="39">
        <v>24630.111450195302</v>
      </c>
    </row>
    <row r="39" spans="1:24" x14ac:dyDescent="0.25">
      <c r="A39" s="24" t="s">
        <v>1025</v>
      </c>
      <c r="B39" s="24" t="s">
        <v>500</v>
      </c>
      <c r="C39" s="2" t="s">
        <v>269</v>
      </c>
      <c r="D39" s="32" t="s">
        <v>1117</v>
      </c>
      <c r="E39" s="32" t="s">
        <v>1209</v>
      </c>
      <c r="F39" s="26" t="str">
        <f>HYPERLINK("https://mapwv.gov/flood/map/?wkid=102100&amp;x=-8986633.10010642&amp;y=4870889.341345118&amp;l=13&amp;v=2","FT")</f>
        <v>FT</v>
      </c>
      <c r="G39" s="17" t="s">
        <v>33</v>
      </c>
      <c r="H39" s="25" t="s">
        <v>26</v>
      </c>
      <c r="I39" s="2" t="s">
        <v>542</v>
      </c>
      <c r="J39" s="25" t="s">
        <v>41</v>
      </c>
      <c r="K39" s="31" t="s">
        <v>599</v>
      </c>
      <c r="L39" s="31" t="s">
        <v>55</v>
      </c>
      <c r="M39" s="32" t="s">
        <v>35</v>
      </c>
      <c r="N39" s="3" t="s">
        <v>119</v>
      </c>
      <c r="O39" s="31" t="s">
        <v>121</v>
      </c>
      <c r="P39" s="32" t="s">
        <v>648</v>
      </c>
      <c r="Q39" s="32" t="s">
        <v>45</v>
      </c>
      <c r="R39" s="31" t="s">
        <v>127</v>
      </c>
      <c r="S39" s="36">
        <v>1535300</v>
      </c>
      <c r="T39" s="2" t="s">
        <v>46</v>
      </c>
      <c r="U39" s="37">
        <v>3.6843262000000001</v>
      </c>
      <c r="V39" s="37">
        <v>-0.315673828125</v>
      </c>
      <c r="W39" s="38">
        <v>6.8432617187500003E-3</v>
      </c>
      <c r="X39" s="39">
        <v>10506.4597167968</v>
      </c>
    </row>
    <row r="40" spans="1:24" x14ac:dyDescent="0.25">
      <c r="A40" s="24" t="s">
        <v>1026</v>
      </c>
      <c r="B40" s="24" t="s">
        <v>500</v>
      </c>
      <c r="C40" s="2" t="s">
        <v>269</v>
      </c>
      <c r="D40" s="32" t="s">
        <v>1118</v>
      </c>
      <c r="E40" s="32" t="s">
        <v>1210</v>
      </c>
      <c r="F40" s="26" t="str">
        <f>HYPERLINK("https://mapwv.gov/flood/map/?wkid=102100&amp;x=-8983799.625106057&amp;y=4880967.634505023&amp;l=13&amp;v=2","FT")</f>
        <v>FT</v>
      </c>
      <c r="G40" s="17" t="s">
        <v>33</v>
      </c>
      <c r="H40" s="25" t="s">
        <v>26</v>
      </c>
      <c r="I40" s="2" t="s">
        <v>394</v>
      </c>
      <c r="J40" s="25" t="s">
        <v>27</v>
      </c>
      <c r="K40" s="31" t="s">
        <v>99</v>
      </c>
      <c r="L40" s="31" t="s">
        <v>28</v>
      </c>
      <c r="M40" s="32" t="s">
        <v>50</v>
      </c>
      <c r="N40" s="3" t="s">
        <v>36</v>
      </c>
      <c r="O40" s="31" t="s">
        <v>120</v>
      </c>
      <c r="P40" s="32" t="s">
        <v>649</v>
      </c>
      <c r="Q40" s="32" t="s">
        <v>31</v>
      </c>
      <c r="R40" s="31" t="s">
        <v>126</v>
      </c>
      <c r="S40" s="36">
        <v>1527000</v>
      </c>
      <c r="T40" s="2" t="s">
        <v>46</v>
      </c>
      <c r="U40" s="37">
        <v>0</v>
      </c>
      <c r="V40" s="37">
        <v>-1</v>
      </c>
      <c r="W40" s="38">
        <v>0</v>
      </c>
      <c r="X40" s="39">
        <v>0</v>
      </c>
    </row>
    <row r="41" spans="1:24" x14ac:dyDescent="0.25">
      <c r="A41" s="24" t="s">
        <v>1027</v>
      </c>
      <c r="B41" s="24" t="s">
        <v>500</v>
      </c>
      <c r="C41" s="2" t="s">
        <v>269</v>
      </c>
      <c r="D41" s="32" t="s">
        <v>1119</v>
      </c>
      <c r="E41" s="32" t="s">
        <v>1211</v>
      </c>
      <c r="F41" s="26" t="str">
        <f>HYPERLINK("https://mapwv.gov/flood/map/?wkid=102100&amp;x=-8985908.072366705&amp;y=4875279.540703035&amp;l=13&amp;v=2","FT")</f>
        <v>FT</v>
      </c>
      <c r="G41" s="17" t="s">
        <v>33</v>
      </c>
      <c r="H41" s="25" t="s">
        <v>26</v>
      </c>
      <c r="I41" s="2" t="s">
        <v>543</v>
      </c>
      <c r="J41" s="25" t="s">
        <v>41</v>
      </c>
      <c r="K41" s="31" t="s">
        <v>602</v>
      </c>
      <c r="L41" s="31" t="s">
        <v>42</v>
      </c>
      <c r="M41" s="32" t="s">
        <v>29</v>
      </c>
      <c r="N41" s="3" t="s">
        <v>117</v>
      </c>
      <c r="O41" s="31" t="s">
        <v>122</v>
      </c>
      <c r="P41" s="32" t="s">
        <v>650</v>
      </c>
      <c r="Q41" s="32" t="s">
        <v>45</v>
      </c>
      <c r="R41" s="31" t="s">
        <v>127</v>
      </c>
      <c r="S41" s="36">
        <v>1525700</v>
      </c>
      <c r="T41" s="2" t="s">
        <v>46</v>
      </c>
      <c r="U41" s="37">
        <v>0</v>
      </c>
      <c r="V41" s="37">
        <v>-4</v>
      </c>
      <c r="W41" s="38">
        <v>0</v>
      </c>
      <c r="X41" s="39">
        <v>0</v>
      </c>
    </row>
    <row r="42" spans="1:24" x14ac:dyDescent="0.25">
      <c r="A42" s="24" t="s">
        <v>1028</v>
      </c>
      <c r="B42" s="24" t="s">
        <v>500</v>
      </c>
      <c r="C42" s="2" t="s">
        <v>269</v>
      </c>
      <c r="D42" s="32" t="s">
        <v>1120</v>
      </c>
      <c r="E42" s="32" t="s">
        <v>1212</v>
      </c>
      <c r="F42" s="26" t="str">
        <f>HYPERLINK("https://mapwv.gov/flood/map/?wkid=102100&amp;x=-8986321.924392346&amp;y=4874105.924170173&amp;l=13&amp;v=2","FT")</f>
        <v>FT</v>
      </c>
      <c r="G42" s="17" t="s">
        <v>33</v>
      </c>
      <c r="H42" s="25" t="s">
        <v>26</v>
      </c>
      <c r="I42" s="2" t="s">
        <v>544</v>
      </c>
      <c r="J42" s="25" t="s">
        <v>41</v>
      </c>
      <c r="K42" s="31" t="s">
        <v>429</v>
      </c>
      <c r="L42" s="31" t="s">
        <v>52</v>
      </c>
      <c r="M42" s="32" t="s">
        <v>29</v>
      </c>
      <c r="N42" s="3" t="s">
        <v>117</v>
      </c>
      <c r="O42" s="31" t="s">
        <v>121</v>
      </c>
      <c r="P42" s="32" t="s">
        <v>651</v>
      </c>
      <c r="Q42" s="32" t="s">
        <v>31</v>
      </c>
      <c r="R42" s="31" t="s">
        <v>126</v>
      </c>
      <c r="S42" s="36">
        <v>1514200</v>
      </c>
      <c r="T42" s="2" t="s">
        <v>46</v>
      </c>
      <c r="U42" s="37">
        <v>5.6191405999999997</v>
      </c>
      <c r="V42" s="37">
        <v>4.619140625</v>
      </c>
      <c r="W42" s="38">
        <v>0.14000000000000001</v>
      </c>
      <c r="X42" s="39">
        <v>211988</v>
      </c>
    </row>
    <row r="43" spans="1:24" x14ac:dyDescent="0.25">
      <c r="A43" s="24" t="s">
        <v>1029</v>
      </c>
      <c r="B43" s="24" t="s">
        <v>500</v>
      </c>
      <c r="C43" s="2" t="s">
        <v>501</v>
      </c>
      <c r="D43" s="32" t="s">
        <v>1121</v>
      </c>
      <c r="E43" s="32" t="s">
        <v>1213</v>
      </c>
      <c r="F43" s="26" t="str">
        <f>HYPERLINK("https://mapwv.gov/flood/map/?wkid=102100&amp;x=-8985264.197760286&amp;y=4874858.398578801&amp;l=13&amp;v=2","FT")</f>
        <v>FT</v>
      </c>
      <c r="G43" s="17" t="s">
        <v>33</v>
      </c>
      <c r="H43" s="25" t="s">
        <v>26</v>
      </c>
      <c r="I43" s="2" t="s">
        <v>545</v>
      </c>
      <c r="J43" s="25" t="s">
        <v>27</v>
      </c>
      <c r="K43" s="31" t="s">
        <v>163</v>
      </c>
      <c r="L43" s="31" t="s">
        <v>53</v>
      </c>
      <c r="M43" s="32" t="s">
        <v>73</v>
      </c>
      <c r="N43" s="3" t="s">
        <v>36</v>
      </c>
      <c r="O43" s="31" t="s">
        <v>120</v>
      </c>
      <c r="P43" s="32" t="s">
        <v>652</v>
      </c>
      <c r="Q43" s="32" t="s">
        <v>31</v>
      </c>
      <c r="R43" s="31" t="s">
        <v>126</v>
      </c>
      <c r="S43" s="36">
        <v>1458000</v>
      </c>
      <c r="T43" s="2" t="s">
        <v>46</v>
      </c>
      <c r="U43" s="37">
        <v>0</v>
      </c>
      <c r="V43" s="37">
        <v>-1</v>
      </c>
      <c r="W43" s="38">
        <v>0</v>
      </c>
      <c r="X43" s="39">
        <v>0</v>
      </c>
    </row>
    <row r="44" spans="1:24" x14ac:dyDescent="0.25">
      <c r="A44" s="24" t="s">
        <v>1030</v>
      </c>
      <c r="B44" s="24" t="s">
        <v>500</v>
      </c>
      <c r="C44" s="2" t="s">
        <v>501</v>
      </c>
      <c r="D44" s="32" t="s">
        <v>1122</v>
      </c>
      <c r="E44" s="32" t="s">
        <v>1214</v>
      </c>
      <c r="F44" s="26" t="str">
        <f>HYPERLINK("https://mapwv.gov/flood/map/?wkid=102100&amp;x=-8984822.478235958&amp;y=4874893.380192083&amp;l=13&amp;v=2","FT")</f>
        <v>FT</v>
      </c>
      <c r="G44" s="17" t="s">
        <v>33</v>
      </c>
      <c r="H44" s="25" t="s">
        <v>26</v>
      </c>
      <c r="I44" s="2" t="s">
        <v>546</v>
      </c>
      <c r="J44" s="25" t="s">
        <v>41</v>
      </c>
      <c r="K44" s="31" t="s">
        <v>92</v>
      </c>
      <c r="L44" s="31" t="s">
        <v>28</v>
      </c>
      <c r="M44" s="32" t="s">
        <v>35</v>
      </c>
      <c r="N44" s="3" t="s">
        <v>119</v>
      </c>
      <c r="O44" s="31" t="s">
        <v>120</v>
      </c>
      <c r="P44" s="32" t="s">
        <v>653</v>
      </c>
      <c r="Q44" s="32" t="s">
        <v>31</v>
      </c>
      <c r="R44" s="31" t="s">
        <v>126</v>
      </c>
      <c r="S44" s="36">
        <v>1396400</v>
      </c>
      <c r="T44" s="2" t="s">
        <v>46</v>
      </c>
      <c r="U44" s="37">
        <v>0.4161377</v>
      </c>
      <c r="V44" s="37">
        <v>-0.5838623046875</v>
      </c>
      <c r="W44" s="38">
        <v>4.1613769531250004E-3</v>
      </c>
      <c r="X44" s="39">
        <v>5810.94677734375</v>
      </c>
    </row>
    <row r="45" spans="1:24" x14ac:dyDescent="0.25">
      <c r="A45" s="24" t="s">
        <v>1031</v>
      </c>
      <c r="B45" s="24" t="s">
        <v>500</v>
      </c>
      <c r="C45" s="2" t="s">
        <v>269</v>
      </c>
      <c r="D45" s="32" t="s">
        <v>1123</v>
      </c>
      <c r="E45" s="32" t="s">
        <v>1215</v>
      </c>
      <c r="F45" s="26" t="str">
        <f>HYPERLINK("https://mapwv.gov/flood/map/?wkid=102100&amp;x=-8986109.214664062&amp;y=4875730.222095257&amp;l=13&amp;v=2","FT")</f>
        <v>FT</v>
      </c>
      <c r="G45" s="17" t="s">
        <v>33</v>
      </c>
      <c r="H45" s="25" t="s">
        <v>26</v>
      </c>
      <c r="I45" s="2" t="s">
        <v>547</v>
      </c>
      <c r="J45" s="25" t="s">
        <v>41</v>
      </c>
      <c r="K45" s="31" t="s">
        <v>164</v>
      </c>
      <c r="L45" s="31" t="s">
        <v>49</v>
      </c>
      <c r="M45" s="32" t="s">
        <v>58</v>
      </c>
      <c r="N45" s="3" t="s">
        <v>36</v>
      </c>
      <c r="O45" s="31" t="s">
        <v>613</v>
      </c>
      <c r="P45" s="32" t="s">
        <v>654</v>
      </c>
      <c r="Q45" s="32" t="s">
        <v>45</v>
      </c>
      <c r="R45" s="31" t="s">
        <v>127</v>
      </c>
      <c r="S45" s="36">
        <v>1348300</v>
      </c>
      <c r="T45" s="2" t="s">
        <v>46</v>
      </c>
      <c r="U45" s="37">
        <v>0</v>
      </c>
      <c r="V45" s="37">
        <v>-4</v>
      </c>
      <c r="W45" s="38">
        <v>0</v>
      </c>
      <c r="X45" s="39">
        <v>0</v>
      </c>
    </row>
    <row r="46" spans="1:24" x14ac:dyDescent="0.25">
      <c r="A46" s="24" t="s">
        <v>1032</v>
      </c>
      <c r="B46" s="24" t="s">
        <v>500</v>
      </c>
      <c r="C46" s="2" t="s">
        <v>269</v>
      </c>
      <c r="D46" s="32" t="s">
        <v>1124</v>
      </c>
      <c r="E46" s="32" t="s">
        <v>1216</v>
      </c>
      <c r="F46" s="26" t="str">
        <f>HYPERLINK("https://mapwv.gov/flood/map/?wkid=102100&amp;x=-8986435.944716625&amp;y=4877131.775863525&amp;l=13&amp;v=2","FT")</f>
        <v>FT</v>
      </c>
      <c r="G46" s="17" t="s">
        <v>33</v>
      </c>
      <c r="H46" s="25" t="s">
        <v>26</v>
      </c>
      <c r="I46" s="2" t="s">
        <v>548</v>
      </c>
      <c r="J46" s="25" t="s">
        <v>27</v>
      </c>
      <c r="K46" s="31" t="s">
        <v>103</v>
      </c>
      <c r="L46" s="31" t="s">
        <v>55</v>
      </c>
      <c r="M46" s="32" t="s">
        <v>60</v>
      </c>
      <c r="N46" s="3" t="s">
        <v>44</v>
      </c>
      <c r="O46" s="31" t="s">
        <v>122</v>
      </c>
      <c r="P46" s="32" t="s">
        <v>655</v>
      </c>
      <c r="Q46" s="32" t="s">
        <v>31</v>
      </c>
      <c r="R46" s="31" t="s">
        <v>126</v>
      </c>
      <c r="S46" s="36">
        <v>1344600</v>
      </c>
      <c r="T46" s="2" t="s">
        <v>46</v>
      </c>
      <c r="U46" s="37">
        <v>0</v>
      </c>
      <c r="V46" s="37">
        <v>-1</v>
      </c>
      <c r="W46" s="38">
        <v>0</v>
      </c>
      <c r="X46" s="39">
        <v>0</v>
      </c>
    </row>
    <row r="47" spans="1:24" x14ac:dyDescent="0.25">
      <c r="A47" s="24" t="s">
        <v>1033</v>
      </c>
      <c r="B47" s="24" t="s">
        <v>500</v>
      </c>
      <c r="C47" s="2" t="s">
        <v>269</v>
      </c>
      <c r="D47" s="32" t="s">
        <v>1125</v>
      </c>
      <c r="E47" s="32" t="s">
        <v>1217</v>
      </c>
      <c r="F47" s="26" t="str">
        <f>HYPERLINK("https://mapwv.gov/flood/map/?wkid=102100&amp;x=-8986227.87033194&amp;y=4872625.133072759&amp;l=13&amp;v=2","FT")</f>
        <v>FT</v>
      </c>
      <c r="G47" s="17" t="s">
        <v>56</v>
      </c>
      <c r="H47" s="25" t="s">
        <v>26</v>
      </c>
      <c r="I47" s="2" t="s">
        <v>549</v>
      </c>
      <c r="J47" s="25" t="s">
        <v>37</v>
      </c>
      <c r="K47" s="31" t="s">
        <v>89</v>
      </c>
      <c r="L47" s="31"/>
      <c r="M47" s="32" t="s">
        <v>74</v>
      </c>
      <c r="N47" s="3" t="s">
        <v>117</v>
      </c>
      <c r="O47" s="31" t="s">
        <v>120</v>
      </c>
      <c r="P47" s="32" t="s">
        <v>656</v>
      </c>
      <c r="Q47" s="32" t="s">
        <v>31</v>
      </c>
      <c r="R47" s="31" t="s">
        <v>126</v>
      </c>
      <c r="S47" s="36">
        <v>1255900</v>
      </c>
      <c r="T47" s="2" t="s">
        <v>46</v>
      </c>
      <c r="U47" s="37">
        <v>5.6701660000000001E-2</v>
      </c>
      <c r="V47" s="37">
        <v>-0.94329833984375</v>
      </c>
      <c r="W47" s="38">
        <v>0</v>
      </c>
      <c r="X47" s="39">
        <v>0</v>
      </c>
    </row>
    <row r="48" spans="1:24" x14ac:dyDescent="0.25">
      <c r="A48" s="24" t="s">
        <v>1034</v>
      </c>
      <c r="B48" s="24" t="s">
        <v>500</v>
      </c>
      <c r="C48" s="2" t="s">
        <v>501</v>
      </c>
      <c r="D48" s="32" t="s">
        <v>1126</v>
      </c>
      <c r="E48" s="32" t="s">
        <v>1218</v>
      </c>
      <c r="F48" s="26" t="str">
        <f>HYPERLINK("https://mapwv.gov/flood/map/?wkid=102100&amp;x=-8985922.666463263&amp;y=4874936.171235288&amp;l=13&amp;v=2","FT")</f>
        <v>FT</v>
      </c>
      <c r="G48" s="17" t="s">
        <v>33</v>
      </c>
      <c r="H48" s="25" t="s">
        <v>26</v>
      </c>
      <c r="I48" s="2" t="s">
        <v>550</v>
      </c>
      <c r="J48" s="25" t="s">
        <v>41</v>
      </c>
      <c r="K48" s="31" t="s">
        <v>101</v>
      </c>
      <c r="L48" s="31" t="s">
        <v>59</v>
      </c>
      <c r="M48" s="32" t="s">
        <v>58</v>
      </c>
      <c r="N48" s="3" t="s">
        <v>36</v>
      </c>
      <c r="O48" s="31" t="s">
        <v>122</v>
      </c>
      <c r="P48" s="32" t="s">
        <v>657</v>
      </c>
      <c r="Q48" s="32" t="s">
        <v>45</v>
      </c>
      <c r="R48" s="31" t="s">
        <v>127</v>
      </c>
      <c r="S48" s="36">
        <v>1253400</v>
      </c>
      <c r="T48" s="2" t="s">
        <v>46</v>
      </c>
      <c r="U48" s="37">
        <v>0.51452637000000001</v>
      </c>
      <c r="V48" s="37">
        <v>-3.4854736328125</v>
      </c>
      <c r="W48" s="38">
        <v>0</v>
      </c>
      <c r="X48" s="39">
        <v>0</v>
      </c>
    </row>
    <row r="49" spans="1:24" x14ac:dyDescent="0.25">
      <c r="A49" s="24" t="s">
        <v>1036</v>
      </c>
      <c r="B49" s="24" t="s">
        <v>500</v>
      </c>
      <c r="C49" s="2" t="s">
        <v>269</v>
      </c>
      <c r="D49" s="32" t="s">
        <v>1128</v>
      </c>
      <c r="E49" s="32" t="s">
        <v>1220</v>
      </c>
      <c r="F49" s="26" t="str">
        <f>HYPERLINK("https://mapwv.gov/flood/map/?wkid=102100&amp;x=-8986135.334224101&amp;y=4874988.417284188&amp;l=13&amp;v=2","FT")</f>
        <v>FT</v>
      </c>
      <c r="G49" s="17" t="s">
        <v>33</v>
      </c>
      <c r="H49" s="25" t="s">
        <v>26</v>
      </c>
      <c r="I49" s="2" t="s">
        <v>551</v>
      </c>
      <c r="J49" s="25" t="s">
        <v>41</v>
      </c>
      <c r="K49" s="31" t="s">
        <v>164</v>
      </c>
      <c r="L49" s="31" t="s">
        <v>47</v>
      </c>
      <c r="M49" s="32" t="s">
        <v>58</v>
      </c>
      <c r="N49" s="3" t="s">
        <v>36</v>
      </c>
      <c r="O49" s="31" t="s">
        <v>122</v>
      </c>
      <c r="P49" s="32" t="s">
        <v>658</v>
      </c>
      <c r="Q49" s="32" t="s">
        <v>45</v>
      </c>
      <c r="R49" s="31" t="s">
        <v>127</v>
      </c>
      <c r="S49" s="36">
        <v>1197900</v>
      </c>
      <c r="T49" s="2" t="s">
        <v>46</v>
      </c>
      <c r="U49" s="37">
        <v>0.73815920000000002</v>
      </c>
      <c r="V49" s="37">
        <v>-3.2618408203125</v>
      </c>
      <c r="W49" s="38">
        <v>0</v>
      </c>
      <c r="X49" s="39">
        <v>0</v>
      </c>
    </row>
    <row r="50" spans="1:24" x14ac:dyDescent="0.25">
      <c r="A50" s="24" t="s">
        <v>1037</v>
      </c>
      <c r="B50" s="24" t="s">
        <v>500</v>
      </c>
      <c r="C50" s="2" t="s">
        <v>499</v>
      </c>
      <c r="D50" s="32" t="s">
        <v>1129</v>
      </c>
      <c r="E50" s="32" t="s">
        <v>1221</v>
      </c>
      <c r="F50" s="26" t="str">
        <f>HYPERLINK("https://mapwv.gov/flood/map/?wkid=102100&amp;x=-8978125.994711358&amp;y=4872807.523832726&amp;l=13&amp;v=2","FT")</f>
        <v>FT</v>
      </c>
      <c r="G50" s="17" t="s">
        <v>33</v>
      </c>
      <c r="H50" s="25" t="s">
        <v>26</v>
      </c>
      <c r="I50" s="2" t="s">
        <v>552</v>
      </c>
      <c r="J50" s="25" t="s">
        <v>27</v>
      </c>
      <c r="K50" s="31" t="s">
        <v>85</v>
      </c>
      <c r="L50" s="31"/>
      <c r="M50" s="32" t="s">
        <v>57</v>
      </c>
      <c r="N50" s="3" t="s">
        <v>36</v>
      </c>
      <c r="O50" s="31" t="s">
        <v>120</v>
      </c>
      <c r="P50" s="32" t="s">
        <v>659</v>
      </c>
      <c r="Q50" s="32" t="s">
        <v>31</v>
      </c>
      <c r="R50" s="31" t="s">
        <v>126</v>
      </c>
      <c r="S50" s="36">
        <v>1129300</v>
      </c>
      <c r="T50" s="2" t="s">
        <v>46</v>
      </c>
      <c r="U50" s="37">
        <v>0</v>
      </c>
      <c r="V50" s="37">
        <v>-1</v>
      </c>
      <c r="W50" s="38">
        <v>0</v>
      </c>
      <c r="X50" s="39">
        <v>0</v>
      </c>
    </row>
    <row r="51" spans="1:24" x14ac:dyDescent="0.25">
      <c r="A51" s="24" t="s">
        <v>1038</v>
      </c>
      <c r="B51" s="24" t="s">
        <v>500</v>
      </c>
      <c r="C51" s="2" t="s">
        <v>269</v>
      </c>
      <c r="D51" s="32" t="s">
        <v>1130</v>
      </c>
      <c r="E51" s="32" t="s">
        <v>1222</v>
      </c>
      <c r="F51" s="26" t="str">
        <f>HYPERLINK("https://mapwv.gov/flood/map/?wkid=102100&amp;x=-8986129.887584059&amp;y=4875003.085335872&amp;l=13&amp;v=2","FT")</f>
        <v>FT</v>
      </c>
      <c r="G51" s="17" t="s">
        <v>33</v>
      </c>
      <c r="H51" s="25" t="s">
        <v>26</v>
      </c>
      <c r="I51" s="2" t="s">
        <v>553</v>
      </c>
      <c r="J51" s="25" t="s">
        <v>41</v>
      </c>
      <c r="K51" s="31" t="s">
        <v>164</v>
      </c>
      <c r="L51" s="31" t="s">
        <v>47</v>
      </c>
      <c r="M51" s="32" t="s">
        <v>58</v>
      </c>
      <c r="N51" s="3" t="s">
        <v>36</v>
      </c>
      <c r="O51" s="31" t="s">
        <v>122</v>
      </c>
      <c r="P51" s="32" t="s">
        <v>660</v>
      </c>
      <c r="Q51" s="32" t="s">
        <v>45</v>
      </c>
      <c r="R51" s="31" t="s">
        <v>127</v>
      </c>
      <c r="S51" s="36">
        <v>1094600</v>
      </c>
      <c r="T51" s="2" t="s">
        <v>46</v>
      </c>
      <c r="U51" s="37">
        <v>0.35559081999999997</v>
      </c>
      <c r="V51" s="37">
        <v>-3.6444091796875</v>
      </c>
      <c r="W51" s="38">
        <v>0</v>
      </c>
      <c r="X51" s="39">
        <v>0</v>
      </c>
    </row>
    <row r="52" spans="1:24" x14ac:dyDescent="0.25">
      <c r="A52" s="24" t="s">
        <v>1039</v>
      </c>
      <c r="B52" s="24" t="s">
        <v>500</v>
      </c>
      <c r="C52" s="2" t="s">
        <v>269</v>
      </c>
      <c r="D52" s="32" t="s">
        <v>1131</v>
      </c>
      <c r="E52" s="32" t="s">
        <v>1223</v>
      </c>
      <c r="F52" s="26" t="str">
        <f>HYPERLINK("https://mapwv.gov/flood/map/?wkid=102100&amp;x=-8986413.505044995&amp;y=4871468.977570544&amp;l=13&amp;v=2","FT")</f>
        <v>FT</v>
      </c>
      <c r="G52" s="17" t="s">
        <v>33</v>
      </c>
      <c r="H52" s="25" t="s">
        <v>26</v>
      </c>
      <c r="I52" s="2" t="s">
        <v>554</v>
      </c>
      <c r="J52" s="25" t="s">
        <v>41</v>
      </c>
      <c r="K52" s="31" t="s">
        <v>168</v>
      </c>
      <c r="L52" s="31" t="s">
        <v>59</v>
      </c>
      <c r="M52" s="32" t="s">
        <v>29</v>
      </c>
      <c r="N52" s="3" t="s">
        <v>117</v>
      </c>
      <c r="O52" s="31" t="s">
        <v>120</v>
      </c>
      <c r="P52" s="32" t="s">
        <v>661</v>
      </c>
      <c r="Q52" s="32" t="s">
        <v>31</v>
      </c>
      <c r="R52" s="31" t="s">
        <v>126</v>
      </c>
      <c r="S52" s="36">
        <v>1091900</v>
      </c>
      <c r="T52" s="2" t="s">
        <v>46</v>
      </c>
      <c r="U52" s="37">
        <v>3.189209</v>
      </c>
      <c r="V52" s="37">
        <v>2.189208984375</v>
      </c>
      <c r="W52" s="38">
        <v>8.9460449218750002E-2</v>
      </c>
      <c r="X52" s="39">
        <v>97681.864501953096</v>
      </c>
    </row>
    <row r="53" spans="1:24" x14ac:dyDescent="0.25">
      <c r="A53" s="24" t="s">
        <v>1040</v>
      </c>
      <c r="B53" s="24" t="s">
        <v>500</v>
      </c>
      <c r="C53" s="2" t="s">
        <v>269</v>
      </c>
      <c r="D53" s="32" t="s">
        <v>1132</v>
      </c>
      <c r="E53" s="32" t="s">
        <v>1224</v>
      </c>
      <c r="F53" s="26" t="str">
        <f>HYPERLINK("https://mapwv.gov/flood/map/?wkid=102100&amp;x=-8983706.537187506&amp;y=4881041.125216428&amp;l=13&amp;v=2","FT")</f>
        <v>FT</v>
      </c>
      <c r="G53" s="17" t="s">
        <v>33</v>
      </c>
      <c r="H53" s="25" t="s">
        <v>26</v>
      </c>
      <c r="I53" s="2" t="s">
        <v>394</v>
      </c>
      <c r="J53" s="25" t="s">
        <v>27</v>
      </c>
      <c r="K53" s="31" t="s">
        <v>99</v>
      </c>
      <c r="L53" s="31" t="s">
        <v>28</v>
      </c>
      <c r="M53" s="32" t="s">
        <v>50</v>
      </c>
      <c r="N53" s="3" t="s">
        <v>36</v>
      </c>
      <c r="O53" s="31" t="s">
        <v>120</v>
      </c>
      <c r="P53" s="32" t="s">
        <v>662</v>
      </c>
      <c r="Q53" s="32" t="s">
        <v>31</v>
      </c>
      <c r="R53" s="31" t="s">
        <v>126</v>
      </c>
      <c r="S53" s="36">
        <v>1089000</v>
      </c>
      <c r="T53" s="2" t="s">
        <v>46</v>
      </c>
      <c r="U53" s="37">
        <v>0</v>
      </c>
      <c r="V53" s="37">
        <v>-1</v>
      </c>
      <c r="W53" s="38">
        <v>0</v>
      </c>
      <c r="X53" s="39">
        <v>0</v>
      </c>
    </row>
    <row r="54" spans="1:24" x14ac:dyDescent="0.25">
      <c r="A54" s="24" t="s">
        <v>496</v>
      </c>
      <c r="B54" s="24" t="s">
        <v>500</v>
      </c>
      <c r="C54" s="2" t="s">
        <v>501</v>
      </c>
      <c r="D54" s="32" t="s">
        <v>515</v>
      </c>
      <c r="E54" s="32" t="s">
        <v>516</v>
      </c>
      <c r="F54" s="26" t="str">
        <f>HYPERLINK("https://mapwv.gov/flood/map/?wkid=102100&amp;x=-8978947.320712425&amp;y=4872143.297619363&amp;l=13&amp;v=2","FT")</f>
        <v>FT</v>
      </c>
      <c r="G54" s="17" t="s">
        <v>56</v>
      </c>
      <c r="H54" s="25" t="s">
        <v>26</v>
      </c>
      <c r="I54" s="2" t="s">
        <v>555</v>
      </c>
      <c r="J54" s="25" t="s">
        <v>41</v>
      </c>
      <c r="K54" s="31" t="s">
        <v>151</v>
      </c>
      <c r="L54" s="31"/>
      <c r="M54" s="32" t="s">
        <v>68</v>
      </c>
      <c r="N54" s="3" t="s">
        <v>118</v>
      </c>
      <c r="O54" s="31" t="s">
        <v>120</v>
      </c>
      <c r="P54" s="32" t="s">
        <v>156</v>
      </c>
      <c r="Q54" s="32" t="s">
        <v>31</v>
      </c>
      <c r="R54" s="31" t="s">
        <v>126</v>
      </c>
      <c r="S54" s="36">
        <v>1059725</v>
      </c>
      <c r="T54" s="2" t="s">
        <v>128</v>
      </c>
      <c r="U54" s="37">
        <v>1.6011963</v>
      </c>
      <c r="V54" s="37">
        <v>0.6011962890625</v>
      </c>
      <c r="W54" s="38">
        <v>6.011962890625E-2</v>
      </c>
      <c r="X54" s="39">
        <v>63710.273742675701</v>
      </c>
    </row>
    <row r="55" spans="1:24" x14ac:dyDescent="0.25">
      <c r="A55" s="24" t="s">
        <v>1041</v>
      </c>
      <c r="B55" s="24" t="s">
        <v>500</v>
      </c>
      <c r="C55" s="2" t="s">
        <v>269</v>
      </c>
      <c r="D55" s="32" t="s">
        <v>1133</v>
      </c>
      <c r="E55" s="32" t="s">
        <v>1225</v>
      </c>
      <c r="F55" s="26" t="str">
        <f>HYPERLINK("https://mapwv.gov/flood/map/?wkid=102100&amp;x=-8985987.27395801&amp;y=4875204.503069078&amp;l=13&amp;v=2","FT")</f>
        <v>FT</v>
      </c>
      <c r="G55" s="17" t="s">
        <v>33</v>
      </c>
      <c r="H55" s="25" t="s">
        <v>26</v>
      </c>
      <c r="I55" s="2" t="s">
        <v>535</v>
      </c>
      <c r="J55" s="25" t="s">
        <v>41</v>
      </c>
      <c r="K55" s="31" t="s">
        <v>138</v>
      </c>
      <c r="L55" s="31" t="s">
        <v>40</v>
      </c>
      <c r="M55" s="32" t="s">
        <v>174</v>
      </c>
      <c r="N55" s="3" t="s">
        <v>116</v>
      </c>
      <c r="O55" s="31" t="s">
        <v>121</v>
      </c>
      <c r="P55" s="32" t="s">
        <v>663</v>
      </c>
      <c r="Q55" s="32" t="s">
        <v>31</v>
      </c>
      <c r="R55" s="31" t="s">
        <v>126</v>
      </c>
      <c r="S55" s="36">
        <v>1055200</v>
      </c>
      <c r="T55" s="2" t="s">
        <v>46</v>
      </c>
      <c r="U55" s="37">
        <v>3.9922485000000001</v>
      </c>
      <c r="V55" s="37">
        <v>2.99224853515625</v>
      </c>
      <c r="W55" s="38">
        <v>8.9844970703124999E-2</v>
      </c>
      <c r="X55" s="39">
        <v>94804.4130859375</v>
      </c>
    </row>
    <row r="56" spans="1:24" x14ac:dyDescent="0.25">
      <c r="A56" s="24" t="s">
        <v>1042</v>
      </c>
      <c r="B56" s="24" t="s">
        <v>500</v>
      </c>
      <c r="C56" s="2" t="s">
        <v>269</v>
      </c>
      <c r="D56" s="32" t="s">
        <v>1134</v>
      </c>
      <c r="E56" s="32" t="s">
        <v>1226</v>
      </c>
      <c r="F56" s="26" t="str">
        <f>HYPERLINK("https://mapwv.gov/flood/map/?wkid=102100&amp;x=-8986112.956446104&amp;y=4872242.507775207&amp;l=13&amp;v=2","FT")</f>
        <v>FT</v>
      </c>
      <c r="G56" s="17" t="s">
        <v>33</v>
      </c>
      <c r="H56" s="25" t="s">
        <v>26</v>
      </c>
      <c r="I56" s="2" t="s">
        <v>556</v>
      </c>
      <c r="J56" s="25" t="s">
        <v>41</v>
      </c>
      <c r="K56" s="31" t="s">
        <v>603</v>
      </c>
      <c r="L56" s="31" t="s">
        <v>34</v>
      </c>
      <c r="M56" s="32" t="s">
        <v>73</v>
      </c>
      <c r="N56" s="3" t="s">
        <v>36</v>
      </c>
      <c r="O56" s="31" t="s">
        <v>121</v>
      </c>
      <c r="P56" s="32" t="s">
        <v>664</v>
      </c>
      <c r="Q56" s="32" t="s">
        <v>31</v>
      </c>
      <c r="R56" s="31" t="s">
        <v>126</v>
      </c>
      <c r="S56" s="36">
        <v>1013800</v>
      </c>
      <c r="T56" s="2" t="s">
        <v>46</v>
      </c>
      <c r="U56" s="37">
        <v>3.9694824</v>
      </c>
      <c r="V56" s="37">
        <v>2.969482421875</v>
      </c>
      <c r="W56" s="38">
        <v>0.10908447265625</v>
      </c>
      <c r="X56" s="39">
        <v>110589.838378906</v>
      </c>
    </row>
    <row r="57" spans="1:24" x14ac:dyDescent="0.25">
      <c r="A57" s="24" t="s">
        <v>1043</v>
      </c>
      <c r="B57" s="24" t="s">
        <v>500</v>
      </c>
      <c r="C57" s="2" t="s">
        <v>269</v>
      </c>
      <c r="D57" s="32" t="s">
        <v>1135</v>
      </c>
      <c r="E57" s="32" t="s">
        <v>1227</v>
      </c>
      <c r="F57" s="26" t="str">
        <f>HYPERLINK("https://mapwv.gov/flood/map/?wkid=102100&amp;x=-8986394.093152186&amp;y=4877002.205911605&amp;l=13&amp;v=2","FT")</f>
        <v>FT</v>
      </c>
      <c r="G57" s="17" t="s">
        <v>33</v>
      </c>
      <c r="H57" s="25" t="s">
        <v>26</v>
      </c>
      <c r="I57" s="2" t="s">
        <v>557</v>
      </c>
      <c r="J57" s="25" t="s">
        <v>27</v>
      </c>
      <c r="K57" s="31" t="s">
        <v>103</v>
      </c>
      <c r="L57" s="31" t="s">
        <v>55</v>
      </c>
      <c r="M57" s="32" t="s">
        <v>60</v>
      </c>
      <c r="N57" s="3" t="s">
        <v>44</v>
      </c>
      <c r="O57" s="31" t="s">
        <v>122</v>
      </c>
      <c r="P57" s="32" t="s">
        <v>665</v>
      </c>
      <c r="Q57" s="32" t="s">
        <v>31</v>
      </c>
      <c r="R57" s="31" t="s">
        <v>126</v>
      </c>
      <c r="S57" s="36">
        <v>991700</v>
      </c>
      <c r="T57" s="2" t="s">
        <v>46</v>
      </c>
      <c r="U57" s="37">
        <v>0</v>
      </c>
      <c r="V57" s="37">
        <v>-1</v>
      </c>
      <c r="W57" s="38">
        <v>0</v>
      </c>
      <c r="X57" s="39">
        <v>0</v>
      </c>
    </row>
    <row r="58" spans="1:24" x14ac:dyDescent="0.25">
      <c r="A58" s="24" t="s">
        <v>1044</v>
      </c>
      <c r="B58" s="24" t="s">
        <v>500</v>
      </c>
      <c r="C58" s="2" t="s">
        <v>501</v>
      </c>
      <c r="D58" s="32" t="s">
        <v>1136</v>
      </c>
      <c r="E58" s="32" t="s">
        <v>1228</v>
      </c>
      <c r="F58" s="26" t="str">
        <f>HYPERLINK("https://mapwv.gov/flood/map/?wkid=102100&amp;x=-8984691.562952558&amp;y=4877039.842975864&amp;l=13&amp;v=2","FT")</f>
        <v>FT</v>
      </c>
      <c r="G58" s="17" t="s">
        <v>33</v>
      </c>
      <c r="H58" s="25" t="s">
        <v>26</v>
      </c>
      <c r="I58" s="2" t="s">
        <v>558</v>
      </c>
      <c r="J58" s="25" t="s">
        <v>27</v>
      </c>
      <c r="K58" s="31" t="s">
        <v>604</v>
      </c>
      <c r="L58" s="31" t="s">
        <v>55</v>
      </c>
      <c r="M58" s="32" t="s">
        <v>58</v>
      </c>
      <c r="N58" s="3" t="s">
        <v>36</v>
      </c>
      <c r="O58" s="31" t="s">
        <v>120</v>
      </c>
      <c r="P58" s="32" t="s">
        <v>666</v>
      </c>
      <c r="Q58" s="32" t="s">
        <v>31</v>
      </c>
      <c r="R58" s="31" t="s">
        <v>126</v>
      </c>
      <c r="S58" s="36">
        <v>964800</v>
      </c>
      <c r="T58" s="2" t="s">
        <v>46</v>
      </c>
      <c r="U58" s="37">
        <v>1.9909057999999999</v>
      </c>
      <c r="V58" s="37">
        <v>0.99090576171875</v>
      </c>
      <c r="W58" s="38">
        <v>0.109181518554687</v>
      </c>
      <c r="X58" s="39">
        <v>105338.32910156201</v>
      </c>
    </row>
    <row r="59" spans="1:24" x14ac:dyDescent="0.25">
      <c r="A59" s="24" t="s">
        <v>1045</v>
      </c>
      <c r="B59" s="24" t="s">
        <v>500</v>
      </c>
      <c r="C59" s="2" t="s">
        <v>499</v>
      </c>
      <c r="D59" s="32" t="s">
        <v>1137</v>
      </c>
      <c r="E59" s="32" t="s">
        <v>1229</v>
      </c>
      <c r="F59" s="26" t="str">
        <f>HYPERLINK("https://mapwv.gov/flood/map/?wkid=102100&amp;x=-8977807.063145723&amp;y=4873006.123776347&amp;l=13&amp;v=2","FT")</f>
        <v>FT</v>
      </c>
      <c r="G59" s="17" t="s">
        <v>33</v>
      </c>
      <c r="H59" s="25" t="s">
        <v>26</v>
      </c>
      <c r="I59" s="2" t="s">
        <v>538</v>
      </c>
      <c r="J59" s="25" t="s">
        <v>41</v>
      </c>
      <c r="K59" s="31" t="s">
        <v>181</v>
      </c>
      <c r="L59" s="31" t="s">
        <v>49</v>
      </c>
      <c r="M59" s="32" t="s">
        <v>58</v>
      </c>
      <c r="N59" s="3" t="s">
        <v>36</v>
      </c>
      <c r="O59" s="31" t="s">
        <v>121</v>
      </c>
      <c r="P59" s="32" t="s">
        <v>667</v>
      </c>
      <c r="Q59" s="32" t="s">
        <v>31</v>
      </c>
      <c r="R59" s="31" t="s">
        <v>126</v>
      </c>
      <c r="S59" s="36">
        <v>941600</v>
      </c>
      <c r="T59" s="2" t="s">
        <v>46</v>
      </c>
      <c r="U59" s="37">
        <v>1.9473267000000001</v>
      </c>
      <c r="V59" s="37">
        <v>0.94732666015625</v>
      </c>
      <c r="W59" s="38">
        <v>0.105259399414062</v>
      </c>
      <c r="X59" s="39">
        <v>99112.250488281206</v>
      </c>
    </row>
    <row r="60" spans="1:24" x14ac:dyDescent="0.25">
      <c r="A60" s="24" t="s">
        <v>1046</v>
      </c>
      <c r="B60" s="24" t="s">
        <v>500</v>
      </c>
      <c r="C60" s="2" t="s">
        <v>501</v>
      </c>
      <c r="D60" s="32" t="s">
        <v>1138</v>
      </c>
      <c r="E60" s="32" t="s">
        <v>1230</v>
      </c>
      <c r="F60" s="26" t="str">
        <f>HYPERLINK("https://mapwv.gov/flood/map/?wkid=102100&amp;x=-8981828.064306289&amp;y=4876221.051834314&amp;l=13&amp;v=2","FT")</f>
        <v>FT</v>
      </c>
      <c r="G60" s="17" t="s">
        <v>33</v>
      </c>
      <c r="H60" s="25" t="s">
        <v>26</v>
      </c>
      <c r="I60" s="2" t="s">
        <v>559</v>
      </c>
      <c r="J60" s="25" t="s">
        <v>41</v>
      </c>
      <c r="K60" s="31" t="s">
        <v>110</v>
      </c>
      <c r="L60" s="31" t="s">
        <v>59</v>
      </c>
      <c r="M60" s="32" t="s">
        <v>50</v>
      </c>
      <c r="N60" s="3" t="s">
        <v>36</v>
      </c>
      <c r="O60" s="31" t="s">
        <v>120</v>
      </c>
      <c r="P60" s="32" t="s">
        <v>668</v>
      </c>
      <c r="Q60" s="32" t="s">
        <v>45</v>
      </c>
      <c r="R60" s="31" t="s">
        <v>127</v>
      </c>
      <c r="S60" s="36">
        <v>933900</v>
      </c>
      <c r="T60" s="2" t="s">
        <v>46</v>
      </c>
      <c r="U60" s="37">
        <v>0.32678223000000001</v>
      </c>
      <c r="V60" s="37">
        <v>-3.6732177734375</v>
      </c>
      <c r="W60" s="38">
        <v>0</v>
      </c>
      <c r="X60" s="39">
        <v>0</v>
      </c>
    </row>
    <row r="61" spans="1:24" x14ac:dyDescent="0.25">
      <c r="A61" s="24" t="s">
        <v>1047</v>
      </c>
      <c r="B61" s="24" t="s">
        <v>500</v>
      </c>
      <c r="C61" s="2" t="s">
        <v>269</v>
      </c>
      <c r="D61" s="32" t="s">
        <v>1139</v>
      </c>
      <c r="E61" s="32" t="s">
        <v>1231</v>
      </c>
      <c r="F61" s="26" t="str">
        <f>HYPERLINK("https://mapwv.gov/flood/map/?wkid=102100&amp;x=-8986082.905749569&amp;y=4873504.856278094&amp;l=13&amp;v=2","FT")</f>
        <v>FT</v>
      </c>
      <c r="G61" s="17" t="s">
        <v>33</v>
      </c>
      <c r="H61" s="25" t="s">
        <v>26</v>
      </c>
      <c r="I61" s="2" t="s">
        <v>560</v>
      </c>
      <c r="J61" s="25" t="s">
        <v>27</v>
      </c>
      <c r="K61" s="31" t="s">
        <v>171</v>
      </c>
      <c r="L61" s="31" t="s">
        <v>53</v>
      </c>
      <c r="M61" s="32" t="s">
        <v>57</v>
      </c>
      <c r="N61" s="3" t="s">
        <v>36</v>
      </c>
      <c r="O61" s="31" t="s">
        <v>120</v>
      </c>
      <c r="P61" s="32" t="s">
        <v>669</v>
      </c>
      <c r="Q61" s="32" t="s">
        <v>31</v>
      </c>
      <c r="R61" s="31" t="s">
        <v>126</v>
      </c>
      <c r="S61" s="36">
        <v>931000</v>
      </c>
      <c r="T61" s="2" t="s">
        <v>46</v>
      </c>
      <c r="U61" s="37">
        <v>0</v>
      </c>
      <c r="V61" s="37">
        <v>-1</v>
      </c>
      <c r="W61" s="38">
        <v>0</v>
      </c>
      <c r="X61" s="39">
        <v>0</v>
      </c>
    </row>
    <row r="62" spans="1:24" x14ac:dyDescent="0.25">
      <c r="A62" s="24" t="s">
        <v>1048</v>
      </c>
      <c r="B62" s="24" t="s">
        <v>500</v>
      </c>
      <c r="C62" s="2" t="s">
        <v>501</v>
      </c>
      <c r="D62" s="32" t="s">
        <v>1140</v>
      </c>
      <c r="E62" s="32" t="s">
        <v>1232</v>
      </c>
      <c r="F62" s="26" t="str">
        <f>HYPERLINK("https://mapwv.gov/flood/map/?wkid=102100&amp;x=-8984003.51599296&amp;y=4876851.435340356&amp;l=13&amp;v=2","FT")</f>
        <v>FT</v>
      </c>
      <c r="G62" s="17" t="s">
        <v>33</v>
      </c>
      <c r="H62" s="25" t="s">
        <v>26</v>
      </c>
      <c r="I62" s="2" t="s">
        <v>561</v>
      </c>
      <c r="J62" s="25" t="s">
        <v>27</v>
      </c>
      <c r="K62" s="31" t="s">
        <v>86</v>
      </c>
      <c r="L62" s="31" t="s">
        <v>28</v>
      </c>
      <c r="M62" s="32" t="s">
        <v>50</v>
      </c>
      <c r="N62" s="3" t="s">
        <v>36</v>
      </c>
      <c r="O62" s="31" t="s">
        <v>120</v>
      </c>
      <c r="P62" s="32" t="s">
        <v>670</v>
      </c>
      <c r="Q62" s="32" t="s">
        <v>31</v>
      </c>
      <c r="R62" s="31" t="s">
        <v>126</v>
      </c>
      <c r="S62" s="36">
        <v>898500</v>
      </c>
      <c r="T62" s="2" t="s">
        <v>46</v>
      </c>
      <c r="U62" s="37">
        <v>0</v>
      </c>
      <c r="V62" s="37">
        <v>-1</v>
      </c>
      <c r="W62" s="38">
        <v>0</v>
      </c>
      <c r="X62" s="39">
        <v>0</v>
      </c>
    </row>
    <row r="63" spans="1:24" x14ac:dyDescent="0.25">
      <c r="A63" s="24" t="s">
        <v>1049</v>
      </c>
      <c r="B63" s="24" t="s">
        <v>500</v>
      </c>
      <c r="C63" s="2" t="s">
        <v>269</v>
      </c>
      <c r="D63" s="32" t="s">
        <v>1141</v>
      </c>
      <c r="E63" s="32" t="s">
        <v>1233</v>
      </c>
      <c r="F63" s="26" t="str">
        <f>HYPERLINK("https://mapwv.gov/flood/map/?wkid=102100&amp;x=-8986365.447307618&amp;y=4874727.046675154&amp;l=13&amp;v=2","FT")</f>
        <v>FT</v>
      </c>
      <c r="G63" s="17" t="s">
        <v>33</v>
      </c>
      <c r="H63" s="25" t="s">
        <v>26</v>
      </c>
      <c r="I63" s="2" t="s">
        <v>562</v>
      </c>
      <c r="J63" s="25" t="s">
        <v>41</v>
      </c>
      <c r="K63" s="31" t="s">
        <v>164</v>
      </c>
      <c r="L63" s="31" t="s">
        <v>59</v>
      </c>
      <c r="M63" s="32" t="s">
        <v>58</v>
      </c>
      <c r="N63" s="3" t="s">
        <v>36</v>
      </c>
      <c r="O63" s="31" t="s">
        <v>122</v>
      </c>
      <c r="P63" s="32" t="s">
        <v>671</v>
      </c>
      <c r="Q63" s="32" t="s">
        <v>45</v>
      </c>
      <c r="R63" s="31" t="s">
        <v>127</v>
      </c>
      <c r="S63" s="36">
        <v>877000</v>
      </c>
      <c r="T63" s="2" t="s">
        <v>46</v>
      </c>
      <c r="U63" s="37">
        <v>4.0307617000000002</v>
      </c>
      <c r="V63" s="37">
        <v>3.076171875E-2</v>
      </c>
      <c r="W63" s="38">
        <v>2.2768554687500001E-2</v>
      </c>
      <c r="X63" s="39">
        <v>19968.0224609375</v>
      </c>
    </row>
    <row r="64" spans="1:24" x14ac:dyDescent="0.25">
      <c r="A64" s="24" t="s">
        <v>1050</v>
      </c>
      <c r="B64" s="24" t="s">
        <v>500</v>
      </c>
      <c r="C64" s="2" t="s">
        <v>502</v>
      </c>
      <c r="D64" s="32" t="s">
        <v>1142</v>
      </c>
      <c r="E64" s="32" t="s">
        <v>1234</v>
      </c>
      <c r="F64" s="26" t="str">
        <f>HYPERLINK("https://mapwv.gov/flood/map/?wkid=102100&amp;x=-8982848.67434845&amp;y=4877209.127300166&amp;l=13&amp;v=2","FT")</f>
        <v>FT</v>
      </c>
      <c r="G64" s="17" t="s">
        <v>33</v>
      </c>
      <c r="H64" s="25" t="s">
        <v>26</v>
      </c>
      <c r="I64" s="2" t="s">
        <v>563</v>
      </c>
      <c r="J64" s="25" t="s">
        <v>41</v>
      </c>
      <c r="K64" s="31" t="s">
        <v>96</v>
      </c>
      <c r="L64" s="31" t="s">
        <v>53</v>
      </c>
      <c r="M64" s="32" t="s">
        <v>48</v>
      </c>
      <c r="N64" s="3" t="s">
        <v>36</v>
      </c>
      <c r="O64" s="31" t="s">
        <v>120</v>
      </c>
      <c r="P64" s="32" t="s">
        <v>672</v>
      </c>
      <c r="Q64" s="32" t="s">
        <v>31</v>
      </c>
      <c r="R64" s="31" t="s">
        <v>126</v>
      </c>
      <c r="S64" s="36">
        <v>845300</v>
      </c>
      <c r="T64" s="2" t="s">
        <v>46</v>
      </c>
      <c r="U64" s="37">
        <v>0</v>
      </c>
      <c r="V64" s="37">
        <v>-1</v>
      </c>
      <c r="W64" s="38">
        <v>0</v>
      </c>
      <c r="X64" s="39">
        <v>0</v>
      </c>
    </row>
    <row r="65" spans="1:24" x14ac:dyDescent="0.25">
      <c r="A65" s="24" t="s">
        <v>1051</v>
      </c>
      <c r="B65" s="24" t="s">
        <v>500</v>
      </c>
      <c r="C65" s="2" t="s">
        <v>269</v>
      </c>
      <c r="D65" s="32" t="s">
        <v>1143</v>
      </c>
      <c r="E65" s="32" t="s">
        <v>1235</v>
      </c>
      <c r="F65" s="26" t="str">
        <f>HYPERLINK("https://mapwv.gov/flood/map/?wkid=102100&amp;x=-8983636.01395238&amp;y=4881940.156760173&amp;l=13&amp;v=2","FT")</f>
        <v>FT</v>
      </c>
      <c r="G65" s="17" t="s">
        <v>33</v>
      </c>
      <c r="H65" s="25" t="s">
        <v>26</v>
      </c>
      <c r="I65" s="2" t="s">
        <v>564</v>
      </c>
      <c r="J65" s="25" t="s">
        <v>41</v>
      </c>
      <c r="K65" s="31" t="s">
        <v>95</v>
      </c>
      <c r="L65" s="31" t="s">
        <v>55</v>
      </c>
      <c r="M65" s="32" t="s">
        <v>73</v>
      </c>
      <c r="N65" s="3" t="s">
        <v>36</v>
      </c>
      <c r="O65" s="31" t="s">
        <v>122</v>
      </c>
      <c r="P65" s="32" t="s">
        <v>673</v>
      </c>
      <c r="Q65" s="32" t="s">
        <v>31</v>
      </c>
      <c r="R65" s="31" t="s">
        <v>126</v>
      </c>
      <c r="S65" s="36">
        <v>778500</v>
      </c>
      <c r="T65" s="2" t="s">
        <v>46</v>
      </c>
      <c r="U65" s="37">
        <v>1.1177368000000001</v>
      </c>
      <c r="V65" s="37">
        <v>0.11773681640625</v>
      </c>
      <c r="W65" s="38">
        <v>5.8868408203125002E-3</v>
      </c>
      <c r="X65" s="39">
        <v>4582.9055786132803</v>
      </c>
    </row>
    <row r="66" spans="1:24" x14ac:dyDescent="0.25">
      <c r="A66" s="24" t="s">
        <v>1052</v>
      </c>
      <c r="B66" s="24" t="s">
        <v>500</v>
      </c>
      <c r="C66" s="2" t="s">
        <v>269</v>
      </c>
      <c r="D66" s="32" t="s">
        <v>1144</v>
      </c>
      <c r="E66" s="32" t="s">
        <v>1236</v>
      </c>
      <c r="F66" s="26" t="str">
        <f>HYPERLINK("https://mapwv.gov/flood/map/?wkid=102100&amp;x=-8987485.650556734&amp;y=4876349.413916975&amp;l=13&amp;v=2","FT")</f>
        <v>FT</v>
      </c>
      <c r="G66" s="17" t="s">
        <v>33</v>
      </c>
      <c r="H66" s="25" t="s">
        <v>26</v>
      </c>
      <c r="I66" s="2" t="s">
        <v>565</v>
      </c>
      <c r="J66" s="25" t="s">
        <v>41</v>
      </c>
      <c r="K66" s="31" t="s">
        <v>138</v>
      </c>
      <c r="L66" s="31" t="s">
        <v>38</v>
      </c>
      <c r="M66" s="32" t="s">
        <v>58</v>
      </c>
      <c r="N66" s="3" t="s">
        <v>36</v>
      </c>
      <c r="O66" s="31" t="s">
        <v>121</v>
      </c>
      <c r="P66" s="32" t="s">
        <v>674</v>
      </c>
      <c r="Q66" s="32" t="s">
        <v>31</v>
      </c>
      <c r="R66" s="31" t="s">
        <v>126</v>
      </c>
      <c r="S66" s="36">
        <v>757700</v>
      </c>
      <c r="T66" s="2" t="s">
        <v>46</v>
      </c>
      <c r="U66" s="37">
        <v>10.377014000000001</v>
      </c>
      <c r="V66" s="37">
        <v>9.37701416015625</v>
      </c>
      <c r="W66" s="38">
        <v>0.481310424804687</v>
      </c>
      <c r="X66" s="39">
        <v>364688.90887451102</v>
      </c>
    </row>
    <row r="67" spans="1:24" x14ac:dyDescent="0.25">
      <c r="A67" s="24" t="s">
        <v>1053</v>
      </c>
      <c r="B67" s="24" t="s">
        <v>500</v>
      </c>
      <c r="C67" s="2" t="s">
        <v>501</v>
      </c>
      <c r="D67" s="32" t="s">
        <v>1145</v>
      </c>
      <c r="E67" s="32" t="s">
        <v>1237</v>
      </c>
      <c r="F67" s="26" t="str">
        <f>HYPERLINK("https://mapwv.gov/flood/map/?wkid=102100&amp;x=-8981649.725027384&amp;y=4876422.039003074&amp;l=13&amp;v=2","FT")</f>
        <v>FT</v>
      </c>
      <c r="G67" s="17" t="s">
        <v>33</v>
      </c>
      <c r="H67" s="25" t="s">
        <v>26</v>
      </c>
      <c r="I67" s="2" t="s">
        <v>566</v>
      </c>
      <c r="J67" s="25" t="s">
        <v>41</v>
      </c>
      <c r="K67" s="31" t="s">
        <v>151</v>
      </c>
      <c r="L67" s="31"/>
      <c r="M67" s="32" t="s">
        <v>68</v>
      </c>
      <c r="N67" s="3" t="s">
        <v>118</v>
      </c>
      <c r="O67" s="31" t="s">
        <v>120</v>
      </c>
      <c r="P67" s="32" t="s">
        <v>675</v>
      </c>
      <c r="Q67" s="32" t="s">
        <v>31</v>
      </c>
      <c r="R67" s="31" t="s">
        <v>126</v>
      </c>
      <c r="S67" s="36">
        <v>749080</v>
      </c>
      <c r="T67" s="2" t="s">
        <v>128</v>
      </c>
      <c r="U67" s="37">
        <v>0</v>
      </c>
      <c r="V67" s="37">
        <v>-1</v>
      </c>
      <c r="W67" s="38">
        <v>0</v>
      </c>
      <c r="X67" s="39">
        <v>0</v>
      </c>
    </row>
    <row r="68" spans="1:24" x14ac:dyDescent="0.25">
      <c r="A68" s="24" t="s">
        <v>1054</v>
      </c>
      <c r="B68" s="24" t="s">
        <v>500</v>
      </c>
      <c r="C68" s="2" t="s">
        <v>501</v>
      </c>
      <c r="D68" s="32" t="s">
        <v>1146</v>
      </c>
      <c r="E68" s="32" t="s">
        <v>1238</v>
      </c>
      <c r="F68" s="26" t="str">
        <f>HYPERLINK("https://mapwv.gov/flood/map/?wkid=102100&amp;x=-8984893.119692381&amp;y=4877220.711933342&amp;l=13&amp;v=2","FT")</f>
        <v>FT</v>
      </c>
      <c r="G68" s="17" t="s">
        <v>33</v>
      </c>
      <c r="H68" s="25" t="s">
        <v>26</v>
      </c>
      <c r="I68" s="2" t="s">
        <v>69</v>
      </c>
      <c r="J68" s="25" t="s">
        <v>27</v>
      </c>
      <c r="K68" s="31" t="s">
        <v>134</v>
      </c>
      <c r="L68" s="31" t="s">
        <v>28</v>
      </c>
      <c r="M68" s="32" t="s">
        <v>73</v>
      </c>
      <c r="N68" s="3" t="s">
        <v>36</v>
      </c>
      <c r="O68" s="31" t="s">
        <v>120</v>
      </c>
      <c r="P68" s="32" t="s">
        <v>676</v>
      </c>
      <c r="Q68" s="32" t="s">
        <v>31</v>
      </c>
      <c r="R68" s="31" t="s">
        <v>126</v>
      </c>
      <c r="S68" s="36">
        <v>738800</v>
      </c>
      <c r="T68" s="2" t="s">
        <v>46</v>
      </c>
      <c r="U68" s="37">
        <v>3.6356199999999999</v>
      </c>
      <c r="V68" s="37">
        <v>2.6356201171875</v>
      </c>
      <c r="W68" s="38">
        <v>9.9068603515625006E-2</v>
      </c>
      <c r="X68" s="39">
        <v>73191.884277343706</v>
      </c>
    </row>
    <row r="69" spans="1:24" x14ac:dyDescent="0.25">
      <c r="A69" s="24" t="s">
        <v>1055</v>
      </c>
      <c r="B69" s="24" t="s">
        <v>500</v>
      </c>
      <c r="C69" s="2" t="s">
        <v>269</v>
      </c>
      <c r="D69" s="32" t="s">
        <v>1147</v>
      </c>
      <c r="E69" s="32" t="s">
        <v>1239</v>
      </c>
      <c r="F69" s="26" t="str">
        <f>HYPERLINK("https://mapwv.gov/flood/map/?wkid=102100&amp;x=-8987136.400348548&amp;y=4875968.8321582815&amp;l=13&amp;v=2","FT")</f>
        <v>FT</v>
      </c>
      <c r="G69" s="17" t="s">
        <v>33</v>
      </c>
      <c r="H69" s="25" t="s">
        <v>26</v>
      </c>
      <c r="I69" s="2" t="s">
        <v>567</v>
      </c>
      <c r="J69" s="25" t="s">
        <v>41</v>
      </c>
      <c r="K69" s="31" t="s">
        <v>164</v>
      </c>
      <c r="L69" s="31" t="s">
        <v>28</v>
      </c>
      <c r="M69" s="32" t="s">
        <v>68</v>
      </c>
      <c r="N69" s="3" t="s">
        <v>118</v>
      </c>
      <c r="O69" s="31" t="s">
        <v>120</v>
      </c>
      <c r="P69" s="32" t="s">
        <v>677</v>
      </c>
      <c r="Q69" s="32" t="s">
        <v>31</v>
      </c>
      <c r="R69" s="31" t="s">
        <v>126</v>
      </c>
      <c r="S69" s="36">
        <v>738460</v>
      </c>
      <c r="T69" s="2" t="s">
        <v>32</v>
      </c>
      <c r="U69" s="37">
        <v>6.4970093000000002</v>
      </c>
      <c r="V69" s="37">
        <v>5.49700927734375</v>
      </c>
      <c r="W69" s="38">
        <v>0.124970092773437</v>
      </c>
      <c r="X69" s="39">
        <v>92285.414709472607</v>
      </c>
    </row>
    <row r="70" spans="1:24" x14ac:dyDescent="0.25">
      <c r="A70" s="24" t="s">
        <v>1056</v>
      </c>
      <c r="B70" s="24" t="s">
        <v>500</v>
      </c>
      <c r="C70" s="2" t="s">
        <v>502</v>
      </c>
      <c r="D70" s="32" t="s">
        <v>1148</v>
      </c>
      <c r="E70" s="32" t="s">
        <v>1240</v>
      </c>
      <c r="F70" s="26" t="str">
        <f>HYPERLINK("https://mapwv.gov/flood/map/?wkid=102100&amp;x=-8983171.374301493&amp;y=4877014.1256333785&amp;l=13&amp;v=2","FT")</f>
        <v>FT</v>
      </c>
      <c r="G70" s="17" t="s">
        <v>33</v>
      </c>
      <c r="H70" s="25" t="s">
        <v>26</v>
      </c>
      <c r="I70" s="2" t="s">
        <v>568</v>
      </c>
      <c r="J70" s="25" t="s">
        <v>41</v>
      </c>
      <c r="K70" s="31" t="s">
        <v>161</v>
      </c>
      <c r="L70" s="31" t="s">
        <v>49</v>
      </c>
      <c r="M70" s="32" t="s">
        <v>54</v>
      </c>
      <c r="N70" s="3" t="s">
        <v>36</v>
      </c>
      <c r="O70" s="31" t="s">
        <v>121</v>
      </c>
      <c r="P70" s="32" t="s">
        <v>678</v>
      </c>
      <c r="Q70" s="32" t="s">
        <v>31</v>
      </c>
      <c r="R70" s="31" t="s">
        <v>126</v>
      </c>
      <c r="S70" s="36">
        <v>721000</v>
      </c>
      <c r="T70" s="2" t="s">
        <v>46</v>
      </c>
      <c r="U70" s="37">
        <v>3.3581542999999998</v>
      </c>
      <c r="V70" s="37">
        <v>2.358154296875</v>
      </c>
      <c r="W70" s="38">
        <v>0.11358154296875</v>
      </c>
      <c r="X70" s="39">
        <v>81892.292480468706</v>
      </c>
    </row>
    <row r="71" spans="1:24" x14ac:dyDescent="0.25">
      <c r="A71" s="24" t="s">
        <v>1057</v>
      </c>
      <c r="B71" s="24" t="s">
        <v>500</v>
      </c>
      <c r="C71" s="2" t="s">
        <v>269</v>
      </c>
      <c r="D71" s="32" t="s">
        <v>1149</v>
      </c>
      <c r="E71" s="32" t="s">
        <v>1241</v>
      </c>
      <c r="F71" s="26" t="str">
        <f>HYPERLINK("https://mapwv.gov/flood/map/?wkid=102100&amp;x=-8987525.929844689&amp;y=4876584.243201321&amp;l=13&amp;v=2","FT")</f>
        <v>FT</v>
      </c>
      <c r="G71" s="17" t="s">
        <v>33</v>
      </c>
      <c r="H71" s="25" t="s">
        <v>26</v>
      </c>
      <c r="I71" s="2" t="s">
        <v>525</v>
      </c>
      <c r="J71" s="25" t="s">
        <v>27</v>
      </c>
      <c r="K71" s="31" t="s">
        <v>149</v>
      </c>
      <c r="L71" s="31"/>
      <c r="M71" s="32" t="s">
        <v>74</v>
      </c>
      <c r="N71" s="3" t="s">
        <v>117</v>
      </c>
      <c r="O71" s="31" t="s">
        <v>120</v>
      </c>
      <c r="P71" s="32" t="s">
        <v>679</v>
      </c>
      <c r="Q71" s="32" t="s">
        <v>31</v>
      </c>
      <c r="R71" s="31" t="s">
        <v>126</v>
      </c>
      <c r="S71" s="36">
        <v>693140</v>
      </c>
      <c r="T71" s="2" t="s">
        <v>32</v>
      </c>
      <c r="U71" s="37">
        <v>9.0570070000000005</v>
      </c>
      <c r="V71" s="37">
        <v>8.0570068359375</v>
      </c>
      <c r="W71" s="38">
        <v>0.23228027343749999</v>
      </c>
      <c r="X71" s="39">
        <v>161002.74873046801</v>
      </c>
    </row>
    <row r="72" spans="1:24" x14ac:dyDescent="0.25">
      <c r="A72" s="24" t="s">
        <v>490</v>
      </c>
      <c r="B72" s="24" t="s">
        <v>500</v>
      </c>
      <c r="C72" s="2" t="s">
        <v>502</v>
      </c>
      <c r="D72" s="32" t="s">
        <v>503</v>
      </c>
      <c r="E72" s="32" t="s">
        <v>504</v>
      </c>
      <c r="F72" s="26" t="str">
        <f>HYPERLINK("https://mapwv.gov/flood/map/?wkid=102100&amp;x=-8982979.419090392&amp;y=4877005.787180272&amp;l=13&amp;v=2","FT")</f>
        <v>FT</v>
      </c>
      <c r="G72" s="17" t="s">
        <v>56</v>
      </c>
      <c r="H72" s="25" t="s">
        <v>26</v>
      </c>
      <c r="I72" s="2" t="s">
        <v>569</v>
      </c>
      <c r="J72" s="25" t="s">
        <v>41</v>
      </c>
      <c r="K72" s="31" t="s">
        <v>87</v>
      </c>
      <c r="L72" s="31" t="s">
        <v>28</v>
      </c>
      <c r="M72" s="32" t="s">
        <v>54</v>
      </c>
      <c r="N72" s="3" t="s">
        <v>36</v>
      </c>
      <c r="O72" s="31" t="s">
        <v>120</v>
      </c>
      <c r="P72" s="32" t="s">
        <v>680</v>
      </c>
      <c r="Q72" s="32" t="s">
        <v>31</v>
      </c>
      <c r="R72" s="31" t="s">
        <v>126</v>
      </c>
      <c r="S72" s="36">
        <v>684100</v>
      </c>
      <c r="T72" s="2" t="s">
        <v>32</v>
      </c>
      <c r="U72" s="37">
        <v>3.5507202000000002</v>
      </c>
      <c r="V72" s="37">
        <v>2.55072021484375</v>
      </c>
      <c r="W72" s="38">
        <v>0.115507202148437</v>
      </c>
      <c r="X72" s="39">
        <v>79018.476989746094</v>
      </c>
    </row>
    <row r="73" spans="1:24" x14ac:dyDescent="0.25">
      <c r="A73" s="24" t="s">
        <v>1058</v>
      </c>
      <c r="B73" s="24" t="s">
        <v>500</v>
      </c>
      <c r="C73" s="2" t="s">
        <v>269</v>
      </c>
      <c r="D73" s="32" t="s">
        <v>1150</v>
      </c>
      <c r="E73" s="32" t="s">
        <v>1242</v>
      </c>
      <c r="F73" s="26" t="str">
        <f>HYPERLINK("https://mapwv.gov/flood/map/?wkid=102100&amp;x=-8986037.26086216&amp;y=4875337.745089436&amp;l=13&amp;v=2","FT")</f>
        <v>FT</v>
      </c>
      <c r="G73" s="17" t="s">
        <v>33</v>
      </c>
      <c r="H73" s="25" t="s">
        <v>26</v>
      </c>
      <c r="I73" s="2" t="s">
        <v>536</v>
      </c>
      <c r="J73" s="25" t="s">
        <v>41</v>
      </c>
      <c r="K73" s="31" t="s">
        <v>164</v>
      </c>
      <c r="L73" s="31" t="s">
        <v>28</v>
      </c>
      <c r="M73" s="32" t="s">
        <v>58</v>
      </c>
      <c r="N73" s="3" t="s">
        <v>36</v>
      </c>
      <c r="O73" s="31" t="s">
        <v>613</v>
      </c>
      <c r="P73" s="32" t="s">
        <v>681</v>
      </c>
      <c r="Q73" s="32" t="s">
        <v>45</v>
      </c>
      <c r="R73" s="31" t="s">
        <v>127</v>
      </c>
      <c r="S73" s="36">
        <v>652600</v>
      </c>
      <c r="T73" s="2" t="s">
        <v>46</v>
      </c>
      <c r="U73" s="37">
        <v>4.4187620000000001</v>
      </c>
      <c r="V73" s="37">
        <v>0.41876220703125</v>
      </c>
      <c r="W73" s="38">
        <v>5.7688598632812498E-2</v>
      </c>
      <c r="X73" s="39">
        <v>37647.579467773401</v>
      </c>
    </row>
    <row r="74" spans="1:24" x14ac:dyDescent="0.25">
      <c r="A74" s="24" t="s">
        <v>1059</v>
      </c>
      <c r="B74" s="24" t="s">
        <v>500</v>
      </c>
      <c r="C74" s="2" t="s">
        <v>501</v>
      </c>
      <c r="D74" s="32" t="s">
        <v>1151</v>
      </c>
      <c r="E74" s="32" t="s">
        <v>1243</v>
      </c>
      <c r="F74" s="26" t="str">
        <f>HYPERLINK("https://mapwv.gov/flood/map/?wkid=102100&amp;x=-8984179.029315276&amp;y=4876904.088207748&amp;l=13&amp;v=2","FT")</f>
        <v>FT</v>
      </c>
      <c r="G74" s="17" t="s">
        <v>33</v>
      </c>
      <c r="H74" s="25" t="s">
        <v>26</v>
      </c>
      <c r="I74" s="2" t="s">
        <v>570</v>
      </c>
      <c r="J74" s="25" t="s">
        <v>41</v>
      </c>
      <c r="K74" s="31" t="s">
        <v>139</v>
      </c>
      <c r="L74" s="31" t="s">
        <v>28</v>
      </c>
      <c r="M74" s="32" t="s">
        <v>58</v>
      </c>
      <c r="N74" s="3" t="s">
        <v>36</v>
      </c>
      <c r="O74" s="31" t="s">
        <v>120</v>
      </c>
      <c r="P74" s="32" t="s">
        <v>682</v>
      </c>
      <c r="Q74" s="32" t="s">
        <v>45</v>
      </c>
      <c r="R74" s="31" t="s">
        <v>127</v>
      </c>
      <c r="S74" s="36">
        <v>643500</v>
      </c>
      <c r="T74" s="2" t="s">
        <v>46</v>
      </c>
      <c r="U74" s="37">
        <v>0.2489624</v>
      </c>
      <c r="V74" s="37">
        <v>-3.75103759765625</v>
      </c>
      <c r="W74" s="38">
        <v>0</v>
      </c>
      <c r="X74" s="39">
        <v>0</v>
      </c>
    </row>
    <row r="75" spans="1:24" x14ac:dyDescent="0.25">
      <c r="A75" s="24" t="s">
        <v>1060</v>
      </c>
      <c r="B75" s="24" t="s">
        <v>500</v>
      </c>
      <c r="C75" s="2" t="s">
        <v>269</v>
      </c>
      <c r="D75" s="32" t="s">
        <v>1152</v>
      </c>
      <c r="E75" s="32" t="s">
        <v>1244</v>
      </c>
      <c r="F75" s="26" t="str">
        <f>HYPERLINK("https://mapwv.gov/flood/map/?wkid=102100&amp;x=-8986345.536926137&amp;y=4872938.025478847&amp;l=13&amp;v=2","FT")</f>
        <v>FT</v>
      </c>
      <c r="G75" s="17" t="s">
        <v>33</v>
      </c>
      <c r="H75" s="25" t="s">
        <v>26</v>
      </c>
      <c r="I75" s="2" t="s">
        <v>571</v>
      </c>
      <c r="J75" s="25" t="s">
        <v>41</v>
      </c>
      <c r="K75" s="31" t="s">
        <v>96</v>
      </c>
      <c r="L75" s="31" t="s">
        <v>28</v>
      </c>
      <c r="M75" s="32" t="s">
        <v>68</v>
      </c>
      <c r="N75" s="3" t="s">
        <v>118</v>
      </c>
      <c r="O75" s="31" t="s">
        <v>120</v>
      </c>
      <c r="P75" s="32" t="s">
        <v>683</v>
      </c>
      <c r="Q75" s="32" t="s">
        <v>31</v>
      </c>
      <c r="R75" s="31" t="s">
        <v>126</v>
      </c>
      <c r="S75" s="36">
        <v>642820</v>
      </c>
      <c r="T75" s="2" t="s">
        <v>32</v>
      </c>
      <c r="U75" s="37">
        <v>4.9652710000000004</v>
      </c>
      <c r="V75" s="37">
        <v>3.96527099609375</v>
      </c>
      <c r="W75" s="38">
        <v>0.11965270996093701</v>
      </c>
      <c r="X75" s="39">
        <v>76915.155017089797</v>
      </c>
    </row>
    <row r="76" spans="1:24" x14ac:dyDescent="0.25">
      <c r="A76" s="24" t="s">
        <v>1061</v>
      </c>
      <c r="B76" s="24" t="s">
        <v>500</v>
      </c>
      <c r="C76" s="2" t="s">
        <v>269</v>
      </c>
      <c r="D76" s="32" t="s">
        <v>1153</v>
      </c>
      <c r="E76" s="32" t="s">
        <v>1245</v>
      </c>
      <c r="F76" s="26" t="str">
        <f>HYPERLINK("https://mapwv.gov/flood/map/?wkid=102100&amp;x=-8986214.012057208&amp;y=4874501.067371791&amp;l=13&amp;v=2","FT")</f>
        <v>FT</v>
      </c>
      <c r="G76" s="17" t="s">
        <v>33</v>
      </c>
      <c r="H76" s="25" t="s">
        <v>26</v>
      </c>
      <c r="I76" s="2" t="s">
        <v>525</v>
      </c>
      <c r="J76" s="25" t="s">
        <v>41</v>
      </c>
      <c r="K76" s="31" t="s">
        <v>164</v>
      </c>
      <c r="L76" s="31" t="s">
        <v>47</v>
      </c>
      <c r="M76" s="32" t="s">
        <v>50</v>
      </c>
      <c r="N76" s="3" t="s">
        <v>36</v>
      </c>
      <c r="O76" s="31" t="s">
        <v>120</v>
      </c>
      <c r="P76" s="32" t="s">
        <v>684</v>
      </c>
      <c r="Q76" s="32" t="s">
        <v>31</v>
      </c>
      <c r="R76" s="31" t="s">
        <v>126</v>
      </c>
      <c r="S76" s="36">
        <v>620100</v>
      </c>
      <c r="T76" s="2" t="s">
        <v>46</v>
      </c>
      <c r="U76" s="37">
        <v>1</v>
      </c>
      <c r="V76" s="37">
        <v>0</v>
      </c>
      <c r="W76" s="38">
        <v>0.01</v>
      </c>
      <c r="X76" s="39">
        <v>6201</v>
      </c>
    </row>
    <row r="77" spans="1:24" x14ac:dyDescent="0.25">
      <c r="A77" s="24" t="s">
        <v>1062</v>
      </c>
      <c r="B77" s="24" t="s">
        <v>500</v>
      </c>
      <c r="C77" s="2" t="s">
        <v>269</v>
      </c>
      <c r="D77" s="32" t="s">
        <v>1154</v>
      </c>
      <c r="E77" s="32" t="s">
        <v>1246</v>
      </c>
      <c r="F77" s="26" t="str">
        <f>HYPERLINK("https://mapwv.gov/flood/map/?wkid=102100&amp;x=-8986264.833078297&amp;y=4874626.8319334835&amp;l=13&amp;v=2","FT")</f>
        <v>FT</v>
      </c>
      <c r="G77" s="17" t="s">
        <v>33</v>
      </c>
      <c r="H77" s="25" t="s">
        <v>26</v>
      </c>
      <c r="I77" s="2" t="s">
        <v>572</v>
      </c>
      <c r="J77" s="25" t="s">
        <v>41</v>
      </c>
      <c r="K77" s="31" t="s">
        <v>164</v>
      </c>
      <c r="L77" s="31" t="s">
        <v>52</v>
      </c>
      <c r="M77" s="32" t="s">
        <v>50</v>
      </c>
      <c r="N77" s="3" t="s">
        <v>36</v>
      </c>
      <c r="O77" s="31" t="s">
        <v>122</v>
      </c>
      <c r="P77" s="32" t="s">
        <v>685</v>
      </c>
      <c r="Q77" s="32" t="s">
        <v>31</v>
      </c>
      <c r="R77" s="31" t="s">
        <v>126</v>
      </c>
      <c r="S77" s="36">
        <v>611700</v>
      </c>
      <c r="T77" s="2" t="s">
        <v>46</v>
      </c>
      <c r="U77" s="37">
        <v>2.6248170000000002</v>
      </c>
      <c r="V77" s="37">
        <v>1.62481689453125</v>
      </c>
      <c r="W77" s="38">
        <v>0.12124084472656201</v>
      </c>
      <c r="X77" s="39">
        <v>74163.024719238194</v>
      </c>
    </row>
    <row r="78" spans="1:24" x14ac:dyDescent="0.25">
      <c r="A78" s="24" t="s">
        <v>493</v>
      </c>
      <c r="B78" s="24" t="s">
        <v>497</v>
      </c>
      <c r="C78" s="2" t="s">
        <v>498</v>
      </c>
      <c r="D78" s="32" t="s">
        <v>509</v>
      </c>
      <c r="E78" s="32" t="s">
        <v>510</v>
      </c>
      <c r="F78" s="26" t="str">
        <f>HYPERLINK("https://mapwv.gov/flood/map/?wkid=102100&amp;x=-8966874.637221757&amp;y=4872377.067254258&amp;l=13&amp;v=2","FT")</f>
        <v>FT</v>
      </c>
      <c r="G78" s="17" t="s">
        <v>25</v>
      </c>
      <c r="H78" s="25" t="s">
        <v>26</v>
      </c>
      <c r="I78" s="2" t="s">
        <v>573</v>
      </c>
      <c r="J78" s="25" t="s">
        <v>41</v>
      </c>
      <c r="K78" s="31" t="s">
        <v>605</v>
      </c>
      <c r="L78" s="31" t="s">
        <v>28</v>
      </c>
      <c r="M78" s="32" t="s">
        <v>68</v>
      </c>
      <c r="N78" s="3" t="s">
        <v>118</v>
      </c>
      <c r="O78" s="31" t="s">
        <v>120</v>
      </c>
      <c r="P78" s="32" t="s">
        <v>686</v>
      </c>
      <c r="Q78" s="32" t="s">
        <v>31</v>
      </c>
      <c r="R78" s="31" t="s">
        <v>126</v>
      </c>
      <c r="S78" s="36">
        <v>575700</v>
      </c>
      <c r="T78" s="2" t="s">
        <v>46</v>
      </c>
      <c r="U78" s="37">
        <v>0</v>
      </c>
      <c r="V78" s="37">
        <v>-1</v>
      </c>
      <c r="W78" s="38">
        <v>0</v>
      </c>
      <c r="X78" s="39">
        <v>0</v>
      </c>
    </row>
    <row r="79" spans="1:24" x14ac:dyDescent="0.25">
      <c r="A79" s="24" t="s">
        <v>1063</v>
      </c>
      <c r="B79" s="24" t="s">
        <v>500</v>
      </c>
      <c r="C79" s="2" t="s">
        <v>269</v>
      </c>
      <c r="D79" s="32" t="s">
        <v>1155</v>
      </c>
      <c r="E79" s="32" t="s">
        <v>1247</v>
      </c>
      <c r="F79" s="26" t="str">
        <f>HYPERLINK("https://mapwv.gov/flood/map/?wkid=102100&amp;x=-8983836.497683628&amp;y=4883041.45122251&amp;l=13&amp;v=2","FT")</f>
        <v>FT</v>
      </c>
      <c r="G79" s="17" t="s">
        <v>33</v>
      </c>
      <c r="H79" s="25" t="s">
        <v>26</v>
      </c>
      <c r="I79" s="2" t="s">
        <v>574</v>
      </c>
      <c r="J79" s="25" t="s">
        <v>27</v>
      </c>
      <c r="K79" s="31" t="s">
        <v>111</v>
      </c>
      <c r="L79" s="31" t="s">
        <v>55</v>
      </c>
      <c r="M79" s="32" t="s">
        <v>155</v>
      </c>
      <c r="N79" s="3" t="s">
        <v>119</v>
      </c>
      <c r="O79" s="31" t="s">
        <v>121</v>
      </c>
      <c r="P79" s="32" t="s">
        <v>687</v>
      </c>
      <c r="Q79" s="32" t="s">
        <v>31</v>
      </c>
      <c r="R79" s="31" t="s">
        <v>126</v>
      </c>
      <c r="S79" s="36">
        <v>568900</v>
      </c>
      <c r="T79" s="2" t="s">
        <v>46</v>
      </c>
      <c r="U79" s="37">
        <v>0</v>
      </c>
      <c r="V79" s="37">
        <v>-1</v>
      </c>
      <c r="W79" s="38">
        <v>0</v>
      </c>
      <c r="X79" s="39">
        <v>0</v>
      </c>
    </row>
    <row r="80" spans="1:24" x14ac:dyDescent="0.25">
      <c r="A80" s="24" t="s">
        <v>1064</v>
      </c>
      <c r="B80" s="24" t="s">
        <v>500</v>
      </c>
      <c r="C80" s="2" t="s">
        <v>269</v>
      </c>
      <c r="D80" s="32" t="s">
        <v>1156</v>
      </c>
      <c r="E80" s="32" t="s">
        <v>1248</v>
      </c>
      <c r="F80" s="26" t="str">
        <f>HYPERLINK("https://mapwv.gov/flood/map/?wkid=102100&amp;x=-8986367.990624027&amp;y=4874332.873713017&amp;l=13&amp;v=2","FT")</f>
        <v>FT</v>
      </c>
      <c r="G80" s="17" t="s">
        <v>33</v>
      </c>
      <c r="H80" s="25" t="s">
        <v>26</v>
      </c>
      <c r="I80" s="2" t="s">
        <v>575</v>
      </c>
      <c r="J80" s="25" t="s">
        <v>27</v>
      </c>
      <c r="K80" s="31" t="s">
        <v>91</v>
      </c>
      <c r="L80" s="31" t="s">
        <v>55</v>
      </c>
      <c r="M80" s="32" t="s">
        <v>58</v>
      </c>
      <c r="N80" s="3" t="s">
        <v>36</v>
      </c>
      <c r="O80" s="31" t="s">
        <v>121</v>
      </c>
      <c r="P80" s="32" t="s">
        <v>688</v>
      </c>
      <c r="Q80" s="32" t="s">
        <v>31</v>
      </c>
      <c r="R80" s="31" t="s">
        <v>126</v>
      </c>
      <c r="S80" s="36">
        <v>551800</v>
      </c>
      <c r="T80" s="2" t="s">
        <v>32</v>
      </c>
      <c r="U80" s="37">
        <v>6.555847</v>
      </c>
      <c r="V80" s="37">
        <v>5.55584716796875</v>
      </c>
      <c r="W80" s="38">
        <v>0.36667541503906198</v>
      </c>
      <c r="X80" s="39">
        <v>202331.49401855399</v>
      </c>
    </row>
    <row r="81" spans="1:24" x14ac:dyDescent="0.25">
      <c r="A81" s="24" t="s">
        <v>1065</v>
      </c>
      <c r="B81" s="24" t="s">
        <v>500</v>
      </c>
      <c r="C81" s="2" t="s">
        <v>499</v>
      </c>
      <c r="D81" s="32" t="s">
        <v>1157</v>
      </c>
      <c r="E81" s="32" t="s">
        <v>1249</v>
      </c>
      <c r="F81" s="26" t="str">
        <f>HYPERLINK("https://mapwv.gov/flood/map/?wkid=102100&amp;x=-8977166.964162478&amp;y=4873140.193948489&amp;l=13&amp;v=2","FT")</f>
        <v>FT</v>
      </c>
      <c r="G81" s="17" t="s">
        <v>33</v>
      </c>
      <c r="H81" s="25" t="s">
        <v>26</v>
      </c>
      <c r="I81" s="2" t="s">
        <v>576</v>
      </c>
      <c r="J81" s="25" t="s">
        <v>27</v>
      </c>
      <c r="K81" s="31" t="s">
        <v>124</v>
      </c>
      <c r="L81" s="31" t="s">
        <v>28</v>
      </c>
      <c r="M81" s="32" t="s">
        <v>58</v>
      </c>
      <c r="N81" s="3" t="s">
        <v>36</v>
      </c>
      <c r="O81" s="31" t="s">
        <v>121</v>
      </c>
      <c r="P81" s="32" t="s">
        <v>689</v>
      </c>
      <c r="Q81" s="32" t="s">
        <v>45</v>
      </c>
      <c r="R81" s="31" t="s">
        <v>127</v>
      </c>
      <c r="S81" s="36">
        <v>547100</v>
      </c>
      <c r="T81" s="2" t="s">
        <v>46</v>
      </c>
      <c r="U81" s="37">
        <v>0</v>
      </c>
      <c r="V81" s="37">
        <v>-4</v>
      </c>
      <c r="W81" s="38">
        <v>0</v>
      </c>
      <c r="X81" s="39">
        <v>0</v>
      </c>
    </row>
    <row r="82" spans="1:24" x14ac:dyDescent="0.25">
      <c r="A82" s="24" t="s">
        <v>1066</v>
      </c>
      <c r="B82" s="24" t="s">
        <v>500</v>
      </c>
      <c r="C82" s="2" t="s">
        <v>501</v>
      </c>
      <c r="D82" s="32" t="s">
        <v>1158</v>
      </c>
      <c r="E82" s="32" t="s">
        <v>1250</v>
      </c>
      <c r="F82" s="26" t="str">
        <f>HYPERLINK("https://mapwv.gov/flood/map/?wkid=102100&amp;x=-8984803.496815626&amp;y=4877286.483123347&amp;l=13&amp;v=2","FT")</f>
        <v>FT</v>
      </c>
      <c r="G82" s="17" t="s">
        <v>33</v>
      </c>
      <c r="H82" s="25" t="s">
        <v>26</v>
      </c>
      <c r="I82" s="2" t="s">
        <v>577</v>
      </c>
      <c r="J82" s="25" t="s">
        <v>41</v>
      </c>
      <c r="K82" s="31" t="s">
        <v>172</v>
      </c>
      <c r="L82" s="31" t="s">
        <v>52</v>
      </c>
      <c r="M82" s="32" t="s">
        <v>50</v>
      </c>
      <c r="N82" s="3" t="s">
        <v>36</v>
      </c>
      <c r="O82" s="31" t="s">
        <v>120</v>
      </c>
      <c r="P82" s="32" t="s">
        <v>690</v>
      </c>
      <c r="Q82" s="32" t="s">
        <v>45</v>
      </c>
      <c r="R82" s="31" t="s">
        <v>127</v>
      </c>
      <c r="S82" s="36">
        <v>543500</v>
      </c>
      <c r="T82" s="2" t="s">
        <v>46</v>
      </c>
      <c r="U82" s="37">
        <v>5.9256589999999996</v>
      </c>
      <c r="V82" s="37">
        <v>1.9256591796875</v>
      </c>
      <c r="W82" s="38">
        <v>0.13628295898437501</v>
      </c>
      <c r="X82" s="39">
        <v>74069.788208007798</v>
      </c>
    </row>
    <row r="83" spans="1:24" x14ac:dyDescent="0.25">
      <c r="A83" s="24" t="s">
        <v>1067</v>
      </c>
      <c r="B83" s="24" t="s">
        <v>518</v>
      </c>
      <c r="C83" s="2" t="s">
        <v>499</v>
      </c>
      <c r="D83" s="32" t="s">
        <v>1159</v>
      </c>
      <c r="E83" s="32" t="s">
        <v>1251</v>
      </c>
      <c r="F83" s="26" t="str">
        <f>HYPERLINK("https://mapwv.gov/flood/map/?wkid=102100&amp;x=-8969199.252684634&amp;y=4878391.245511488&amp;l=13&amp;v=2","FT")</f>
        <v>FT</v>
      </c>
      <c r="G83" s="17" t="s">
        <v>40</v>
      </c>
      <c r="H83" s="25" t="s">
        <v>26</v>
      </c>
      <c r="I83" s="2" t="s">
        <v>578</v>
      </c>
      <c r="J83" s="25" t="s">
        <v>27</v>
      </c>
      <c r="K83" s="31" t="s">
        <v>86</v>
      </c>
      <c r="L83" s="31"/>
      <c r="M83" s="32" t="s">
        <v>74</v>
      </c>
      <c r="N83" s="3" t="s">
        <v>117</v>
      </c>
      <c r="O83" s="31" t="s">
        <v>120</v>
      </c>
      <c r="P83" s="32" t="s">
        <v>691</v>
      </c>
      <c r="Q83" s="32" t="s">
        <v>31</v>
      </c>
      <c r="R83" s="31" t="s">
        <v>126</v>
      </c>
      <c r="S83" s="36">
        <v>540600</v>
      </c>
      <c r="T83" s="2" t="s">
        <v>32</v>
      </c>
      <c r="U83" s="37">
        <v>0</v>
      </c>
      <c r="V83" s="37">
        <v>-1</v>
      </c>
      <c r="W83" s="38">
        <v>0</v>
      </c>
      <c r="X83" s="39">
        <v>0</v>
      </c>
    </row>
    <row r="84" spans="1:24" x14ac:dyDescent="0.25">
      <c r="A84" s="24" t="s">
        <v>1068</v>
      </c>
      <c r="B84" s="24" t="s">
        <v>500</v>
      </c>
      <c r="C84" s="2" t="s">
        <v>269</v>
      </c>
      <c r="D84" s="32" t="s">
        <v>1160</v>
      </c>
      <c r="E84" s="32" t="s">
        <v>1252</v>
      </c>
      <c r="F84" s="26" t="str">
        <f>HYPERLINK("https://mapwv.gov/flood/map/?wkid=102100&amp;x=-8986513.99136822&amp;y=4877560.087219674&amp;l=13&amp;v=2","FT")</f>
        <v>FT</v>
      </c>
      <c r="G84" s="17" t="s">
        <v>33</v>
      </c>
      <c r="H84" s="25" t="s">
        <v>26</v>
      </c>
      <c r="I84" s="2" t="s">
        <v>579</v>
      </c>
      <c r="J84" s="25" t="s">
        <v>27</v>
      </c>
      <c r="K84" s="31" t="s">
        <v>103</v>
      </c>
      <c r="L84" s="31" t="s">
        <v>34</v>
      </c>
      <c r="M84" s="32" t="s">
        <v>58</v>
      </c>
      <c r="N84" s="3" t="s">
        <v>36</v>
      </c>
      <c r="O84" s="31" t="s">
        <v>123</v>
      </c>
      <c r="P84" s="32" t="s">
        <v>692</v>
      </c>
      <c r="Q84" s="32" t="s">
        <v>31</v>
      </c>
      <c r="R84" s="31" t="s">
        <v>126</v>
      </c>
      <c r="S84" s="36">
        <v>530600</v>
      </c>
      <c r="T84" s="2" t="s">
        <v>46</v>
      </c>
      <c r="U84" s="37">
        <v>0</v>
      </c>
      <c r="V84" s="37">
        <v>-1</v>
      </c>
      <c r="W84" s="38">
        <v>0</v>
      </c>
      <c r="X84" s="39">
        <v>0</v>
      </c>
    </row>
    <row r="85" spans="1:24" x14ac:dyDescent="0.25">
      <c r="A85" s="24" t="s">
        <v>1069</v>
      </c>
      <c r="B85" s="24" t="s">
        <v>500</v>
      </c>
      <c r="C85" s="2" t="s">
        <v>269</v>
      </c>
      <c r="D85" s="32" t="s">
        <v>1161</v>
      </c>
      <c r="E85" s="32" t="s">
        <v>1253</v>
      </c>
      <c r="F85" s="26" t="str">
        <f>HYPERLINK("https://mapwv.gov/flood/map/?wkid=102100&amp;x=-8986189.761885373&amp;y=4871439.450861219&amp;l=13&amp;v=2","FT")</f>
        <v>FT</v>
      </c>
      <c r="G85" s="17" t="s">
        <v>33</v>
      </c>
      <c r="H85" s="25" t="s">
        <v>26</v>
      </c>
      <c r="I85" s="2" t="s">
        <v>580</v>
      </c>
      <c r="J85" s="25" t="s">
        <v>41</v>
      </c>
      <c r="K85" s="31" t="s">
        <v>606</v>
      </c>
      <c r="L85" s="31" t="s">
        <v>52</v>
      </c>
      <c r="M85" s="32" t="s">
        <v>50</v>
      </c>
      <c r="N85" s="3" t="s">
        <v>36</v>
      </c>
      <c r="O85" s="31" t="s">
        <v>121</v>
      </c>
      <c r="P85" s="32" t="s">
        <v>693</v>
      </c>
      <c r="Q85" s="32" t="s">
        <v>45</v>
      </c>
      <c r="R85" s="31" t="s">
        <v>127</v>
      </c>
      <c r="S85" s="36">
        <v>516900</v>
      </c>
      <c r="T85" s="2" t="s">
        <v>46</v>
      </c>
      <c r="U85" s="37">
        <v>2.4578247000000002</v>
      </c>
      <c r="V85" s="37">
        <v>-1.54217529296875</v>
      </c>
      <c r="W85" s="38">
        <v>0</v>
      </c>
      <c r="X85" s="39">
        <v>0</v>
      </c>
    </row>
    <row r="86" spans="1:24" x14ac:dyDescent="0.25">
      <c r="A86" s="24" t="s">
        <v>1070</v>
      </c>
      <c r="B86" s="24" t="s">
        <v>500</v>
      </c>
      <c r="C86" s="2" t="s">
        <v>501</v>
      </c>
      <c r="D86" s="32" t="s">
        <v>1162</v>
      </c>
      <c r="E86" s="32" t="s">
        <v>1254</v>
      </c>
      <c r="F86" s="26" t="str">
        <f>HYPERLINK("https://mapwv.gov/flood/map/?wkid=102100&amp;x=-8985171.411517559&amp;y=4877598.592931347&amp;l=13&amp;v=2","FT")</f>
        <v>FT</v>
      </c>
      <c r="G86" s="17" t="s">
        <v>33</v>
      </c>
      <c r="H86" s="25" t="s">
        <v>67</v>
      </c>
      <c r="I86" s="2" t="s">
        <v>581</v>
      </c>
      <c r="J86" s="25" t="s">
        <v>41</v>
      </c>
      <c r="K86" s="31" t="s">
        <v>599</v>
      </c>
      <c r="L86" s="31" t="s">
        <v>28</v>
      </c>
      <c r="M86" s="32" t="s">
        <v>54</v>
      </c>
      <c r="N86" s="3" t="s">
        <v>36</v>
      </c>
      <c r="O86" s="31" t="s">
        <v>121</v>
      </c>
      <c r="P86" s="32" t="s">
        <v>694</v>
      </c>
      <c r="Q86" s="32" t="s">
        <v>45</v>
      </c>
      <c r="R86" s="31" t="s">
        <v>127</v>
      </c>
      <c r="S86" s="36">
        <v>516800</v>
      </c>
      <c r="T86" s="2" t="s">
        <v>46</v>
      </c>
      <c r="U86" s="37">
        <v>0.21850586</v>
      </c>
      <c r="V86" s="37">
        <v>-3.781494140625</v>
      </c>
      <c r="W86" s="38">
        <v>0</v>
      </c>
      <c r="X86" s="39">
        <v>0</v>
      </c>
    </row>
    <row r="87" spans="1:24" x14ac:dyDescent="0.25">
      <c r="A87" s="24" t="s">
        <v>1071</v>
      </c>
      <c r="B87" s="24" t="s">
        <v>500</v>
      </c>
      <c r="C87" s="2" t="s">
        <v>269</v>
      </c>
      <c r="D87" s="32" t="s">
        <v>1163</v>
      </c>
      <c r="E87" s="32" t="s">
        <v>1255</v>
      </c>
      <c r="F87" s="26" t="str">
        <f>HYPERLINK("https://mapwv.gov/flood/map/?wkid=102100&amp;x=-8986931.020897407&amp;y=4875938.923289986&amp;l=13&amp;v=2","FT")</f>
        <v>FT</v>
      </c>
      <c r="G87" s="17" t="s">
        <v>33</v>
      </c>
      <c r="H87" s="25" t="s">
        <v>26</v>
      </c>
      <c r="I87" s="2" t="s">
        <v>582</v>
      </c>
      <c r="J87" s="25" t="s">
        <v>27</v>
      </c>
      <c r="K87" s="31" t="s">
        <v>177</v>
      </c>
      <c r="L87" s="31" t="s">
        <v>47</v>
      </c>
      <c r="M87" s="32" t="s">
        <v>68</v>
      </c>
      <c r="N87" s="3" t="s">
        <v>118</v>
      </c>
      <c r="O87" s="31" t="s">
        <v>120</v>
      </c>
      <c r="P87" s="32" t="s">
        <v>695</v>
      </c>
      <c r="Q87" s="32" t="s">
        <v>31</v>
      </c>
      <c r="R87" s="31" t="s">
        <v>126</v>
      </c>
      <c r="S87" s="36">
        <v>507820</v>
      </c>
      <c r="T87" s="2" t="s">
        <v>32</v>
      </c>
      <c r="U87" s="37">
        <v>6.7869872999999998</v>
      </c>
      <c r="V87" s="37">
        <v>5.7869873046875</v>
      </c>
      <c r="W87" s="38">
        <v>0.127869873046875</v>
      </c>
      <c r="X87" s="39">
        <v>64934.878930664003</v>
      </c>
    </row>
    <row r="88" spans="1:24" x14ac:dyDescent="0.25">
      <c r="A88" s="24" t="s">
        <v>1072</v>
      </c>
      <c r="B88" s="24" t="s">
        <v>500</v>
      </c>
      <c r="C88" s="2" t="s">
        <v>269</v>
      </c>
      <c r="D88" s="32" t="s">
        <v>1164</v>
      </c>
      <c r="E88" s="32" t="s">
        <v>1256</v>
      </c>
      <c r="F88" s="26" t="str">
        <f>HYPERLINK("https://mapwv.gov/flood/map/?wkid=102100&amp;x=-8986303.955311462&amp;y=4872744.083295249&amp;l=13&amp;v=2","FT")</f>
        <v>FT</v>
      </c>
      <c r="G88" s="17" t="s">
        <v>33</v>
      </c>
      <c r="H88" s="25" t="s">
        <v>26</v>
      </c>
      <c r="I88" s="2" t="s">
        <v>583</v>
      </c>
      <c r="J88" s="25" t="s">
        <v>41</v>
      </c>
      <c r="K88" s="31" t="s">
        <v>596</v>
      </c>
      <c r="L88" s="31" t="s">
        <v>28</v>
      </c>
      <c r="M88" s="32" t="s">
        <v>68</v>
      </c>
      <c r="N88" s="3" t="s">
        <v>118</v>
      </c>
      <c r="O88" s="31" t="s">
        <v>120</v>
      </c>
      <c r="P88" s="32" t="s">
        <v>696</v>
      </c>
      <c r="Q88" s="32" t="s">
        <v>31</v>
      </c>
      <c r="R88" s="31" t="s">
        <v>126</v>
      </c>
      <c r="S88" s="36">
        <v>498030</v>
      </c>
      <c r="T88" s="2" t="s">
        <v>32</v>
      </c>
      <c r="U88" s="37">
        <v>3.9899292000000002</v>
      </c>
      <c r="V88" s="37">
        <v>2.98992919921875</v>
      </c>
      <c r="W88" s="38">
        <v>0.11</v>
      </c>
      <c r="X88" s="39">
        <v>54783.3</v>
      </c>
    </row>
    <row r="89" spans="1:24" x14ac:dyDescent="0.25">
      <c r="A89" s="24" t="s">
        <v>1073</v>
      </c>
      <c r="B89" s="24" t="s">
        <v>500</v>
      </c>
      <c r="C89" s="2" t="s">
        <v>269</v>
      </c>
      <c r="D89" s="32" t="s">
        <v>1165</v>
      </c>
      <c r="E89" s="32" t="s">
        <v>1257</v>
      </c>
      <c r="F89" s="26" t="str">
        <f>HYPERLINK("https://mapwv.gov/flood/map/?wkid=102100&amp;x=-8986040.156282116&amp;y=4875620.579739799&amp;l=13&amp;v=2","FT")</f>
        <v>FT</v>
      </c>
      <c r="G89" s="17" t="s">
        <v>33</v>
      </c>
      <c r="H89" s="25" t="s">
        <v>26</v>
      </c>
      <c r="I89" s="2" t="s">
        <v>584</v>
      </c>
      <c r="J89" s="25" t="s">
        <v>27</v>
      </c>
      <c r="K89" s="31" t="s">
        <v>107</v>
      </c>
      <c r="L89" s="31" t="s">
        <v>49</v>
      </c>
      <c r="M89" s="32" t="s">
        <v>50</v>
      </c>
      <c r="N89" s="3" t="s">
        <v>36</v>
      </c>
      <c r="O89" s="31" t="s">
        <v>121</v>
      </c>
      <c r="P89" s="32" t="s">
        <v>697</v>
      </c>
      <c r="Q89" s="32" t="s">
        <v>45</v>
      </c>
      <c r="R89" s="31" t="s">
        <v>127</v>
      </c>
      <c r="S89" s="36">
        <v>478700</v>
      </c>
      <c r="T89" s="2" t="s">
        <v>46</v>
      </c>
      <c r="U89" s="37">
        <v>0</v>
      </c>
      <c r="V89" s="37">
        <v>-4</v>
      </c>
      <c r="W89" s="38">
        <v>0</v>
      </c>
      <c r="X89" s="39">
        <v>0</v>
      </c>
    </row>
    <row r="90" spans="1:24" x14ac:dyDescent="0.25">
      <c r="A90" s="24" t="s">
        <v>1074</v>
      </c>
      <c r="B90" s="24" t="s">
        <v>500</v>
      </c>
      <c r="C90" s="2" t="s">
        <v>269</v>
      </c>
      <c r="D90" s="32" t="s">
        <v>1166</v>
      </c>
      <c r="E90" s="32" t="s">
        <v>1258</v>
      </c>
      <c r="F90" s="26" t="str">
        <f>HYPERLINK("https://mapwv.gov/flood/map/?wkid=102100&amp;x=-8986153.92546962&amp;y=4875729.576540284&amp;l=13&amp;v=2","FT")</f>
        <v>FT</v>
      </c>
      <c r="G90" s="17" t="s">
        <v>33</v>
      </c>
      <c r="H90" s="25" t="s">
        <v>26</v>
      </c>
      <c r="I90" s="2" t="s">
        <v>585</v>
      </c>
      <c r="J90" s="25" t="s">
        <v>41</v>
      </c>
      <c r="K90" s="31" t="s">
        <v>162</v>
      </c>
      <c r="L90" s="31" t="s">
        <v>59</v>
      </c>
      <c r="M90" s="32" t="s">
        <v>48</v>
      </c>
      <c r="N90" s="3" t="s">
        <v>36</v>
      </c>
      <c r="O90" s="31" t="s">
        <v>121</v>
      </c>
      <c r="P90" s="32" t="s">
        <v>698</v>
      </c>
      <c r="Q90" s="32" t="s">
        <v>31</v>
      </c>
      <c r="R90" s="31" t="s">
        <v>126</v>
      </c>
      <c r="S90" s="36">
        <v>478300</v>
      </c>
      <c r="T90" s="2" t="s">
        <v>46</v>
      </c>
      <c r="U90" s="37">
        <v>0.71136474999999999</v>
      </c>
      <c r="V90" s="37">
        <v>-0.28863525390625</v>
      </c>
      <c r="W90" s="38">
        <v>0</v>
      </c>
      <c r="X90" s="39">
        <v>0</v>
      </c>
    </row>
    <row r="91" spans="1:24" x14ac:dyDescent="0.25">
      <c r="A91" s="24" t="s">
        <v>1075</v>
      </c>
      <c r="B91" s="24" t="s">
        <v>500</v>
      </c>
      <c r="C91" s="2" t="s">
        <v>502</v>
      </c>
      <c r="D91" s="32" t="s">
        <v>1167</v>
      </c>
      <c r="E91" s="32" t="s">
        <v>1259</v>
      </c>
      <c r="F91" s="26" t="str">
        <f>HYPERLINK("https://mapwv.gov/flood/map/?wkid=102100&amp;x=-8982569.748002177&amp;y=4877713.75422313&amp;l=13&amp;v=2","FT")</f>
        <v>FT</v>
      </c>
      <c r="G91" s="17" t="s">
        <v>40</v>
      </c>
      <c r="H91" s="25" t="s">
        <v>26</v>
      </c>
      <c r="I91" s="2" t="s">
        <v>586</v>
      </c>
      <c r="J91" s="25" t="s">
        <v>41</v>
      </c>
      <c r="K91" s="31" t="s">
        <v>607</v>
      </c>
      <c r="L91" s="31" t="s">
        <v>28</v>
      </c>
      <c r="M91" s="32" t="s">
        <v>68</v>
      </c>
      <c r="N91" s="3" t="s">
        <v>118</v>
      </c>
      <c r="O91" s="31" t="s">
        <v>120</v>
      </c>
      <c r="P91" s="32" t="s">
        <v>699</v>
      </c>
      <c r="Q91" s="32" t="s">
        <v>31</v>
      </c>
      <c r="R91" s="31" t="s">
        <v>126</v>
      </c>
      <c r="S91" s="36">
        <v>478220</v>
      </c>
      <c r="T91" s="2" t="s">
        <v>32</v>
      </c>
      <c r="U91" s="37">
        <v>0</v>
      </c>
      <c r="V91" s="37">
        <v>-1</v>
      </c>
      <c r="W91" s="38">
        <v>0</v>
      </c>
      <c r="X91" s="39">
        <v>0</v>
      </c>
    </row>
    <row r="92" spans="1:24" x14ac:dyDescent="0.25">
      <c r="A92" s="24" t="s">
        <v>1076</v>
      </c>
      <c r="B92" s="24" t="s">
        <v>500</v>
      </c>
      <c r="C92" s="2" t="s">
        <v>269</v>
      </c>
      <c r="D92" s="32" t="s">
        <v>1168</v>
      </c>
      <c r="E92" s="32" t="s">
        <v>1260</v>
      </c>
      <c r="F92" s="26" t="str">
        <f>HYPERLINK("https://mapwv.gov/flood/map/?wkid=102100&amp;x=-8986424.635546919&amp;y=4871739.53792318&amp;l=13&amp;v=2","FT")</f>
        <v>FT</v>
      </c>
      <c r="G92" s="17" t="s">
        <v>33</v>
      </c>
      <c r="H92" s="25" t="s">
        <v>26</v>
      </c>
      <c r="I92" s="2" t="s">
        <v>528</v>
      </c>
      <c r="J92" s="25" t="s">
        <v>41</v>
      </c>
      <c r="K92" s="31" t="s">
        <v>608</v>
      </c>
      <c r="L92" s="31" t="s">
        <v>52</v>
      </c>
      <c r="M92" s="32" t="s">
        <v>35</v>
      </c>
      <c r="N92" s="3" t="s">
        <v>119</v>
      </c>
      <c r="O92" s="31" t="s">
        <v>613</v>
      </c>
      <c r="P92" s="32" t="s">
        <v>700</v>
      </c>
      <c r="Q92" s="32" t="s">
        <v>31</v>
      </c>
      <c r="R92" s="31" t="s">
        <v>126</v>
      </c>
      <c r="S92" s="36">
        <v>467200</v>
      </c>
      <c r="T92" s="2" t="s">
        <v>32</v>
      </c>
      <c r="U92" s="37">
        <v>3.2561646</v>
      </c>
      <c r="V92" s="37">
        <v>2.25616455078125</v>
      </c>
      <c r="W92" s="38">
        <v>0.147684936523437</v>
      </c>
      <c r="X92" s="39">
        <v>68998.40234375</v>
      </c>
    </row>
    <row r="93" spans="1:24" x14ac:dyDescent="0.25">
      <c r="A93" s="24" t="s">
        <v>1077</v>
      </c>
      <c r="B93" s="24" t="s">
        <v>1087</v>
      </c>
      <c r="C93" s="2" t="s">
        <v>517</v>
      </c>
      <c r="D93" s="32" t="s">
        <v>1169</v>
      </c>
      <c r="E93" s="32" t="s">
        <v>1261</v>
      </c>
      <c r="F93" s="26" t="str">
        <f>HYPERLINK("https://mapwv.gov/flood/map/?wkid=102100&amp;x=-8973135.423272522&amp;y=4889294.463496829&amp;l=13&amp;v=2","FT")</f>
        <v>FT</v>
      </c>
      <c r="G93" s="17" t="s">
        <v>40</v>
      </c>
      <c r="H93" s="25" t="s">
        <v>26</v>
      </c>
      <c r="I93" s="2" t="s">
        <v>587</v>
      </c>
      <c r="J93" s="25" t="s">
        <v>41</v>
      </c>
      <c r="K93" s="31" t="s">
        <v>144</v>
      </c>
      <c r="L93" s="31" t="s">
        <v>34</v>
      </c>
      <c r="M93" s="32" t="s">
        <v>50</v>
      </c>
      <c r="N93" s="3" t="s">
        <v>36</v>
      </c>
      <c r="O93" s="31" t="s">
        <v>122</v>
      </c>
      <c r="P93" s="32" t="s">
        <v>701</v>
      </c>
      <c r="Q93" s="32" t="s">
        <v>45</v>
      </c>
      <c r="R93" s="31" t="s">
        <v>127</v>
      </c>
      <c r="S93" s="36">
        <v>461700</v>
      </c>
      <c r="T93" s="2" t="s">
        <v>32</v>
      </c>
      <c r="U93" s="37">
        <v>0</v>
      </c>
      <c r="V93" s="37">
        <v>-4</v>
      </c>
      <c r="W93" s="38">
        <v>0</v>
      </c>
      <c r="X93" s="39">
        <v>0</v>
      </c>
    </row>
    <row r="94" spans="1:24" x14ac:dyDescent="0.25">
      <c r="A94" s="24" t="s">
        <v>1078</v>
      </c>
      <c r="B94" s="24" t="s">
        <v>500</v>
      </c>
      <c r="C94" s="2" t="s">
        <v>501</v>
      </c>
      <c r="D94" s="32" t="s">
        <v>1170</v>
      </c>
      <c r="E94" s="32" t="s">
        <v>1262</v>
      </c>
      <c r="F94" s="26" t="str">
        <f>HYPERLINK("https://mapwv.gov/flood/map/?wkid=102100&amp;x=-8985659.89802976&amp;y=4874946.709467082&amp;l=13&amp;v=2","FT")</f>
        <v>FT</v>
      </c>
      <c r="G94" s="17" t="s">
        <v>33</v>
      </c>
      <c r="H94" s="25" t="s">
        <v>26</v>
      </c>
      <c r="I94" s="2" t="s">
        <v>588</v>
      </c>
      <c r="J94" s="25" t="s">
        <v>41</v>
      </c>
      <c r="K94" s="31" t="s">
        <v>181</v>
      </c>
      <c r="L94" s="31" t="s">
        <v>52</v>
      </c>
      <c r="M94" s="32" t="s">
        <v>73</v>
      </c>
      <c r="N94" s="3" t="s">
        <v>36</v>
      </c>
      <c r="O94" s="31" t="s">
        <v>120</v>
      </c>
      <c r="P94" s="32" t="s">
        <v>702</v>
      </c>
      <c r="Q94" s="32" t="s">
        <v>31</v>
      </c>
      <c r="R94" s="31" t="s">
        <v>126</v>
      </c>
      <c r="S94" s="36">
        <v>461700</v>
      </c>
      <c r="T94" s="2" t="s">
        <v>46</v>
      </c>
      <c r="U94" s="37">
        <v>0</v>
      </c>
      <c r="V94" s="37">
        <v>-1</v>
      </c>
      <c r="W94" s="38">
        <v>0</v>
      </c>
      <c r="X94" s="39">
        <v>0</v>
      </c>
    </row>
    <row r="95" spans="1:24" x14ac:dyDescent="0.25">
      <c r="A95" s="24" t="s">
        <v>1079</v>
      </c>
      <c r="B95" s="24" t="s">
        <v>500</v>
      </c>
      <c r="C95" s="2" t="s">
        <v>502</v>
      </c>
      <c r="D95" s="32" t="s">
        <v>1171</v>
      </c>
      <c r="E95" s="32" t="s">
        <v>1263</v>
      </c>
      <c r="F95" s="26" t="str">
        <f>HYPERLINK("https://mapwv.gov/flood/map/?wkid=102100&amp;x=-8982927.057852823&amp;y=4877180.94446937&amp;l=13&amp;v=2","FT")</f>
        <v>FT</v>
      </c>
      <c r="G95" s="17" t="s">
        <v>33</v>
      </c>
      <c r="H95" s="25" t="s">
        <v>26</v>
      </c>
      <c r="I95" s="2" t="s">
        <v>589</v>
      </c>
      <c r="J95" s="25" t="s">
        <v>41</v>
      </c>
      <c r="K95" s="31" t="s">
        <v>96</v>
      </c>
      <c r="L95" s="31" t="s">
        <v>51</v>
      </c>
      <c r="M95" s="32" t="s">
        <v>54</v>
      </c>
      <c r="N95" s="3" t="s">
        <v>36</v>
      </c>
      <c r="O95" s="31" t="s">
        <v>120</v>
      </c>
      <c r="P95" s="32" t="s">
        <v>703</v>
      </c>
      <c r="Q95" s="32" t="s">
        <v>31</v>
      </c>
      <c r="R95" s="31" t="s">
        <v>126</v>
      </c>
      <c r="S95" s="36">
        <v>456800</v>
      </c>
      <c r="T95" s="2" t="s">
        <v>46</v>
      </c>
      <c r="U95" s="37">
        <v>2.0719604</v>
      </c>
      <c r="V95" s="37">
        <v>1.07196044921875</v>
      </c>
      <c r="W95" s="38">
        <v>9.1439208984375006E-2</v>
      </c>
      <c r="X95" s="39">
        <v>41769.4306640625</v>
      </c>
    </row>
    <row r="96" spans="1:24" x14ac:dyDescent="0.25">
      <c r="A96" s="24" t="s">
        <v>1080</v>
      </c>
      <c r="B96" s="24" t="s">
        <v>500</v>
      </c>
      <c r="C96" s="2" t="s">
        <v>501</v>
      </c>
      <c r="D96" s="32" t="s">
        <v>1172</v>
      </c>
      <c r="E96" s="32" t="s">
        <v>1264</v>
      </c>
      <c r="F96" s="26" t="str">
        <f>HYPERLINK("https://mapwv.gov/flood/map/?wkid=102100&amp;x=-8983722.196611594&amp;y=4876779.793871617&amp;l=13&amp;v=2","FT")</f>
        <v>FT</v>
      </c>
      <c r="G96" s="17" t="s">
        <v>33</v>
      </c>
      <c r="H96" s="25" t="s">
        <v>26</v>
      </c>
      <c r="I96" s="2" t="s">
        <v>590</v>
      </c>
      <c r="J96" s="25" t="s">
        <v>27</v>
      </c>
      <c r="K96" s="31" t="s">
        <v>106</v>
      </c>
      <c r="L96" s="31" t="s">
        <v>28</v>
      </c>
      <c r="M96" s="32" t="s">
        <v>54</v>
      </c>
      <c r="N96" s="3" t="s">
        <v>36</v>
      </c>
      <c r="O96" s="31" t="s">
        <v>120</v>
      </c>
      <c r="P96" s="32" t="s">
        <v>704</v>
      </c>
      <c r="Q96" s="32" t="s">
        <v>31</v>
      </c>
      <c r="R96" s="31" t="s">
        <v>126</v>
      </c>
      <c r="S96" s="36">
        <v>446500</v>
      </c>
      <c r="T96" s="2" t="s">
        <v>46</v>
      </c>
      <c r="U96" s="37">
        <v>1.1915283000000001</v>
      </c>
      <c r="V96" s="37">
        <v>0.1915283203125</v>
      </c>
      <c r="W96" s="38">
        <v>2.5322265625E-2</v>
      </c>
      <c r="X96" s="39">
        <v>11306.3916015625</v>
      </c>
    </row>
    <row r="97" spans="1:24" x14ac:dyDescent="0.25">
      <c r="A97" s="24" t="s">
        <v>1081</v>
      </c>
      <c r="B97" s="24" t="s">
        <v>500</v>
      </c>
      <c r="C97" s="2" t="s">
        <v>269</v>
      </c>
      <c r="D97" s="32" t="s">
        <v>1173</v>
      </c>
      <c r="E97" s="32" t="s">
        <v>1265</v>
      </c>
      <c r="F97" s="26" t="str">
        <f>HYPERLINK("https://mapwv.gov/flood/map/?wkid=102100&amp;x=-8987250.232876843&amp;y=4876609.568976513&amp;l=13&amp;v=2","FT")</f>
        <v>FT</v>
      </c>
      <c r="G97" s="17" t="s">
        <v>33</v>
      </c>
      <c r="H97" s="25" t="s">
        <v>26</v>
      </c>
      <c r="I97" s="2" t="s">
        <v>591</v>
      </c>
      <c r="J97" s="25" t="s">
        <v>41</v>
      </c>
      <c r="K97" s="31" t="s">
        <v>92</v>
      </c>
      <c r="L97" s="31" t="s">
        <v>53</v>
      </c>
      <c r="M97" s="32" t="s">
        <v>68</v>
      </c>
      <c r="N97" s="3" t="s">
        <v>118</v>
      </c>
      <c r="O97" s="31" t="s">
        <v>122</v>
      </c>
      <c r="P97" s="32" t="s">
        <v>705</v>
      </c>
      <c r="Q97" s="32" t="s">
        <v>45</v>
      </c>
      <c r="R97" s="31" t="s">
        <v>127</v>
      </c>
      <c r="S97" s="36">
        <v>443600</v>
      </c>
      <c r="T97" s="2" t="s">
        <v>46</v>
      </c>
      <c r="U97" s="37">
        <v>3.0570067999999999</v>
      </c>
      <c r="V97" s="37">
        <v>-0.9429931640625</v>
      </c>
      <c r="W97" s="38">
        <v>0</v>
      </c>
      <c r="X97" s="39">
        <v>0</v>
      </c>
    </row>
    <row r="98" spans="1:24" x14ac:dyDescent="0.25">
      <c r="A98" s="24" t="s">
        <v>1082</v>
      </c>
      <c r="B98" s="24" t="s">
        <v>500</v>
      </c>
      <c r="C98" s="2" t="s">
        <v>269</v>
      </c>
      <c r="D98" s="32" t="s">
        <v>1174</v>
      </c>
      <c r="E98" s="32" t="s">
        <v>1266</v>
      </c>
      <c r="F98" s="26" t="str">
        <f>HYPERLINK("https://mapwv.gov/flood/map/?wkid=102100&amp;x=-8983715.869100418&amp;y=4881368.74925787&amp;l=13&amp;v=2","FT")</f>
        <v>FT</v>
      </c>
      <c r="G98" s="17" t="s">
        <v>33</v>
      </c>
      <c r="H98" s="25" t="s">
        <v>26</v>
      </c>
      <c r="I98" s="2" t="s">
        <v>592</v>
      </c>
      <c r="J98" s="25" t="s">
        <v>41</v>
      </c>
      <c r="K98" s="31" t="s">
        <v>609</v>
      </c>
      <c r="L98" s="31" t="s">
        <v>52</v>
      </c>
      <c r="M98" s="32" t="s">
        <v>73</v>
      </c>
      <c r="N98" s="3" t="s">
        <v>36</v>
      </c>
      <c r="O98" s="31" t="s">
        <v>121</v>
      </c>
      <c r="P98" s="32" t="s">
        <v>706</v>
      </c>
      <c r="Q98" s="32" t="s">
        <v>31</v>
      </c>
      <c r="R98" s="31" t="s">
        <v>126</v>
      </c>
      <c r="S98" s="36">
        <v>439800</v>
      </c>
      <c r="T98" s="2" t="s">
        <v>46</v>
      </c>
      <c r="U98" s="37">
        <v>2.2116699999999998</v>
      </c>
      <c r="V98" s="37">
        <v>1.211669921875</v>
      </c>
      <c r="W98" s="38">
        <v>5.6350097656250001E-2</v>
      </c>
      <c r="X98" s="39">
        <v>24782.772949218699</v>
      </c>
    </row>
    <row r="99" spans="1:24" x14ac:dyDescent="0.25">
      <c r="A99" s="24" t="s">
        <v>1083</v>
      </c>
      <c r="B99" s="24" t="s">
        <v>500</v>
      </c>
      <c r="C99" s="2" t="s">
        <v>501</v>
      </c>
      <c r="D99" s="32" t="s">
        <v>1175</v>
      </c>
      <c r="E99" s="32" t="s">
        <v>1267</v>
      </c>
      <c r="F99" s="26" t="str">
        <f>HYPERLINK("https://mapwv.gov/flood/map/?wkid=102100&amp;x=-8985482.218430161&amp;y=4877735.597230283&amp;l=13&amp;v=2","FT")</f>
        <v>FT</v>
      </c>
      <c r="G99" s="17" t="s">
        <v>33</v>
      </c>
      <c r="H99" s="25" t="s">
        <v>26</v>
      </c>
      <c r="I99" s="2" t="s">
        <v>593</v>
      </c>
      <c r="J99" s="25" t="s">
        <v>27</v>
      </c>
      <c r="K99" s="31" t="s">
        <v>88</v>
      </c>
      <c r="L99" s="31" t="s">
        <v>34</v>
      </c>
      <c r="M99" s="32" t="s">
        <v>58</v>
      </c>
      <c r="N99" s="3" t="s">
        <v>36</v>
      </c>
      <c r="O99" s="31" t="s">
        <v>121</v>
      </c>
      <c r="P99" s="32" t="s">
        <v>707</v>
      </c>
      <c r="Q99" s="32" t="s">
        <v>45</v>
      </c>
      <c r="R99" s="31" t="s">
        <v>127</v>
      </c>
      <c r="S99" s="36">
        <v>438600</v>
      </c>
      <c r="T99" s="2" t="s">
        <v>46</v>
      </c>
      <c r="U99" s="37">
        <v>4.0870360000000003</v>
      </c>
      <c r="V99" s="37">
        <v>8.70361328125E-2</v>
      </c>
      <c r="W99" s="38">
        <v>2.7833251953124999E-2</v>
      </c>
      <c r="X99" s="39">
        <v>12207.6643066406</v>
      </c>
    </row>
    <row r="100" spans="1:24" x14ac:dyDescent="0.25">
      <c r="A100" s="24" t="s">
        <v>1084</v>
      </c>
      <c r="B100" s="24" t="s">
        <v>500</v>
      </c>
      <c r="C100" s="2" t="s">
        <v>269</v>
      </c>
      <c r="D100" s="32" t="s">
        <v>1176</v>
      </c>
      <c r="E100" s="32" t="s">
        <v>1268</v>
      </c>
      <c r="F100" s="26" t="str">
        <f>HYPERLINK("https://mapwv.gov/flood/map/?wkid=102100&amp;x=-8983551.572329994&amp;y=4881897.700490869&amp;l=13&amp;v=2","FT")</f>
        <v>FT</v>
      </c>
      <c r="G100" s="17" t="s">
        <v>33</v>
      </c>
      <c r="H100" s="25" t="s">
        <v>26</v>
      </c>
      <c r="I100" s="2" t="s">
        <v>594</v>
      </c>
      <c r="J100" s="25" t="s">
        <v>27</v>
      </c>
      <c r="K100" s="31" t="s">
        <v>171</v>
      </c>
      <c r="L100" s="31" t="s">
        <v>55</v>
      </c>
      <c r="M100" s="32" t="s">
        <v>73</v>
      </c>
      <c r="N100" s="3" t="s">
        <v>36</v>
      </c>
      <c r="O100" s="31" t="s">
        <v>120</v>
      </c>
      <c r="P100" s="32" t="s">
        <v>708</v>
      </c>
      <c r="Q100" s="32" t="s">
        <v>31</v>
      </c>
      <c r="R100" s="31" t="s">
        <v>126</v>
      </c>
      <c r="S100" s="36">
        <v>428300</v>
      </c>
      <c r="T100" s="2" t="s">
        <v>46</v>
      </c>
      <c r="U100" s="37">
        <v>0.94104003999999997</v>
      </c>
      <c r="V100" s="37">
        <v>-5.89599609375E-2</v>
      </c>
      <c r="W100" s="38">
        <v>0</v>
      </c>
      <c r="X100" s="39">
        <v>0</v>
      </c>
    </row>
    <row r="101" spans="1:24" x14ac:dyDescent="0.25">
      <c r="A101" s="24" t="s">
        <v>1085</v>
      </c>
      <c r="B101" s="24" t="s">
        <v>500</v>
      </c>
      <c r="C101" s="2" t="s">
        <v>269</v>
      </c>
      <c r="D101" s="32" t="s">
        <v>1177</v>
      </c>
      <c r="E101" s="32" t="s">
        <v>1269</v>
      </c>
      <c r="F101" s="26" t="str">
        <f>HYPERLINK("https://mapwv.gov/flood/map/?wkid=102100&amp;x=-8986311.535278229&amp;y=4870758.397496364&amp;l=13&amp;v=2","FT")</f>
        <v>FT</v>
      </c>
      <c r="G101" s="17" t="s">
        <v>33</v>
      </c>
      <c r="H101" s="25" t="s">
        <v>26</v>
      </c>
      <c r="I101" s="2" t="s">
        <v>595</v>
      </c>
      <c r="J101" s="25" t="s">
        <v>27</v>
      </c>
      <c r="K101" s="31" t="s">
        <v>143</v>
      </c>
      <c r="L101" s="31" t="s">
        <v>38</v>
      </c>
      <c r="M101" s="32" t="s">
        <v>50</v>
      </c>
      <c r="N101" s="3" t="s">
        <v>36</v>
      </c>
      <c r="O101" s="31" t="s">
        <v>120</v>
      </c>
      <c r="P101" s="32" t="s">
        <v>709</v>
      </c>
      <c r="Q101" s="32" t="s">
        <v>31</v>
      </c>
      <c r="R101" s="31" t="s">
        <v>126</v>
      </c>
      <c r="S101" s="36">
        <v>418700</v>
      </c>
      <c r="T101" s="2" t="s">
        <v>46</v>
      </c>
      <c r="U101" s="37">
        <v>0.41741942999999998</v>
      </c>
      <c r="V101" s="37">
        <v>-0.58258056640625</v>
      </c>
      <c r="W101" s="38">
        <v>4.1741943359375E-3</v>
      </c>
      <c r="X101" s="39">
        <v>1747.7351684570301</v>
      </c>
    </row>
    <row r="102" spans="1:24" x14ac:dyDescent="0.25">
      <c r="A102" s="24" t="s">
        <v>1086</v>
      </c>
      <c r="B102" s="24" t="s">
        <v>500</v>
      </c>
      <c r="C102" s="2" t="s">
        <v>269</v>
      </c>
      <c r="D102" s="32" t="s">
        <v>1178</v>
      </c>
      <c r="E102" s="32" t="s">
        <v>1270</v>
      </c>
      <c r="F102" s="26" t="str">
        <f>HYPERLINK("https://mapwv.gov/flood/map/?wkid=102100&amp;x=-8985983.75904509&amp;y=4875336.4421033645&amp;l=13&amp;v=2","FT")</f>
        <v>FT</v>
      </c>
      <c r="G102" s="17" t="s">
        <v>33</v>
      </c>
      <c r="H102" s="25" t="s">
        <v>26</v>
      </c>
      <c r="I102" s="2" t="s">
        <v>536</v>
      </c>
      <c r="J102" s="25" t="s">
        <v>41</v>
      </c>
      <c r="K102" s="31" t="s">
        <v>151</v>
      </c>
      <c r="L102" s="31"/>
      <c r="M102" s="32" t="s">
        <v>58</v>
      </c>
      <c r="N102" s="3" t="s">
        <v>36</v>
      </c>
      <c r="O102" s="31" t="s">
        <v>120</v>
      </c>
      <c r="P102" s="32" t="s">
        <v>710</v>
      </c>
      <c r="Q102" s="32" t="s">
        <v>31</v>
      </c>
      <c r="R102" s="31" t="s">
        <v>126</v>
      </c>
      <c r="S102" s="36">
        <v>416676</v>
      </c>
      <c r="T102" s="2" t="s">
        <v>128</v>
      </c>
      <c r="U102" s="37">
        <v>1.6956176999999999</v>
      </c>
      <c r="V102" s="37">
        <v>0.69561767578125</v>
      </c>
      <c r="W102" s="38">
        <v>8.2605590820312505E-2</v>
      </c>
      <c r="X102" s="39">
        <v>34419.7671606445</v>
      </c>
    </row>
    <row r="104" spans="1:24" x14ac:dyDescent="0.25">
      <c r="A104" s="4" t="s">
        <v>61</v>
      </c>
      <c r="B104" s="4" t="s">
        <v>1</v>
      </c>
      <c r="C104" s="4" t="s">
        <v>62</v>
      </c>
      <c r="D104" s="4" t="s">
        <v>63</v>
      </c>
      <c r="E104" s="4" t="s">
        <v>64</v>
      </c>
    </row>
    <row r="105" spans="1:24" x14ac:dyDescent="0.25">
      <c r="A105" s="4">
        <v>540149</v>
      </c>
      <c r="B105" s="1" t="s">
        <v>988</v>
      </c>
      <c r="C105" s="4" t="s">
        <v>711</v>
      </c>
      <c r="D105" s="1" t="s">
        <v>66</v>
      </c>
      <c r="E105" s="4">
        <v>10</v>
      </c>
      <c r="S105" s="40" t="s">
        <v>173</v>
      </c>
    </row>
    <row r="106" spans="1:24" x14ac:dyDescent="0.25">
      <c r="A106" s="24" t="s">
        <v>493</v>
      </c>
      <c r="B106" s="2" t="s">
        <v>1290</v>
      </c>
      <c r="C106" s="2" t="s">
        <v>498</v>
      </c>
      <c r="D106" s="2" t="s">
        <v>509</v>
      </c>
      <c r="E106" s="2" t="s">
        <v>510</v>
      </c>
      <c r="F106" s="26" t="str">
        <f>HYPERLINK("https://mapwv.gov/flood/map/?wkid=102100&amp;x=-8966874.637221757&amp;y=4872377.067254258&amp;l=13&amp;v=2","FT")</f>
        <v>FT</v>
      </c>
      <c r="G106" s="17" t="s">
        <v>25</v>
      </c>
      <c r="H106" s="25" t="s">
        <v>26</v>
      </c>
      <c r="I106" s="2" t="s">
        <v>573</v>
      </c>
      <c r="J106" s="25" t="s">
        <v>41</v>
      </c>
      <c r="K106" s="31" t="s">
        <v>605</v>
      </c>
      <c r="L106" s="31" t="s">
        <v>28</v>
      </c>
      <c r="M106" s="32" t="s">
        <v>68</v>
      </c>
      <c r="N106" s="3" t="s">
        <v>118</v>
      </c>
      <c r="O106" s="31" t="s">
        <v>120</v>
      </c>
      <c r="P106" s="32" t="s">
        <v>686</v>
      </c>
      <c r="Q106" s="2" t="s">
        <v>31</v>
      </c>
      <c r="R106" s="31" t="s">
        <v>126</v>
      </c>
      <c r="S106" s="36">
        <v>575700</v>
      </c>
      <c r="T106" s="2" t="s">
        <v>46</v>
      </c>
      <c r="U106" s="37">
        <v>0</v>
      </c>
      <c r="V106" s="37">
        <v>-1</v>
      </c>
      <c r="W106" s="38">
        <v>0</v>
      </c>
      <c r="X106" s="39">
        <v>0</v>
      </c>
    </row>
    <row r="107" spans="1:24" x14ac:dyDescent="0.25">
      <c r="A107" s="24" t="s">
        <v>491</v>
      </c>
      <c r="B107" s="2" t="s">
        <v>1290</v>
      </c>
      <c r="C107" s="2" t="s">
        <v>501</v>
      </c>
      <c r="D107" s="2" t="s">
        <v>505</v>
      </c>
      <c r="E107" s="2" t="s">
        <v>506</v>
      </c>
      <c r="F107" s="26" t="str">
        <f>HYPERLINK("https://mapwv.gov/flood/map/?wkid=102100&amp;x=-8981808.022456488&amp;y=4876924.278978027&amp;l=13&amp;v=2","FT")</f>
        <v>FT</v>
      </c>
      <c r="G107" s="17" t="s">
        <v>56</v>
      </c>
      <c r="H107" s="25" t="s">
        <v>26</v>
      </c>
      <c r="I107" s="2" t="s">
        <v>1327</v>
      </c>
      <c r="J107" s="25" t="s">
        <v>41</v>
      </c>
      <c r="K107" s="31" t="s">
        <v>137</v>
      </c>
      <c r="L107" s="31" t="s">
        <v>47</v>
      </c>
      <c r="M107" s="32" t="s">
        <v>50</v>
      </c>
      <c r="N107" s="3" t="s">
        <v>36</v>
      </c>
      <c r="O107" s="31" t="s">
        <v>122</v>
      </c>
      <c r="P107" s="32" t="s">
        <v>1348</v>
      </c>
      <c r="Q107" s="2" t="s">
        <v>45</v>
      </c>
      <c r="R107" s="31" t="s">
        <v>127</v>
      </c>
      <c r="S107" s="36">
        <v>381600</v>
      </c>
      <c r="T107" s="2" t="s">
        <v>46</v>
      </c>
      <c r="U107" s="37">
        <v>9.1247560000000005E-2</v>
      </c>
      <c r="V107" s="37">
        <v>-3.90875244140625</v>
      </c>
      <c r="W107" s="38">
        <v>0</v>
      </c>
      <c r="X107" s="39">
        <v>0</v>
      </c>
    </row>
    <row r="108" spans="1:24" x14ac:dyDescent="0.25">
      <c r="A108" s="24" t="s">
        <v>1271</v>
      </c>
      <c r="B108" s="2" t="s">
        <v>1290</v>
      </c>
      <c r="C108" s="2" t="s">
        <v>269</v>
      </c>
      <c r="D108" s="2" t="s">
        <v>1291</v>
      </c>
      <c r="E108" s="2" t="s">
        <v>1308</v>
      </c>
      <c r="F108" s="26" t="str">
        <f>HYPERLINK("https://mapwv.gov/flood/map/?wkid=102100&amp;x=-8986194.145980878&amp;y=4872347.856872385&amp;l=13&amp;v=2","FT")</f>
        <v>FT</v>
      </c>
      <c r="G108" s="17" t="s">
        <v>33</v>
      </c>
      <c r="H108" s="25" t="s">
        <v>26</v>
      </c>
      <c r="I108" s="2" t="s">
        <v>1328</v>
      </c>
      <c r="J108" s="25" t="s">
        <v>41</v>
      </c>
      <c r="K108" s="31" t="s">
        <v>140</v>
      </c>
      <c r="L108" s="31" t="s">
        <v>47</v>
      </c>
      <c r="M108" s="32" t="s">
        <v>68</v>
      </c>
      <c r="N108" s="3" t="s">
        <v>118</v>
      </c>
      <c r="O108" s="31" t="s">
        <v>120</v>
      </c>
      <c r="P108" s="32" t="s">
        <v>1349</v>
      </c>
      <c r="Q108" s="2" t="s">
        <v>31</v>
      </c>
      <c r="R108" s="31" t="s">
        <v>126</v>
      </c>
      <c r="S108" s="36">
        <v>379490</v>
      </c>
      <c r="T108" s="2" t="s">
        <v>32</v>
      </c>
      <c r="U108" s="37">
        <v>3.9952393000000002</v>
      </c>
      <c r="V108" s="37">
        <v>2.9952392578125</v>
      </c>
      <c r="W108" s="38">
        <v>0.11</v>
      </c>
      <c r="X108" s="39">
        <v>41743.9</v>
      </c>
    </row>
    <row r="109" spans="1:24" x14ac:dyDescent="0.25">
      <c r="A109" s="24" t="s">
        <v>1272</v>
      </c>
      <c r="B109" s="2" t="s">
        <v>1290</v>
      </c>
      <c r="C109" s="2" t="s">
        <v>502</v>
      </c>
      <c r="D109" s="2" t="s">
        <v>1292</v>
      </c>
      <c r="E109" s="2" t="s">
        <v>1309</v>
      </c>
      <c r="F109" s="26" t="str">
        <f>HYPERLINK("https://mapwv.gov/flood/map/?wkid=102100&amp;x=-8983020.016640766&amp;y=4877128.319081322&amp;l=13&amp;v=2","FT")</f>
        <v>FT</v>
      </c>
      <c r="G109" s="17" t="s">
        <v>33</v>
      </c>
      <c r="H109" s="25" t="s">
        <v>26</v>
      </c>
      <c r="I109" s="2" t="s">
        <v>521</v>
      </c>
      <c r="J109" s="25" t="s">
        <v>27</v>
      </c>
      <c r="K109" s="31" t="s">
        <v>107</v>
      </c>
      <c r="L109" s="31" t="s">
        <v>59</v>
      </c>
      <c r="M109" s="32" t="s">
        <v>48</v>
      </c>
      <c r="N109" s="3" t="s">
        <v>36</v>
      </c>
      <c r="O109" s="31" t="s">
        <v>120</v>
      </c>
      <c r="P109" s="32" t="s">
        <v>1350</v>
      </c>
      <c r="Q109" s="2" t="s">
        <v>31</v>
      </c>
      <c r="R109" s="31" t="s">
        <v>126</v>
      </c>
      <c r="S109" s="36">
        <v>377000</v>
      </c>
      <c r="T109" s="2" t="s">
        <v>46</v>
      </c>
      <c r="U109" s="37">
        <v>1.8675537</v>
      </c>
      <c r="V109" s="37">
        <v>0.8675537109375</v>
      </c>
      <c r="W109" s="38">
        <v>9.5430908203124998E-2</v>
      </c>
      <c r="X109" s="39">
        <v>35977.452392578103</v>
      </c>
    </row>
    <row r="110" spans="1:24" x14ac:dyDescent="0.25">
      <c r="A110" s="24" t="s">
        <v>1273</v>
      </c>
      <c r="B110" s="2" t="s">
        <v>1290</v>
      </c>
      <c r="C110" s="2" t="s">
        <v>502</v>
      </c>
      <c r="D110" s="2" t="s">
        <v>503</v>
      </c>
      <c r="E110" s="2" t="s">
        <v>1310</v>
      </c>
      <c r="F110" s="26" t="str">
        <f>HYPERLINK("https://mapwv.gov/flood/map/?wkid=102100&amp;x=-8983023.746734263&amp;y=4877028.4983049845&amp;l=13&amp;v=2","FT")</f>
        <v>FT</v>
      </c>
      <c r="G110" s="17" t="s">
        <v>33</v>
      </c>
      <c r="H110" s="25" t="s">
        <v>26</v>
      </c>
      <c r="I110" s="2" t="s">
        <v>569</v>
      </c>
      <c r="J110" s="25" t="s">
        <v>41</v>
      </c>
      <c r="K110" s="31" t="s">
        <v>87</v>
      </c>
      <c r="L110" s="31" t="s">
        <v>28</v>
      </c>
      <c r="M110" s="32" t="s">
        <v>54</v>
      </c>
      <c r="N110" s="3" t="s">
        <v>36</v>
      </c>
      <c r="O110" s="31" t="s">
        <v>120</v>
      </c>
      <c r="P110" s="32" t="s">
        <v>1351</v>
      </c>
      <c r="Q110" s="2" t="s">
        <v>31</v>
      </c>
      <c r="R110" s="31" t="s">
        <v>126</v>
      </c>
      <c r="S110" s="36">
        <v>369800</v>
      </c>
      <c r="T110" s="2" t="s">
        <v>32</v>
      </c>
      <c r="U110" s="37">
        <v>4.9771729999999996</v>
      </c>
      <c r="V110" s="37">
        <v>3.9771728515625</v>
      </c>
      <c r="W110" s="38">
        <v>0.13954345703125001</v>
      </c>
      <c r="X110" s="39">
        <v>51603.170410156199</v>
      </c>
    </row>
    <row r="111" spans="1:24" x14ac:dyDescent="0.25">
      <c r="A111" s="24" t="s">
        <v>1274</v>
      </c>
      <c r="B111" s="2" t="s">
        <v>1290</v>
      </c>
      <c r="C111" s="2" t="s">
        <v>502</v>
      </c>
      <c r="D111" s="2" t="s">
        <v>1293</v>
      </c>
      <c r="E111" s="2" t="s">
        <v>1311</v>
      </c>
      <c r="F111" s="26" t="str">
        <f>HYPERLINK("https://mapwv.gov/flood/map/?wkid=102100&amp;x=-8982579.189119512&amp;y=4877604.019498128&amp;l=13&amp;v=2","FT")</f>
        <v>FT</v>
      </c>
      <c r="G111" s="17" t="s">
        <v>40</v>
      </c>
      <c r="H111" s="25" t="s">
        <v>26</v>
      </c>
      <c r="I111" s="2" t="s">
        <v>1329</v>
      </c>
      <c r="J111" s="25" t="s">
        <v>41</v>
      </c>
      <c r="K111" s="31" t="s">
        <v>1344</v>
      </c>
      <c r="L111" s="31" t="s">
        <v>42</v>
      </c>
      <c r="M111" s="32" t="s">
        <v>43</v>
      </c>
      <c r="N111" s="3" t="s">
        <v>44</v>
      </c>
      <c r="O111" s="31" t="s">
        <v>121</v>
      </c>
      <c r="P111" s="32" t="s">
        <v>1352</v>
      </c>
      <c r="Q111" s="2" t="s">
        <v>45</v>
      </c>
      <c r="R111" s="31" t="s">
        <v>127</v>
      </c>
      <c r="S111" s="36">
        <v>355700</v>
      </c>
      <c r="T111" s="2" t="s">
        <v>46</v>
      </c>
      <c r="U111" s="37">
        <v>0</v>
      </c>
      <c r="V111" s="37">
        <v>-4</v>
      </c>
      <c r="W111" s="38">
        <v>0</v>
      </c>
      <c r="X111" s="39">
        <v>0</v>
      </c>
    </row>
    <row r="112" spans="1:24" x14ac:dyDescent="0.25">
      <c r="A112" s="24" t="s">
        <v>1275</v>
      </c>
      <c r="B112" s="2" t="s">
        <v>1290</v>
      </c>
      <c r="C112" s="2" t="s">
        <v>501</v>
      </c>
      <c r="D112" s="2" t="s">
        <v>1294</v>
      </c>
      <c r="E112" s="2" t="s">
        <v>1312</v>
      </c>
      <c r="F112" s="26" t="str">
        <f>HYPERLINK("https://mapwv.gov/flood/map/?wkid=102100&amp;x=-8981742.461621618&amp;y=4876649.418376633&amp;l=13&amp;v=2","FT")</f>
        <v>FT</v>
      </c>
      <c r="G112" s="17" t="s">
        <v>33</v>
      </c>
      <c r="H112" s="25" t="s">
        <v>26</v>
      </c>
      <c r="I112" s="2" t="s">
        <v>1330</v>
      </c>
      <c r="J112" s="25" t="s">
        <v>41</v>
      </c>
      <c r="K112" s="31" t="s">
        <v>1345</v>
      </c>
      <c r="L112" s="31" t="s">
        <v>51</v>
      </c>
      <c r="M112" s="32" t="s">
        <v>43</v>
      </c>
      <c r="N112" s="3" t="s">
        <v>44</v>
      </c>
      <c r="O112" s="31" t="s">
        <v>121</v>
      </c>
      <c r="P112" s="32" t="s">
        <v>1353</v>
      </c>
      <c r="Q112" s="2" t="s">
        <v>45</v>
      </c>
      <c r="R112" s="31" t="s">
        <v>127</v>
      </c>
      <c r="S112" s="36">
        <v>352100</v>
      </c>
      <c r="T112" s="2" t="s">
        <v>46</v>
      </c>
      <c r="U112" s="37">
        <v>0.54406739999999998</v>
      </c>
      <c r="V112" s="37">
        <v>-3.4559326171875</v>
      </c>
      <c r="W112" s="38">
        <v>0.04</v>
      </c>
      <c r="X112" s="39">
        <v>14084</v>
      </c>
    </row>
    <row r="113" spans="1:24" x14ac:dyDescent="0.25">
      <c r="A113" s="24" t="s">
        <v>1276</v>
      </c>
      <c r="B113" s="2" t="s">
        <v>1290</v>
      </c>
      <c r="C113" s="2" t="s">
        <v>501</v>
      </c>
      <c r="D113" s="2" t="s">
        <v>1295</v>
      </c>
      <c r="E113" s="2" t="s">
        <v>1313</v>
      </c>
      <c r="F113" s="26" t="str">
        <f>HYPERLINK("https://mapwv.gov/flood/map/?wkid=102100&amp;x=-8984482.721353943&amp;y=4876921.628654313&amp;l=13&amp;v=2","FT")</f>
        <v>FT</v>
      </c>
      <c r="G113" s="17" t="s">
        <v>33</v>
      </c>
      <c r="H113" s="25" t="s">
        <v>26</v>
      </c>
      <c r="I113" s="2" t="s">
        <v>1331</v>
      </c>
      <c r="J113" s="25" t="s">
        <v>41</v>
      </c>
      <c r="K113" s="31" t="s">
        <v>165</v>
      </c>
      <c r="L113" s="31" t="s">
        <v>38</v>
      </c>
      <c r="M113" s="32" t="s">
        <v>54</v>
      </c>
      <c r="N113" s="3" t="s">
        <v>36</v>
      </c>
      <c r="O113" s="31" t="s">
        <v>120</v>
      </c>
      <c r="P113" s="32" t="s">
        <v>1354</v>
      </c>
      <c r="Q113" s="2" t="s">
        <v>45</v>
      </c>
      <c r="R113" s="31" t="s">
        <v>127</v>
      </c>
      <c r="S113" s="36">
        <v>351700</v>
      </c>
      <c r="T113" s="2" t="s">
        <v>46</v>
      </c>
      <c r="U113" s="37">
        <v>6.0338134999999999</v>
      </c>
      <c r="V113" s="37">
        <v>2.0338134765625</v>
      </c>
      <c r="W113" s="38">
        <v>0.110338134765625</v>
      </c>
      <c r="X113" s="39">
        <v>38805.921997070298</v>
      </c>
    </row>
    <row r="114" spans="1:24" x14ac:dyDescent="0.25">
      <c r="A114" s="24" t="s">
        <v>1277</v>
      </c>
      <c r="B114" s="2" t="s">
        <v>1290</v>
      </c>
      <c r="C114" s="2" t="s">
        <v>269</v>
      </c>
      <c r="D114" s="2" t="s">
        <v>1296</v>
      </c>
      <c r="E114" s="2" t="s">
        <v>1314</v>
      </c>
      <c r="F114" s="26" t="str">
        <f>HYPERLINK("https://mapwv.gov/flood/map/?wkid=102100&amp;x=-8986248.750751467&amp;y=4873890.197852722&amp;l=13&amp;v=2","FT")</f>
        <v>FT</v>
      </c>
      <c r="G114" s="17" t="s">
        <v>33</v>
      </c>
      <c r="H114" s="25" t="s">
        <v>26</v>
      </c>
      <c r="I114" s="2" t="s">
        <v>1332</v>
      </c>
      <c r="J114" s="25" t="s">
        <v>41</v>
      </c>
      <c r="K114" s="31" t="s">
        <v>139</v>
      </c>
      <c r="L114" s="31" t="s">
        <v>52</v>
      </c>
      <c r="M114" s="32" t="s">
        <v>50</v>
      </c>
      <c r="N114" s="3" t="s">
        <v>36</v>
      </c>
      <c r="O114" s="31" t="s">
        <v>121</v>
      </c>
      <c r="P114" s="32" t="s">
        <v>1355</v>
      </c>
      <c r="Q114" s="2" t="s">
        <v>31</v>
      </c>
      <c r="R114" s="31" t="s">
        <v>126</v>
      </c>
      <c r="S114" s="36">
        <v>349200</v>
      </c>
      <c r="T114" s="2" t="s">
        <v>46</v>
      </c>
      <c r="U114" s="37">
        <v>0</v>
      </c>
      <c r="V114" s="37">
        <v>-1</v>
      </c>
      <c r="W114" s="38">
        <v>0</v>
      </c>
      <c r="X114" s="39">
        <v>0</v>
      </c>
    </row>
    <row r="115" spans="1:24" x14ac:dyDescent="0.25">
      <c r="A115" s="24" t="s">
        <v>1278</v>
      </c>
      <c r="B115" s="2" t="s">
        <v>1290</v>
      </c>
      <c r="C115" s="2" t="s">
        <v>502</v>
      </c>
      <c r="D115" s="2" t="s">
        <v>1297</v>
      </c>
      <c r="E115" s="2" t="s">
        <v>1315</v>
      </c>
      <c r="F115" s="26" t="str">
        <f>HYPERLINK("https://mapwv.gov/flood/map/?wkid=102100&amp;x=-8982572.753517108&amp;y=4877635.1444419585&amp;l=13&amp;v=2","FT")</f>
        <v>FT</v>
      </c>
      <c r="G115" s="17" t="s">
        <v>40</v>
      </c>
      <c r="H115" s="25" t="s">
        <v>26</v>
      </c>
      <c r="I115" s="2" t="s">
        <v>1333</v>
      </c>
      <c r="J115" s="25" t="s">
        <v>41</v>
      </c>
      <c r="K115" s="31" t="s">
        <v>1346</v>
      </c>
      <c r="L115" s="31" t="s">
        <v>40</v>
      </c>
      <c r="M115" s="32" t="s">
        <v>43</v>
      </c>
      <c r="N115" s="3" t="s">
        <v>44</v>
      </c>
      <c r="O115" s="31" t="s">
        <v>121</v>
      </c>
      <c r="P115" s="32" t="s">
        <v>1356</v>
      </c>
      <c r="Q115" s="2" t="s">
        <v>45</v>
      </c>
      <c r="R115" s="31" t="s">
        <v>127</v>
      </c>
      <c r="S115" s="36">
        <v>346300</v>
      </c>
      <c r="T115" s="2" t="s">
        <v>46</v>
      </c>
      <c r="U115" s="37">
        <v>0</v>
      </c>
      <c r="V115" s="37">
        <v>-4</v>
      </c>
      <c r="W115" s="38">
        <v>0</v>
      </c>
      <c r="X115" s="39">
        <v>0</v>
      </c>
    </row>
    <row r="116" spans="1:24" x14ac:dyDescent="0.25">
      <c r="A116" s="24" t="s">
        <v>495</v>
      </c>
      <c r="B116" s="2" t="s">
        <v>1290</v>
      </c>
      <c r="C116" s="2" t="s">
        <v>499</v>
      </c>
      <c r="D116" s="2" t="s">
        <v>513</v>
      </c>
      <c r="E116" s="2" t="s">
        <v>514</v>
      </c>
      <c r="F116" s="26" t="str">
        <f>HYPERLINK("https://mapwv.gov/flood/map/?wkid=102100&amp;x=-8978845.97466877&amp;y=4872453.172626289&amp;l=13&amp;v=2","FT")</f>
        <v>FT</v>
      </c>
      <c r="G116" s="17" t="s">
        <v>56</v>
      </c>
      <c r="H116" s="25" t="s">
        <v>26</v>
      </c>
      <c r="I116" s="2" t="s">
        <v>1334</v>
      </c>
      <c r="J116" s="25" t="s">
        <v>27</v>
      </c>
      <c r="K116" s="31" t="s">
        <v>107</v>
      </c>
      <c r="L116" s="31" t="s">
        <v>53</v>
      </c>
      <c r="M116" s="32" t="s">
        <v>29</v>
      </c>
      <c r="N116" s="3" t="s">
        <v>117</v>
      </c>
      <c r="O116" s="31" t="s">
        <v>120</v>
      </c>
      <c r="P116" s="32" t="s">
        <v>1357</v>
      </c>
      <c r="Q116" s="2" t="s">
        <v>31</v>
      </c>
      <c r="R116" s="31" t="s">
        <v>126</v>
      </c>
      <c r="S116" s="36">
        <v>345100</v>
      </c>
      <c r="T116" s="2" t="s">
        <v>46</v>
      </c>
      <c r="U116" s="37">
        <v>0.50433349999999999</v>
      </c>
      <c r="V116" s="37">
        <v>-0.49566650390625</v>
      </c>
      <c r="W116" s="38">
        <v>0</v>
      </c>
      <c r="X116" s="39">
        <v>0</v>
      </c>
    </row>
    <row r="117" spans="1:24" x14ac:dyDescent="0.25">
      <c r="A117" s="24" t="s">
        <v>1279</v>
      </c>
      <c r="B117" s="2" t="s">
        <v>1290</v>
      </c>
      <c r="C117" s="2" t="s">
        <v>269</v>
      </c>
      <c r="D117" s="2" t="s">
        <v>1298</v>
      </c>
      <c r="E117" s="2" t="s">
        <v>1316</v>
      </c>
      <c r="F117" s="26" t="str">
        <f>HYPERLINK("https://mapwv.gov/flood/map/?wkid=102100&amp;x=-8986189.806858452&amp;y=4874572.474637661&amp;l=13&amp;v=2","FT")</f>
        <v>FT</v>
      </c>
      <c r="G117" s="17" t="s">
        <v>33</v>
      </c>
      <c r="H117" s="25" t="s">
        <v>26</v>
      </c>
      <c r="I117" s="2" t="s">
        <v>1335</v>
      </c>
      <c r="J117" s="25" t="s">
        <v>41</v>
      </c>
      <c r="K117" s="31" t="s">
        <v>1347</v>
      </c>
      <c r="L117" s="31" t="s">
        <v>47</v>
      </c>
      <c r="M117" s="32" t="s">
        <v>50</v>
      </c>
      <c r="N117" s="3" t="s">
        <v>36</v>
      </c>
      <c r="O117" s="31" t="s">
        <v>120</v>
      </c>
      <c r="P117" s="32" t="s">
        <v>1358</v>
      </c>
      <c r="Q117" s="2" t="s">
        <v>31</v>
      </c>
      <c r="R117" s="31" t="s">
        <v>126</v>
      </c>
      <c r="S117" s="36">
        <v>342500</v>
      </c>
      <c r="T117" s="2" t="s">
        <v>46</v>
      </c>
      <c r="U117" s="37">
        <v>0</v>
      </c>
      <c r="V117" s="37">
        <v>-1</v>
      </c>
      <c r="W117" s="38">
        <v>0</v>
      </c>
      <c r="X117" s="39">
        <v>0</v>
      </c>
    </row>
    <row r="118" spans="1:24" x14ac:dyDescent="0.25">
      <c r="A118" s="24" t="s">
        <v>1280</v>
      </c>
      <c r="B118" s="2" t="s">
        <v>1290</v>
      </c>
      <c r="C118" s="2" t="s">
        <v>498</v>
      </c>
      <c r="D118" s="2" t="s">
        <v>1299</v>
      </c>
      <c r="E118" s="2" t="s">
        <v>1317</v>
      </c>
      <c r="F118" s="26" t="str">
        <f>HYPERLINK("https://mapwv.gov/flood/map/?wkid=102100&amp;x=-8965895.476212762&amp;y=4873452.974928054&amp;l=13&amp;v=2","FT")</f>
        <v>FT</v>
      </c>
      <c r="G118" s="17" t="s">
        <v>40</v>
      </c>
      <c r="H118" s="25" t="s">
        <v>26</v>
      </c>
      <c r="I118" s="2" t="s">
        <v>1336</v>
      </c>
      <c r="J118" s="25" t="s">
        <v>27</v>
      </c>
      <c r="K118" s="31" t="s">
        <v>176</v>
      </c>
      <c r="L118" s="31" t="s">
        <v>40</v>
      </c>
      <c r="M118" s="32" t="s">
        <v>43</v>
      </c>
      <c r="N118" s="3" t="s">
        <v>44</v>
      </c>
      <c r="O118" s="31" t="s">
        <v>120</v>
      </c>
      <c r="P118" s="32" t="s">
        <v>1359</v>
      </c>
      <c r="Q118" s="2" t="s">
        <v>45</v>
      </c>
      <c r="R118" s="31" t="s">
        <v>127</v>
      </c>
      <c r="S118" s="36">
        <v>341700</v>
      </c>
      <c r="T118" s="2" t="s">
        <v>32</v>
      </c>
      <c r="U118" s="37">
        <v>0</v>
      </c>
      <c r="V118" s="37">
        <v>-4</v>
      </c>
      <c r="W118" s="38">
        <v>0</v>
      </c>
      <c r="X118" s="39">
        <v>0</v>
      </c>
    </row>
    <row r="119" spans="1:24" x14ac:dyDescent="0.25">
      <c r="A119" s="24" t="s">
        <v>1281</v>
      </c>
      <c r="B119" s="2" t="s">
        <v>1290</v>
      </c>
      <c r="C119" s="2" t="s">
        <v>269</v>
      </c>
      <c r="D119" s="2" t="s">
        <v>1300</v>
      </c>
      <c r="E119" s="2" t="s">
        <v>1318</v>
      </c>
      <c r="F119" s="26" t="str">
        <f>HYPERLINK("https://mapwv.gov/flood/map/?wkid=102100&amp;x=-8987321.246585649&amp;y=4876358.955436556&amp;l=13&amp;v=2","FT")</f>
        <v>FT</v>
      </c>
      <c r="G119" s="17" t="s">
        <v>33</v>
      </c>
      <c r="H119" s="25" t="s">
        <v>26</v>
      </c>
      <c r="I119" s="2" t="s">
        <v>1337</v>
      </c>
      <c r="J119" s="25" t="s">
        <v>27</v>
      </c>
      <c r="K119" s="31" t="s">
        <v>90</v>
      </c>
      <c r="L119" s="31" t="s">
        <v>40</v>
      </c>
      <c r="M119" s="32" t="s">
        <v>54</v>
      </c>
      <c r="N119" s="3" t="s">
        <v>36</v>
      </c>
      <c r="O119" s="31" t="s">
        <v>120</v>
      </c>
      <c r="P119" s="32" t="s">
        <v>1360</v>
      </c>
      <c r="Q119" s="2" t="s">
        <v>31</v>
      </c>
      <c r="R119" s="31" t="s">
        <v>126</v>
      </c>
      <c r="S119" s="36">
        <v>336000</v>
      </c>
      <c r="T119" s="2" t="s">
        <v>46</v>
      </c>
      <c r="U119" s="37">
        <v>4.5369872999999998</v>
      </c>
      <c r="V119" s="37">
        <v>3.5369873046875</v>
      </c>
      <c r="W119" s="38">
        <v>0.13073974609375</v>
      </c>
      <c r="X119" s="39">
        <v>43928.5546875</v>
      </c>
    </row>
    <row r="120" spans="1:24" x14ac:dyDescent="0.25">
      <c r="A120" s="24" t="s">
        <v>1282</v>
      </c>
      <c r="B120" s="2" t="s">
        <v>1290</v>
      </c>
      <c r="C120" s="2" t="s">
        <v>502</v>
      </c>
      <c r="D120" s="2" t="s">
        <v>1301</v>
      </c>
      <c r="E120" s="2" t="s">
        <v>1319</v>
      </c>
      <c r="F120" s="26" t="str">
        <f>HYPERLINK("https://mapwv.gov/flood/map/?wkid=102100&amp;x=-8982753.256512962&amp;y=4877445.749564558&amp;l=13&amp;v=2","FT")</f>
        <v>FT</v>
      </c>
      <c r="G120" s="17" t="s">
        <v>40</v>
      </c>
      <c r="H120" s="25" t="s">
        <v>26</v>
      </c>
      <c r="I120" s="2" t="s">
        <v>1338</v>
      </c>
      <c r="J120" s="25" t="s">
        <v>27</v>
      </c>
      <c r="K120" s="31" t="s">
        <v>130</v>
      </c>
      <c r="L120" s="31" t="s">
        <v>47</v>
      </c>
      <c r="M120" s="32" t="s">
        <v>57</v>
      </c>
      <c r="N120" s="3" t="s">
        <v>36</v>
      </c>
      <c r="O120" s="31" t="s">
        <v>120</v>
      </c>
      <c r="P120" s="32" t="s">
        <v>1361</v>
      </c>
      <c r="Q120" s="2" t="s">
        <v>31</v>
      </c>
      <c r="R120" s="31" t="s">
        <v>126</v>
      </c>
      <c r="S120" s="36">
        <v>334000</v>
      </c>
      <c r="T120" s="2" t="s">
        <v>46</v>
      </c>
      <c r="U120" s="37">
        <v>0</v>
      </c>
      <c r="V120" s="37">
        <v>-1</v>
      </c>
      <c r="W120" s="38">
        <v>0</v>
      </c>
      <c r="X120" s="39">
        <v>0</v>
      </c>
    </row>
    <row r="121" spans="1:24" x14ac:dyDescent="0.25">
      <c r="A121" s="24" t="s">
        <v>1283</v>
      </c>
      <c r="B121" s="2" t="s">
        <v>1290</v>
      </c>
      <c r="C121" s="2" t="s">
        <v>501</v>
      </c>
      <c r="D121" s="2" t="s">
        <v>511</v>
      </c>
      <c r="E121" s="2" t="s">
        <v>1320</v>
      </c>
      <c r="F121" s="26" t="str">
        <f>HYPERLINK("https://mapwv.gov/flood/map/?wkid=102100&amp;x=-8983116.994062323&amp;y=4876284.178599899&amp;l=13&amp;v=2","FT")</f>
        <v>FT</v>
      </c>
      <c r="G121" s="17" t="s">
        <v>33</v>
      </c>
      <c r="H121" s="25" t="s">
        <v>67</v>
      </c>
      <c r="I121" s="2" t="s">
        <v>541</v>
      </c>
      <c r="J121" s="25" t="s">
        <v>41</v>
      </c>
      <c r="K121" s="31" t="s">
        <v>181</v>
      </c>
      <c r="L121" s="31" t="s">
        <v>28</v>
      </c>
      <c r="M121" s="32" t="s">
        <v>70</v>
      </c>
      <c r="N121" s="3" t="s">
        <v>116</v>
      </c>
      <c r="O121" s="31" t="s">
        <v>120</v>
      </c>
      <c r="P121" s="32" t="s">
        <v>1362</v>
      </c>
      <c r="Q121" s="2" t="s">
        <v>31</v>
      </c>
      <c r="R121" s="31" t="s">
        <v>126</v>
      </c>
      <c r="S121" s="36">
        <v>318740</v>
      </c>
      <c r="T121" s="2" t="s">
        <v>32</v>
      </c>
      <c r="U121" s="37">
        <v>6.4110719999999999</v>
      </c>
      <c r="V121" s="37">
        <v>5.41107177734375</v>
      </c>
      <c r="W121" s="38">
        <v>0.104110717773437</v>
      </c>
      <c r="X121" s="39">
        <v>33184.250183105403</v>
      </c>
    </row>
    <row r="122" spans="1:24" x14ac:dyDescent="0.25">
      <c r="A122" s="24" t="s">
        <v>492</v>
      </c>
      <c r="B122" s="2" t="s">
        <v>1290</v>
      </c>
      <c r="C122" s="2" t="s">
        <v>499</v>
      </c>
      <c r="D122" s="2" t="s">
        <v>507</v>
      </c>
      <c r="E122" s="2" t="s">
        <v>508</v>
      </c>
      <c r="F122" s="26" t="str">
        <f>HYPERLINK("https://mapwv.gov/flood/map/?wkid=102100&amp;x=-8978755.556080285&amp;y=4872462.627364737&amp;l=13&amp;v=2","FT")</f>
        <v>FT</v>
      </c>
      <c r="G122" s="17" t="s">
        <v>56</v>
      </c>
      <c r="H122" s="25" t="s">
        <v>26</v>
      </c>
      <c r="I122" s="2" t="s">
        <v>1339</v>
      </c>
      <c r="J122" s="25" t="s">
        <v>27</v>
      </c>
      <c r="K122" s="31" t="s">
        <v>144</v>
      </c>
      <c r="L122" s="31" t="s">
        <v>49</v>
      </c>
      <c r="M122" s="32" t="s">
        <v>48</v>
      </c>
      <c r="N122" s="3" t="s">
        <v>36</v>
      </c>
      <c r="O122" s="31" t="s">
        <v>120</v>
      </c>
      <c r="P122" s="32" t="s">
        <v>1363</v>
      </c>
      <c r="Q122" s="2" t="s">
        <v>31</v>
      </c>
      <c r="R122" s="31" t="s">
        <v>126</v>
      </c>
      <c r="S122" s="36">
        <v>318600</v>
      </c>
      <c r="T122" s="2" t="s">
        <v>46</v>
      </c>
      <c r="U122" s="37">
        <v>0.49890137000000001</v>
      </c>
      <c r="V122" s="37">
        <v>-0.5010986328125</v>
      </c>
      <c r="W122" s="38">
        <v>0</v>
      </c>
      <c r="X122" s="39">
        <v>0</v>
      </c>
    </row>
    <row r="123" spans="1:24" x14ac:dyDescent="0.25">
      <c r="A123" s="24" t="s">
        <v>1284</v>
      </c>
      <c r="B123" s="2" t="s">
        <v>1290</v>
      </c>
      <c r="C123" s="2" t="s">
        <v>269</v>
      </c>
      <c r="D123" s="2" t="s">
        <v>1302</v>
      </c>
      <c r="E123" s="2" t="s">
        <v>1321</v>
      </c>
      <c r="F123" s="26" t="str">
        <f>HYPERLINK("https://mapwv.gov/flood/map/?wkid=102100&amp;x=-8986345.058920244&amp;y=4874409.337926861&amp;l=13&amp;v=2","FT")</f>
        <v>FT</v>
      </c>
      <c r="G123" s="17" t="s">
        <v>33</v>
      </c>
      <c r="H123" s="25" t="s">
        <v>26</v>
      </c>
      <c r="I123" s="2" t="s">
        <v>1340</v>
      </c>
      <c r="J123" s="25" t="s">
        <v>41</v>
      </c>
      <c r="K123" s="31" t="s">
        <v>100</v>
      </c>
      <c r="L123" s="31" t="s">
        <v>38</v>
      </c>
      <c r="M123" s="32" t="s">
        <v>154</v>
      </c>
      <c r="N123" s="3" t="s">
        <v>36</v>
      </c>
      <c r="O123" s="31" t="s">
        <v>120</v>
      </c>
      <c r="P123" s="32" t="s">
        <v>1364</v>
      </c>
      <c r="Q123" s="2" t="s">
        <v>31</v>
      </c>
      <c r="R123" s="31" t="s">
        <v>126</v>
      </c>
      <c r="S123" s="36">
        <v>317400</v>
      </c>
      <c r="T123" s="2" t="s">
        <v>46</v>
      </c>
      <c r="U123" s="37">
        <v>7.0562133999999999</v>
      </c>
      <c r="V123" s="37">
        <v>6.05621337890625</v>
      </c>
      <c r="W123" s="38">
        <v>0.22168640136718701</v>
      </c>
      <c r="X123" s="39">
        <v>70363.263793945298</v>
      </c>
    </row>
    <row r="124" spans="1:24" x14ac:dyDescent="0.25">
      <c r="A124" s="24" t="s">
        <v>1285</v>
      </c>
      <c r="B124" s="2" t="s">
        <v>1290</v>
      </c>
      <c r="C124" s="2" t="s">
        <v>501</v>
      </c>
      <c r="D124" s="2" t="s">
        <v>1303</v>
      </c>
      <c r="E124" s="2" t="s">
        <v>1322</v>
      </c>
      <c r="F124" s="26" t="str">
        <f>HYPERLINK("https://mapwv.gov/flood/map/?wkid=102100&amp;x=-8985828.837490866&amp;y=4875210.328466391&amp;l=13&amp;v=2","FT")</f>
        <v>FT</v>
      </c>
      <c r="G124" s="17" t="s">
        <v>33</v>
      </c>
      <c r="H124" s="25" t="s">
        <v>26</v>
      </c>
      <c r="I124" s="2" t="s">
        <v>1341</v>
      </c>
      <c r="J124" s="25" t="s">
        <v>41</v>
      </c>
      <c r="K124" s="31" t="s">
        <v>145</v>
      </c>
      <c r="L124" s="31" t="s">
        <v>59</v>
      </c>
      <c r="M124" s="32" t="s">
        <v>58</v>
      </c>
      <c r="N124" s="3" t="s">
        <v>36</v>
      </c>
      <c r="O124" s="31" t="s">
        <v>612</v>
      </c>
      <c r="P124" s="32" t="s">
        <v>1365</v>
      </c>
      <c r="Q124" s="2" t="s">
        <v>45</v>
      </c>
      <c r="R124" s="31" t="s">
        <v>127</v>
      </c>
      <c r="S124" s="36">
        <v>313500</v>
      </c>
      <c r="T124" s="2" t="s">
        <v>46</v>
      </c>
      <c r="U124" s="37">
        <v>0</v>
      </c>
      <c r="V124" s="37">
        <v>-4</v>
      </c>
      <c r="W124" s="38">
        <v>0</v>
      </c>
      <c r="X124" s="39">
        <v>0</v>
      </c>
    </row>
    <row r="125" spans="1:24" x14ac:dyDescent="0.25">
      <c r="A125" s="24" t="s">
        <v>1286</v>
      </c>
      <c r="B125" s="2" t="s">
        <v>1290</v>
      </c>
      <c r="C125" s="2" t="s">
        <v>269</v>
      </c>
      <c r="D125" s="2" t="s">
        <v>1304</v>
      </c>
      <c r="E125" s="2" t="s">
        <v>1323</v>
      </c>
      <c r="F125" s="26" t="str">
        <f>HYPERLINK("https://mapwv.gov/flood/map/?wkid=102100&amp;x=-8986035.664540661&amp;y=4875325.087309941&amp;l=13&amp;v=2","FT")</f>
        <v>FT</v>
      </c>
      <c r="G125" s="17" t="s">
        <v>33</v>
      </c>
      <c r="H125" s="25" t="s">
        <v>26</v>
      </c>
      <c r="I125" s="2" t="s">
        <v>536</v>
      </c>
      <c r="J125" s="25" t="s">
        <v>41</v>
      </c>
      <c r="K125" s="31" t="s">
        <v>151</v>
      </c>
      <c r="L125" s="31"/>
      <c r="M125" s="32" t="s">
        <v>58</v>
      </c>
      <c r="N125" s="3" t="s">
        <v>36</v>
      </c>
      <c r="O125" s="31" t="s">
        <v>120</v>
      </c>
      <c r="P125" s="32" t="s">
        <v>1366</v>
      </c>
      <c r="Q125" s="2" t="s">
        <v>31</v>
      </c>
      <c r="R125" s="31" t="s">
        <v>126</v>
      </c>
      <c r="S125" s="36">
        <v>308996</v>
      </c>
      <c r="T125" s="2" t="s">
        <v>128</v>
      </c>
      <c r="U125" s="37">
        <v>4.4187620000000001</v>
      </c>
      <c r="V125" s="37">
        <v>3.41876220703125</v>
      </c>
      <c r="W125" s="38">
        <v>0.24512573242187499</v>
      </c>
      <c r="X125" s="39">
        <v>75742.870815429604</v>
      </c>
    </row>
    <row r="126" spans="1:24" x14ac:dyDescent="0.25">
      <c r="A126" s="24" t="s">
        <v>1287</v>
      </c>
      <c r="B126" s="2" t="s">
        <v>1290</v>
      </c>
      <c r="C126" s="2" t="s">
        <v>269</v>
      </c>
      <c r="D126" s="2" t="s">
        <v>1305</v>
      </c>
      <c r="E126" s="2" t="s">
        <v>1324</v>
      </c>
      <c r="F126" s="26" t="str">
        <f>HYPERLINK("https://mapwv.gov/flood/map/?wkid=102100&amp;x=-8986496.534356995&amp;y=4874027.311883242&amp;l=13&amp;v=2","FT")</f>
        <v>FT</v>
      </c>
      <c r="G126" s="17" t="s">
        <v>33</v>
      </c>
      <c r="H126" s="25" t="s">
        <v>26</v>
      </c>
      <c r="I126" s="2" t="s">
        <v>540</v>
      </c>
      <c r="J126" s="25" t="s">
        <v>41</v>
      </c>
      <c r="K126" s="31" t="s">
        <v>92</v>
      </c>
      <c r="L126" s="31" t="s">
        <v>52</v>
      </c>
      <c r="M126" s="32" t="s">
        <v>58</v>
      </c>
      <c r="N126" s="3" t="s">
        <v>36</v>
      </c>
      <c r="O126" s="31" t="s">
        <v>120</v>
      </c>
      <c r="P126" s="32" t="s">
        <v>1367</v>
      </c>
      <c r="Q126" s="2" t="s">
        <v>31</v>
      </c>
      <c r="R126" s="31" t="s">
        <v>126</v>
      </c>
      <c r="S126" s="36">
        <v>307700</v>
      </c>
      <c r="T126" s="2" t="s">
        <v>46</v>
      </c>
      <c r="U126" s="37">
        <v>8.2825930000000003</v>
      </c>
      <c r="V126" s="37">
        <v>7.2825927734375</v>
      </c>
      <c r="W126" s="38">
        <v>0.41847778320312501</v>
      </c>
      <c r="X126" s="39">
        <v>128765.61389160099</v>
      </c>
    </row>
    <row r="127" spans="1:24" x14ac:dyDescent="0.25">
      <c r="A127" s="24" t="s">
        <v>1288</v>
      </c>
      <c r="B127" s="2" t="s">
        <v>1290</v>
      </c>
      <c r="C127" s="2" t="s">
        <v>269</v>
      </c>
      <c r="D127" s="2" t="s">
        <v>1306</v>
      </c>
      <c r="E127" s="2" t="s">
        <v>1325</v>
      </c>
      <c r="F127" s="26" t="str">
        <f>HYPERLINK("https://mapwv.gov/flood/map/?wkid=102100&amp;x=-8986452.954223502&amp;y=4871632.591665828&amp;l=13&amp;v=2","FT")</f>
        <v>FT</v>
      </c>
      <c r="G127" s="17" t="s">
        <v>33</v>
      </c>
      <c r="H127" s="25" t="s">
        <v>26</v>
      </c>
      <c r="I127" s="2" t="s">
        <v>1342</v>
      </c>
      <c r="J127" s="25" t="s">
        <v>41</v>
      </c>
      <c r="K127" s="31" t="s">
        <v>110</v>
      </c>
      <c r="L127" s="31" t="s">
        <v>52</v>
      </c>
      <c r="M127" s="32" t="s">
        <v>58</v>
      </c>
      <c r="N127" s="3" t="s">
        <v>36</v>
      </c>
      <c r="O127" s="31" t="s">
        <v>120</v>
      </c>
      <c r="P127" s="32" t="s">
        <v>1368</v>
      </c>
      <c r="Q127" s="2" t="s">
        <v>31</v>
      </c>
      <c r="R127" s="31" t="s">
        <v>126</v>
      </c>
      <c r="S127" s="36">
        <v>302700</v>
      </c>
      <c r="T127" s="2" t="s">
        <v>46</v>
      </c>
      <c r="U127" s="37">
        <v>2.2129517000000001</v>
      </c>
      <c r="V127" s="37">
        <v>1.21295166015625</v>
      </c>
      <c r="W127" s="38">
        <v>0.120647583007812</v>
      </c>
      <c r="X127" s="39">
        <v>36520.0233764648</v>
      </c>
    </row>
    <row r="128" spans="1:24" x14ac:dyDescent="0.25">
      <c r="A128" s="24" t="s">
        <v>1289</v>
      </c>
      <c r="B128" s="2" t="s">
        <v>1290</v>
      </c>
      <c r="C128" s="2" t="s">
        <v>269</v>
      </c>
      <c r="D128" s="2" t="s">
        <v>1307</v>
      </c>
      <c r="E128" s="2" t="s">
        <v>1326</v>
      </c>
      <c r="F128" s="26" t="str">
        <f>HYPERLINK("https://mapwv.gov/flood/map/?wkid=102100&amp;x=-8986413.04351438&amp;y=4873244.046717428&amp;l=13&amp;v=2","FT")</f>
        <v>FT</v>
      </c>
      <c r="G128" s="17" t="s">
        <v>33</v>
      </c>
      <c r="H128" s="25" t="s">
        <v>26</v>
      </c>
      <c r="I128" s="2" t="s">
        <v>1343</v>
      </c>
      <c r="J128" s="25" t="s">
        <v>41</v>
      </c>
      <c r="K128" s="31" t="s">
        <v>165</v>
      </c>
      <c r="L128" s="31" t="s">
        <v>59</v>
      </c>
      <c r="M128" s="32" t="s">
        <v>50</v>
      </c>
      <c r="N128" s="3" t="s">
        <v>36</v>
      </c>
      <c r="O128" s="31" t="s">
        <v>120</v>
      </c>
      <c r="P128" s="32" t="s">
        <v>178</v>
      </c>
      <c r="Q128" s="2" t="s">
        <v>31</v>
      </c>
      <c r="R128" s="31" t="s">
        <v>126</v>
      </c>
      <c r="S128" s="36">
        <v>300800</v>
      </c>
      <c r="T128" s="2" t="s">
        <v>46</v>
      </c>
      <c r="U128" s="37">
        <v>1.7527466</v>
      </c>
      <c r="V128" s="37">
        <v>0.75274658203125</v>
      </c>
      <c r="W128" s="38">
        <v>7.0219726562500001E-2</v>
      </c>
      <c r="X128" s="39">
        <v>21122.09375</v>
      </c>
    </row>
  </sheetData>
  <conditionalFormatting sqref="A7:A102">
    <cfRule type="duplicateValues" dxfId="3" priority="3"/>
    <cfRule type="duplicateValues" dxfId="2" priority="4"/>
  </conditionalFormatting>
  <conditionalFormatting sqref="A106:A128">
    <cfRule type="duplicateValues" dxfId="1" priority="1"/>
    <cfRule type="duplicateValues" dxfId="0" priority="2"/>
  </conditionalFormatting>
  <hyperlinks>
    <hyperlink ref="J3" r:id="rId1" xr:uid="{8E8F4993-5BDF-413F-867F-6553B1984ABD}"/>
    <hyperlink ref="M3" r:id="rId2" xr:uid="{DA6CE0EA-902B-40A7-9474-5432CB24106C}"/>
    <hyperlink ref="Q3" r:id="rId3" xr:uid="{A7630362-6DCC-4533-B1E6-620E9D06A3BF}"/>
  </hyperlinks>
  <pageMargins left="0.7" right="0.7" top="0.75" bottom="0.75" header="0.3" footer="0.3"/>
  <pageSetup orientation="portrait" horizontalDpi="4294967295" verticalDpi="4294967295"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D0A8E8-648A-4A0E-8B09-63CA852CCE81}">
  <dimension ref="B1:G25"/>
  <sheetViews>
    <sheetView workbookViewId="0">
      <selection activeCell="J2" sqref="J2"/>
    </sheetView>
  </sheetViews>
  <sheetFormatPr defaultRowHeight="15" x14ac:dyDescent="0.25"/>
  <cols>
    <col min="2" max="2" width="14.85546875" style="48" customWidth="1"/>
    <col min="3" max="3" width="6.140625" style="48" customWidth="1"/>
    <col min="4" max="4" width="49.5703125" style="48" bestFit="1" customWidth="1"/>
    <col min="5" max="5" width="9.140625" style="48"/>
    <col min="6" max="6" width="12.140625" style="48" bestFit="1" customWidth="1"/>
    <col min="7" max="7" width="11.42578125" style="48" customWidth="1"/>
  </cols>
  <sheetData>
    <row r="1" spans="2:7" x14ac:dyDescent="0.25">
      <c r="B1" s="58" t="s">
        <v>1377</v>
      </c>
      <c r="G1" s="53" t="s">
        <v>1369</v>
      </c>
    </row>
    <row r="2" spans="2:7" ht="48" x14ac:dyDescent="0.25">
      <c r="B2" s="49" t="s">
        <v>1</v>
      </c>
      <c r="C2" s="49" t="s">
        <v>5</v>
      </c>
      <c r="D2" s="49" t="s">
        <v>185</v>
      </c>
      <c r="E2" s="50" t="s">
        <v>12</v>
      </c>
      <c r="F2" s="42" t="s">
        <v>13</v>
      </c>
      <c r="G2" s="43" t="s">
        <v>18</v>
      </c>
    </row>
    <row r="3" spans="2:7" x14ac:dyDescent="0.25">
      <c r="B3" s="52" t="s">
        <v>994</v>
      </c>
      <c r="C3" s="45" t="str">
        <f>HYPERLINK("https://mapwv.gov/flood/map/?wkid=102100&amp;x=-8986553.1439916&amp;y=4874067.656873557&amp;l=13&amp;v=2","FT")</f>
        <v>FT</v>
      </c>
      <c r="D3" s="54" t="s">
        <v>525</v>
      </c>
      <c r="E3" s="44" t="s">
        <v>29</v>
      </c>
      <c r="F3" s="46" t="s">
        <v>30</v>
      </c>
      <c r="G3" s="47">
        <v>24000000</v>
      </c>
    </row>
    <row r="4" spans="2:7" x14ac:dyDescent="0.25">
      <c r="B4" s="52" t="s">
        <v>994</v>
      </c>
      <c r="C4" s="45" t="str">
        <f>HYPERLINK("https://mapwv.gov/flood/map/?wkid=102100&amp;x=-8986096.446318464&amp;y=4872440.927139323&amp;l=13&amp;v=2","FT")</f>
        <v>FT</v>
      </c>
      <c r="D4" s="54" t="s">
        <v>69</v>
      </c>
      <c r="E4" s="44" t="s">
        <v>70</v>
      </c>
      <c r="F4" s="46" t="s">
        <v>30</v>
      </c>
      <c r="G4" s="47">
        <v>15500000</v>
      </c>
    </row>
    <row r="5" spans="2:7" x14ac:dyDescent="0.25">
      <c r="B5" s="52" t="s">
        <v>994</v>
      </c>
      <c r="C5" s="45" t="str">
        <f>HYPERLINK("https://mapwv.gov/flood/map/?wkid=102100&amp;x=-8987216.140948826&amp;y=4876435.371278921&amp;l=13&amp;v=2","FT")</f>
        <v>FT</v>
      </c>
      <c r="D5" s="54" t="s">
        <v>69</v>
      </c>
      <c r="E5" s="44" t="s">
        <v>70</v>
      </c>
      <c r="F5" s="46" t="s">
        <v>30</v>
      </c>
      <c r="G5" s="47">
        <v>14800000</v>
      </c>
    </row>
    <row r="6" spans="2:7" x14ac:dyDescent="0.25">
      <c r="B6" s="52" t="s">
        <v>994</v>
      </c>
      <c r="C6" s="45" t="str">
        <f>HYPERLINK("https://mapwv.gov/flood/map/?wkid=102100&amp;x=-8986403.19129417&amp;y=4872807.5527708875&amp;l=13&amp;v=2","FT")</f>
        <v>FT</v>
      </c>
      <c r="D6" s="54" t="s">
        <v>69</v>
      </c>
      <c r="E6" s="44" t="s">
        <v>70</v>
      </c>
      <c r="F6" s="46" t="s">
        <v>30</v>
      </c>
      <c r="G6" s="47">
        <v>10300000</v>
      </c>
    </row>
    <row r="7" spans="2:7" x14ac:dyDescent="0.25">
      <c r="B7" s="52" t="s">
        <v>994</v>
      </c>
      <c r="C7" s="45" t="str">
        <f>HYPERLINK("https://mapwv.gov/flood/map/?wkid=102100&amp;x=-8982624.427245501&amp;y=4877476.352151273&amp;l=13&amp;v=2","FT")</f>
        <v>FT</v>
      </c>
      <c r="D7" s="54" t="s">
        <v>69</v>
      </c>
      <c r="E7" s="44" t="s">
        <v>70</v>
      </c>
      <c r="F7" s="46" t="s">
        <v>30</v>
      </c>
      <c r="G7" s="47">
        <v>9800000</v>
      </c>
    </row>
    <row r="8" spans="2:7" x14ac:dyDescent="0.25">
      <c r="B8" s="52" t="s">
        <v>994</v>
      </c>
      <c r="C8" s="45" t="str">
        <f>HYPERLINK("https://mapwv.gov/flood/map/?wkid=102100&amp;x=-8986123.011045152&amp;y=4875379.845828068&amp;l=13&amp;v=2","FT")</f>
        <v>FT</v>
      </c>
      <c r="D8" s="54" t="s">
        <v>520</v>
      </c>
      <c r="E8" s="44" t="s">
        <v>610</v>
      </c>
      <c r="F8" s="46" t="s">
        <v>36</v>
      </c>
      <c r="G8" s="47">
        <v>9083800</v>
      </c>
    </row>
    <row r="9" spans="2:7" x14ac:dyDescent="0.25">
      <c r="B9" s="52" t="s">
        <v>994</v>
      </c>
      <c r="C9" s="45" t="str">
        <f>HYPERLINK("https://mapwv.gov/flood/map/?wkid=102100&amp;x=-8986033.798937313&amp;y=4875500.188561505&amp;l=13&amp;v=2","FT")</f>
        <v>FT</v>
      </c>
      <c r="D9" s="54" t="s">
        <v>521</v>
      </c>
      <c r="E9" s="44" t="s">
        <v>48</v>
      </c>
      <c r="F9" s="46" t="s">
        <v>36</v>
      </c>
      <c r="G9" s="47">
        <v>8433400</v>
      </c>
    </row>
    <row r="10" spans="2:7" x14ac:dyDescent="0.25">
      <c r="B10" s="52" t="s">
        <v>994</v>
      </c>
      <c r="C10" s="45" t="str">
        <f>HYPERLINK("https://mapwv.gov/flood/map/?wkid=102100&amp;x=-8985856.738496719&amp;y=4875138.798933528&amp;l=13&amp;v=2","FT")</f>
        <v>FT</v>
      </c>
      <c r="D10" s="54" t="s">
        <v>522</v>
      </c>
      <c r="E10" s="44" t="s">
        <v>174</v>
      </c>
      <c r="F10" s="46" t="s">
        <v>30</v>
      </c>
      <c r="G10" s="47">
        <v>6401600</v>
      </c>
    </row>
    <row r="11" spans="2:7" x14ac:dyDescent="0.25">
      <c r="B11" s="52" t="s">
        <v>994</v>
      </c>
      <c r="C11" s="45" t="str">
        <f>HYPERLINK("https://mapwv.gov/flood/map/?wkid=102100&amp;x=-8986573.608410195&amp;y=4873582.700190428&amp;l=13&amp;v=2","FT")</f>
        <v>FT</v>
      </c>
      <c r="D11" s="54" t="s">
        <v>523</v>
      </c>
      <c r="E11" s="44" t="s">
        <v>50</v>
      </c>
      <c r="F11" s="46" t="s">
        <v>36</v>
      </c>
      <c r="G11" s="47">
        <v>6268700</v>
      </c>
    </row>
    <row r="12" spans="2:7" x14ac:dyDescent="0.25">
      <c r="B12" s="52" t="s">
        <v>994</v>
      </c>
      <c r="C12" s="45" t="str">
        <f>HYPERLINK("https://mapwv.gov/flood/map/?wkid=102100&amp;x=-8986284.16682482&amp;y=4874928.632900376&amp;l=13&amp;v=2","FT")</f>
        <v>FT</v>
      </c>
      <c r="D12" s="54" t="s">
        <v>524</v>
      </c>
      <c r="E12" s="44" t="s">
        <v>58</v>
      </c>
      <c r="F12" s="46" t="s">
        <v>36</v>
      </c>
      <c r="G12" s="47">
        <v>6040600</v>
      </c>
    </row>
    <row r="13" spans="2:7" x14ac:dyDescent="0.25">
      <c r="B13" s="52" t="s">
        <v>994</v>
      </c>
      <c r="C13" s="45" t="str">
        <f>HYPERLINK("https://mapwv.gov/flood/map/?wkid=102100&amp;x=-8986261.612828067&amp;y=4875352.5048586335&amp;l=13&amp;v=2","FT")</f>
        <v>FT</v>
      </c>
      <c r="D13" s="54" t="s">
        <v>525</v>
      </c>
      <c r="E13" s="44" t="s">
        <v>54</v>
      </c>
      <c r="F13" s="46" t="s">
        <v>36</v>
      </c>
      <c r="G13" s="47">
        <v>5614600</v>
      </c>
    </row>
    <row r="14" spans="2:7" x14ac:dyDescent="0.25">
      <c r="B14" s="52" t="s">
        <v>994</v>
      </c>
      <c r="C14" s="45" t="str">
        <f>HYPERLINK("https://mapwv.gov/flood/map/?wkid=102100&amp;x=-8985760.956535174&amp;y=4875077.963339178&amp;l=13&amp;v=2","FT")</f>
        <v>FT</v>
      </c>
      <c r="D14" s="54" t="s">
        <v>522</v>
      </c>
      <c r="E14" s="44" t="s">
        <v>174</v>
      </c>
      <c r="F14" s="46" t="s">
        <v>30</v>
      </c>
      <c r="G14" s="47">
        <v>5566200</v>
      </c>
    </row>
    <row r="15" spans="2:7" x14ac:dyDescent="0.25">
      <c r="B15" s="52" t="s">
        <v>994</v>
      </c>
      <c r="C15" s="45" t="str">
        <f>HYPERLINK("https://mapwv.gov/flood/map/?wkid=102100&amp;x=-8987136.635789268&amp;y=4874829.664932949&amp;l=13&amp;v=2","FT")</f>
        <v>FT</v>
      </c>
      <c r="D15" s="54" t="s">
        <v>526</v>
      </c>
      <c r="E15" s="44" t="s">
        <v>54</v>
      </c>
      <c r="F15" s="46" t="s">
        <v>36</v>
      </c>
      <c r="G15" s="47">
        <v>4748900</v>
      </c>
    </row>
    <row r="16" spans="2:7" x14ac:dyDescent="0.25">
      <c r="B16" s="52" t="s">
        <v>994</v>
      </c>
      <c r="C16" s="45" t="str">
        <f>HYPERLINK("https://mapwv.gov/flood/map/?wkid=102100&amp;x=-8986397.416150307&amp;y=4872033.635173995&amp;l=13&amp;v=2","FT")</f>
        <v>FT</v>
      </c>
      <c r="D16" s="54" t="s">
        <v>528</v>
      </c>
      <c r="E16" s="44" t="s">
        <v>35</v>
      </c>
      <c r="F16" s="46" t="s">
        <v>36</v>
      </c>
      <c r="G16" s="47">
        <v>4155500</v>
      </c>
    </row>
    <row r="17" spans="2:7" x14ac:dyDescent="0.25">
      <c r="B17" s="52" t="s">
        <v>994</v>
      </c>
      <c r="C17" s="45" t="str">
        <f>HYPERLINK("https://mapwv.gov/flood/map/?wkid=102100&amp;x=-8986140.909326842&amp;y=4875589.682803267&amp;l=13&amp;v=2","FT")</f>
        <v>FT</v>
      </c>
      <c r="D17" s="54" t="s">
        <v>530</v>
      </c>
      <c r="E17" s="44" t="s">
        <v>58</v>
      </c>
      <c r="F17" s="46" t="s">
        <v>36</v>
      </c>
      <c r="G17" s="47">
        <v>3804300</v>
      </c>
    </row>
    <row r="18" spans="2:7" x14ac:dyDescent="0.25">
      <c r="B18" s="52" t="s">
        <v>994</v>
      </c>
      <c r="C18" s="45" t="str">
        <f>HYPERLINK("https://mapwv.gov/flood/map/?wkid=102100&amp;x=-8986050.012509828&amp;y=4875433.479106838&amp;l=13&amp;v=2","FT")</f>
        <v>FT</v>
      </c>
      <c r="D18" s="54" t="s">
        <v>525</v>
      </c>
      <c r="E18" s="44" t="s">
        <v>58</v>
      </c>
      <c r="F18" s="46" t="s">
        <v>36</v>
      </c>
      <c r="G18" s="47">
        <v>3634700</v>
      </c>
    </row>
    <row r="19" spans="2:7" x14ac:dyDescent="0.25">
      <c r="B19" s="52" t="s">
        <v>994</v>
      </c>
      <c r="C19" s="45" t="str">
        <f>HYPERLINK("https://mapwv.gov/flood/map/?wkid=102100&amp;x=-8985995.518947417&amp;y=4875450.539415846&amp;l=13&amp;v=2","FT")</f>
        <v>FT</v>
      </c>
      <c r="D19" s="54" t="s">
        <v>531</v>
      </c>
      <c r="E19" s="44" t="s">
        <v>58</v>
      </c>
      <c r="F19" s="46" t="s">
        <v>36</v>
      </c>
      <c r="G19" s="47">
        <v>3559900</v>
      </c>
    </row>
    <row r="20" spans="2:7" x14ac:dyDescent="0.25">
      <c r="B20" s="52" t="s">
        <v>994</v>
      </c>
      <c r="C20" s="45" t="str">
        <f>HYPERLINK("https://mapwv.gov/flood/map/?wkid=102100&amp;x=-8983377.167081896&amp;y=4876650.6972411685&amp;l=13&amp;v=2","FT")</f>
        <v>FT</v>
      </c>
      <c r="D20" s="54" t="s">
        <v>533</v>
      </c>
      <c r="E20" s="44" t="s">
        <v>50</v>
      </c>
      <c r="F20" s="46" t="s">
        <v>36</v>
      </c>
      <c r="G20" s="47">
        <v>3328000</v>
      </c>
    </row>
    <row r="21" spans="2:7" x14ac:dyDescent="0.25">
      <c r="B21" s="52" t="s">
        <v>994</v>
      </c>
      <c r="C21" s="45" t="str">
        <f>HYPERLINK("https://mapwv.gov/flood/map/?wkid=102100&amp;x=-8986167.598842675&amp;y=4875028.152531702&amp;l=13&amp;v=2","FT")</f>
        <v>FT</v>
      </c>
      <c r="D21" s="54" t="s">
        <v>534</v>
      </c>
      <c r="E21" s="44" t="s">
        <v>58</v>
      </c>
      <c r="F21" s="46" t="s">
        <v>36</v>
      </c>
      <c r="G21" s="47">
        <v>2626100</v>
      </c>
    </row>
    <row r="22" spans="2:7" x14ac:dyDescent="0.25">
      <c r="B22" s="52" t="s">
        <v>994</v>
      </c>
      <c r="C22" s="45" t="str">
        <f>HYPERLINK("https://mapwv.gov/flood/map/?wkid=102100&amp;x=-8985970.558223275&amp;y=4875255.484938925&amp;l=13&amp;v=2","FT")</f>
        <v>FT</v>
      </c>
      <c r="D22" s="54" t="s">
        <v>535</v>
      </c>
      <c r="E22" s="44" t="s">
        <v>174</v>
      </c>
      <c r="F22" s="46" t="s">
        <v>30</v>
      </c>
      <c r="G22" s="47">
        <v>2405500</v>
      </c>
    </row>
    <row r="23" spans="2:7" x14ac:dyDescent="0.25">
      <c r="B23" s="52" t="s">
        <v>994</v>
      </c>
      <c r="C23" s="45" t="str">
        <f>HYPERLINK("https://mapwv.gov/flood/map/?wkid=102100&amp;x=-8985214.309373887&amp;y=4874677.7052382305&amp;l=13&amp;v=2","FT")</f>
        <v>FT</v>
      </c>
      <c r="D23" s="54" t="s">
        <v>536</v>
      </c>
      <c r="E23" s="44" t="s">
        <v>73</v>
      </c>
      <c r="F23" s="46" t="s">
        <v>36</v>
      </c>
      <c r="G23" s="47">
        <v>2221500</v>
      </c>
    </row>
    <row r="25" spans="2:7" x14ac:dyDescent="0.25">
      <c r="B25" s="56" t="s">
        <v>993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F9985-A68E-430E-8A39-E51DAA632D4A}">
  <dimension ref="A1:X126"/>
  <sheetViews>
    <sheetView workbookViewId="0">
      <pane ySplit="6" topLeftCell="A7" activePane="bottomLeft" state="frozen"/>
      <selection pane="bottomLeft" activeCell="B3" sqref="B3"/>
    </sheetView>
  </sheetViews>
  <sheetFormatPr defaultRowHeight="15" x14ac:dyDescent="0.25"/>
  <cols>
    <col min="1" max="1" width="37" bestFit="1" customWidth="1"/>
    <col min="2" max="2" width="22.85546875" bestFit="1" customWidth="1"/>
    <col min="5" max="5" width="57.85546875" bestFit="1" customWidth="1"/>
    <col min="7" max="7" width="11.42578125" style="7" customWidth="1"/>
    <col min="8" max="8" width="10.5703125" style="29" customWidth="1"/>
    <col min="13" max="13" width="11.42578125" customWidth="1"/>
    <col min="14" max="14" width="12.42578125" customWidth="1"/>
    <col min="15" max="15" width="9.140625" style="7"/>
    <col min="17" max="17" width="11.85546875" style="51" customWidth="1"/>
    <col min="19" max="19" width="22.5703125" bestFit="1" customWidth="1"/>
    <col min="24" max="24" width="11.5703125" bestFit="1" customWidth="1"/>
  </cols>
  <sheetData>
    <row r="1" spans="1:24" ht="14.25" customHeight="1" x14ac:dyDescent="0.25">
      <c r="A1" s="5" t="s">
        <v>76</v>
      </c>
      <c r="B1" s="5"/>
      <c r="C1" s="5"/>
      <c r="D1" s="5"/>
      <c r="F1" s="19" t="s">
        <v>77</v>
      </c>
      <c r="H1" s="27"/>
      <c r="J1" s="7"/>
      <c r="K1" s="7"/>
      <c r="L1" s="7"/>
      <c r="N1" s="6" t="s">
        <v>78</v>
      </c>
      <c r="P1" s="7"/>
      <c r="R1" s="7"/>
      <c r="S1" s="8" t="s">
        <v>79</v>
      </c>
      <c r="U1" s="9"/>
      <c r="V1" s="9"/>
      <c r="W1" s="10"/>
      <c r="X1" s="11"/>
    </row>
    <row r="2" spans="1:24" x14ac:dyDescent="0.25">
      <c r="A2" s="12">
        <v>44475</v>
      </c>
      <c r="B2" s="13" t="s">
        <v>80</v>
      </c>
      <c r="F2" s="7"/>
      <c r="H2" s="27"/>
      <c r="J2" s="7"/>
      <c r="K2" s="7"/>
      <c r="L2" s="7"/>
      <c r="N2" s="14" t="s">
        <v>44</v>
      </c>
      <c r="P2" s="7"/>
      <c r="R2" s="7"/>
      <c r="S2" s="8"/>
      <c r="U2" s="9"/>
      <c r="V2" s="9"/>
      <c r="W2" s="10"/>
      <c r="X2" s="11"/>
    </row>
    <row r="3" spans="1:24" x14ac:dyDescent="0.25">
      <c r="A3" t="s">
        <v>82</v>
      </c>
      <c r="B3" s="58" t="s">
        <v>1377</v>
      </c>
      <c r="F3" s="7"/>
      <c r="H3" s="27"/>
      <c r="J3" s="18" t="s">
        <v>81</v>
      </c>
      <c r="K3" s="7"/>
      <c r="L3" s="7"/>
      <c r="M3" s="15" t="s">
        <v>81</v>
      </c>
      <c r="N3" s="6"/>
      <c r="P3" s="7"/>
      <c r="Q3" s="41" t="s">
        <v>81</v>
      </c>
      <c r="R3" s="16"/>
      <c r="S3" s="8"/>
      <c r="U3" s="9"/>
      <c r="V3" s="9"/>
      <c r="W3" s="10"/>
      <c r="X3" s="11"/>
    </row>
    <row r="4" spans="1:24" x14ac:dyDescent="0.25">
      <c r="F4" s="7"/>
      <c r="H4" s="27"/>
      <c r="J4" s="7"/>
      <c r="K4" s="7"/>
      <c r="L4" s="7"/>
      <c r="N4" s="6"/>
      <c r="P4" s="7"/>
      <c r="R4" s="7"/>
      <c r="S4" s="8"/>
      <c r="U4" s="9"/>
      <c r="V4" s="9"/>
      <c r="W4" s="10"/>
      <c r="X4" s="11"/>
    </row>
    <row r="5" spans="1:24" x14ac:dyDescent="0.25">
      <c r="A5" s="1" t="s">
        <v>712</v>
      </c>
      <c r="F5" s="7"/>
      <c r="H5" s="27"/>
      <c r="J5" s="7"/>
      <c r="K5" s="7"/>
      <c r="L5" s="7"/>
      <c r="P5" s="7"/>
      <c r="R5" s="7"/>
      <c r="S5" s="40" t="s">
        <v>173</v>
      </c>
      <c r="U5" s="7"/>
      <c r="V5" s="7"/>
      <c r="W5" s="10"/>
      <c r="X5" s="11"/>
    </row>
    <row r="6" spans="1:24" ht="45" x14ac:dyDescent="0.25">
      <c r="A6" s="28" t="s">
        <v>0</v>
      </c>
      <c r="B6" s="20" t="s">
        <v>1</v>
      </c>
      <c r="C6" s="20" t="s">
        <v>2</v>
      </c>
      <c r="D6" s="30" t="s">
        <v>3</v>
      </c>
      <c r="E6" s="30" t="s">
        <v>4</v>
      </c>
      <c r="F6" s="20" t="s">
        <v>5</v>
      </c>
      <c r="G6" s="20" t="s">
        <v>6</v>
      </c>
      <c r="H6" s="28" t="s">
        <v>7</v>
      </c>
      <c r="I6" s="20" t="s">
        <v>8</v>
      </c>
      <c r="J6" s="28" t="s">
        <v>9</v>
      </c>
      <c r="K6" s="30" t="s">
        <v>10</v>
      </c>
      <c r="L6" s="20" t="s">
        <v>11</v>
      </c>
      <c r="M6" s="30" t="s">
        <v>12</v>
      </c>
      <c r="N6" s="21" t="s">
        <v>13</v>
      </c>
      <c r="O6" s="30" t="s">
        <v>14</v>
      </c>
      <c r="P6" s="30" t="s">
        <v>15</v>
      </c>
      <c r="Q6" s="30" t="s">
        <v>16</v>
      </c>
      <c r="R6" s="30" t="s">
        <v>17</v>
      </c>
      <c r="S6" s="22" t="s">
        <v>18</v>
      </c>
      <c r="T6" s="20" t="s">
        <v>19</v>
      </c>
      <c r="U6" s="33" t="s">
        <v>20</v>
      </c>
      <c r="V6" s="33" t="s">
        <v>21</v>
      </c>
      <c r="W6" s="34" t="s">
        <v>22</v>
      </c>
      <c r="X6" s="23" t="s">
        <v>23</v>
      </c>
    </row>
    <row r="7" spans="1:24" x14ac:dyDescent="0.25">
      <c r="A7" s="24" t="s">
        <v>719</v>
      </c>
      <c r="B7" s="2" t="s">
        <v>786</v>
      </c>
      <c r="C7" s="2" t="s">
        <v>269</v>
      </c>
      <c r="D7" s="32" t="s">
        <v>787</v>
      </c>
      <c r="E7" s="32" t="s">
        <v>788</v>
      </c>
      <c r="F7" s="26" t="str">
        <f>HYPERLINK("https://mapwv.gov/flood/map/?wkid=102100&amp;x=-9002137.473288327&amp;y=4812807.571654485&amp;l=13&amp;v=2","FT")</f>
        <v>FT</v>
      </c>
      <c r="G7" s="35" t="s">
        <v>33</v>
      </c>
      <c r="H7" s="35" t="s">
        <v>67</v>
      </c>
      <c r="I7" s="32" t="s">
        <v>894</v>
      </c>
      <c r="J7" s="25" t="s">
        <v>27</v>
      </c>
      <c r="K7" s="31" t="s">
        <v>88</v>
      </c>
      <c r="L7" s="31" t="s">
        <v>52</v>
      </c>
      <c r="M7" s="32" t="s">
        <v>29</v>
      </c>
      <c r="N7" s="3" t="s">
        <v>117</v>
      </c>
      <c r="O7" s="31" t="s">
        <v>120</v>
      </c>
      <c r="P7" s="57">
        <v>25000</v>
      </c>
      <c r="Q7" s="32" t="s">
        <v>31</v>
      </c>
      <c r="R7" s="35" t="s">
        <v>126</v>
      </c>
      <c r="S7" s="36">
        <v>15000000</v>
      </c>
      <c r="T7" s="2" t="s">
        <v>30</v>
      </c>
      <c r="U7" s="37">
        <v>5.3385009999999999</v>
      </c>
      <c r="V7" s="37">
        <v>4.3385009765625</v>
      </c>
      <c r="W7" s="38">
        <v>0.14000000000000001</v>
      </c>
      <c r="X7" s="39">
        <v>2100000</v>
      </c>
    </row>
    <row r="8" spans="1:24" x14ac:dyDescent="0.25">
      <c r="A8" s="24" t="s">
        <v>714</v>
      </c>
      <c r="B8" s="2" t="s">
        <v>771</v>
      </c>
      <c r="C8" s="2" t="s">
        <v>269</v>
      </c>
      <c r="D8" s="32" t="s">
        <v>774</v>
      </c>
      <c r="E8" s="32" t="s">
        <v>775</v>
      </c>
      <c r="F8" s="26" t="str">
        <f>HYPERLINK("https://mapwv.gov/flood/map/?wkid=102100&amp;x=-9001367.565092145&amp;y=4814664.5363883395&amp;l=13&amp;v=2","FT")</f>
        <v>FT</v>
      </c>
      <c r="G8" s="35" t="s">
        <v>33</v>
      </c>
      <c r="H8" s="35" t="s">
        <v>26</v>
      </c>
      <c r="I8" s="32" t="s">
        <v>891</v>
      </c>
      <c r="J8" s="25" t="s">
        <v>27</v>
      </c>
      <c r="K8" s="31" t="s">
        <v>171</v>
      </c>
      <c r="L8" s="31" t="s">
        <v>47</v>
      </c>
      <c r="M8" s="32" t="s">
        <v>70</v>
      </c>
      <c r="N8" s="3" t="s">
        <v>116</v>
      </c>
      <c r="O8" s="31" t="s">
        <v>121</v>
      </c>
      <c r="P8" s="32" t="s">
        <v>936</v>
      </c>
      <c r="Q8" s="32" t="s">
        <v>31</v>
      </c>
      <c r="R8" s="35" t="s">
        <v>126</v>
      </c>
      <c r="S8" s="36">
        <v>11226100</v>
      </c>
      <c r="T8" s="2" t="s">
        <v>46</v>
      </c>
      <c r="U8" s="37">
        <v>7.8024899999999997</v>
      </c>
      <c r="V8" s="37">
        <v>6.802490234375</v>
      </c>
      <c r="W8" s="38">
        <v>0.12604980468749902</v>
      </c>
      <c r="X8" s="39">
        <v>1415047.71240234</v>
      </c>
    </row>
    <row r="9" spans="1:24" x14ac:dyDescent="0.25">
      <c r="A9" s="24" t="s">
        <v>715</v>
      </c>
      <c r="B9" s="2" t="s">
        <v>771</v>
      </c>
      <c r="C9" s="2" t="s">
        <v>269</v>
      </c>
      <c r="D9" s="32" t="s">
        <v>776</v>
      </c>
      <c r="E9" s="32" t="s">
        <v>777</v>
      </c>
      <c r="F9" s="26" t="str">
        <f>HYPERLINK("https://mapwv.gov/flood/map/?wkid=102100&amp;x=-9001895.808803894&amp;y=4813715.074006065&amp;l=13&amp;v=2","FT")</f>
        <v>FT</v>
      </c>
      <c r="G9" s="35" t="s">
        <v>33</v>
      </c>
      <c r="H9" s="35" t="s">
        <v>26</v>
      </c>
      <c r="I9" s="32" t="s">
        <v>892</v>
      </c>
      <c r="J9" s="25" t="s">
        <v>27</v>
      </c>
      <c r="K9" s="31" t="s">
        <v>129</v>
      </c>
      <c r="L9" s="31"/>
      <c r="M9" s="32" t="s">
        <v>74</v>
      </c>
      <c r="N9" s="3" t="s">
        <v>117</v>
      </c>
      <c r="O9" s="31" t="s">
        <v>120</v>
      </c>
      <c r="P9" s="32" t="s">
        <v>937</v>
      </c>
      <c r="Q9" s="32" t="s">
        <v>31</v>
      </c>
      <c r="R9" s="35" t="s">
        <v>126</v>
      </c>
      <c r="S9" s="36">
        <v>7502100</v>
      </c>
      <c r="T9" s="2" t="s">
        <v>46</v>
      </c>
      <c r="U9" s="37">
        <v>1</v>
      </c>
      <c r="V9" s="37">
        <v>0</v>
      </c>
      <c r="W9" s="38">
        <v>0</v>
      </c>
      <c r="X9" s="39">
        <v>0</v>
      </c>
    </row>
    <row r="10" spans="1:24" x14ac:dyDescent="0.25">
      <c r="A10" s="24" t="s">
        <v>716</v>
      </c>
      <c r="B10" s="2" t="s">
        <v>778</v>
      </c>
      <c r="C10" s="2" t="s">
        <v>779</v>
      </c>
      <c r="D10" s="32" t="s">
        <v>780</v>
      </c>
      <c r="E10" s="32" t="s">
        <v>781</v>
      </c>
      <c r="F10" s="26" t="str">
        <f>HYPERLINK("https://mapwv.gov/flood/map/?wkid=102100&amp;x=-8980957.193116818&amp;y=4802781.376526124&amp;l=13&amp;v=2","FT")</f>
        <v>FT</v>
      </c>
      <c r="G10" s="35" t="s">
        <v>40</v>
      </c>
      <c r="H10" s="35" t="s">
        <v>26</v>
      </c>
      <c r="I10" s="32" t="s">
        <v>69</v>
      </c>
      <c r="J10" s="25" t="s">
        <v>27</v>
      </c>
      <c r="K10" s="31" t="s">
        <v>85</v>
      </c>
      <c r="L10" s="31"/>
      <c r="M10" s="32" t="s">
        <v>70</v>
      </c>
      <c r="N10" s="3" t="s">
        <v>116</v>
      </c>
      <c r="O10" s="31" t="s">
        <v>120</v>
      </c>
      <c r="P10" s="32" t="s">
        <v>938</v>
      </c>
      <c r="Q10" s="32" t="s">
        <v>31</v>
      </c>
      <c r="R10" s="35" t="s">
        <v>126</v>
      </c>
      <c r="S10" s="36">
        <v>6471000</v>
      </c>
      <c r="T10" s="2" t="s">
        <v>46</v>
      </c>
      <c r="U10" s="37">
        <v>4</v>
      </c>
      <c r="V10" s="37">
        <v>3</v>
      </c>
      <c r="W10" s="38">
        <v>0.09</v>
      </c>
      <c r="X10" s="39">
        <v>582390</v>
      </c>
    </row>
    <row r="11" spans="1:24" x14ac:dyDescent="0.25">
      <c r="A11" s="24" t="s">
        <v>717</v>
      </c>
      <c r="B11" s="2" t="s">
        <v>771</v>
      </c>
      <c r="C11" s="2" t="s">
        <v>269</v>
      </c>
      <c r="D11" s="32" t="s">
        <v>782</v>
      </c>
      <c r="E11" s="32" t="s">
        <v>783</v>
      </c>
      <c r="F11" s="26" t="str">
        <f>HYPERLINK("https://mapwv.gov/flood/map/?wkid=102100&amp;x=-9001924.556617111&amp;y=4813628.860278632&amp;l=13&amp;v=2","FT")</f>
        <v>FT</v>
      </c>
      <c r="G11" s="35" t="s">
        <v>33</v>
      </c>
      <c r="H11" s="35" t="s">
        <v>26</v>
      </c>
      <c r="I11" s="32" t="s">
        <v>893</v>
      </c>
      <c r="J11" s="25" t="s">
        <v>37</v>
      </c>
      <c r="K11" s="31" t="s">
        <v>89</v>
      </c>
      <c r="L11" s="31"/>
      <c r="M11" s="32" t="s">
        <v>174</v>
      </c>
      <c r="N11" s="3" t="s">
        <v>116</v>
      </c>
      <c r="O11" s="31" t="s">
        <v>120</v>
      </c>
      <c r="P11" s="32" t="s">
        <v>939</v>
      </c>
      <c r="Q11" s="32" t="s">
        <v>31</v>
      </c>
      <c r="R11" s="35" t="s">
        <v>126</v>
      </c>
      <c r="S11" s="36">
        <v>5802800</v>
      </c>
      <c r="T11" s="2" t="s">
        <v>46</v>
      </c>
      <c r="U11" s="37">
        <v>1</v>
      </c>
      <c r="V11" s="37">
        <v>0</v>
      </c>
      <c r="W11" s="38">
        <v>0</v>
      </c>
      <c r="X11" s="39">
        <v>0</v>
      </c>
    </row>
    <row r="12" spans="1:24" x14ac:dyDescent="0.25">
      <c r="A12" s="24" t="s">
        <v>718</v>
      </c>
      <c r="B12" s="2" t="s">
        <v>771</v>
      </c>
      <c r="C12" s="2" t="s">
        <v>269</v>
      </c>
      <c r="D12" s="32" t="s">
        <v>784</v>
      </c>
      <c r="E12" s="32" t="s">
        <v>785</v>
      </c>
      <c r="F12" s="26" t="str">
        <f>HYPERLINK("https://mapwv.gov/flood/map/?wkid=102100&amp;x=-9001238.047536276&amp;y=4816237.20799822&amp;l=13&amp;v=2","FT")</f>
        <v>FT</v>
      </c>
      <c r="G12" s="35" t="s">
        <v>56</v>
      </c>
      <c r="H12" s="35" t="s">
        <v>26</v>
      </c>
      <c r="I12" s="32" t="s">
        <v>384</v>
      </c>
      <c r="J12" s="25" t="s">
        <v>27</v>
      </c>
      <c r="K12" s="31" t="s">
        <v>88</v>
      </c>
      <c r="L12" s="31" t="s">
        <v>28</v>
      </c>
      <c r="M12" s="32" t="s">
        <v>50</v>
      </c>
      <c r="N12" s="3" t="s">
        <v>36</v>
      </c>
      <c r="O12" s="31">
        <v>1</v>
      </c>
      <c r="P12" s="32" t="s">
        <v>940</v>
      </c>
      <c r="Q12" s="32" t="s">
        <v>31</v>
      </c>
      <c r="R12" s="35" t="s">
        <v>126</v>
      </c>
      <c r="S12" s="36">
        <v>5180100</v>
      </c>
      <c r="T12" s="2" t="s">
        <v>46</v>
      </c>
      <c r="U12" s="37">
        <v>6.9396970000000002E-2</v>
      </c>
      <c r="V12" s="37">
        <v>-0.93060302734375</v>
      </c>
      <c r="W12" s="38">
        <v>6.9396972656249995E-4</v>
      </c>
      <c r="X12" s="39">
        <v>3594.8325805663999</v>
      </c>
    </row>
    <row r="13" spans="1:24" x14ac:dyDescent="0.25">
      <c r="A13" s="24" t="s">
        <v>1373</v>
      </c>
      <c r="B13" s="2" t="s">
        <v>815</v>
      </c>
      <c r="C13" s="2" t="s">
        <v>257</v>
      </c>
      <c r="D13" s="32" t="s">
        <v>1374</v>
      </c>
      <c r="E13" s="32" t="s">
        <v>1375</v>
      </c>
      <c r="F13" s="26" t="str">
        <f>HYPERLINK("https://www.mapwv.gov/flood/map/?wkid=102100&amp;x=-8957107&amp;y=4821172&amp;l=12&amp;v=2","FT")</f>
        <v>FT</v>
      </c>
      <c r="G13" s="35" t="s">
        <v>40</v>
      </c>
      <c r="H13" s="35" t="s">
        <v>26</v>
      </c>
      <c r="I13" s="32" t="s">
        <v>1376</v>
      </c>
      <c r="J13" s="25" t="s">
        <v>27</v>
      </c>
      <c r="K13" s="31">
        <v>1997</v>
      </c>
      <c r="L13" s="31"/>
      <c r="M13" s="32" t="s">
        <v>29</v>
      </c>
      <c r="N13" s="3" t="s">
        <v>117</v>
      </c>
      <c r="O13" s="31">
        <v>1</v>
      </c>
      <c r="P13" s="57">
        <v>5600</v>
      </c>
      <c r="Q13" s="32" t="s">
        <v>31</v>
      </c>
      <c r="R13" s="35" t="s">
        <v>126</v>
      </c>
      <c r="S13" s="36">
        <v>3300000</v>
      </c>
      <c r="T13" s="2" t="s">
        <v>30</v>
      </c>
      <c r="U13" s="37"/>
      <c r="V13" s="37"/>
      <c r="W13" s="38"/>
      <c r="X13" s="39"/>
    </row>
    <row r="14" spans="1:24" x14ac:dyDescent="0.25">
      <c r="A14" s="24" t="s">
        <v>720</v>
      </c>
      <c r="B14" s="2" t="s">
        <v>771</v>
      </c>
      <c r="C14" s="2" t="s">
        <v>269</v>
      </c>
      <c r="D14" s="32" t="s">
        <v>789</v>
      </c>
      <c r="E14" s="32" t="s">
        <v>790</v>
      </c>
      <c r="F14" s="26" t="str">
        <f>HYPERLINK("https://mapwv.gov/flood/map/?wkid=102100&amp;x=-9001250.134272626&amp;y=4815839.706582786&amp;l=13&amp;v=2","FT")</f>
        <v>FT</v>
      </c>
      <c r="G14" s="35" t="s">
        <v>33</v>
      </c>
      <c r="H14" s="35" t="s">
        <v>26</v>
      </c>
      <c r="I14" s="32" t="s">
        <v>895</v>
      </c>
      <c r="J14" s="25" t="s">
        <v>27</v>
      </c>
      <c r="K14" s="31" t="s">
        <v>94</v>
      </c>
      <c r="L14" s="31" t="s">
        <v>59</v>
      </c>
      <c r="M14" s="32" t="s">
        <v>113</v>
      </c>
      <c r="N14" s="3" t="s">
        <v>44</v>
      </c>
      <c r="O14" s="31" t="s">
        <v>120</v>
      </c>
      <c r="P14" s="32" t="s">
        <v>941</v>
      </c>
      <c r="Q14" s="32" t="s">
        <v>31</v>
      </c>
      <c r="R14" s="35" t="s">
        <v>126</v>
      </c>
      <c r="S14" s="36">
        <v>2960700</v>
      </c>
      <c r="T14" s="2" t="s">
        <v>46</v>
      </c>
      <c r="U14" s="37">
        <v>0</v>
      </c>
      <c r="V14" s="37">
        <v>-1</v>
      </c>
      <c r="W14" s="38">
        <v>0</v>
      </c>
      <c r="X14" s="39">
        <v>0</v>
      </c>
    </row>
    <row r="15" spans="1:24" x14ac:dyDescent="0.25">
      <c r="A15" s="24" t="s">
        <v>721</v>
      </c>
      <c r="B15" s="2" t="s">
        <v>771</v>
      </c>
      <c r="C15" s="2" t="s">
        <v>269</v>
      </c>
      <c r="D15" s="32" t="s">
        <v>791</v>
      </c>
      <c r="E15" s="32" t="s">
        <v>792</v>
      </c>
      <c r="F15" s="26" t="str">
        <f>HYPERLINK("https://mapwv.gov/flood/map/?wkid=102100&amp;x=-9001973.74001717&amp;y=4813846.264201393&amp;l=13&amp;v=2","FT")</f>
        <v>FT</v>
      </c>
      <c r="G15" s="35" t="s">
        <v>33</v>
      </c>
      <c r="H15" s="35" t="s">
        <v>67</v>
      </c>
      <c r="I15" s="32" t="s">
        <v>896</v>
      </c>
      <c r="J15" s="25" t="s">
        <v>41</v>
      </c>
      <c r="K15" s="31" t="s">
        <v>932</v>
      </c>
      <c r="L15" s="31"/>
      <c r="M15" s="32" t="s">
        <v>29</v>
      </c>
      <c r="N15" s="3" t="s">
        <v>117</v>
      </c>
      <c r="O15" s="31" t="s">
        <v>120</v>
      </c>
      <c r="P15" s="32" t="s">
        <v>942</v>
      </c>
      <c r="Q15" s="32" t="s">
        <v>45</v>
      </c>
      <c r="R15" s="35" t="s">
        <v>127</v>
      </c>
      <c r="S15" s="36">
        <v>2218370</v>
      </c>
      <c r="T15" s="2" t="s">
        <v>32</v>
      </c>
      <c r="U15" s="37">
        <v>8.095459</v>
      </c>
      <c r="V15" s="37">
        <v>4.095458984375</v>
      </c>
      <c r="W15" s="38">
        <v>0.14000000000000001</v>
      </c>
      <c r="X15" s="39">
        <v>310571.8</v>
      </c>
    </row>
    <row r="16" spans="1:24" x14ac:dyDescent="0.25">
      <c r="A16" s="24" t="s">
        <v>722</v>
      </c>
      <c r="B16" s="2" t="s">
        <v>786</v>
      </c>
      <c r="C16" s="2" t="s">
        <v>793</v>
      </c>
      <c r="D16" s="32" t="s">
        <v>794</v>
      </c>
      <c r="E16" s="32" t="s">
        <v>795</v>
      </c>
      <c r="F16" s="26" t="str">
        <f>HYPERLINK("https://mapwv.gov/flood/map/?wkid=102100&amp;x=-8959491.599754572&amp;y=4816925.344075707&amp;l=13&amp;v=2","FT")</f>
        <v>FT</v>
      </c>
      <c r="G16" s="35" t="s">
        <v>40</v>
      </c>
      <c r="H16" s="35" t="s">
        <v>26</v>
      </c>
      <c r="I16" s="32" t="s">
        <v>69</v>
      </c>
      <c r="J16" s="25" t="s">
        <v>41</v>
      </c>
      <c r="K16" s="31" t="s">
        <v>96</v>
      </c>
      <c r="L16" s="31"/>
      <c r="M16" s="32" t="s">
        <v>70</v>
      </c>
      <c r="N16" s="3" t="s">
        <v>116</v>
      </c>
      <c r="O16" s="31" t="s">
        <v>120</v>
      </c>
      <c r="P16" s="32" t="s">
        <v>943</v>
      </c>
      <c r="Q16" s="32" t="s">
        <v>31</v>
      </c>
      <c r="R16" s="35" t="s">
        <v>126</v>
      </c>
      <c r="S16" s="36">
        <v>1625700</v>
      </c>
      <c r="T16" s="2" t="s">
        <v>46</v>
      </c>
      <c r="U16" s="37">
        <v>6</v>
      </c>
      <c r="V16" s="37">
        <v>5</v>
      </c>
      <c r="W16" s="38">
        <v>0.1</v>
      </c>
      <c r="X16" s="39">
        <v>162570</v>
      </c>
    </row>
    <row r="17" spans="1:24" x14ac:dyDescent="0.25">
      <c r="A17" s="24" t="s">
        <v>723</v>
      </c>
      <c r="B17" s="2" t="s">
        <v>796</v>
      </c>
      <c r="C17" s="2" t="s">
        <v>269</v>
      </c>
      <c r="D17" s="32" t="s">
        <v>797</v>
      </c>
      <c r="E17" s="32" t="s">
        <v>798</v>
      </c>
      <c r="F17" s="26" t="str">
        <f>HYPERLINK("https://mapwv.gov/flood/map/?wkid=102100&amp;x=-9009917.975104962&amp;y=4809108.979922747&amp;l=13&amp;v=2","FT")</f>
        <v>FT</v>
      </c>
      <c r="G17" s="35" t="s">
        <v>33</v>
      </c>
      <c r="H17" s="35" t="s">
        <v>26</v>
      </c>
      <c r="I17" s="32" t="s">
        <v>897</v>
      </c>
      <c r="J17" s="25" t="s">
        <v>37</v>
      </c>
      <c r="K17" s="31" t="s">
        <v>89</v>
      </c>
      <c r="L17" s="31"/>
      <c r="M17" s="32" t="s">
        <v>29</v>
      </c>
      <c r="N17" s="3" t="s">
        <v>117</v>
      </c>
      <c r="O17" s="31" t="s">
        <v>120</v>
      </c>
      <c r="P17" s="32" t="s">
        <v>944</v>
      </c>
      <c r="Q17" s="32" t="s">
        <v>31</v>
      </c>
      <c r="R17" s="35" t="s">
        <v>126</v>
      </c>
      <c r="S17" s="36">
        <v>1206600</v>
      </c>
      <c r="T17" s="2" t="s">
        <v>46</v>
      </c>
      <c r="U17" s="37">
        <v>6.3499755999999996</v>
      </c>
      <c r="V17" s="37">
        <v>5.3499755859375</v>
      </c>
      <c r="W17" s="38">
        <v>0.14349975585937499</v>
      </c>
      <c r="X17" s="39">
        <v>173146.805419921</v>
      </c>
    </row>
    <row r="18" spans="1:24" x14ac:dyDescent="0.25">
      <c r="A18" s="24" t="s">
        <v>724</v>
      </c>
      <c r="B18" s="2" t="s">
        <v>771</v>
      </c>
      <c r="C18" s="2" t="s">
        <v>269</v>
      </c>
      <c r="D18" s="32" t="s">
        <v>799</v>
      </c>
      <c r="E18" s="32" t="s">
        <v>800</v>
      </c>
      <c r="F18" s="26" t="str">
        <f>HYPERLINK("https://mapwv.gov/flood/map/?wkid=102100&amp;x=-9001173.105971735&amp;y=4814209.595978453&amp;l=13&amp;v=2","FT")</f>
        <v>FT</v>
      </c>
      <c r="G18" s="35" t="s">
        <v>33</v>
      </c>
      <c r="H18" s="35" t="s">
        <v>26</v>
      </c>
      <c r="I18" s="32" t="s">
        <v>898</v>
      </c>
      <c r="J18" s="25" t="s">
        <v>41</v>
      </c>
      <c r="K18" s="31" t="s">
        <v>110</v>
      </c>
      <c r="L18" s="31" t="s">
        <v>47</v>
      </c>
      <c r="M18" s="32" t="s">
        <v>50</v>
      </c>
      <c r="N18" s="3" t="s">
        <v>36</v>
      </c>
      <c r="O18" s="31" t="s">
        <v>120</v>
      </c>
      <c r="P18" s="32" t="s">
        <v>945</v>
      </c>
      <c r="Q18" s="32" t="s">
        <v>31</v>
      </c>
      <c r="R18" s="35" t="s">
        <v>126</v>
      </c>
      <c r="S18" s="36">
        <v>1179000</v>
      </c>
      <c r="T18" s="2" t="s">
        <v>46</v>
      </c>
      <c r="U18" s="37">
        <v>9.7406620000000004</v>
      </c>
      <c r="V18" s="37">
        <v>8.74066162109375</v>
      </c>
      <c r="W18" s="38">
        <v>0.32962646484375002</v>
      </c>
      <c r="X18" s="39">
        <v>388629.60205078102</v>
      </c>
    </row>
    <row r="19" spans="1:24" x14ac:dyDescent="0.25">
      <c r="A19" s="24" t="s">
        <v>725</v>
      </c>
      <c r="B19" s="2" t="s">
        <v>786</v>
      </c>
      <c r="C19" s="2" t="s">
        <v>801</v>
      </c>
      <c r="D19" s="32" t="s">
        <v>802</v>
      </c>
      <c r="E19" s="32" t="s">
        <v>803</v>
      </c>
      <c r="F19" s="26" t="str">
        <f>HYPERLINK("https://mapwv.gov/flood/map/?wkid=102100&amp;x=-8983209.143668883&amp;y=4801825.954587873&amp;l=13&amp;v=2","FT")</f>
        <v>FT</v>
      </c>
      <c r="G19" s="35" t="s">
        <v>40</v>
      </c>
      <c r="H19" s="35" t="s">
        <v>26</v>
      </c>
      <c r="I19" s="32" t="s">
        <v>899</v>
      </c>
      <c r="J19" s="25" t="s">
        <v>27</v>
      </c>
      <c r="K19" s="31" t="s">
        <v>146</v>
      </c>
      <c r="L19" s="31" t="s">
        <v>52</v>
      </c>
      <c r="M19" s="32" t="s">
        <v>43</v>
      </c>
      <c r="N19" s="3" t="s">
        <v>44</v>
      </c>
      <c r="O19" s="31" t="s">
        <v>120</v>
      </c>
      <c r="P19" s="32" t="s">
        <v>946</v>
      </c>
      <c r="Q19" s="32" t="s">
        <v>31</v>
      </c>
      <c r="R19" s="35" t="s">
        <v>126</v>
      </c>
      <c r="S19" s="36">
        <v>900000</v>
      </c>
      <c r="T19" s="2" t="s">
        <v>32</v>
      </c>
      <c r="U19" s="37">
        <v>0</v>
      </c>
      <c r="V19" s="37">
        <v>-1</v>
      </c>
      <c r="W19" s="38">
        <v>0</v>
      </c>
      <c r="X19" s="39">
        <v>0</v>
      </c>
    </row>
    <row r="20" spans="1:24" x14ac:dyDescent="0.25">
      <c r="A20" s="24" t="s">
        <v>726</v>
      </c>
      <c r="B20" s="2" t="s">
        <v>771</v>
      </c>
      <c r="C20" s="2" t="s">
        <v>269</v>
      </c>
      <c r="D20" s="32" t="s">
        <v>804</v>
      </c>
      <c r="E20" s="32" t="s">
        <v>805</v>
      </c>
      <c r="F20" s="26" t="str">
        <f>HYPERLINK("https://mapwv.gov/flood/map/?wkid=102100&amp;x=-9001971.71845522&amp;y=4813765.475036478&amp;l=13&amp;v=2","FT")</f>
        <v>FT</v>
      </c>
      <c r="G20" s="35" t="s">
        <v>33</v>
      </c>
      <c r="H20" s="35" t="s">
        <v>67</v>
      </c>
      <c r="I20" s="32" t="s">
        <v>900</v>
      </c>
      <c r="J20" s="25" t="s">
        <v>41</v>
      </c>
      <c r="K20" s="31" t="s">
        <v>138</v>
      </c>
      <c r="L20" s="31" t="s">
        <v>47</v>
      </c>
      <c r="M20" s="32" t="s">
        <v>48</v>
      </c>
      <c r="N20" s="3" t="s">
        <v>36</v>
      </c>
      <c r="O20" s="31" t="s">
        <v>121</v>
      </c>
      <c r="P20" s="32" t="s">
        <v>947</v>
      </c>
      <c r="Q20" s="32" t="s">
        <v>31</v>
      </c>
      <c r="R20" s="35" t="s">
        <v>126</v>
      </c>
      <c r="S20" s="36">
        <v>764900</v>
      </c>
      <c r="T20" s="2" t="s">
        <v>46</v>
      </c>
      <c r="U20" s="37">
        <v>8</v>
      </c>
      <c r="V20" s="37">
        <v>7</v>
      </c>
      <c r="W20" s="38">
        <v>0.19</v>
      </c>
      <c r="X20" s="39">
        <v>145331</v>
      </c>
    </row>
    <row r="21" spans="1:24" x14ac:dyDescent="0.25">
      <c r="A21" s="24" t="s">
        <v>727</v>
      </c>
      <c r="B21" s="2" t="s">
        <v>786</v>
      </c>
      <c r="C21" s="2" t="s">
        <v>806</v>
      </c>
      <c r="D21" s="32" t="s">
        <v>807</v>
      </c>
      <c r="E21" s="32" t="s">
        <v>808</v>
      </c>
      <c r="F21" s="26" t="str">
        <f>HYPERLINK("https://mapwv.gov/flood/map/?wkid=102100&amp;x=-8965459.170155263&amp;y=4790778.421626085&amp;l=13&amp;v=2","FT")</f>
        <v>FT</v>
      </c>
      <c r="G21" s="35" t="s">
        <v>40</v>
      </c>
      <c r="H21" s="35" t="s">
        <v>26</v>
      </c>
      <c r="I21" s="32" t="s">
        <v>901</v>
      </c>
      <c r="J21" s="25" t="s">
        <v>37</v>
      </c>
      <c r="K21" s="31" t="s">
        <v>89</v>
      </c>
      <c r="L21" s="31"/>
      <c r="M21" s="32" t="s">
        <v>58</v>
      </c>
      <c r="N21" s="3" t="s">
        <v>36</v>
      </c>
      <c r="O21" s="31" t="s">
        <v>120</v>
      </c>
      <c r="P21" s="32" t="s">
        <v>948</v>
      </c>
      <c r="Q21" s="32" t="s">
        <v>31</v>
      </c>
      <c r="R21" s="35" t="s">
        <v>126</v>
      </c>
      <c r="S21" s="36">
        <v>718960</v>
      </c>
      <c r="T21" s="2" t="s">
        <v>128</v>
      </c>
      <c r="U21" s="37">
        <v>0</v>
      </c>
      <c r="V21" s="37">
        <v>-1</v>
      </c>
      <c r="W21" s="38">
        <v>0</v>
      </c>
      <c r="X21" s="39">
        <v>0</v>
      </c>
    </row>
    <row r="22" spans="1:24" x14ac:dyDescent="0.25">
      <c r="A22" s="24" t="s">
        <v>728</v>
      </c>
      <c r="B22" s="2" t="s">
        <v>771</v>
      </c>
      <c r="C22" s="2" t="s">
        <v>269</v>
      </c>
      <c r="D22" s="32" t="s">
        <v>809</v>
      </c>
      <c r="E22" s="32" t="s">
        <v>810</v>
      </c>
      <c r="F22" s="26" t="str">
        <f>HYPERLINK("https://mapwv.gov/flood/map/?wkid=102100&amp;x=-9001807.932641258&amp;y=4814096.515149314&amp;l=13&amp;v=2","FT")</f>
        <v>FT</v>
      </c>
      <c r="G22" s="35" t="s">
        <v>33</v>
      </c>
      <c r="H22" s="35" t="s">
        <v>26</v>
      </c>
      <c r="I22" s="32" t="s">
        <v>902</v>
      </c>
      <c r="J22" s="25" t="s">
        <v>41</v>
      </c>
      <c r="K22" s="31" t="s">
        <v>138</v>
      </c>
      <c r="L22" s="31" t="s">
        <v>28</v>
      </c>
      <c r="M22" s="32" t="s">
        <v>50</v>
      </c>
      <c r="N22" s="3" t="s">
        <v>36</v>
      </c>
      <c r="O22" s="31" t="s">
        <v>121</v>
      </c>
      <c r="P22" s="32" t="s">
        <v>949</v>
      </c>
      <c r="Q22" s="32" t="s">
        <v>31</v>
      </c>
      <c r="R22" s="35" t="s">
        <v>126</v>
      </c>
      <c r="S22" s="36">
        <v>686500</v>
      </c>
      <c r="T22" s="2" t="s">
        <v>46</v>
      </c>
      <c r="U22" s="37">
        <v>10.654114</v>
      </c>
      <c r="V22" s="37">
        <v>9.65411376953125</v>
      </c>
      <c r="W22" s="38">
        <v>0.36616455078124999</v>
      </c>
      <c r="X22" s="39">
        <v>251371.96411132801</v>
      </c>
    </row>
    <row r="23" spans="1:24" x14ac:dyDescent="0.25">
      <c r="A23" s="24" t="s">
        <v>729</v>
      </c>
      <c r="B23" s="2" t="s">
        <v>786</v>
      </c>
      <c r="C23" s="2" t="s">
        <v>806</v>
      </c>
      <c r="D23" s="32" t="s">
        <v>807</v>
      </c>
      <c r="E23" s="32" t="s">
        <v>811</v>
      </c>
      <c r="F23" s="26" t="str">
        <f>HYPERLINK("https://mapwv.gov/flood/map/?wkid=102100&amp;x=-8965436.532223616&amp;y=4790725.506770982&amp;l=13&amp;v=2","FT")</f>
        <v>FT</v>
      </c>
      <c r="G23" s="35" t="s">
        <v>40</v>
      </c>
      <c r="H23" s="35" t="s">
        <v>26</v>
      </c>
      <c r="I23" s="32" t="s">
        <v>901</v>
      </c>
      <c r="J23" s="25" t="s">
        <v>37</v>
      </c>
      <c r="K23" s="31" t="s">
        <v>89</v>
      </c>
      <c r="L23" s="31"/>
      <c r="M23" s="32" t="s">
        <v>39</v>
      </c>
      <c r="N23" s="3" t="s">
        <v>119</v>
      </c>
      <c r="O23" s="31" t="s">
        <v>120</v>
      </c>
      <c r="P23" s="32" t="s">
        <v>183</v>
      </c>
      <c r="Q23" s="32" t="s">
        <v>31</v>
      </c>
      <c r="R23" s="35" t="s">
        <v>126</v>
      </c>
      <c r="S23" s="36">
        <v>684720</v>
      </c>
      <c r="T23" s="2" t="s">
        <v>128</v>
      </c>
      <c r="U23" s="37">
        <v>0</v>
      </c>
      <c r="V23" s="37">
        <v>-1</v>
      </c>
      <c r="W23" s="38">
        <v>0</v>
      </c>
      <c r="X23" s="39">
        <v>0</v>
      </c>
    </row>
    <row r="24" spans="1:24" x14ac:dyDescent="0.25">
      <c r="A24" s="24" t="s">
        <v>730</v>
      </c>
      <c r="B24" s="2" t="s">
        <v>786</v>
      </c>
      <c r="C24" s="2" t="s">
        <v>806</v>
      </c>
      <c r="D24" s="32" t="s">
        <v>807</v>
      </c>
      <c r="E24" s="32" t="s">
        <v>812</v>
      </c>
      <c r="F24" s="26" t="str">
        <f>HYPERLINK("https://mapwv.gov/flood/map/?wkid=102100&amp;x=-8965471.864139438&amp;y=4790736.56514612&amp;l=13&amp;v=2","FT")</f>
        <v>FT</v>
      </c>
      <c r="G24" s="35" t="s">
        <v>40</v>
      </c>
      <c r="H24" s="35" t="s">
        <v>26</v>
      </c>
      <c r="I24" s="32" t="s">
        <v>901</v>
      </c>
      <c r="J24" s="25" t="s">
        <v>37</v>
      </c>
      <c r="K24" s="31" t="s">
        <v>89</v>
      </c>
      <c r="L24" s="31"/>
      <c r="M24" s="32" t="s">
        <v>39</v>
      </c>
      <c r="N24" s="3" t="s">
        <v>119</v>
      </c>
      <c r="O24" s="31" t="s">
        <v>120</v>
      </c>
      <c r="P24" s="32" t="s">
        <v>183</v>
      </c>
      <c r="Q24" s="32" t="s">
        <v>31</v>
      </c>
      <c r="R24" s="35" t="s">
        <v>126</v>
      </c>
      <c r="S24" s="36">
        <v>684720</v>
      </c>
      <c r="T24" s="2" t="s">
        <v>128</v>
      </c>
      <c r="U24" s="37">
        <v>0</v>
      </c>
      <c r="V24" s="37">
        <v>-1</v>
      </c>
      <c r="W24" s="38">
        <v>0</v>
      </c>
      <c r="X24" s="39">
        <v>0</v>
      </c>
    </row>
    <row r="25" spans="1:24" x14ac:dyDescent="0.25">
      <c r="A25" s="24" t="s">
        <v>731</v>
      </c>
      <c r="B25" s="2" t="s">
        <v>796</v>
      </c>
      <c r="C25" s="2" t="s">
        <v>269</v>
      </c>
      <c r="D25" s="32" t="s">
        <v>813</v>
      </c>
      <c r="E25" s="32" t="s">
        <v>814</v>
      </c>
      <c r="F25" s="26" t="str">
        <f>HYPERLINK("https://mapwv.gov/flood/map/?wkid=102100&amp;x=-9009663.102674257&amp;y=4809096.960326081&amp;l=13&amp;v=2","FT")</f>
        <v>FT</v>
      </c>
      <c r="G25" s="35" t="s">
        <v>56</v>
      </c>
      <c r="H25" s="35" t="s">
        <v>26</v>
      </c>
      <c r="I25" s="32" t="s">
        <v>903</v>
      </c>
      <c r="J25" s="25" t="s">
        <v>169</v>
      </c>
      <c r="K25" s="31" t="s">
        <v>109</v>
      </c>
      <c r="L25" s="31" t="s">
        <v>38</v>
      </c>
      <c r="M25" s="32" t="s">
        <v>114</v>
      </c>
      <c r="N25" s="3" t="s">
        <v>119</v>
      </c>
      <c r="O25" s="31" t="s">
        <v>120</v>
      </c>
      <c r="P25" s="32" t="s">
        <v>950</v>
      </c>
      <c r="Q25" s="32" t="s">
        <v>31</v>
      </c>
      <c r="R25" s="35" t="s">
        <v>126</v>
      </c>
      <c r="S25" s="36">
        <v>681200</v>
      </c>
      <c r="T25" s="2" t="s">
        <v>46</v>
      </c>
      <c r="U25" s="37">
        <v>3.4611206000000001</v>
      </c>
      <c r="V25" s="37">
        <v>2.46112060546875</v>
      </c>
      <c r="W25" s="38">
        <v>0.133833618164062</v>
      </c>
      <c r="X25" s="39">
        <v>91167.460693359302</v>
      </c>
    </row>
    <row r="26" spans="1:24" x14ac:dyDescent="0.25">
      <c r="A26" s="24" t="s">
        <v>732</v>
      </c>
      <c r="B26" s="2" t="s">
        <v>815</v>
      </c>
      <c r="C26" s="2" t="s">
        <v>816</v>
      </c>
      <c r="D26" s="32" t="s">
        <v>817</v>
      </c>
      <c r="E26" s="32" t="s">
        <v>818</v>
      </c>
      <c r="F26" s="26" t="str">
        <f>HYPERLINK("https://mapwv.gov/flood/map/?wkid=102100&amp;x=-8956623.409882326&amp;y=4819998.549625637&amp;l=13&amp;v=2","FT")</f>
        <v>FT</v>
      </c>
      <c r="G26" s="35" t="s">
        <v>40</v>
      </c>
      <c r="H26" s="35" t="s">
        <v>26</v>
      </c>
      <c r="I26" s="32" t="s">
        <v>904</v>
      </c>
      <c r="J26" s="25" t="s">
        <v>41</v>
      </c>
      <c r="K26" s="31" t="s">
        <v>93</v>
      </c>
      <c r="L26" s="31" t="s">
        <v>47</v>
      </c>
      <c r="M26" s="32" t="s">
        <v>48</v>
      </c>
      <c r="N26" s="3" t="s">
        <v>36</v>
      </c>
      <c r="O26" s="31" t="s">
        <v>121</v>
      </c>
      <c r="P26" s="32" t="s">
        <v>951</v>
      </c>
      <c r="Q26" s="32" t="s">
        <v>31</v>
      </c>
      <c r="R26" s="35" t="s">
        <v>126</v>
      </c>
      <c r="S26" s="36">
        <v>661100</v>
      </c>
      <c r="T26" s="2" t="s">
        <v>46</v>
      </c>
      <c r="U26" s="37">
        <v>0</v>
      </c>
      <c r="V26" s="37">
        <v>-1</v>
      </c>
      <c r="W26" s="38">
        <v>0</v>
      </c>
      <c r="X26" s="39">
        <v>0</v>
      </c>
    </row>
    <row r="27" spans="1:24" x14ac:dyDescent="0.25">
      <c r="A27" s="24" t="s">
        <v>733</v>
      </c>
      <c r="B27" s="2" t="s">
        <v>786</v>
      </c>
      <c r="C27" s="2" t="s">
        <v>779</v>
      </c>
      <c r="D27" s="32" t="s">
        <v>819</v>
      </c>
      <c r="E27" s="32" t="s">
        <v>820</v>
      </c>
      <c r="F27" s="26" t="str">
        <f>HYPERLINK("https://mapwv.gov/flood/map/?wkid=102100&amp;x=-8982879.88911291&amp;y=4802675.488579946&amp;l=13&amp;v=2","FT")</f>
        <v>FT</v>
      </c>
      <c r="G27" s="35" t="s">
        <v>40</v>
      </c>
      <c r="H27" s="35" t="s">
        <v>26</v>
      </c>
      <c r="I27" s="32" t="s">
        <v>905</v>
      </c>
      <c r="J27" s="25" t="s">
        <v>27</v>
      </c>
      <c r="K27" s="31" t="s">
        <v>132</v>
      </c>
      <c r="L27" s="31" t="s">
        <v>28</v>
      </c>
      <c r="M27" s="32" t="s">
        <v>50</v>
      </c>
      <c r="N27" s="3" t="s">
        <v>36</v>
      </c>
      <c r="O27" s="31" t="s">
        <v>120</v>
      </c>
      <c r="P27" s="32" t="s">
        <v>952</v>
      </c>
      <c r="Q27" s="32" t="s">
        <v>31</v>
      </c>
      <c r="R27" s="35" t="s">
        <v>126</v>
      </c>
      <c r="S27" s="36">
        <v>637200</v>
      </c>
      <c r="T27" s="2" t="s">
        <v>46</v>
      </c>
      <c r="U27" s="37">
        <v>8</v>
      </c>
      <c r="V27" s="37">
        <v>7</v>
      </c>
      <c r="W27" s="38">
        <v>0.26</v>
      </c>
      <c r="X27" s="39">
        <v>165672</v>
      </c>
    </row>
    <row r="28" spans="1:24" x14ac:dyDescent="0.25">
      <c r="A28" s="24" t="s">
        <v>734</v>
      </c>
      <c r="B28" s="2" t="s">
        <v>786</v>
      </c>
      <c r="C28" s="2" t="s">
        <v>806</v>
      </c>
      <c r="D28" s="32" t="s">
        <v>821</v>
      </c>
      <c r="E28" s="32" t="s">
        <v>822</v>
      </c>
      <c r="F28" s="26" t="str">
        <f>HYPERLINK("https://mapwv.gov/flood/map/?wkid=102100&amp;x=-8980492.41264678&amp;y=4801003.899807543&amp;l=13&amp;v=2","FT")</f>
        <v>FT</v>
      </c>
      <c r="G28" s="35" t="s">
        <v>40</v>
      </c>
      <c r="H28" s="35" t="s">
        <v>26</v>
      </c>
      <c r="I28" s="32"/>
      <c r="J28" s="25" t="s">
        <v>37</v>
      </c>
      <c r="K28" s="31" t="s">
        <v>89</v>
      </c>
      <c r="L28" s="31"/>
      <c r="M28" s="32" t="s">
        <v>39</v>
      </c>
      <c r="N28" s="3" t="s">
        <v>119</v>
      </c>
      <c r="O28" s="31" t="s">
        <v>120</v>
      </c>
      <c r="P28" s="32" t="s">
        <v>953</v>
      </c>
      <c r="Q28" s="32" t="s">
        <v>31</v>
      </c>
      <c r="R28" s="35" t="s">
        <v>126</v>
      </c>
      <c r="S28" s="36">
        <v>625520</v>
      </c>
      <c r="T28" s="2" t="s">
        <v>128</v>
      </c>
      <c r="U28" s="37">
        <v>6</v>
      </c>
      <c r="V28" s="37">
        <v>5</v>
      </c>
      <c r="W28" s="38">
        <v>0.26</v>
      </c>
      <c r="X28" s="39">
        <v>162635.20000000001</v>
      </c>
    </row>
    <row r="29" spans="1:24" x14ac:dyDescent="0.25">
      <c r="A29" s="24" t="s">
        <v>735</v>
      </c>
      <c r="B29" s="2" t="s">
        <v>771</v>
      </c>
      <c r="C29" s="2" t="s">
        <v>269</v>
      </c>
      <c r="D29" s="32" t="s">
        <v>823</v>
      </c>
      <c r="E29" s="32" t="s">
        <v>824</v>
      </c>
      <c r="F29" s="26" t="str">
        <f>HYPERLINK("https://mapwv.gov/flood/map/?wkid=102100&amp;x=-9001014.002144244&amp;y=4814209.136552735&amp;l=13&amp;v=2","FT")</f>
        <v>FT</v>
      </c>
      <c r="G29" s="35" t="s">
        <v>33</v>
      </c>
      <c r="H29" s="35" t="s">
        <v>26</v>
      </c>
      <c r="I29" s="32" t="s">
        <v>906</v>
      </c>
      <c r="J29" s="25" t="s">
        <v>41</v>
      </c>
      <c r="K29" s="31" t="s">
        <v>160</v>
      </c>
      <c r="L29" s="31" t="s">
        <v>53</v>
      </c>
      <c r="M29" s="32" t="s">
        <v>48</v>
      </c>
      <c r="N29" s="3" t="s">
        <v>36</v>
      </c>
      <c r="O29" s="31" t="s">
        <v>120</v>
      </c>
      <c r="P29" s="32" t="s">
        <v>954</v>
      </c>
      <c r="Q29" s="32" t="s">
        <v>31</v>
      </c>
      <c r="R29" s="35" t="s">
        <v>126</v>
      </c>
      <c r="S29" s="36">
        <v>584900</v>
      </c>
      <c r="T29" s="2" t="s">
        <v>46</v>
      </c>
      <c r="U29" s="37">
        <v>8.2355350000000005</v>
      </c>
      <c r="V29" s="37">
        <v>7.23553466796875</v>
      </c>
      <c r="W29" s="38">
        <v>0.197066040039062</v>
      </c>
      <c r="X29" s="39">
        <v>115263.926818847</v>
      </c>
    </row>
    <row r="30" spans="1:24" x14ac:dyDescent="0.25">
      <c r="A30" s="24" t="s">
        <v>736</v>
      </c>
      <c r="B30" s="2" t="s">
        <v>771</v>
      </c>
      <c r="C30" s="2" t="s">
        <v>269</v>
      </c>
      <c r="D30" s="32" t="s">
        <v>825</v>
      </c>
      <c r="E30" s="32" t="s">
        <v>826</v>
      </c>
      <c r="F30" s="26" t="str">
        <f>HYPERLINK("https://mapwv.gov/flood/map/?wkid=102100&amp;x=-9001253.70005856&amp;y=4817102.863472505&amp;l=13&amp;v=2","FT")</f>
        <v>FT</v>
      </c>
      <c r="G30" s="35" t="s">
        <v>33</v>
      </c>
      <c r="H30" s="35" t="s">
        <v>26</v>
      </c>
      <c r="I30" s="32" t="s">
        <v>907</v>
      </c>
      <c r="J30" s="25" t="s">
        <v>27</v>
      </c>
      <c r="K30" s="31" t="s">
        <v>105</v>
      </c>
      <c r="L30" s="31" t="s">
        <v>28</v>
      </c>
      <c r="M30" s="32" t="s">
        <v>73</v>
      </c>
      <c r="N30" s="3" t="s">
        <v>36</v>
      </c>
      <c r="O30" s="31" t="s">
        <v>122</v>
      </c>
      <c r="P30" s="32" t="s">
        <v>955</v>
      </c>
      <c r="Q30" s="32" t="s">
        <v>31</v>
      </c>
      <c r="R30" s="35" t="s">
        <v>126</v>
      </c>
      <c r="S30" s="36">
        <v>577200</v>
      </c>
      <c r="T30" s="2" t="s">
        <v>46</v>
      </c>
      <c r="U30" s="37">
        <v>1.206604</v>
      </c>
      <c r="V30" s="37">
        <v>0.20660400390625</v>
      </c>
      <c r="W30" s="38">
        <v>1.03302001953125E-2</v>
      </c>
      <c r="X30" s="39">
        <v>5962.5915527343705</v>
      </c>
    </row>
    <row r="31" spans="1:24" x14ac:dyDescent="0.25">
      <c r="A31" s="24" t="s">
        <v>737</v>
      </c>
      <c r="B31" s="2" t="s">
        <v>786</v>
      </c>
      <c r="C31" s="2" t="s">
        <v>806</v>
      </c>
      <c r="D31" s="32" t="s">
        <v>827</v>
      </c>
      <c r="E31" s="32" t="s">
        <v>828</v>
      </c>
      <c r="F31" s="26" t="str">
        <f>HYPERLINK("https://mapwv.gov/flood/map/?wkid=102100&amp;x=-8977612.268842326&amp;y=4798191.874244988&amp;l=13&amp;v=2","FT")</f>
        <v>FT</v>
      </c>
      <c r="G31" s="35" t="s">
        <v>40</v>
      </c>
      <c r="H31" s="35" t="s">
        <v>26</v>
      </c>
      <c r="I31" s="32" t="s">
        <v>908</v>
      </c>
      <c r="J31" s="25" t="s">
        <v>41</v>
      </c>
      <c r="K31" s="31" t="s">
        <v>108</v>
      </c>
      <c r="L31" s="31" t="s">
        <v>59</v>
      </c>
      <c r="M31" s="32" t="s">
        <v>43</v>
      </c>
      <c r="N31" s="3" t="s">
        <v>44</v>
      </c>
      <c r="O31" s="31" t="s">
        <v>120</v>
      </c>
      <c r="P31" s="32" t="s">
        <v>956</v>
      </c>
      <c r="Q31" s="32" t="s">
        <v>31</v>
      </c>
      <c r="R31" s="35" t="s">
        <v>126</v>
      </c>
      <c r="S31" s="36">
        <v>570900</v>
      </c>
      <c r="T31" s="2" t="s">
        <v>46</v>
      </c>
      <c r="U31" s="37">
        <v>0</v>
      </c>
      <c r="V31" s="37">
        <v>-1</v>
      </c>
      <c r="W31" s="38">
        <v>0</v>
      </c>
      <c r="X31" s="39">
        <v>0</v>
      </c>
    </row>
    <row r="32" spans="1:24" x14ac:dyDescent="0.25">
      <c r="A32" s="24" t="s">
        <v>738</v>
      </c>
      <c r="B32" s="2" t="s">
        <v>771</v>
      </c>
      <c r="C32" s="2" t="s">
        <v>269</v>
      </c>
      <c r="D32" s="32" t="s">
        <v>829</v>
      </c>
      <c r="E32" s="32" t="s">
        <v>830</v>
      </c>
      <c r="F32" s="26" t="str">
        <f>HYPERLINK("https://mapwv.gov/flood/map/?wkid=102100&amp;x=-9001306.699936038&amp;y=4813025.114553458&amp;l=13&amp;v=2","FT")</f>
        <v>FT</v>
      </c>
      <c r="G32" s="35" t="s">
        <v>33</v>
      </c>
      <c r="H32" s="35" t="s">
        <v>26</v>
      </c>
      <c r="I32" s="32" t="s">
        <v>909</v>
      </c>
      <c r="J32" s="25" t="s">
        <v>37</v>
      </c>
      <c r="K32" s="31" t="s">
        <v>89</v>
      </c>
      <c r="L32" s="31"/>
      <c r="M32" s="32" t="s">
        <v>29</v>
      </c>
      <c r="N32" s="3" t="s">
        <v>117</v>
      </c>
      <c r="O32" s="31" t="s">
        <v>120</v>
      </c>
      <c r="P32" s="32" t="s">
        <v>957</v>
      </c>
      <c r="Q32" s="32" t="s">
        <v>31</v>
      </c>
      <c r="R32" s="35" t="s">
        <v>126</v>
      </c>
      <c r="S32" s="36">
        <v>561300</v>
      </c>
      <c r="T32" s="2" t="s">
        <v>46</v>
      </c>
      <c r="U32" s="37">
        <v>9.2252200000000002</v>
      </c>
      <c r="V32" s="37">
        <v>8.2252197265625</v>
      </c>
      <c r="W32" s="38">
        <v>0.19675659179687499</v>
      </c>
      <c r="X32" s="39">
        <v>110439.47497558501</v>
      </c>
    </row>
    <row r="33" spans="1:24" x14ac:dyDescent="0.25">
      <c r="A33" s="24" t="s">
        <v>739</v>
      </c>
      <c r="B33" s="2" t="s">
        <v>778</v>
      </c>
      <c r="C33" s="2" t="s">
        <v>831</v>
      </c>
      <c r="D33" s="32" t="s">
        <v>832</v>
      </c>
      <c r="E33" s="32" t="s">
        <v>833</v>
      </c>
      <c r="F33" s="26" t="str">
        <f>HYPERLINK("https://mapwv.gov/flood/map/?wkid=102100&amp;x=-8980981.203617787&amp;y=4804062.495502606&amp;l=13&amp;v=2","FT")</f>
        <v>FT</v>
      </c>
      <c r="G33" s="35" t="s">
        <v>40</v>
      </c>
      <c r="H33" s="35" t="s">
        <v>26</v>
      </c>
      <c r="I33" s="32" t="s">
        <v>910</v>
      </c>
      <c r="J33" s="25" t="s">
        <v>41</v>
      </c>
      <c r="K33" s="31" t="s">
        <v>87</v>
      </c>
      <c r="L33" s="31"/>
      <c r="M33" s="32" t="s">
        <v>29</v>
      </c>
      <c r="N33" s="3" t="s">
        <v>117</v>
      </c>
      <c r="O33" s="31" t="s">
        <v>120</v>
      </c>
      <c r="P33" s="32" t="s">
        <v>958</v>
      </c>
      <c r="Q33" s="32" t="s">
        <v>31</v>
      </c>
      <c r="R33" s="35" t="s">
        <v>126</v>
      </c>
      <c r="S33" s="36">
        <v>552800</v>
      </c>
      <c r="T33" s="2" t="s">
        <v>46</v>
      </c>
      <c r="U33" s="37">
        <v>0</v>
      </c>
      <c r="V33" s="37">
        <v>-1</v>
      </c>
      <c r="W33" s="38">
        <v>0</v>
      </c>
      <c r="X33" s="39">
        <v>0</v>
      </c>
    </row>
    <row r="34" spans="1:24" x14ac:dyDescent="0.25">
      <c r="A34" s="24" t="s">
        <v>740</v>
      </c>
      <c r="B34" s="2" t="s">
        <v>771</v>
      </c>
      <c r="C34" s="2" t="s">
        <v>269</v>
      </c>
      <c r="D34" s="32" t="s">
        <v>834</v>
      </c>
      <c r="E34" s="32" t="s">
        <v>835</v>
      </c>
      <c r="F34" s="26" t="str">
        <f>HYPERLINK("https://mapwv.gov/flood/map/?wkid=102100&amp;x=-9001916.466695752&amp;y=4814240.265222351&amp;l=13&amp;v=2","FT")</f>
        <v>FT</v>
      </c>
      <c r="G34" s="35" t="s">
        <v>33</v>
      </c>
      <c r="H34" s="35" t="s">
        <v>67</v>
      </c>
      <c r="I34" s="32" t="s">
        <v>911</v>
      </c>
      <c r="J34" s="25" t="s">
        <v>41</v>
      </c>
      <c r="K34" s="31" t="s">
        <v>108</v>
      </c>
      <c r="L34" s="31" t="s">
        <v>28</v>
      </c>
      <c r="M34" s="32" t="s">
        <v>68</v>
      </c>
      <c r="N34" s="3" t="s">
        <v>118</v>
      </c>
      <c r="O34" s="31" t="s">
        <v>120</v>
      </c>
      <c r="P34" s="32" t="s">
        <v>959</v>
      </c>
      <c r="Q34" s="32" t="s">
        <v>31</v>
      </c>
      <c r="R34" s="35" t="s">
        <v>126</v>
      </c>
      <c r="S34" s="36">
        <v>543400</v>
      </c>
      <c r="T34" s="2" t="s">
        <v>46</v>
      </c>
      <c r="U34" s="37">
        <v>6.8584595000000004</v>
      </c>
      <c r="V34" s="37">
        <v>5.85845947265625</v>
      </c>
      <c r="W34" s="38">
        <v>0.128584594726562</v>
      </c>
      <c r="X34" s="39">
        <v>69872.868774414004</v>
      </c>
    </row>
    <row r="35" spans="1:24" x14ac:dyDescent="0.25">
      <c r="A35" s="24" t="s">
        <v>741</v>
      </c>
      <c r="B35" s="2" t="s">
        <v>771</v>
      </c>
      <c r="C35" s="2" t="s">
        <v>269</v>
      </c>
      <c r="D35" s="32" t="s">
        <v>836</v>
      </c>
      <c r="E35" s="32" t="s">
        <v>837</v>
      </c>
      <c r="F35" s="26" t="str">
        <f>HYPERLINK("https://mapwv.gov/flood/map/?wkid=102100&amp;x=-9001780.709459787&amp;y=4813844.32132641&amp;l=13&amp;v=2","FT")</f>
        <v>FT</v>
      </c>
      <c r="G35" s="35" t="s">
        <v>33</v>
      </c>
      <c r="H35" s="35" t="s">
        <v>26</v>
      </c>
      <c r="I35" s="32" t="s">
        <v>912</v>
      </c>
      <c r="J35" s="25" t="s">
        <v>41</v>
      </c>
      <c r="K35" s="31" t="s">
        <v>142</v>
      </c>
      <c r="L35" s="31"/>
      <c r="M35" s="32" t="s">
        <v>70</v>
      </c>
      <c r="N35" s="3" t="s">
        <v>116</v>
      </c>
      <c r="O35" s="31" t="s">
        <v>120</v>
      </c>
      <c r="P35" s="32" t="s">
        <v>960</v>
      </c>
      <c r="Q35" s="32" t="s">
        <v>31</v>
      </c>
      <c r="R35" s="35" t="s">
        <v>126</v>
      </c>
      <c r="S35" s="36">
        <v>540900</v>
      </c>
      <c r="T35" s="2" t="s">
        <v>46</v>
      </c>
      <c r="U35" s="37">
        <v>0.80474853999999996</v>
      </c>
      <c r="V35" s="37">
        <v>-0.19525146484375</v>
      </c>
      <c r="W35" s="38">
        <v>0</v>
      </c>
      <c r="X35" s="39">
        <v>0</v>
      </c>
    </row>
    <row r="36" spans="1:24" x14ac:dyDescent="0.25">
      <c r="A36" s="24" t="s">
        <v>742</v>
      </c>
      <c r="B36" s="2" t="s">
        <v>771</v>
      </c>
      <c r="C36" s="2" t="s">
        <v>269</v>
      </c>
      <c r="D36" s="32" t="s">
        <v>838</v>
      </c>
      <c r="E36" s="32" t="s">
        <v>839</v>
      </c>
      <c r="F36" s="26" t="str">
        <f>HYPERLINK("https://mapwv.gov/flood/map/?wkid=102100&amp;x=-9001644.617597425&amp;y=4814981.2143442845&amp;l=13&amp;v=2","FT")</f>
        <v>FT</v>
      </c>
      <c r="G36" s="35" t="s">
        <v>33</v>
      </c>
      <c r="H36" s="35" t="s">
        <v>26</v>
      </c>
      <c r="I36" s="32" t="s">
        <v>913</v>
      </c>
      <c r="J36" s="25" t="s">
        <v>27</v>
      </c>
      <c r="K36" s="31" t="s">
        <v>86</v>
      </c>
      <c r="L36" s="31" t="s">
        <v>40</v>
      </c>
      <c r="M36" s="32" t="s">
        <v>57</v>
      </c>
      <c r="N36" s="3" t="s">
        <v>36</v>
      </c>
      <c r="O36" s="31" t="s">
        <v>121</v>
      </c>
      <c r="P36" s="32" t="s">
        <v>961</v>
      </c>
      <c r="Q36" s="32" t="s">
        <v>31</v>
      </c>
      <c r="R36" s="35" t="s">
        <v>126</v>
      </c>
      <c r="S36" s="36">
        <v>540600</v>
      </c>
      <c r="T36" s="2" t="s">
        <v>46</v>
      </c>
      <c r="U36" s="37">
        <v>4.8900145999999998</v>
      </c>
      <c r="V36" s="37">
        <v>3.8900146484375</v>
      </c>
      <c r="W36" s="38">
        <v>0.13890014648437402</v>
      </c>
      <c r="X36" s="39">
        <v>75089.419189453096</v>
      </c>
    </row>
    <row r="37" spans="1:24" x14ac:dyDescent="0.25">
      <c r="A37" s="24" t="s">
        <v>743</v>
      </c>
      <c r="B37" s="2" t="s">
        <v>815</v>
      </c>
      <c r="C37" s="2" t="s">
        <v>816</v>
      </c>
      <c r="D37" s="32" t="s">
        <v>840</v>
      </c>
      <c r="E37" s="32" t="s">
        <v>841</v>
      </c>
      <c r="F37" s="26" t="str">
        <f>HYPERLINK("https://mapwv.gov/flood/map/?wkid=102100&amp;x=-8956355.01269009&amp;y=4820176.016595813&amp;l=13&amp;v=2","FT")</f>
        <v>FT</v>
      </c>
      <c r="G37" s="35" t="s">
        <v>25</v>
      </c>
      <c r="H37" s="35" t="s">
        <v>26</v>
      </c>
      <c r="I37" s="32" t="s">
        <v>914</v>
      </c>
      <c r="J37" s="25" t="s">
        <v>169</v>
      </c>
      <c r="K37" s="31" t="s">
        <v>146</v>
      </c>
      <c r="L37" s="31" t="s">
        <v>28</v>
      </c>
      <c r="M37" s="32" t="s">
        <v>74</v>
      </c>
      <c r="N37" s="3" t="s">
        <v>117</v>
      </c>
      <c r="O37" s="31" t="s">
        <v>121</v>
      </c>
      <c r="P37" s="32" t="s">
        <v>677</v>
      </c>
      <c r="Q37" s="32" t="s">
        <v>31</v>
      </c>
      <c r="R37" s="35" t="s">
        <v>126</v>
      </c>
      <c r="S37" s="36">
        <v>538200</v>
      </c>
      <c r="T37" s="2" t="s">
        <v>46</v>
      </c>
      <c r="U37" s="37">
        <v>1.2549437999999999</v>
      </c>
      <c r="V37" s="37">
        <v>0.25494384765625</v>
      </c>
      <c r="W37" s="38">
        <v>1.7846069335937499E-2</v>
      </c>
      <c r="X37" s="39">
        <v>9604.7545166015607</v>
      </c>
    </row>
    <row r="38" spans="1:24" x14ac:dyDescent="0.25">
      <c r="A38" s="24" t="s">
        <v>744</v>
      </c>
      <c r="B38" s="2" t="s">
        <v>771</v>
      </c>
      <c r="C38" s="2" t="s">
        <v>779</v>
      </c>
      <c r="D38" s="32" t="s">
        <v>842</v>
      </c>
      <c r="E38" s="32" t="s">
        <v>843</v>
      </c>
      <c r="F38" s="26" t="str">
        <f>HYPERLINK("https://mapwv.gov/flood/map/?wkid=102100&amp;x=-9000429.74958918&amp;y=4812865.919382711&amp;l=13&amp;v=2","FT")</f>
        <v>FT</v>
      </c>
      <c r="G38" s="35" t="s">
        <v>33</v>
      </c>
      <c r="H38" s="35" t="s">
        <v>26</v>
      </c>
      <c r="I38" s="32" t="s">
        <v>915</v>
      </c>
      <c r="J38" s="25" t="s">
        <v>27</v>
      </c>
      <c r="K38" s="31" t="s">
        <v>104</v>
      </c>
      <c r="L38" s="31" t="s">
        <v>42</v>
      </c>
      <c r="M38" s="32" t="s">
        <v>73</v>
      </c>
      <c r="N38" s="3" t="s">
        <v>36</v>
      </c>
      <c r="O38" s="31" t="s">
        <v>120</v>
      </c>
      <c r="P38" s="32" t="s">
        <v>157</v>
      </c>
      <c r="Q38" s="32" t="s">
        <v>31</v>
      </c>
      <c r="R38" s="35" t="s">
        <v>126</v>
      </c>
      <c r="S38" s="36">
        <v>536400</v>
      </c>
      <c r="T38" s="2" t="s">
        <v>46</v>
      </c>
      <c r="U38" s="37">
        <v>0</v>
      </c>
      <c r="V38" s="37">
        <v>-1</v>
      </c>
      <c r="W38" s="38">
        <v>0</v>
      </c>
      <c r="X38" s="39">
        <v>0</v>
      </c>
    </row>
    <row r="39" spans="1:24" x14ac:dyDescent="0.25">
      <c r="A39" s="24" t="s">
        <v>745</v>
      </c>
      <c r="B39" s="2" t="s">
        <v>771</v>
      </c>
      <c r="C39" s="2" t="s">
        <v>269</v>
      </c>
      <c r="D39" s="32" t="s">
        <v>791</v>
      </c>
      <c r="E39" s="32" t="s">
        <v>844</v>
      </c>
      <c r="F39" s="26" t="str">
        <f>HYPERLINK("https://mapwv.gov/flood/map/?wkid=102100&amp;x=-9001967.140775116&amp;y=4813868.184309828&amp;l=13&amp;v=2","FT")</f>
        <v>FT</v>
      </c>
      <c r="G39" s="35" t="s">
        <v>33</v>
      </c>
      <c r="H39" s="35" t="s">
        <v>67</v>
      </c>
      <c r="I39" s="32" t="s">
        <v>896</v>
      </c>
      <c r="J39" s="25" t="s">
        <v>41</v>
      </c>
      <c r="K39" s="31" t="s">
        <v>92</v>
      </c>
      <c r="L39" s="31"/>
      <c r="M39" s="32" t="s">
        <v>74</v>
      </c>
      <c r="N39" s="3" t="s">
        <v>117</v>
      </c>
      <c r="O39" s="31" t="s">
        <v>120</v>
      </c>
      <c r="P39" s="32" t="s">
        <v>470</v>
      </c>
      <c r="Q39" s="32" t="s">
        <v>45</v>
      </c>
      <c r="R39" s="35" t="s">
        <v>127</v>
      </c>
      <c r="S39" s="36">
        <v>529150</v>
      </c>
      <c r="T39" s="2" t="s">
        <v>32</v>
      </c>
      <c r="U39" s="37">
        <v>7.8027344000000003</v>
      </c>
      <c r="V39" s="37">
        <v>3.802734375</v>
      </c>
      <c r="W39" s="38">
        <v>0.11802734375</v>
      </c>
      <c r="X39" s="39">
        <v>62454.1689453125</v>
      </c>
    </row>
    <row r="40" spans="1:24" x14ac:dyDescent="0.25">
      <c r="A40" s="24" t="s">
        <v>746</v>
      </c>
      <c r="B40" s="2" t="s">
        <v>786</v>
      </c>
      <c r="C40" s="2" t="s">
        <v>779</v>
      </c>
      <c r="D40" s="32" t="s">
        <v>845</v>
      </c>
      <c r="E40" s="32" t="s">
        <v>846</v>
      </c>
      <c r="F40" s="26" t="str">
        <f>HYPERLINK("https://mapwv.gov/flood/map/?wkid=102100&amp;x=-8987042.015780566&amp;y=4803571.543259468&amp;l=13&amp;v=2","FT")</f>
        <v>FT</v>
      </c>
      <c r="G40" s="35" t="s">
        <v>40</v>
      </c>
      <c r="H40" s="35" t="s">
        <v>26</v>
      </c>
      <c r="I40" s="32" t="s">
        <v>916</v>
      </c>
      <c r="J40" s="25" t="s">
        <v>37</v>
      </c>
      <c r="K40" s="31" t="s">
        <v>89</v>
      </c>
      <c r="L40" s="31"/>
      <c r="M40" s="32" t="s">
        <v>58</v>
      </c>
      <c r="N40" s="3" t="s">
        <v>36</v>
      </c>
      <c r="O40" s="31" t="s">
        <v>120</v>
      </c>
      <c r="P40" s="32" t="s">
        <v>962</v>
      </c>
      <c r="Q40" s="32" t="s">
        <v>31</v>
      </c>
      <c r="R40" s="35" t="s">
        <v>126</v>
      </c>
      <c r="S40" s="36">
        <v>509000</v>
      </c>
      <c r="T40" s="2" t="s">
        <v>128</v>
      </c>
      <c r="U40" s="37">
        <v>4</v>
      </c>
      <c r="V40" s="37">
        <v>3</v>
      </c>
      <c r="W40" s="38">
        <v>0.22</v>
      </c>
      <c r="X40" s="39">
        <v>111980</v>
      </c>
    </row>
    <row r="41" spans="1:24" x14ac:dyDescent="0.25">
      <c r="A41" s="24" t="s">
        <v>747</v>
      </c>
      <c r="B41" s="2" t="s">
        <v>771</v>
      </c>
      <c r="C41" s="2" t="s">
        <v>269</v>
      </c>
      <c r="D41" s="32" t="s">
        <v>847</v>
      </c>
      <c r="E41" s="32" t="s">
        <v>848</v>
      </c>
      <c r="F41" s="26" t="str">
        <f>HYPERLINK("https://mapwv.gov/flood/map/?wkid=102100&amp;x=-9001954.594957186&amp;y=4813906.580827522&amp;l=13&amp;v=2","FT")</f>
        <v>FT</v>
      </c>
      <c r="G41" s="35" t="s">
        <v>33</v>
      </c>
      <c r="H41" s="35" t="s">
        <v>67</v>
      </c>
      <c r="I41" s="32" t="s">
        <v>917</v>
      </c>
      <c r="J41" s="25" t="s">
        <v>41</v>
      </c>
      <c r="K41" s="31" t="s">
        <v>110</v>
      </c>
      <c r="L41" s="31"/>
      <c r="M41" s="32" t="s">
        <v>29</v>
      </c>
      <c r="N41" s="3" t="s">
        <v>117</v>
      </c>
      <c r="O41" s="31" t="s">
        <v>120</v>
      </c>
      <c r="P41" s="32" t="s">
        <v>963</v>
      </c>
      <c r="Q41" s="32" t="s">
        <v>31</v>
      </c>
      <c r="R41" s="35" t="s">
        <v>126</v>
      </c>
      <c r="S41" s="36">
        <v>501500</v>
      </c>
      <c r="T41" s="2" t="s">
        <v>46</v>
      </c>
      <c r="U41" s="37">
        <v>7.0206910000000002</v>
      </c>
      <c r="V41" s="37">
        <v>6.02069091796875</v>
      </c>
      <c r="W41" s="38">
        <v>0.15041381835937501</v>
      </c>
      <c r="X41" s="39">
        <v>75432.529907226504</v>
      </c>
    </row>
    <row r="42" spans="1:24" x14ac:dyDescent="0.25">
      <c r="A42" s="24" t="s">
        <v>748</v>
      </c>
      <c r="B42" s="2" t="s">
        <v>771</v>
      </c>
      <c r="C42" s="2" t="s">
        <v>269</v>
      </c>
      <c r="D42" s="32" t="s">
        <v>849</v>
      </c>
      <c r="E42" s="32" t="s">
        <v>850</v>
      </c>
      <c r="F42" s="26" t="str">
        <f>HYPERLINK("https://mapwv.gov/flood/map/?wkid=102100&amp;x=-9001262.158447428&amp;y=4817018.637325732&amp;l=13&amp;v=2","FT")</f>
        <v>FT</v>
      </c>
      <c r="G42" s="35" t="s">
        <v>56</v>
      </c>
      <c r="H42" s="35" t="s">
        <v>26</v>
      </c>
      <c r="I42" s="32" t="s">
        <v>918</v>
      </c>
      <c r="J42" s="25" t="s">
        <v>169</v>
      </c>
      <c r="K42" s="31" t="s">
        <v>147</v>
      </c>
      <c r="L42" s="31" t="s">
        <v>59</v>
      </c>
      <c r="M42" s="32" t="s">
        <v>60</v>
      </c>
      <c r="N42" s="3" t="s">
        <v>44</v>
      </c>
      <c r="O42" s="31" t="s">
        <v>121</v>
      </c>
      <c r="P42" s="32" t="s">
        <v>964</v>
      </c>
      <c r="Q42" s="32" t="s">
        <v>31</v>
      </c>
      <c r="R42" s="35" t="s">
        <v>126</v>
      </c>
      <c r="S42" s="36">
        <v>469100</v>
      </c>
      <c r="T42" s="2" t="s">
        <v>32</v>
      </c>
      <c r="U42" s="37">
        <v>2.2770386</v>
      </c>
      <c r="V42" s="37">
        <v>1.27703857421875</v>
      </c>
      <c r="W42" s="38">
        <v>0.18493347167968699</v>
      </c>
      <c r="X42" s="39">
        <v>86752.291564941406</v>
      </c>
    </row>
    <row r="43" spans="1:24" x14ac:dyDescent="0.25">
      <c r="A43" s="24" t="s">
        <v>749</v>
      </c>
      <c r="B43" s="2" t="s">
        <v>771</v>
      </c>
      <c r="C43" s="2" t="s">
        <v>269</v>
      </c>
      <c r="D43" s="32" t="s">
        <v>849</v>
      </c>
      <c r="E43" s="32" t="s">
        <v>851</v>
      </c>
      <c r="F43" s="26" t="str">
        <f>HYPERLINK("https://mapwv.gov/flood/map/?wkid=102100&amp;x=-9001310.235777028&amp;y=4817027.378849639&amp;l=13&amp;v=2","FT")</f>
        <v>FT</v>
      </c>
      <c r="G43" s="35" t="s">
        <v>33</v>
      </c>
      <c r="H43" s="35" t="s">
        <v>26</v>
      </c>
      <c r="I43" s="32" t="s">
        <v>918</v>
      </c>
      <c r="J43" s="25" t="s">
        <v>27</v>
      </c>
      <c r="K43" s="31" t="s">
        <v>147</v>
      </c>
      <c r="L43" s="31" t="s">
        <v>59</v>
      </c>
      <c r="M43" s="32" t="s">
        <v>60</v>
      </c>
      <c r="N43" s="3" t="s">
        <v>44</v>
      </c>
      <c r="O43" s="31" t="s">
        <v>121</v>
      </c>
      <c r="P43" s="32" t="s">
        <v>965</v>
      </c>
      <c r="Q43" s="32" t="s">
        <v>31</v>
      </c>
      <c r="R43" s="35" t="s">
        <v>126</v>
      </c>
      <c r="S43" s="36">
        <v>469100</v>
      </c>
      <c r="T43" s="2" t="s">
        <v>32</v>
      </c>
      <c r="U43" s="37">
        <v>4.8629759999999997</v>
      </c>
      <c r="V43" s="37">
        <v>3.86297607421875</v>
      </c>
      <c r="W43" s="38">
        <v>0.28862976074218699</v>
      </c>
      <c r="X43" s="39">
        <v>135396.22076416001</v>
      </c>
    </row>
    <row r="44" spans="1:24" x14ac:dyDescent="0.25">
      <c r="A44" s="24" t="s">
        <v>750</v>
      </c>
      <c r="B44" s="2" t="s">
        <v>771</v>
      </c>
      <c r="C44" s="2" t="s">
        <v>269</v>
      </c>
      <c r="D44" s="32" t="s">
        <v>852</v>
      </c>
      <c r="E44" s="32" t="s">
        <v>853</v>
      </c>
      <c r="F44" s="26" t="str">
        <f>HYPERLINK("https://mapwv.gov/flood/map/?wkid=102100&amp;x=-9000994.488060143&amp;y=4815105.568042143&amp;l=13&amp;v=2","FT")</f>
        <v>FT</v>
      </c>
      <c r="G44" s="35" t="s">
        <v>56</v>
      </c>
      <c r="H44" s="35" t="s">
        <v>26</v>
      </c>
      <c r="I44" s="32" t="s">
        <v>919</v>
      </c>
      <c r="J44" s="25" t="s">
        <v>27</v>
      </c>
      <c r="K44" s="31" t="s">
        <v>105</v>
      </c>
      <c r="L44" s="31" t="s">
        <v>51</v>
      </c>
      <c r="M44" s="32" t="s">
        <v>58</v>
      </c>
      <c r="N44" s="3" t="s">
        <v>36</v>
      </c>
      <c r="O44" s="31" t="s">
        <v>121</v>
      </c>
      <c r="P44" s="32" t="s">
        <v>966</v>
      </c>
      <c r="Q44" s="32" t="s">
        <v>31</v>
      </c>
      <c r="R44" s="35" t="s">
        <v>126</v>
      </c>
      <c r="S44" s="36">
        <v>464300</v>
      </c>
      <c r="T44" s="2" t="s">
        <v>46</v>
      </c>
      <c r="U44" s="37">
        <v>1.3199463</v>
      </c>
      <c r="V44" s="37">
        <v>0.3199462890625</v>
      </c>
      <c r="W44" s="38">
        <v>4.8795166015625002E-2</v>
      </c>
      <c r="X44" s="39">
        <v>22655.5955810546</v>
      </c>
    </row>
    <row r="45" spans="1:24" x14ac:dyDescent="0.25">
      <c r="A45" s="24" t="s">
        <v>751</v>
      </c>
      <c r="B45" s="2" t="s">
        <v>771</v>
      </c>
      <c r="C45" s="2" t="s">
        <v>269</v>
      </c>
      <c r="D45" s="32" t="s">
        <v>854</v>
      </c>
      <c r="E45" s="32" t="s">
        <v>855</v>
      </c>
      <c r="F45" s="26" t="str">
        <f>HYPERLINK("https://mapwv.gov/flood/map/?wkid=102100&amp;x=-9001901.071210181&amp;y=4813828.122910022&amp;l=13&amp;v=2","FT")</f>
        <v>FT</v>
      </c>
      <c r="G45" s="35" t="s">
        <v>33</v>
      </c>
      <c r="H45" s="35" t="s">
        <v>26</v>
      </c>
      <c r="I45" s="32" t="s">
        <v>920</v>
      </c>
      <c r="J45" s="25" t="s">
        <v>41</v>
      </c>
      <c r="K45" s="31" t="s">
        <v>100</v>
      </c>
      <c r="L45" s="31" t="s">
        <v>47</v>
      </c>
      <c r="M45" s="32" t="s">
        <v>48</v>
      </c>
      <c r="N45" s="3" t="s">
        <v>36</v>
      </c>
      <c r="O45" s="31" t="s">
        <v>121</v>
      </c>
      <c r="P45" s="32" t="s">
        <v>967</v>
      </c>
      <c r="Q45" s="32" t="s">
        <v>31</v>
      </c>
      <c r="R45" s="35" t="s">
        <v>126</v>
      </c>
      <c r="S45" s="36">
        <v>445500</v>
      </c>
      <c r="T45" s="2" t="s">
        <v>46</v>
      </c>
      <c r="U45" s="37">
        <v>8.8983150000000002</v>
      </c>
      <c r="V45" s="37">
        <v>7.8983154296875</v>
      </c>
      <c r="W45" s="38">
        <v>0.216949462890625</v>
      </c>
      <c r="X45" s="39">
        <v>96650.985717773394</v>
      </c>
    </row>
    <row r="46" spans="1:24" x14ac:dyDescent="0.25">
      <c r="A46" s="24" t="s">
        <v>752</v>
      </c>
      <c r="B46" s="2" t="s">
        <v>771</v>
      </c>
      <c r="C46" s="2" t="s">
        <v>269</v>
      </c>
      <c r="D46" s="32" t="s">
        <v>856</v>
      </c>
      <c r="E46" s="32" t="s">
        <v>857</v>
      </c>
      <c r="F46" s="26" t="str">
        <f>HYPERLINK("https://mapwv.gov/flood/map/?wkid=102100&amp;x=-9001627.121401744&amp;y=4813931.657110353&amp;l=13&amp;v=2","FT")</f>
        <v>FT</v>
      </c>
      <c r="G46" s="35" t="s">
        <v>33</v>
      </c>
      <c r="H46" s="35" t="s">
        <v>26</v>
      </c>
      <c r="I46" s="32" t="s">
        <v>921</v>
      </c>
      <c r="J46" s="25" t="s">
        <v>41</v>
      </c>
      <c r="K46" s="31" t="s">
        <v>933</v>
      </c>
      <c r="L46" s="31" t="s">
        <v>47</v>
      </c>
      <c r="M46" s="32" t="s">
        <v>68</v>
      </c>
      <c r="N46" s="3" t="s">
        <v>118</v>
      </c>
      <c r="O46" s="31" t="s">
        <v>120</v>
      </c>
      <c r="P46" s="32" t="s">
        <v>968</v>
      </c>
      <c r="Q46" s="32" t="s">
        <v>31</v>
      </c>
      <c r="R46" s="35" t="s">
        <v>126</v>
      </c>
      <c r="S46" s="36">
        <v>425400</v>
      </c>
      <c r="T46" s="2" t="s">
        <v>46</v>
      </c>
      <c r="U46" s="37">
        <v>4.7776490000000003</v>
      </c>
      <c r="V46" s="37">
        <v>3.77764892578125</v>
      </c>
      <c r="W46" s="38">
        <v>0.11777648925781201</v>
      </c>
      <c r="X46" s="39">
        <v>50102.118530273401</v>
      </c>
    </row>
    <row r="47" spans="1:24" x14ac:dyDescent="0.25">
      <c r="A47" s="24" t="s">
        <v>753</v>
      </c>
      <c r="B47" s="2" t="s">
        <v>771</v>
      </c>
      <c r="C47" s="2" t="s">
        <v>269</v>
      </c>
      <c r="D47" s="32" t="s">
        <v>849</v>
      </c>
      <c r="E47" s="32" t="s">
        <v>858</v>
      </c>
      <c r="F47" s="26" t="str">
        <f>HYPERLINK("https://mapwv.gov/flood/map/?wkid=102100&amp;x=-9001271.818975477&amp;y=4816951.799358276&amp;l=13&amp;v=2","FT")</f>
        <v>FT</v>
      </c>
      <c r="G47" s="35" t="s">
        <v>56</v>
      </c>
      <c r="H47" s="35" t="s">
        <v>26</v>
      </c>
      <c r="I47" s="32" t="s">
        <v>918</v>
      </c>
      <c r="J47" s="25" t="s">
        <v>169</v>
      </c>
      <c r="K47" s="31" t="s">
        <v>147</v>
      </c>
      <c r="L47" s="31" t="s">
        <v>59</v>
      </c>
      <c r="M47" s="32" t="s">
        <v>60</v>
      </c>
      <c r="N47" s="3" t="s">
        <v>44</v>
      </c>
      <c r="O47" s="31" t="s">
        <v>121</v>
      </c>
      <c r="P47" s="32" t="s">
        <v>969</v>
      </c>
      <c r="Q47" s="32" t="s">
        <v>31</v>
      </c>
      <c r="R47" s="35" t="s">
        <v>126</v>
      </c>
      <c r="S47" s="36">
        <v>422100</v>
      </c>
      <c r="T47" s="2" t="s">
        <v>159</v>
      </c>
      <c r="U47" s="37">
        <v>1.5780029</v>
      </c>
      <c r="V47" s="37">
        <v>0.5780029296875</v>
      </c>
      <c r="W47" s="38">
        <v>0.15578002929687501</v>
      </c>
      <c r="X47" s="39">
        <v>65754.750366210894</v>
      </c>
    </row>
    <row r="48" spans="1:24" x14ac:dyDescent="0.25">
      <c r="A48" s="24" t="s">
        <v>754</v>
      </c>
      <c r="B48" s="2" t="s">
        <v>771</v>
      </c>
      <c r="C48" s="2" t="s">
        <v>269</v>
      </c>
      <c r="D48" s="32" t="s">
        <v>849</v>
      </c>
      <c r="E48" s="32" t="s">
        <v>859</v>
      </c>
      <c r="F48" s="26" t="str">
        <f>HYPERLINK("https://mapwv.gov/flood/map/?wkid=102100&amp;x=-9001233.599877343&amp;y=4816947.406287101&amp;l=13&amp;v=2","FT")</f>
        <v>FT</v>
      </c>
      <c r="G48" s="35" t="s">
        <v>56</v>
      </c>
      <c r="H48" s="35" t="s">
        <v>26</v>
      </c>
      <c r="I48" s="32" t="s">
        <v>918</v>
      </c>
      <c r="J48" s="25" t="s">
        <v>169</v>
      </c>
      <c r="K48" s="31" t="s">
        <v>147</v>
      </c>
      <c r="L48" s="31" t="s">
        <v>59</v>
      </c>
      <c r="M48" s="32" t="s">
        <v>60</v>
      </c>
      <c r="N48" s="3" t="s">
        <v>44</v>
      </c>
      <c r="O48" s="31" t="s">
        <v>121</v>
      </c>
      <c r="P48" s="32" t="s">
        <v>969</v>
      </c>
      <c r="Q48" s="32" t="s">
        <v>31</v>
      </c>
      <c r="R48" s="35" t="s">
        <v>126</v>
      </c>
      <c r="S48" s="36">
        <v>422100</v>
      </c>
      <c r="T48" s="2" t="s">
        <v>159</v>
      </c>
      <c r="U48" s="37">
        <v>0.66442869999999998</v>
      </c>
      <c r="V48" s="37">
        <v>-0.3355712890625</v>
      </c>
      <c r="W48" s="38">
        <v>9.9664306640625006E-2</v>
      </c>
      <c r="X48" s="39">
        <v>42068.303833007798</v>
      </c>
    </row>
    <row r="49" spans="1:24" x14ac:dyDescent="0.25">
      <c r="A49" s="24" t="s">
        <v>755</v>
      </c>
      <c r="B49" s="2" t="s">
        <v>771</v>
      </c>
      <c r="C49" s="2" t="s">
        <v>269</v>
      </c>
      <c r="D49" s="32" t="s">
        <v>849</v>
      </c>
      <c r="E49" s="32" t="s">
        <v>860</v>
      </c>
      <c r="F49" s="26" t="str">
        <f>HYPERLINK("https://mapwv.gov/flood/map/?wkid=102100&amp;x=-9001317.411320085&amp;y=4816968.252713965&amp;l=13&amp;v=2","FT")</f>
        <v>FT</v>
      </c>
      <c r="G49" s="35" t="s">
        <v>33</v>
      </c>
      <c r="H49" s="35" t="s">
        <v>26</v>
      </c>
      <c r="I49" s="32" t="s">
        <v>918</v>
      </c>
      <c r="J49" s="25" t="s">
        <v>27</v>
      </c>
      <c r="K49" s="31" t="s">
        <v>147</v>
      </c>
      <c r="L49" s="31" t="s">
        <v>59</v>
      </c>
      <c r="M49" s="32" t="s">
        <v>60</v>
      </c>
      <c r="N49" s="3" t="s">
        <v>44</v>
      </c>
      <c r="O49" s="31" t="s">
        <v>121</v>
      </c>
      <c r="P49" s="32" t="s">
        <v>969</v>
      </c>
      <c r="Q49" s="32" t="s">
        <v>31</v>
      </c>
      <c r="R49" s="35" t="s">
        <v>126</v>
      </c>
      <c r="S49" s="36">
        <v>422100</v>
      </c>
      <c r="T49" s="2" t="s">
        <v>32</v>
      </c>
      <c r="U49" s="37">
        <v>4.460388</v>
      </c>
      <c r="V49" s="37">
        <v>3.46038818359375</v>
      </c>
      <c r="W49" s="38">
        <v>0.28460388183593699</v>
      </c>
      <c r="X49" s="39">
        <v>120131.298522949</v>
      </c>
    </row>
    <row r="50" spans="1:24" x14ac:dyDescent="0.25">
      <c r="A50" s="24" t="s">
        <v>756</v>
      </c>
      <c r="B50" s="2" t="s">
        <v>771</v>
      </c>
      <c r="C50" s="2" t="s">
        <v>269</v>
      </c>
      <c r="D50" s="32" t="s">
        <v>861</v>
      </c>
      <c r="E50" s="32" t="s">
        <v>862</v>
      </c>
      <c r="F50" s="26" t="str">
        <f>HYPERLINK("https://mapwv.gov/flood/map/?wkid=102100&amp;x=-9001623.849721909&amp;y=4813517.65539539&amp;l=13&amp;v=2","FT")</f>
        <v>FT</v>
      </c>
      <c r="G50" s="35" t="s">
        <v>33</v>
      </c>
      <c r="H50" s="35" t="s">
        <v>26</v>
      </c>
      <c r="I50" s="32" t="s">
        <v>922</v>
      </c>
      <c r="J50" s="25" t="s">
        <v>27</v>
      </c>
      <c r="K50" s="31" t="s">
        <v>134</v>
      </c>
      <c r="L50" s="31" t="s">
        <v>55</v>
      </c>
      <c r="M50" s="32" t="s">
        <v>68</v>
      </c>
      <c r="N50" s="3" t="s">
        <v>118</v>
      </c>
      <c r="O50" s="31" t="s">
        <v>120</v>
      </c>
      <c r="P50" s="32" t="s">
        <v>970</v>
      </c>
      <c r="Q50" s="32" t="s">
        <v>31</v>
      </c>
      <c r="R50" s="35" t="s">
        <v>126</v>
      </c>
      <c r="S50" s="36">
        <v>415200</v>
      </c>
      <c r="T50" s="2" t="s">
        <v>46</v>
      </c>
      <c r="U50" s="37">
        <v>0</v>
      </c>
      <c r="V50" s="37">
        <v>-1</v>
      </c>
      <c r="W50" s="38">
        <v>0</v>
      </c>
      <c r="X50" s="39">
        <v>0</v>
      </c>
    </row>
    <row r="51" spans="1:24" x14ac:dyDescent="0.25">
      <c r="A51" s="24" t="s">
        <v>757</v>
      </c>
      <c r="B51" s="2" t="s">
        <v>815</v>
      </c>
      <c r="C51" s="2" t="s">
        <v>816</v>
      </c>
      <c r="D51" s="32" t="s">
        <v>863</v>
      </c>
      <c r="E51" s="32" t="s">
        <v>864</v>
      </c>
      <c r="F51" s="26" t="str">
        <f>HYPERLINK("https://mapwv.gov/flood/map/?wkid=102100&amp;x=-8955828.321773916&amp;y=4820344.503028099&amp;l=13&amp;v=2","FT")</f>
        <v>FT</v>
      </c>
      <c r="G51" s="35" t="s">
        <v>40</v>
      </c>
      <c r="H51" s="35" t="s">
        <v>26</v>
      </c>
      <c r="I51" s="32" t="s">
        <v>923</v>
      </c>
      <c r="J51" s="25" t="s">
        <v>27</v>
      </c>
      <c r="K51" s="31" t="s">
        <v>171</v>
      </c>
      <c r="L51" s="31" t="s">
        <v>28</v>
      </c>
      <c r="M51" s="32" t="s">
        <v>60</v>
      </c>
      <c r="N51" s="3" t="s">
        <v>44</v>
      </c>
      <c r="O51" s="31" t="s">
        <v>121</v>
      </c>
      <c r="P51" s="32" t="s">
        <v>971</v>
      </c>
      <c r="Q51" s="32" t="s">
        <v>31</v>
      </c>
      <c r="R51" s="35" t="s">
        <v>126</v>
      </c>
      <c r="S51" s="36">
        <v>402800</v>
      </c>
      <c r="T51" s="2" t="s">
        <v>46</v>
      </c>
      <c r="U51" s="37">
        <v>0.70703125</v>
      </c>
      <c r="V51" s="37">
        <v>-0.29296875</v>
      </c>
      <c r="W51" s="38">
        <v>0.10605468749999999</v>
      </c>
      <c r="X51" s="39">
        <v>42718.828125</v>
      </c>
    </row>
    <row r="52" spans="1:24" x14ac:dyDescent="0.25">
      <c r="A52" s="24" t="s">
        <v>758</v>
      </c>
      <c r="B52" s="2" t="s">
        <v>786</v>
      </c>
      <c r="C52" s="2" t="s">
        <v>865</v>
      </c>
      <c r="D52" s="32" t="s">
        <v>866</v>
      </c>
      <c r="E52" s="32" t="s">
        <v>867</v>
      </c>
      <c r="F52" s="26" t="str">
        <f>HYPERLINK("https://mapwv.gov/flood/map/?wkid=102100&amp;x=-8961761.939618602&amp;y=4794273.706528161&amp;l=13&amp;v=2","FT")</f>
        <v>FT</v>
      </c>
      <c r="G52" s="35" t="s">
        <v>40</v>
      </c>
      <c r="H52" s="35" t="s">
        <v>26</v>
      </c>
      <c r="I52" s="32" t="s">
        <v>924</v>
      </c>
      <c r="J52" s="25" t="s">
        <v>27</v>
      </c>
      <c r="K52" s="31" t="s">
        <v>146</v>
      </c>
      <c r="L52" s="31" t="s">
        <v>28</v>
      </c>
      <c r="M52" s="32" t="s">
        <v>68</v>
      </c>
      <c r="N52" s="3" t="s">
        <v>118</v>
      </c>
      <c r="O52" s="31" t="s">
        <v>120</v>
      </c>
      <c r="P52" s="32" t="s">
        <v>972</v>
      </c>
      <c r="Q52" s="32" t="s">
        <v>31</v>
      </c>
      <c r="R52" s="35" t="s">
        <v>126</v>
      </c>
      <c r="S52" s="36">
        <v>398500</v>
      </c>
      <c r="T52" s="2" t="s">
        <v>46</v>
      </c>
      <c r="U52" s="37">
        <v>0</v>
      </c>
      <c r="V52" s="37">
        <v>-1</v>
      </c>
      <c r="W52" s="38">
        <v>0</v>
      </c>
      <c r="X52" s="39">
        <v>0</v>
      </c>
    </row>
    <row r="53" spans="1:24" x14ac:dyDescent="0.25">
      <c r="A53" s="24" t="s">
        <v>759</v>
      </c>
      <c r="B53" s="2" t="s">
        <v>786</v>
      </c>
      <c r="C53" s="2" t="s">
        <v>806</v>
      </c>
      <c r="D53" s="32" t="s">
        <v>868</v>
      </c>
      <c r="E53" s="32" t="s">
        <v>869</v>
      </c>
      <c r="F53" s="26" t="str">
        <f>HYPERLINK("https://mapwv.gov/flood/map/?wkid=102100&amp;x=-8977185.681421656&amp;y=4798183.797504114&amp;l=13&amp;v=2","FT")</f>
        <v>FT</v>
      </c>
      <c r="G53" s="35" t="s">
        <v>40</v>
      </c>
      <c r="H53" s="35" t="s">
        <v>26</v>
      </c>
      <c r="I53" s="32" t="s">
        <v>925</v>
      </c>
      <c r="J53" s="25" t="s">
        <v>37</v>
      </c>
      <c r="K53" s="31" t="s">
        <v>89</v>
      </c>
      <c r="L53" s="31"/>
      <c r="M53" s="32" t="s">
        <v>74</v>
      </c>
      <c r="N53" s="3" t="s">
        <v>117</v>
      </c>
      <c r="O53" s="31" t="s">
        <v>120</v>
      </c>
      <c r="P53" s="32" t="s">
        <v>973</v>
      </c>
      <c r="Q53" s="32" t="s">
        <v>31</v>
      </c>
      <c r="R53" s="35" t="s">
        <v>126</v>
      </c>
      <c r="S53" s="36">
        <v>385700</v>
      </c>
      <c r="T53" s="2" t="s">
        <v>46</v>
      </c>
      <c r="U53" s="37">
        <v>1</v>
      </c>
      <c r="V53" s="37">
        <v>0</v>
      </c>
      <c r="W53" s="38">
        <v>0</v>
      </c>
      <c r="X53" s="39">
        <v>0</v>
      </c>
    </row>
    <row r="54" spans="1:24" x14ac:dyDescent="0.25">
      <c r="A54" s="24" t="s">
        <v>760</v>
      </c>
      <c r="B54" s="2" t="s">
        <v>786</v>
      </c>
      <c r="C54" s="2" t="s">
        <v>806</v>
      </c>
      <c r="D54" s="32" t="s">
        <v>807</v>
      </c>
      <c r="E54" s="32" t="s">
        <v>870</v>
      </c>
      <c r="F54" s="26" t="str">
        <f>HYPERLINK("https://mapwv.gov/flood/map/?wkid=102100&amp;x=-8965428.307049083&amp;y=4790763.469236925&amp;l=13&amp;v=2","FT")</f>
        <v>FT</v>
      </c>
      <c r="G54" s="35" t="s">
        <v>40</v>
      </c>
      <c r="H54" s="35" t="s">
        <v>26</v>
      </c>
      <c r="I54" s="32" t="s">
        <v>901</v>
      </c>
      <c r="J54" s="25" t="s">
        <v>37</v>
      </c>
      <c r="K54" s="31" t="s">
        <v>89</v>
      </c>
      <c r="L54" s="31"/>
      <c r="M54" s="32" t="s">
        <v>58</v>
      </c>
      <c r="N54" s="3" t="s">
        <v>36</v>
      </c>
      <c r="O54" s="31" t="s">
        <v>120</v>
      </c>
      <c r="P54" s="32" t="s">
        <v>974</v>
      </c>
      <c r="Q54" s="32" t="s">
        <v>31</v>
      </c>
      <c r="R54" s="35" t="s">
        <v>126</v>
      </c>
      <c r="S54" s="36">
        <v>381160</v>
      </c>
      <c r="T54" s="2" t="s">
        <v>128</v>
      </c>
      <c r="U54" s="37">
        <v>0</v>
      </c>
      <c r="V54" s="37">
        <v>-1</v>
      </c>
      <c r="W54" s="38">
        <v>0</v>
      </c>
      <c r="X54" s="39">
        <v>0</v>
      </c>
    </row>
    <row r="55" spans="1:24" x14ac:dyDescent="0.25">
      <c r="A55" s="24" t="s">
        <v>761</v>
      </c>
      <c r="B55" s="2" t="s">
        <v>786</v>
      </c>
      <c r="C55" s="2" t="s">
        <v>806</v>
      </c>
      <c r="D55" s="32" t="s">
        <v>871</v>
      </c>
      <c r="E55" s="32" t="s">
        <v>872</v>
      </c>
      <c r="F55" s="26" t="str">
        <f>HYPERLINK("https://mapwv.gov/flood/map/?wkid=102100&amp;x=-8965364.168543346&amp;y=4790650.20719576&amp;l=13&amp;v=2","FT")</f>
        <v>FT</v>
      </c>
      <c r="G55" s="35" t="s">
        <v>40</v>
      </c>
      <c r="H55" s="35" t="s">
        <v>26</v>
      </c>
      <c r="I55" s="32" t="s">
        <v>901</v>
      </c>
      <c r="J55" s="25" t="s">
        <v>37</v>
      </c>
      <c r="K55" s="31" t="s">
        <v>89</v>
      </c>
      <c r="L55" s="31"/>
      <c r="M55" s="32" t="s">
        <v>58</v>
      </c>
      <c r="N55" s="3" t="s">
        <v>36</v>
      </c>
      <c r="O55" s="31" t="s">
        <v>120</v>
      </c>
      <c r="P55" s="32" t="s">
        <v>975</v>
      </c>
      <c r="Q55" s="32" t="s">
        <v>31</v>
      </c>
      <c r="R55" s="35" t="s">
        <v>126</v>
      </c>
      <c r="S55" s="36">
        <v>374320</v>
      </c>
      <c r="T55" s="2" t="s">
        <v>128</v>
      </c>
      <c r="U55" s="37">
        <v>0</v>
      </c>
      <c r="V55" s="37">
        <v>-1</v>
      </c>
      <c r="W55" s="38">
        <v>0</v>
      </c>
      <c r="X55" s="39">
        <v>0</v>
      </c>
    </row>
    <row r="56" spans="1:24" x14ac:dyDescent="0.25">
      <c r="A56" s="24" t="s">
        <v>762</v>
      </c>
      <c r="B56" s="2" t="s">
        <v>786</v>
      </c>
      <c r="C56" s="2" t="s">
        <v>806</v>
      </c>
      <c r="D56" s="32" t="s">
        <v>873</v>
      </c>
      <c r="E56" s="32" t="s">
        <v>874</v>
      </c>
      <c r="F56" s="26" t="str">
        <f>HYPERLINK("https://mapwv.gov/flood/map/?wkid=102100&amp;x=-8980977.260904066&amp;y=4801522.898677369&amp;l=13&amp;v=2","FT")</f>
        <v>FT</v>
      </c>
      <c r="G56" s="35" t="s">
        <v>40</v>
      </c>
      <c r="H56" s="35" t="s">
        <v>26</v>
      </c>
      <c r="I56" s="32" t="s">
        <v>926</v>
      </c>
      <c r="J56" s="25" t="s">
        <v>37</v>
      </c>
      <c r="K56" s="31" t="s">
        <v>89</v>
      </c>
      <c r="L56" s="31"/>
      <c r="M56" s="32" t="s">
        <v>39</v>
      </c>
      <c r="N56" s="3" t="s">
        <v>119</v>
      </c>
      <c r="O56" s="31" t="s">
        <v>120</v>
      </c>
      <c r="P56" s="32" t="s">
        <v>976</v>
      </c>
      <c r="Q56" s="32" t="s">
        <v>31</v>
      </c>
      <c r="R56" s="35" t="s">
        <v>126</v>
      </c>
      <c r="S56" s="36">
        <v>372030</v>
      </c>
      <c r="T56" s="2" t="s">
        <v>128</v>
      </c>
      <c r="U56" s="37">
        <v>9</v>
      </c>
      <c r="V56" s="37">
        <v>8</v>
      </c>
      <c r="W56" s="38">
        <v>0.42</v>
      </c>
      <c r="X56" s="39">
        <v>156252.6</v>
      </c>
    </row>
    <row r="57" spans="1:24" x14ac:dyDescent="0.25">
      <c r="A57" s="24" t="s">
        <v>763</v>
      </c>
      <c r="B57" s="2" t="s">
        <v>786</v>
      </c>
      <c r="C57" s="2" t="s">
        <v>875</v>
      </c>
      <c r="D57" s="32" t="s">
        <v>876</v>
      </c>
      <c r="E57" s="32" t="s">
        <v>877</v>
      </c>
      <c r="F57" s="26" t="str">
        <f>HYPERLINK("https://mapwv.gov/flood/map/?wkid=102100&amp;x=-8975828.550332438&amp;y=4810794.375516284&amp;l=13&amp;v=2","FT")</f>
        <v>FT</v>
      </c>
      <c r="G57" s="35" t="s">
        <v>40</v>
      </c>
      <c r="H57" s="35" t="s">
        <v>26</v>
      </c>
      <c r="I57" s="32" t="s">
        <v>927</v>
      </c>
      <c r="J57" s="25" t="s">
        <v>37</v>
      </c>
      <c r="K57" s="31" t="s">
        <v>89</v>
      </c>
      <c r="L57" s="31"/>
      <c r="M57" s="32" t="s">
        <v>39</v>
      </c>
      <c r="N57" s="3" t="s">
        <v>119</v>
      </c>
      <c r="O57" s="31" t="s">
        <v>120</v>
      </c>
      <c r="P57" s="32" t="s">
        <v>977</v>
      </c>
      <c r="Q57" s="32" t="s">
        <v>31</v>
      </c>
      <c r="R57" s="35" t="s">
        <v>126</v>
      </c>
      <c r="S57" s="36">
        <v>365190</v>
      </c>
      <c r="T57" s="2" t="s">
        <v>128</v>
      </c>
      <c r="U57" s="37">
        <v>0</v>
      </c>
      <c r="V57" s="37">
        <v>-1</v>
      </c>
      <c r="W57" s="38">
        <v>0</v>
      </c>
      <c r="X57" s="39">
        <v>0</v>
      </c>
    </row>
    <row r="58" spans="1:24" x14ac:dyDescent="0.25">
      <c r="A58" s="24" t="s">
        <v>764</v>
      </c>
      <c r="B58" s="2" t="s">
        <v>771</v>
      </c>
      <c r="C58" s="2" t="s">
        <v>269</v>
      </c>
      <c r="D58" s="32" t="s">
        <v>878</v>
      </c>
      <c r="E58" s="32" t="s">
        <v>879</v>
      </c>
      <c r="F58" s="26" t="str">
        <f>HYPERLINK("https://mapwv.gov/flood/map/?wkid=102100&amp;x=-9001462.99372563&amp;y=4814544.038633632&amp;l=13&amp;v=2","FT")</f>
        <v>FT</v>
      </c>
      <c r="G58" s="35" t="s">
        <v>33</v>
      </c>
      <c r="H58" s="35" t="s">
        <v>26</v>
      </c>
      <c r="I58" s="32" t="s">
        <v>928</v>
      </c>
      <c r="J58" s="25" t="s">
        <v>41</v>
      </c>
      <c r="K58" s="31" t="s">
        <v>934</v>
      </c>
      <c r="L58" s="31" t="s">
        <v>28</v>
      </c>
      <c r="M58" s="32" t="s">
        <v>68</v>
      </c>
      <c r="N58" s="3" t="s">
        <v>118</v>
      </c>
      <c r="O58" s="31" t="s">
        <v>120</v>
      </c>
      <c r="P58" s="32" t="s">
        <v>978</v>
      </c>
      <c r="Q58" s="32" t="s">
        <v>31</v>
      </c>
      <c r="R58" s="35" t="s">
        <v>126</v>
      </c>
      <c r="S58" s="36">
        <v>344300</v>
      </c>
      <c r="T58" s="2" t="s">
        <v>46</v>
      </c>
      <c r="U58" s="37">
        <v>2.3560180000000002</v>
      </c>
      <c r="V58" s="37">
        <v>1.35601806640625</v>
      </c>
      <c r="W58" s="38">
        <v>0.103560180664062</v>
      </c>
      <c r="X58" s="39">
        <v>35655.770202636697</v>
      </c>
    </row>
    <row r="59" spans="1:24" x14ac:dyDescent="0.25">
      <c r="A59" s="24" t="s">
        <v>765</v>
      </c>
      <c r="B59" s="2" t="s">
        <v>786</v>
      </c>
      <c r="C59" s="2" t="s">
        <v>806</v>
      </c>
      <c r="D59" s="32" t="s">
        <v>807</v>
      </c>
      <c r="E59" s="32" t="s">
        <v>880</v>
      </c>
      <c r="F59" s="26" t="str">
        <f>HYPERLINK("https://mapwv.gov/flood/map/?wkid=102100&amp;x=-8965442.786263926&amp;y=4790694.435245289&amp;l=13&amp;v=2","FT")</f>
        <v>FT</v>
      </c>
      <c r="G59" s="35" t="s">
        <v>40</v>
      </c>
      <c r="H59" s="35" t="s">
        <v>26</v>
      </c>
      <c r="I59" s="32" t="s">
        <v>901</v>
      </c>
      <c r="J59" s="25" t="s">
        <v>37</v>
      </c>
      <c r="K59" s="31" t="s">
        <v>89</v>
      </c>
      <c r="L59" s="31"/>
      <c r="M59" s="32" t="s">
        <v>39</v>
      </c>
      <c r="N59" s="3" t="s">
        <v>119</v>
      </c>
      <c r="O59" s="31" t="s">
        <v>120</v>
      </c>
      <c r="P59" s="32" t="s">
        <v>979</v>
      </c>
      <c r="Q59" s="32" t="s">
        <v>31</v>
      </c>
      <c r="R59" s="35" t="s">
        <v>126</v>
      </c>
      <c r="S59" s="36">
        <v>342360</v>
      </c>
      <c r="T59" s="2" t="s">
        <v>128</v>
      </c>
      <c r="U59" s="37">
        <v>0</v>
      </c>
      <c r="V59" s="37">
        <v>-1</v>
      </c>
      <c r="W59" s="38">
        <v>0</v>
      </c>
      <c r="X59" s="39">
        <v>0</v>
      </c>
    </row>
    <row r="60" spans="1:24" x14ac:dyDescent="0.25">
      <c r="A60" s="24" t="s">
        <v>766</v>
      </c>
      <c r="B60" s="2" t="s">
        <v>771</v>
      </c>
      <c r="C60" s="2" t="s">
        <v>269</v>
      </c>
      <c r="D60" s="32" t="s">
        <v>881</v>
      </c>
      <c r="E60" s="32" t="s">
        <v>882</v>
      </c>
      <c r="F60" s="26" t="str">
        <f>HYPERLINK("https://mapwv.gov/flood/map/?wkid=102100&amp;x=-9001158.3749522&amp;y=4816413.629397904&amp;l=13&amp;v=2","FT")</f>
        <v>FT</v>
      </c>
      <c r="G60" s="35" t="s">
        <v>33</v>
      </c>
      <c r="H60" s="35" t="s">
        <v>26</v>
      </c>
      <c r="I60" s="32" t="s">
        <v>929</v>
      </c>
      <c r="J60" s="25" t="s">
        <v>27</v>
      </c>
      <c r="K60" s="31" t="s">
        <v>105</v>
      </c>
      <c r="L60" s="31" t="s">
        <v>47</v>
      </c>
      <c r="M60" s="32" t="s">
        <v>58</v>
      </c>
      <c r="N60" s="3" t="s">
        <v>36</v>
      </c>
      <c r="O60" s="31" t="s">
        <v>120</v>
      </c>
      <c r="P60" s="32" t="s">
        <v>125</v>
      </c>
      <c r="Q60" s="32" t="s">
        <v>31</v>
      </c>
      <c r="R60" s="35" t="s">
        <v>126</v>
      </c>
      <c r="S60" s="36">
        <v>321800</v>
      </c>
      <c r="T60" s="2" t="s">
        <v>46</v>
      </c>
      <c r="U60" s="37">
        <v>1.479187</v>
      </c>
      <c r="V60" s="37">
        <v>0.47918701171875</v>
      </c>
      <c r="W60" s="38">
        <v>6.3126831054687499E-2</v>
      </c>
      <c r="X60" s="39">
        <v>20314.214233398401</v>
      </c>
    </row>
    <row r="61" spans="1:24" x14ac:dyDescent="0.25">
      <c r="A61" s="24" t="s">
        <v>767</v>
      </c>
      <c r="B61" s="2" t="s">
        <v>786</v>
      </c>
      <c r="C61" s="2" t="s">
        <v>779</v>
      </c>
      <c r="D61" s="32" t="s">
        <v>883</v>
      </c>
      <c r="E61" s="32" t="s">
        <v>884</v>
      </c>
      <c r="F61" s="26" t="str">
        <f>HYPERLINK("https://mapwv.gov/flood/map/?wkid=102100&amp;x=-8984068.663943836&amp;y=4803063.22788644&amp;l=13&amp;v=2","FT")</f>
        <v>FT</v>
      </c>
      <c r="G61" s="35" t="s">
        <v>40</v>
      </c>
      <c r="H61" s="35" t="s">
        <v>26</v>
      </c>
      <c r="I61" s="32" t="s">
        <v>926</v>
      </c>
      <c r="J61" s="25" t="s">
        <v>37</v>
      </c>
      <c r="K61" s="31" t="s">
        <v>89</v>
      </c>
      <c r="L61" s="31"/>
      <c r="M61" s="32" t="s">
        <v>39</v>
      </c>
      <c r="N61" s="3" t="s">
        <v>119</v>
      </c>
      <c r="O61" s="31" t="s">
        <v>120</v>
      </c>
      <c r="P61" s="32" t="s">
        <v>166</v>
      </c>
      <c r="Q61" s="32" t="s">
        <v>31</v>
      </c>
      <c r="R61" s="35" t="s">
        <v>126</v>
      </c>
      <c r="S61" s="36">
        <v>319540</v>
      </c>
      <c r="T61" s="2" t="s">
        <v>128</v>
      </c>
      <c r="U61" s="37">
        <v>10</v>
      </c>
      <c r="V61" s="37">
        <v>9</v>
      </c>
      <c r="W61" s="38">
        <v>0.42</v>
      </c>
      <c r="X61" s="39">
        <v>134206.79999999999</v>
      </c>
    </row>
    <row r="62" spans="1:24" x14ac:dyDescent="0.25">
      <c r="A62" s="24" t="s">
        <v>768</v>
      </c>
      <c r="B62" s="2" t="s">
        <v>771</v>
      </c>
      <c r="C62" s="2" t="s">
        <v>269</v>
      </c>
      <c r="D62" s="32" t="s">
        <v>885</v>
      </c>
      <c r="E62" s="32" t="s">
        <v>886</v>
      </c>
      <c r="F62" s="26" t="str">
        <f>HYPERLINK("https://mapwv.gov/flood/map/?wkid=102100&amp;x=-9001958.33840902&amp;y=4814236.362116399&amp;l=13&amp;v=2","FT")</f>
        <v>FT</v>
      </c>
      <c r="G62" s="35" t="s">
        <v>33</v>
      </c>
      <c r="H62" s="35" t="s">
        <v>67</v>
      </c>
      <c r="I62" s="32" t="s">
        <v>894</v>
      </c>
      <c r="J62" s="25" t="s">
        <v>41</v>
      </c>
      <c r="K62" s="31" t="s">
        <v>137</v>
      </c>
      <c r="L62" s="31"/>
      <c r="M62" s="32" t="s">
        <v>74</v>
      </c>
      <c r="N62" s="3" t="s">
        <v>117</v>
      </c>
      <c r="O62" s="31" t="s">
        <v>120</v>
      </c>
      <c r="P62" s="32" t="s">
        <v>980</v>
      </c>
      <c r="Q62" s="32" t="s">
        <v>31</v>
      </c>
      <c r="R62" s="35" t="s">
        <v>126</v>
      </c>
      <c r="S62" s="36">
        <v>317000</v>
      </c>
      <c r="T62" s="2" t="s">
        <v>46</v>
      </c>
      <c r="U62" s="37">
        <v>5.7364499999999996</v>
      </c>
      <c r="V62" s="37">
        <v>4.7364501953125</v>
      </c>
      <c r="W62" s="38">
        <v>0.142093505859375</v>
      </c>
      <c r="X62" s="39">
        <v>45043.641357421802</v>
      </c>
    </row>
    <row r="63" spans="1:24" x14ac:dyDescent="0.25">
      <c r="A63" s="24" t="s">
        <v>769</v>
      </c>
      <c r="B63" s="2" t="s">
        <v>771</v>
      </c>
      <c r="C63" s="2" t="s">
        <v>269</v>
      </c>
      <c r="D63" s="32" t="s">
        <v>887</v>
      </c>
      <c r="E63" s="32" t="s">
        <v>888</v>
      </c>
      <c r="F63" s="26" t="str">
        <f>HYPERLINK("https://mapwv.gov/flood/map/?wkid=102100&amp;x=-9001795.036166934&amp;y=4814518.820871991&amp;l=13&amp;v=2","FT")</f>
        <v>FT</v>
      </c>
      <c r="G63" s="35" t="s">
        <v>33</v>
      </c>
      <c r="H63" s="35" t="s">
        <v>26</v>
      </c>
      <c r="I63" s="32" t="s">
        <v>930</v>
      </c>
      <c r="J63" s="25" t="s">
        <v>37</v>
      </c>
      <c r="K63" s="31" t="s">
        <v>89</v>
      </c>
      <c r="L63" s="31"/>
      <c r="M63" s="32" t="s">
        <v>29</v>
      </c>
      <c r="N63" s="3" t="s">
        <v>117</v>
      </c>
      <c r="O63" s="31" t="s">
        <v>120</v>
      </c>
      <c r="P63" s="32" t="s">
        <v>981</v>
      </c>
      <c r="Q63" s="32" t="s">
        <v>31</v>
      </c>
      <c r="R63" s="35" t="s">
        <v>126</v>
      </c>
      <c r="S63" s="36">
        <v>312000</v>
      </c>
      <c r="T63" s="2" t="s">
        <v>46</v>
      </c>
      <c r="U63" s="37">
        <v>8.4479369999999996</v>
      </c>
      <c r="V63" s="37">
        <v>7.44793701171875</v>
      </c>
      <c r="W63" s="38">
        <v>0.178958740234375</v>
      </c>
      <c r="X63" s="39">
        <v>55835.126953125</v>
      </c>
    </row>
    <row r="64" spans="1:24" x14ac:dyDescent="0.25">
      <c r="A64" s="24" t="s">
        <v>770</v>
      </c>
      <c r="B64" s="2" t="s">
        <v>786</v>
      </c>
      <c r="C64" s="2" t="s">
        <v>806</v>
      </c>
      <c r="D64" s="32" t="s">
        <v>889</v>
      </c>
      <c r="E64" s="32" t="s">
        <v>890</v>
      </c>
      <c r="F64" s="26" t="str">
        <f>HYPERLINK("https://mapwv.gov/flood/map/?wkid=102100&amp;x=-8978403.858624415&amp;y=4799287.0504762335&amp;l=13&amp;v=2","FT")</f>
        <v>FT</v>
      </c>
      <c r="G64" s="35" t="s">
        <v>40</v>
      </c>
      <c r="H64" s="35" t="s">
        <v>26</v>
      </c>
      <c r="I64" s="32" t="s">
        <v>931</v>
      </c>
      <c r="J64" s="25" t="s">
        <v>27</v>
      </c>
      <c r="K64" s="31" t="s">
        <v>176</v>
      </c>
      <c r="L64" s="31" t="s">
        <v>40</v>
      </c>
      <c r="M64" s="32" t="s">
        <v>43</v>
      </c>
      <c r="N64" s="3" t="s">
        <v>44</v>
      </c>
      <c r="O64" s="31" t="s">
        <v>121</v>
      </c>
      <c r="P64" s="32" t="s">
        <v>982</v>
      </c>
      <c r="Q64" s="32" t="s">
        <v>45</v>
      </c>
      <c r="R64" s="35" t="s">
        <v>127</v>
      </c>
      <c r="S64" s="36">
        <v>305000</v>
      </c>
      <c r="T64" s="2" t="s">
        <v>46</v>
      </c>
      <c r="U64" s="37">
        <v>0</v>
      </c>
      <c r="V64" s="37">
        <v>-4</v>
      </c>
      <c r="W64" s="38">
        <v>0</v>
      </c>
      <c r="X64" s="39">
        <v>0</v>
      </c>
    </row>
    <row r="66" spans="1:24" x14ac:dyDescent="0.25">
      <c r="A66" s="4" t="s">
        <v>61</v>
      </c>
      <c r="B66" s="4" t="s">
        <v>1</v>
      </c>
      <c r="C66" s="4" t="s">
        <v>62</v>
      </c>
      <c r="D66" s="4" t="s">
        <v>63</v>
      </c>
      <c r="E66" s="4" t="s">
        <v>64</v>
      </c>
    </row>
    <row r="67" spans="1:24" x14ac:dyDescent="0.25">
      <c r="A67" s="4">
        <v>540208</v>
      </c>
      <c r="B67" s="1" t="s">
        <v>989</v>
      </c>
      <c r="C67" s="4" t="s">
        <v>711</v>
      </c>
      <c r="D67" s="1" t="s">
        <v>65</v>
      </c>
      <c r="E67" s="4">
        <v>10</v>
      </c>
      <c r="S67" s="40" t="s">
        <v>173</v>
      </c>
    </row>
    <row r="68" spans="1:24" x14ac:dyDescent="0.25">
      <c r="A68" s="24" t="s">
        <v>713</v>
      </c>
      <c r="B68" s="2" t="s">
        <v>771</v>
      </c>
      <c r="C68" s="2" t="s">
        <v>269</v>
      </c>
      <c r="D68" s="32" t="s">
        <v>772</v>
      </c>
      <c r="E68" s="32" t="s">
        <v>773</v>
      </c>
      <c r="F68" s="26" t="s">
        <v>24</v>
      </c>
      <c r="G68" s="35" t="s">
        <v>33</v>
      </c>
      <c r="H68" s="35" t="s">
        <v>26</v>
      </c>
      <c r="I68" s="32" t="s">
        <v>180</v>
      </c>
      <c r="J68" s="25" t="s">
        <v>37</v>
      </c>
      <c r="K68" s="31" t="s">
        <v>89</v>
      </c>
      <c r="L68" s="31"/>
      <c r="M68" s="32" t="s">
        <v>29</v>
      </c>
      <c r="N68" s="3" t="s">
        <v>117</v>
      </c>
      <c r="O68" s="31" t="s">
        <v>120</v>
      </c>
      <c r="P68" s="32" t="s">
        <v>935</v>
      </c>
      <c r="Q68" s="32" t="s">
        <v>31</v>
      </c>
      <c r="R68" s="35" t="s">
        <v>126</v>
      </c>
      <c r="S68" s="36">
        <v>30114800</v>
      </c>
      <c r="T68" s="2" t="s">
        <v>46</v>
      </c>
      <c r="U68" s="37">
        <v>4.6466063999999996</v>
      </c>
      <c r="V68" s="37">
        <v>3.6466064453125</v>
      </c>
      <c r="W68" s="38">
        <v>0.13646606445312501</v>
      </c>
      <c r="X68" s="39">
        <v>4109648.2377929599</v>
      </c>
    </row>
    <row r="69" spans="1:24" x14ac:dyDescent="0.25">
      <c r="A69" s="24" t="s">
        <v>714</v>
      </c>
      <c r="B69" s="2" t="s">
        <v>771</v>
      </c>
      <c r="C69" s="2" t="s">
        <v>269</v>
      </c>
      <c r="D69" s="32" t="s">
        <v>774</v>
      </c>
      <c r="E69" s="32" t="s">
        <v>775</v>
      </c>
      <c r="F69" s="26" t="s">
        <v>24</v>
      </c>
      <c r="G69" s="35" t="s">
        <v>33</v>
      </c>
      <c r="H69" s="35" t="s">
        <v>26</v>
      </c>
      <c r="I69" s="32" t="s">
        <v>891</v>
      </c>
      <c r="J69" s="25" t="s">
        <v>27</v>
      </c>
      <c r="K69" s="31" t="s">
        <v>171</v>
      </c>
      <c r="L69" s="31" t="s">
        <v>47</v>
      </c>
      <c r="M69" s="32" t="s">
        <v>70</v>
      </c>
      <c r="N69" s="3" t="s">
        <v>116</v>
      </c>
      <c r="O69" s="31" t="s">
        <v>121</v>
      </c>
      <c r="P69" s="32" t="s">
        <v>936</v>
      </c>
      <c r="Q69" s="32" t="s">
        <v>31</v>
      </c>
      <c r="R69" s="35" t="s">
        <v>126</v>
      </c>
      <c r="S69" s="36">
        <v>11226100</v>
      </c>
      <c r="T69" s="2" t="s">
        <v>46</v>
      </c>
      <c r="U69" s="37">
        <v>7.8024899999999997</v>
      </c>
      <c r="V69" s="37">
        <v>6.802490234375</v>
      </c>
      <c r="W69" s="38">
        <v>0.12604980468749902</v>
      </c>
      <c r="X69" s="39">
        <v>1415047.71240234</v>
      </c>
    </row>
    <row r="70" spans="1:24" x14ac:dyDescent="0.25">
      <c r="A70" s="24" t="s">
        <v>715</v>
      </c>
      <c r="B70" s="2" t="s">
        <v>771</v>
      </c>
      <c r="C70" s="2" t="s">
        <v>269</v>
      </c>
      <c r="D70" s="32" t="s">
        <v>776</v>
      </c>
      <c r="E70" s="32" t="s">
        <v>777</v>
      </c>
      <c r="F70" s="26" t="s">
        <v>24</v>
      </c>
      <c r="G70" s="35" t="s">
        <v>33</v>
      </c>
      <c r="H70" s="35" t="s">
        <v>26</v>
      </c>
      <c r="I70" s="32" t="s">
        <v>892</v>
      </c>
      <c r="J70" s="25" t="s">
        <v>27</v>
      </c>
      <c r="K70" s="31" t="s">
        <v>129</v>
      </c>
      <c r="L70" s="31"/>
      <c r="M70" s="32" t="s">
        <v>74</v>
      </c>
      <c r="N70" s="3" t="s">
        <v>117</v>
      </c>
      <c r="O70" s="31" t="s">
        <v>120</v>
      </c>
      <c r="P70" s="32" t="s">
        <v>937</v>
      </c>
      <c r="Q70" s="32" t="s">
        <v>31</v>
      </c>
      <c r="R70" s="35" t="s">
        <v>126</v>
      </c>
      <c r="S70" s="36">
        <v>7502100</v>
      </c>
      <c r="T70" s="2" t="s">
        <v>46</v>
      </c>
      <c r="U70" s="37">
        <v>1</v>
      </c>
      <c r="V70" s="37">
        <v>0</v>
      </c>
      <c r="W70" s="38">
        <v>0</v>
      </c>
      <c r="X70" s="39">
        <v>0</v>
      </c>
    </row>
    <row r="71" spans="1:24" x14ac:dyDescent="0.25">
      <c r="A71" s="24" t="s">
        <v>717</v>
      </c>
      <c r="B71" s="2" t="s">
        <v>771</v>
      </c>
      <c r="C71" s="2" t="s">
        <v>269</v>
      </c>
      <c r="D71" s="32" t="s">
        <v>782</v>
      </c>
      <c r="E71" s="32" t="s">
        <v>783</v>
      </c>
      <c r="F71" s="26" t="s">
        <v>24</v>
      </c>
      <c r="G71" s="35" t="s">
        <v>33</v>
      </c>
      <c r="H71" s="35" t="s">
        <v>26</v>
      </c>
      <c r="I71" s="32" t="s">
        <v>893</v>
      </c>
      <c r="J71" s="25" t="s">
        <v>37</v>
      </c>
      <c r="K71" s="31" t="s">
        <v>89</v>
      </c>
      <c r="L71" s="31"/>
      <c r="M71" s="32" t="s">
        <v>174</v>
      </c>
      <c r="N71" s="3" t="s">
        <v>116</v>
      </c>
      <c r="O71" s="31" t="s">
        <v>120</v>
      </c>
      <c r="P71" s="32" t="s">
        <v>939</v>
      </c>
      <c r="Q71" s="32" t="s">
        <v>31</v>
      </c>
      <c r="R71" s="35" t="s">
        <v>126</v>
      </c>
      <c r="S71" s="36">
        <v>5802800</v>
      </c>
      <c r="T71" s="2" t="s">
        <v>46</v>
      </c>
      <c r="U71" s="37">
        <v>1</v>
      </c>
      <c r="V71" s="37">
        <v>0</v>
      </c>
      <c r="W71" s="38">
        <v>0</v>
      </c>
      <c r="X71" s="39">
        <v>0</v>
      </c>
    </row>
    <row r="72" spans="1:24" x14ac:dyDescent="0.25">
      <c r="A72" s="24" t="s">
        <v>718</v>
      </c>
      <c r="B72" s="2" t="s">
        <v>771</v>
      </c>
      <c r="C72" s="2" t="s">
        <v>269</v>
      </c>
      <c r="D72" s="32" t="s">
        <v>784</v>
      </c>
      <c r="E72" s="32" t="s">
        <v>785</v>
      </c>
      <c r="F72" s="26" t="s">
        <v>24</v>
      </c>
      <c r="G72" s="35" t="s">
        <v>56</v>
      </c>
      <c r="H72" s="35" t="s">
        <v>26</v>
      </c>
      <c r="I72" s="32" t="s">
        <v>384</v>
      </c>
      <c r="J72" s="25" t="s">
        <v>27</v>
      </c>
      <c r="K72" s="31" t="s">
        <v>88</v>
      </c>
      <c r="L72" s="31" t="s">
        <v>28</v>
      </c>
      <c r="M72" s="32" t="s">
        <v>50</v>
      </c>
      <c r="N72" s="3" t="s">
        <v>36</v>
      </c>
      <c r="O72" s="31" t="s">
        <v>120</v>
      </c>
      <c r="P72" s="32" t="s">
        <v>940</v>
      </c>
      <c r="Q72" s="32" t="s">
        <v>31</v>
      </c>
      <c r="R72" s="35" t="s">
        <v>126</v>
      </c>
      <c r="S72" s="36">
        <v>5180100</v>
      </c>
      <c r="T72" s="2" t="s">
        <v>46</v>
      </c>
      <c r="U72" s="37">
        <v>6.9396970000000002E-2</v>
      </c>
      <c r="V72" s="37">
        <v>-0.93060302734375</v>
      </c>
      <c r="W72" s="38">
        <v>6.9396972656249995E-4</v>
      </c>
      <c r="X72" s="39">
        <v>3594.8325805663999</v>
      </c>
    </row>
    <row r="73" spans="1:24" x14ac:dyDescent="0.25">
      <c r="A73" s="24" t="s">
        <v>720</v>
      </c>
      <c r="B73" s="2" t="s">
        <v>771</v>
      </c>
      <c r="C73" s="2" t="s">
        <v>269</v>
      </c>
      <c r="D73" s="32" t="s">
        <v>789</v>
      </c>
      <c r="E73" s="32" t="s">
        <v>790</v>
      </c>
      <c r="F73" s="26" t="s">
        <v>24</v>
      </c>
      <c r="G73" s="35" t="s">
        <v>33</v>
      </c>
      <c r="H73" s="35" t="s">
        <v>26</v>
      </c>
      <c r="I73" s="32" t="s">
        <v>895</v>
      </c>
      <c r="J73" s="25" t="s">
        <v>27</v>
      </c>
      <c r="K73" s="31" t="s">
        <v>94</v>
      </c>
      <c r="L73" s="31" t="s">
        <v>59</v>
      </c>
      <c r="M73" s="32" t="s">
        <v>113</v>
      </c>
      <c r="N73" s="3" t="s">
        <v>44</v>
      </c>
      <c r="O73" s="31" t="s">
        <v>120</v>
      </c>
      <c r="P73" s="32" t="s">
        <v>941</v>
      </c>
      <c r="Q73" s="32" t="s">
        <v>31</v>
      </c>
      <c r="R73" s="35" t="s">
        <v>126</v>
      </c>
      <c r="S73" s="36">
        <v>2960700</v>
      </c>
      <c r="T73" s="2" t="s">
        <v>46</v>
      </c>
      <c r="U73" s="37">
        <v>0</v>
      </c>
      <c r="V73" s="37">
        <v>-1</v>
      </c>
      <c r="W73" s="38">
        <v>0</v>
      </c>
      <c r="X73" s="39">
        <v>0</v>
      </c>
    </row>
    <row r="74" spans="1:24" x14ac:dyDescent="0.25">
      <c r="A74" s="24" t="s">
        <v>721</v>
      </c>
      <c r="B74" s="2" t="s">
        <v>771</v>
      </c>
      <c r="C74" s="2" t="s">
        <v>269</v>
      </c>
      <c r="D74" s="32" t="s">
        <v>791</v>
      </c>
      <c r="E74" s="32" t="s">
        <v>792</v>
      </c>
      <c r="F74" s="26" t="s">
        <v>24</v>
      </c>
      <c r="G74" s="35" t="s">
        <v>33</v>
      </c>
      <c r="H74" s="35" t="s">
        <v>67</v>
      </c>
      <c r="I74" s="32" t="s">
        <v>896</v>
      </c>
      <c r="J74" s="25" t="s">
        <v>41</v>
      </c>
      <c r="K74" s="31" t="s">
        <v>932</v>
      </c>
      <c r="L74" s="31"/>
      <c r="M74" s="32" t="s">
        <v>29</v>
      </c>
      <c r="N74" s="3" t="s">
        <v>117</v>
      </c>
      <c r="O74" s="31" t="s">
        <v>120</v>
      </c>
      <c r="P74" s="32" t="s">
        <v>942</v>
      </c>
      <c r="Q74" s="32" t="s">
        <v>45</v>
      </c>
      <c r="R74" s="35" t="s">
        <v>127</v>
      </c>
      <c r="S74" s="36">
        <v>2218370</v>
      </c>
      <c r="T74" s="2" t="s">
        <v>32</v>
      </c>
      <c r="U74" s="37">
        <v>8.095459</v>
      </c>
      <c r="V74" s="37">
        <v>4.095458984375</v>
      </c>
      <c r="W74" s="38">
        <v>0.14000000000000001</v>
      </c>
      <c r="X74" s="39">
        <v>310571.8</v>
      </c>
    </row>
    <row r="75" spans="1:24" x14ac:dyDescent="0.25">
      <c r="A75" s="24" t="s">
        <v>724</v>
      </c>
      <c r="B75" s="2" t="s">
        <v>771</v>
      </c>
      <c r="C75" s="2" t="s">
        <v>269</v>
      </c>
      <c r="D75" s="32" t="s">
        <v>799</v>
      </c>
      <c r="E75" s="32" t="s">
        <v>800</v>
      </c>
      <c r="F75" s="26" t="s">
        <v>24</v>
      </c>
      <c r="G75" s="35" t="s">
        <v>33</v>
      </c>
      <c r="H75" s="35" t="s">
        <v>26</v>
      </c>
      <c r="I75" s="32" t="s">
        <v>898</v>
      </c>
      <c r="J75" s="25" t="s">
        <v>41</v>
      </c>
      <c r="K75" s="31" t="s">
        <v>110</v>
      </c>
      <c r="L75" s="31" t="s">
        <v>47</v>
      </c>
      <c r="M75" s="32" t="s">
        <v>50</v>
      </c>
      <c r="N75" s="3" t="s">
        <v>36</v>
      </c>
      <c r="O75" s="31" t="s">
        <v>120</v>
      </c>
      <c r="P75" s="32" t="s">
        <v>945</v>
      </c>
      <c r="Q75" s="32" t="s">
        <v>31</v>
      </c>
      <c r="R75" s="35" t="s">
        <v>126</v>
      </c>
      <c r="S75" s="36">
        <v>1179000</v>
      </c>
      <c r="T75" s="2" t="s">
        <v>46</v>
      </c>
      <c r="U75" s="37">
        <v>9.7406620000000004</v>
      </c>
      <c r="V75" s="37">
        <v>8.74066162109375</v>
      </c>
      <c r="W75" s="38">
        <v>0.32962646484375002</v>
      </c>
      <c r="X75" s="39">
        <v>388629.60205078102</v>
      </c>
    </row>
    <row r="76" spans="1:24" x14ac:dyDescent="0.25">
      <c r="A76" s="24" t="s">
        <v>726</v>
      </c>
      <c r="B76" s="2" t="s">
        <v>771</v>
      </c>
      <c r="C76" s="2" t="s">
        <v>269</v>
      </c>
      <c r="D76" s="32" t="s">
        <v>804</v>
      </c>
      <c r="E76" s="32" t="s">
        <v>805</v>
      </c>
      <c r="F76" s="26" t="s">
        <v>24</v>
      </c>
      <c r="G76" s="35" t="s">
        <v>33</v>
      </c>
      <c r="H76" s="35" t="s">
        <v>67</v>
      </c>
      <c r="I76" s="32" t="s">
        <v>900</v>
      </c>
      <c r="J76" s="25" t="s">
        <v>41</v>
      </c>
      <c r="K76" s="31" t="s">
        <v>138</v>
      </c>
      <c r="L76" s="31" t="s">
        <v>47</v>
      </c>
      <c r="M76" s="32" t="s">
        <v>48</v>
      </c>
      <c r="N76" s="3" t="s">
        <v>36</v>
      </c>
      <c r="O76" s="31" t="s">
        <v>121</v>
      </c>
      <c r="P76" s="32" t="s">
        <v>947</v>
      </c>
      <c r="Q76" s="32" t="s">
        <v>31</v>
      </c>
      <c r="R76" s="35" t="s">
        <v>126</v>
      </c>
      <c r="S76" s="36">
        <v>764900</v>
      </c>
      <c r="T76" s="2" t="s">
        <v>46</v>
      </c>
      <c r="U76" s="37">
        <v>8</v>
      </c>
      <c r="V76" s="37">
        <v>7</v>
      </c>
      <c r="W76" s="38">
        <v>0.19</v>
      </c>
      <c r="X76" s="39">
        <v>145331</v>
      </c>
    </row>
    <row r="77" spans="1:24" x14ac:dyDescent="0.25">
      <c r="A77" s="24" t="s">
        <v>728</v>
      </c>
      <c r="B77" s="2" t="s">
        <v>771</v>
      </c>
      <c r="C77" s="2" t="s">
        <v>269</v>
      </c>
      <c r="D77" s="32" t="s">
        <v>809</v>
      </c>
      <c r="E77" s="32" t="s">
        <v>810</v>
      </c>
      <c r="F77" s="26" t="s">
        <v>24</v>
      </c>
      <c r="G77" s="35" t="s">
        <v>33</v>
      </c>
      <c r="H77" s="35" t="s">
        <v>26</v>
      </c>
      <c r="I77" s="32" t="s">
        <v>902</v>
      </c>
      <c r="J77" s="25" t="s">
        <v>41</v>
      </c>
      <c r="K77" s="31" t="s">
        <v>138</v>
      </c>
      <c r="L77" s="31" t="s">
        <v>28</v>
      </c>
      <c r="M77" s="32" t="s">
        <v>50</v>
      </c>
      <c r="N77" s="3" t="s">
        <v>36</v>
      </c>
      <c r="O77" s="31" t="s">
        <v>121</v>
      </c>
      <c r="P77" s="32" t="s">
        <v>949</v>
      </c>
      <c r="Q77" s="32" t="s">
        <v>31</v>
      </c>
      <c r="R77" s="35" t="s">
        <v>126</v>
      </c>
      <c r="S77" s="36">
        <v>686500</v>
      </c>
      <c r="T77" s="2" t="s">
        <v>46</v>
      </c>
      <c r="U77" s="37">
        <v>10.654114</v>
      </c>
      <c r="V77" s="37">
        <v>9.65411376953125</v>
      </c>
      <c r="W77" s="38">
        <v>0.36616455078124999</v>
      </c>
      <c r="X77" s="39">
        <v>251371.96411132801</v>
      </c>
    </row>
    <row r="78" spans="1:24" x14ac:dyDescent="0.25">
      <c r="A78" s="24" t="s">
        <v>735</v>
      </c>
      <c r="B78" s="2" t="s">
        <v>771</v>
      </c>
      <c r="C78" s="2" t="s">
        <v>269</v>
      </c>
      <c r="D78" s="32" t="s">
        <v>823</v>
      </c>
      <c r="E78" s="32" t="s">
        <v>824</v>
      </c>
      <c r="F78" s="26" t="s">
        <v>24</v>
      </c>
      <c r="G78" s="35" t="s">
        <v>33</v>
      </c>
      <c r="H78" s="35" t="s">
        <v>26</v>
      </c>
      <c r="I78" s="32" t="s">
        <v>906</v>
      </c>
      <c r="J78" s="25" t="s">
        <v>41</v>
      </c>
      <c r="K78" s="31" t="s">
        <v>160</v>
      </c>
      <c r="L78" s="31" t="s">
        <v>53</v>
      </c>
      <c r="M78" s="32" t="s">
        <v>48</v>
      </c>
      <c r="N78" s="3" t="s">
        <v>36</v>
      </c>
      <c r="O78" s="31" t="s">
        <v>120</v>
      </c>
      <c r="P78" s="32" t="s">
        <v>954</v>
      </c>
      <c r="Q78" s="32" t="s">
        <v>31</v>
      </c>
      <c r="R78" s="35" t="s">
        <v>126</v>
      </c>
      <c r="S78" s="36">
        <v>584900</v>
      </c>
      <c r="T78" s="2" t="s">
        <v>46</v>
      </c>
      <c r="U78" s="37">
        <v>8.2355350000000005</v>
      </c>
      <c r="V78" s="37">
        <v>7.23553466796875</v>
      </c>
      <c r="W78" s="38">
        <v>0.197066040039062</v>
      </c>
      <c r="X78" s="39">
        <v>115263.926818847</v>
      </c>
    </row>
    <row r="79" spans="1:24" x14ac:dyDescent="0.25">
      <c r="A79" s="24" t="s">
        <v>736</v>
      </c>
      <c r="B79" s="2" t="s">
        <v>771</v>
      </c>
      <c r="C79" s="2" t="s">
        <v>269</v>
      </c>
      <c r="D79" s="32" t="s">
        <v>825</v>
      </c>
      <c r="E79" s="32" t="s">
        <v>826</v>
      </c>
      <c r="F79" s="26" t="s">
        <v>24</v>
      </c>
      <c r="G79" s="35" t="s">
        <v>33</v>
      </c>
      <c r="H79" s="35" t="s">
        <v>26</v>
      </c>
      <c r="I79" s="32" t="s">
        <v>907</v>
      </c>
      <c r="J79" s="25" t="s">
        <v>27</v>
      </c>
      <c r="K79" s="31" t="s">
        <v>105</v>
      </c>
      <c r="L79" s="31" t="s">
        <v>28</v>
      </c>
      <c r="M79" s="32" t="s">
        <v>73</v>
      </c>
      <c r="N79" s="3" t="s">
        <v>36</v>
      </c>
      <c r="O79" s="31" t="s">
        <v>122</v>
      </c>
      <c r="P79" s="32" t="s">
        <v>955</v>
      </c>
      <c r="Q79" s="32" t="s">
        <v>31</v>
      </c>
      <c r="R79" s="35" t="s">
        <v>126</v>
      </c>
      <c r="S79" s="36">
        <v>577200</v>
      </c>
      <c r="T79" s="2" t="s">
        <v>46</v>
      </c>
      <c r="U79" s="37">
        <v>1.206604</v>
      </c>
      <c r="V79" s="37">
        <v>0.20660400390625</v>
      </c>
      <c r="W79" s="38">
        <v>1.03302001953125E-2</v>
      </c>
      <c r="X79" s="39">
        <v>5962.5915527343705</v>
      </c>
    </row>
    <row r="80" spans="1:24" x14ac:dyDescent="0.25">
      <c r="A80" s="24" t="s">
        <v>738</v>
      </c>
      <c r="B80" s="2" t="s">
        <v>771</v>
      </c>
      <c r="C80" s="2" t="s">
        <v>269</v>
      </c>
      <c r="D80" s="32" t="s">
        <v>829</v>
      </c>
      <c r="E80" s="32" t="s">
        <v>830</v>
      </c>
      <c r="F80" s="26" t="s">
        <v>24</v>
      </c>
      <c r="G80" s="35" t="s">
        <v>33</v>
      </c>
      <c r="H80" s="35" t="s">
        <v>26</v>
      </c>
      <c r="I80" s="32" t="s">
        <v>909</v>
      </c>
      <c r="J80" s="25" t="s">
        <v>37</v>
      </c>
      <c r="K80" s="31" t="s">
        <v>89</v>
      </c>
      <c r="L80" s="31"/>
      <c r="M80" s="32" t="s">
        <v>29</v>
      </c>
      <c r="N80" s="3" t="s">
        <v>117</v>
      </c>
      <c r="O80" s="31" t="s">
        <v>120</v>
      </c>
      <c r="P80" s="32" t="s">
        <v>957</v>
      </c>
      <c r="Q80" s="32" t="s">
        <v>31</v>
      </c>
      <c r="R80" s="35" t="s">
        <v>126</v>
      </c>
      <c r="S80" s="36">
        <v>561300</v>
      </c>
      <c r="T80" s="2" t="s">
        <v>46</v>
      </c>
      <c r="U80" s="37">
        <v>9.2252200000000002</v>
      </c>
      <c r="V80" s="37">
        <v>8.2252197265625</v>
      </c>
      <c r="W80" s="38">
        <v>0.19675659179687499</v>
      </c>
      <c r="X80" s="39">
        <v>110439.47497558501</v>
      </c>
    </row>
    <row r="81" spans="1:24" x14ac:dyDescent="0.25">
      <c r="A81" s="24" t="s">
        <v>740</v>
      </c>
      <c r="B81" s="2" t="s">
        <v>771</v>
      </c>
      <c r="C81" s="2" t="s">
        <v>269</v>
      </c>
      <c r="D81" s="32" t="s">
        <v>834</v>
      </c>
      <c r="E81" s="32" t="s">
        <v>835</v>
      </c>
      <c r="F81" s="26" t="s">
        <v>24</v>
      </c>
      <c r="G81" s="35" t="s">
        <v>33</v>
      </c>
      <c r="H81" s="35" t="s">
        <v>67</v>
      </c>
      <c r="I81" s="32" t="s">
        <v>911</v>
      </c>
      <c r="J81" s="25" t="s">
        <v>41</v>
      </c>
      <c r="K81" s="31" t="s">
        <v>108</v>
      </c>
      <c r="L81" s="31" t="s">
        <v>28</v>
      </c>
      <c r="M81" s="32" t="s">
        <v>68</v>
      </c>
      <c r="N81" s="3" t="s">
        <v>118</v>
      </c>
      <c r="O81" s="31" t="s">
        <v>120</v>
      </c>
      <c r="P81" s="32" t="s">
        <v>959</v>
      </c>
      <c r="Q81" s="32" t="s">
        <v>31</v>
      </c>
      <c r="R81" s="35" t="s">
        <v>126</v>
      </c>
      <c r="S81" s="36">
        <v>543400</v>
      </c>
      <c r="T81" s="2" t="s">
        <v>46</v>
      </c>
      <c r="U81" s="37">
        <v>6.8584595000000004</v>
      </c>
      <c r="V81" s="37">
        <v>5.85845947265625</v>
      </c>
      <c r="W81" s="38">
        <v>0.128584594726562</v>
      </c>
      <c r="X81" s="39">
        <v>69872.868774414004</v>
      </c>
    </row>
    <row r="82" spans="1:24" x14ac:dyDescent="0.25">
      <c r="A82" s="24" t="s">
        <v>741</v>
      </c>
      <c r="B82" s="2" t="s">
        <v>771</v>
      </c>
      <c r="C82" s="2" t="s">
        <v>269</v>
      </c>
      <c r="D82" s="32" t="s">
        <v>836</v>
      </c>
      <c r="E82" s="32" t="s">
        <v>837</v>
      </c>
      <c r="F82" s="26" t="s">
        <v>24</v>
      </c>
      <c r="G82" s="35" t="s">
        <v>33</v>
      </c>
      <c r="H82" s="35" t="s">
        <v>26</v>
      </c>
      <c r="I82" s="32" t="s">
        <v>912</v>
      </c>
      <c r="J82" s="25" t="s">
        <v>41</v>
      </c>
      <c r="K82" s="31" t="s">
        <v>142</v>
      </c>
      <c r="L82" s="31"/>
      <c r="M82" s="32" t="s">
        <v>70</v>
      </c>
      <c r="N82" s="3" t="s">
        <v>116</v>
      </c>
      <c r="O82" s="31" t="s">
        <v>120</v>
      </c>
      <c r="P82" s="32" t="s">
        <v>960</v>
      </c>
      <c r="Q82" s="32" t="s">
        <v>31</v>
      </c>
      <c r="R82" s="35" t="s">
        <v>126</v>
      </c>
      <c r="S82" s="36">
        <v>540900</v>
      </c>
      <c r="T82" s="2" t="s">
        <v>46</v>
      </c>
      <c r="U82" s="37">
        <v>0.80474853999999996</v>
      </c>
      <c r="V82" s="37">
        <v>-0.19525146484375</v>
      </c>
      <c r="W82" s="38">
        <v>0</v>
      </c>
      <c r="X82" s="39">
        <v>0</v>
      </c>
    </row>
    <row r="83" spans="1:24" x14ac:dyDescent="0.25">
      <c r="A83" s="24" t="s">
        <v>742</v>
      </c>
      <c r="B83" s="2" t="s">
        <v>771</v>
      </c>
      <c r="C83" s="2" t="s">
        <v>269</v>
      </c>
      <c r="D83" s="32" t="s">
        <v>838</v>
      </c>
      <c r="E83" s="32" t="s">
        <v>839</v>
      </c>
      <c r="F83" s="26" t="s">
        <v>24</v>
      </c>
      <c r="G83" s="35" t="s">
        <v>33</v>
      </c>
      <c r="H83" s="35" t="s">
        <v>26</v>
      </c>
      <c r="I83" s="32" t="s">
        <v>913</v>
      </c>
      <c r="J83" s="25" t="s">
        <v>27</v>
      </c>
      <c r="K83" s="31" t="s">
        <v>86</v>
      </c>
      <c r="L83" s="31" t="s">
        <v>40</v>
      </c>
      <c r="M83" s="32" t="s">
        <v>57</v>
      </c>
      <c r="N83" s="3" t="s">
        <v>36</v>
      </c>
      <c r="O83" s="31" t="s">
        <v>121</v>
      </c>
      <c r="P83" s="32" t="s">
        <v>961</v>
      </c>
      <c r="Q83" s="32" t="s">
        <v>31</v>
      </c>
      <c r="R83" s="35" t="s">
        <v>126</v>
      </c>
      <c r="S83" s="36">
        <v>540600</v>
      </c>
      <c r="T83" s="2" t="s">
        <v>46</v>
      </c>
      <c r="U83" s="37">
        <v>4.8900145999999998</v>
      </c>
      <c r="V83" s="37">
        <v>3.8900146484375</v>
      </c>
      <c r="W83" s="38">
        <v>0.13890014648437402</v>
      </c>
      <c r="X83" s="39">
        <v>75089.419189453096</v>
      </c>
    </row>
    <row r="84" spans="1:24" x14ac:dyDescent="0.25">
      <c r="A84" s="24" t="s">
        <v>744</v>
      </c>
      <c r="B84" s="2" t="s">
        <v>771</v>
      </c>
      <c r="C84" s="2" t="s">
        <v>779</v>
      </c>
      <c r="D84" s="32" t="s">
        <v>842</v>
      </c>
      <c r="E84" s="32" t="s">
        <v>843</v>
      </c>
      <c r="F84" s="26" t="s">
        <v>24</v>
      </c>
      <c r="G84" s="35" t="s">
        <v>33</v>
      </c>
      <c r="H84" s="35" t="s">
        <v>26</v>
      </c>
      <c r="I84" s="32" t="s">
        <v>915</v>
      </c>
      <c r="J84" s="25" t="s">
        <v>27</v>
      </c>
      <c r="K84" s="31" t="s">
        <v>104</v>
      </c>
      <c r="L84" s="31" t="s">
        <v>42</v>
      </c>
      <c r="M84" s="32" t="s">
        <v>73</v>
      </c>
      <c r="N84" s="3" t="s">
        <v>36</v>
      </c>
      <c r="O84" s="31" t="s">
        <v>120</v>
      </c>
      <c r="P84" s="32" t="s">
        <v>157</v>
      </c>
      <c r="Q84" s="32" t="s">
        <v>31</v>
      </c>
      <c r="R84" s="35" t="s">
        <v>126</v>
      </c>
      <c r="S84" s="36">
        <v>536400</v>
      </c>
      <c r="T84" s="2" t="s">
        <v>46</v>
      </c>
      <c r="U84" s="37">
        <v>0</v>
      </c>
      <c r="V84" s="37">
        <v>-1</v>
      </c>
      <c r="W84" s="38">
        <v>0</v>
      </c>
      <c r="X84" s="39">
        <v>0</v>
      </c>
    </row>
    <row r="85" spans="1:24" x14ac:dyDescent="0.25">
      <c r="A85" s="24" t="s">
        <v>745</v>
      </c>
      <c r="B85" s="2" t="s">
        <v>771</v>
      </c>
      <c r="C85" s="2" t="s">
        <v>269</v>
      </c>
      <c r="D85" s="32" t="s">
        <v>791</v>
      </c>
      <c r="E85" s="32" t="s">
        <v>844</v>
      </c>
      <c r="F85" s="26" t="s">
        <v>24</v>
      </c>
      <c r="G85" s="35" t="s">
        <v>33</v>
      </c>
      <c r="H85" s="35" t="s">
        <v>67</v>
      </c>
      <c r="I85" s="32" t="s">
        <v>896</v>
      </c>
      <c r="J85" s="25" t="s">
        <v>41</v>
      </c>
      <c r="K85" s="31" t="s">
        <v>92</v>
      </c>
      <c r="L85" s="31"/>
      <c r="M85" s="32" t="s">
        <v>74</v>
      </c>
      <c r="N85" s="3" t="s">
        <v>117</v>
      </c>
      <c r="O85" s="31" t="s">
        <v>120</v>
      </c>
      <c r="P85" s="32" t="s">
        <v>470</v>
      </c>
      <c r="Q85" s="32" t="s">
        <v>45</v>
      </c>
      <c r="R85" s="35" t="s">
        <v>127</v>
      </c>
      <c r="S85" s="36">
        <v>529150</v>
      </c>
      <c r="T85" s="2" t="s">
        <v>32</v>
      </c>
      <c r="U85" s="37">
        <v>7.8027344000000003</v>
      </c>
      <c r="V85" s="37">
        <v>3.802734375</v>
      </c>
      <c r="W85" s="38">
        <v>0.11802734375</v>
      </c>
      <c r="X85" s="39">
        <v>62454.1689453125</v>
      </c>
    </row>
    <row r="86" spans="1:24" x14ac:dyDescent="0.25">
      <c r="A86" s="24" t="s">
        <v>747</v>
      </c>
      <c r="B86" s="2" t="s">
        <v>771</v>
      </c>
      <c r="C86" s="2" t="s">
        <v>269</v>
      </c>
      <c r="D86" s="32" t="s">
        <v>847</v>
      </c>
      <c r="E86" s="32" t="s">
        <v>848</v>
      </c>
      <c r="F86" s="26" t="s">
        <v>24</v>
      </c>
      <c r="G86" s="35" t="s">
        <v>33</v>
      </c>
      <c r="H86" s="35" t="s">
        <v>67</v>
      </c>
      <c r="I86" s="32" t="s">
        <v>917</v>
      </c>
      <c r="J86" s="25" t="s">
        <v>41</v>
      </c>
      <c r="K86" s="31" t="s">
        <v>110</v>
      </c>
      <c r="L86" s="31"/>
      <c r="M86" s="32" t="s">
        <v>29</v>
      </c>
      <c r="N86" s="3" t="s">
        <v>117</v>
      </c>
      <c r="O86" s="31" t="s">
        <v>120</v>
      </c>
      <c r="P86" s="32" t="s">
        <v>963</v>
      </c>
      <c r="Q86" s="32" t="s">
        <v>31</v>
      </c>
      <c r="R86" s="35" t="s">
        <v>126</v>
      </c>
      <c r="S86" s="36">
        <v>501500</v>
      </c>
      <c r="T86" s="2" t="s">
        <v>46</v>
      </c>
      <c r="U86" s="37">
        <v>7.0206910000000002</v>
      </c>
      <c r="V86" s="37">
        <v>6.02069091796875</v>
      </c>
      <c r="W86" s="38">
        <v>0.15041381835937501</v>
      </c>
      <c r="X86" s="39">
        <v>75432.529907226504</v>
      </c>
    </row>
    <row r="87" spans="1:24" x14ac:dyDescent="0.25">
      <c r="A87" s="24" t="s">
        <v>748</v>
      </c>
      <c r="B87" s="2" t="s">
        <v>771</v>
      </c>
      <c r="C87" s="2" t="s">
        <v>269</v>
      </c>
      <c r="D87" s="32" t="s">
        <v>849</v>
      </c>
      <c r="E87" s="32" t="s">
        <v>850</v>
      </c>
      <c r="F87" s="26" t="s">
        <v>24</v>
      </c>
      <c r="G87" s="35" t="s">
        <v>56</v>
      </c>
      <c r="H87" s="35" t="s">
        <v>26</v>
      </c>
      <c r="I87" s="32" t="s">
        <v>918</v>
      </c>
      <c r="J87" s="25" t="s">
        <v>169</v>
      </c>
      <c r="K87" s="31" t="s">
        <v>147</v>
      </c>
      <c r="L87" s="31" t="s">
        <v>59</v>
      </c>
      <c r="M87" s="32" t="s">
        <v>60</v>
      </c>
      <c r="N87" s="3" t="s">
        <v>44</v>
      </c>
      <c r="O87" s="31" t="s">
        <v>121</v>
      </c>
      <c r="P87" s="32" t="s">
        <v>964</v>
      </c>
      <c r="Q87" s="32" t="s">
        <v>31</v>
      </c>
      <c r="R87" s="35" t="s">
        <v>126</v>
      </c>
      <c r="S87" s="36">
        <v>469100</v>
      </c>
      <c r="T87" s="2" t="s">
        <v>32</v>
      </c>
      <c r="U87" s="37">
        <v>2.2770386</v>
      </c>
      <c r="V87" s="37">
        <v>1.27703857421875</v>
      </c>
      <c r="W87" s="38">
        <v>0.18493347167968699</v>
      </c>
      <c r="X87" s="39">
        <v>86752.291564941406</v>
      </c>
    </row>
    <row r="88" spans="1:24" x14ac:dyDescent="0.25">
      <c r="A88" s="24" t="s">
        <v>749</v>
      </c>
      <c r="B88" s="2" t="s">
        <v>771</v>
      </c>
      <c r="C88" s="2" t="s">
        <v>269</v>
      </c>
      <c r="D88" s="32" t="s">
        <v>849</v>
      </c>
      <c r="E88" s="32" t="s">
        <v>851</v>
      </c>
      <c r="F88" s="26" t="s">
        <v>24</v>
      </c>
      <c r="G88" s="35" t="s">
        <v>33</v>
      </c>
      <c r="H88" s="35" t="s">
        <v>26</v>
      </c>
      <c r="I88" s="32" t="s">
        <v>918</v>
      </c>
      <c r="J88" s="25" t="s">
        <v>27</v>
      </c>
      <c r="K88" s="31" t="s">
        <v>147</v>
      </c>
      <c r="L88" s="31" t="s">
        <v>59</v>
      </c>
      <c r="M88" s="32" t="s">
        <v>60</v>
      </c>
      <c r="N88" s="3" t="s">
        <v>44</v>
      </c>
      <c r="O88" s="31" t="s">
        <v>121</v>
      </c>
      <c r="P88" s="32" t="s">
        <v>965</v>
      </c>
      <c r="Q88" s="32" t="s">
        <v>31</v>
      </c>
      <c r="R88" s="35" t="s">
        <v>126</v>
      </c>
      <c r="S88" s="36">
        <v>469100</v>
      </c>
      <c r="T88" s="2" t="s">
        <v>32</v>
      </c>
      <c r="U88" s="37">
        <v>4.8629759999999997</v>
      </c>
      <c r="V88" s="37">
        <v>3.86297607421875</v>
      </c>
      <c r="W88" s="38">
        <v>0.28862976074218699</v>
      </c>
      <c r="X88" s="39">
        <v>135396.22076416001</v>
      </c>
    </row>
    <row r="89" spans="1:24" x14ac:dyDescent="0.25">
      <c r="A89" s="24" t="s">
        <v>750</v>
      </c>
      <c r="B89" s="2" t="s">
        <v>771</v>
      </c>
      <c r="C89" s="2" t="s">
        <v>269</v>
      </c>
      <c r="D89" s="32" t="s">
        <v>852</v>
      </c>
      <c r="E89" s="32" t="s">
        <v>853</v>
      </c>
      <c r="F89" s="26" t="s">
        <v>24</v>
      </c>
      <c r="G89" s="35" t="s">
        <v>56</v>
      </c>
      <c r="H89" s="35" t="s">
        <v>26</v>
      </c>
      <c r="I89" s="32" t="s">
        <v>919</v>
      </c>
      <c r="J89" s="25" t="s">
        <v>27</v>
      </c>
      <c r="K89" s="31" t="s">
        <v>105</v>
      </c>
      <c r="L89" s="31" t="s">
        <v>51</v>
      </c>
      <c r="M89" s="32" t="s">
        <v>58</v>
      </c>
      <c r="N89" s="3" t="s">
        <v>36</v>
      </c>
      <c r="O89" s="31" t="s">
        <v>121</v>
      </c>
      <c r="P89" s="32" t="s">
        <v>966</v>
      </c>
      <c r="Q89" s="32" t="s">
        <v>31</v>
      </c>
      <c r="R89" s="35" t="s">
        <v>126</v>
      </c>
      <c r="S89" s="36">
        <v>464300</v>
      </c>
      <c r="T89" s="2" t="s">
        <v>46</v>
      </c>
      <c r="U89" s="37">
        <v>1.3199463</v>
      </c>
      <c r="V89" s="37">
        <v>0.3199462890625</v>
      </c>
      <c r="W89" s="38">
        <v>4.8795166015625002E-2</v>
      </c>
      <c r="X89" s="39">
        <v>22655.5955810546</v>
      </c>
    </row>
    <row r="90" spans="1:24" x14ac:dyDescent="0.25">
      <c r="A90" s="24" t="s">
        <v>751</v>
      </c>
      <c r="B90" s="2" t="s">
        <v>771</v>
      </c>
      <c r="C90" s="2" t="s">
        <v>269</v>
      </c>
      <c r="D90" s="32" t="s">
        <v>854</v>
      </c>
      <c r="E90" s="32" t="s">
        <v>855</v>
      </c>
      <c r="F90" s="26" t="s">
        <v>24</v>
      </c>
      <c r="G90" s="35" t="s">
        <v>33</v>
      </c>
      <c r="H90" s="35" t="s">
        <v>26</v>
      </c>
      <c r="I90" s="32" t="s">
        <v>920</v>
      </c>
      <c r="J90" s="25" t="s">
        <v>41</v>
      </c>
      <c r="K90" s="31" t="s">
        <v>100</v>
      </c>
      <c r="L90" s="31" t="s">
        <v>47</v>
      </c>
      <c r="M90" s="32" t="s">
        <v>48</v>
      </c>
      <c r="N90" s="3" t="s">
        <v>36</v>
      </c>
      <c r="O90" s="31" t="s">
        <v>121</v>
      </c>
      <c r="P90" s="32" t="s">
        <v>967</v>
      </c>
      <c r="Q90" s="32" t="s">
        <v>31</v>
      </c>
      <c r="R90" s="35" t="s">
        <v>126</v>
      </c>
      <c r="S90" s="36">
        <v>445500</v>
      </c>
      <c r="T90" s="2" t="s">
        <v>46</v>
      </c>
      <c r="U90" s="37">
        <v>8.8983150000000002</v>
      </c>
      <c r="V90" s="37">
        <v>7.8983154296875</v>
      </c>
      <c r="W90" s="38">
        <v>0.216949462890625</v>
      </c>
      <c r="X90" s="39">
        <v>96650.985717773394</v>
      </c>
    </row>
    <row r="91" spans="1:24" x14ac:dyDescent="0.25">
      <c r="A91" s="24" t="s">
        <v>752</v>
      </c>
      <c r="B91" s="2" t="s">
        <v>771</v>
      </c>
      <c r="C91" s="2" t="s">
        <v>269</v>
      </c>
      <c r="D91" s="32" t="s">
        <v>856</v>
      </c>
      <c r="E91" s="32" t="s">
        <v>857</v>
      </c>
      <c r="F91" s="26" t="s">
        <v>24</v>
      </c>
      <c r="G91" s="35" t="s">
        <v>33</v>
      </c>
      <c r="H91" s="35" t="s">
        <v>26</v>
      </c>
      <c r="I91" s="32" t="s">
        <v>921</v>
      </c>
      <c r="J91" s="25" t="s">
        <v>41</v>
      </c>
      <c r="K91" s="31" t="s">
        <v>933</v>
      </c>
      <c r="L91" s="31" t="s">
        <v>47</v>
      </c>
      <c r="M91" s="32" t="s">
        <v>68</v>
      </c>
      <c r="N91" s="3" t="s">
        <v>118</v>
      </c>
      <c r="O91" s="31" t="s">
        <v>120</v>
      </c>
      <c r="P91" s="32" t="s">
        <v>968</v>
      </c>
      <c r="Q91" s="32" t="s">
        <v>31</v>
      </c>
      <c r="R91" s="35" t="s">
        <v>126</v>
      </c>
      <c r="S91" s="36">
        <v>425400</v>
      </c>
      <c r="T91" s="2" t="s">
        <v>46</v>
      </c>
      <c r="U91" s="37">
        <v>4.7776490000000003</v>
      </c>
      <c r="V91" s="37">
        <v>3.77764892578125</v>
      </c>
      <c r="W91" s="38">
        <v>0.11777648925781201</v>
      </c>
      <c r="X91" s="39">
        <v>50102.118530273401</v>
      </c>
    </row>
    <row r="92" spans="1:24" x14ac:dyDescent="0.25">
      <c r="A92" s="24" t="s">
        <v>753</v>
      </c>
      <c r="B92" s="2" t="s">
        <v>771</v>
      </c>
      <c r="C92" s="2" t="s">
        <v>269</v>
      </c>
      <c r="D92" s="32" t="s">
        <v>849</v>
      </c>
      <c r="E92" s="32" t="s">
        <v>858</v>
      </c>
      <c r="F92" s="26" t="s">
        <v>24</v>
      </c>
      <c r="G92" s="35" t="s">
        <v>56</v>
      </c>
      <c r="H92" s="35" t="s">
        <v>26</v>
      </c>
      <c r="I92" s="32" t="s">
        <v>918</v>
      </c>
      <c r="J92" s="25" t="s">
        <v>169</v>
      </c>
      <c r="K92" s="31" t="s">
        <v>147</v>
      </c>
      <c r="L92" s="31" t="s">
        <v>59</v>
      </c>
      <c r="M92" s="32" t="s">
        <v>60</v>
      </c>
      <c r="N92" s="3" t="s">
        <v>44</v>
      </c>
      <c r="O92" s="31" t="s">
        <v>121</v>
      </c>
      <c r="P92" s="32" t="s">
        <v>969</v>
      </c>
      <c r="Q92" s="32" t="s">
        <v>31</v>
      </c>
      <c r="R92" s="35" t="s">
        <v>126</v>
      </c>
      <c r="S92" s="36">
        <v>422100</v>
      </c>
      <c r="T92" s="2" t="s">
        <v>159</v>
      </c>
      <c r="U92" s="37">
        <v>1.5780029</v>
      </c>
      <c r="V92" s="37">
        <v>0.5780029296875</v>
      </c>
      <c r="W92" s="38">
        <v>0.15578002929687501</v>
      </c>
      <c r="X92" s="39">
        <v>65754.750366210894</v>
      </c>
    </row>
    <row r="93" spans="1:24" x14ac:dyDescent="0.25">
      <c r="A93" s="24" t="s">
        <v>754</v>
      </c>
      <c r="B93" s="2" t="s">
        <v>771</v>
      </c>
      <c r="C93" s="2" t="s">
        <v>269</v>
      </c>
      <c r="D93" s="32" t="s">
        <v>849</v>
      </c>
      <c r="E93" s="32" t="s">
        <v>859</v>
      </c>
      <c r="F93" s="26" t="s">
        <v>24</v>
      </c>
      <c r="G93" s="35" t="s">
        <v>56</v>
      </c>
      <c r="H93" s="35" t="s">
        <v>26</v>
      </c>
      <c r="I93" s="32" t="s">
        <v>918</v>
      </c>
      <c r="J93" s="25" t="s">
        <v>169</v>
      </c>
      <c r="K93" s="31" t="s">
        <v>147</v>
      </c>
      <c r="L93" s="31" t="s">
        <v>59</v>
      </c>
      <c r="M93" s="32" t="s">
        <v>60</v>
      </c>
      <c r="N93" s="3" t="s">
        <v>44</v>
      </c>
      <c r="O93" s="31" t="s">
        <v>121</v>
      </c>
      <c r="P93" s="32" t="s">
        <v>969</v>
      </c>
      <c r="Q93" s="32" t="s">
        <v>31</v>
      </c>
      <c r="R93" s="35" t="s">
        <v>126</v>
      </c>
      <c r="S93" s="36">
        <v>422100</v>
      </c>
      <c r="T93" s="2" t="s">
        <v>159</v>
      </c>
      <c r="U93" s="37">
        <v>0.66442869999999998</v>
      </c>
      <c r="V93" s="37">
        <v>-0.3355712890625</v>
      </c>
      <c r="W93" s="38">
        <v>9.9664306640625006E-2</v>
      </c>
      <c r="X93" s="39">
        <v>42068.303833007798</v>
      </c>
    </row>
    <row r="94" spans="1:24" x14ac:dyDescent="0.25">
      <c r="A94" s="24" t="s">
        <v>755</v>
      </c>
      <c r="B94" s="2" t="s">
        <v>771</v>
      </c>
      <c r="C94" s="2" t="s">
        <v>269</v>
      </c>
      <c r="D94" s="32" t="s">
        <v>849</v>
      </c>
      <c r="E94" s="32" t="s">
        <v>860</v>
      </c>
      <c r="F94" s="26" t="s">
        <v>24</v>
      </c>
      <c r="G94" s="35" t="s">
        <v>33</v>
      </c>
      <c r="H94" s="35" t="s">
        <v>26</v>
      </c>
      <c r="I94" s="32" t="s">
        <v>918</v>
      </c>
      <c r="J94" s="25" t="s">
        <v>27</v>
      </c>
      <c r="K94" s="31" t="s">
        <v>147</v>
      </c>
      <c r="L94" s="31" t="s">
        <v>59</v>
      </c>
      <c r="M94" s="32" t="s">
        <v>60</v>
      </c>
      <c r="N94" s="3" t="s">
        <v>44</v>
      </c>
      <c r="O94" s="31" t="s">
        <v>121</v>
      </c>
      <c r="P94" s="32" t="s">
        <v>969</v>
      </c>
      <c r="Q94" s="32" t="s">
        <v>31</v>
      </c>
      <c r="R94" s="35" t="s">
        <v>126</v>
      </c>
      <c r="S94" s="36">
        <v>422100</v>
      </c>
      <c r="T94" s="2" t="s">
        <v>32</v>
      </c>
      <c r="U94" s="37">
        <v>4.460388</v>
      </c>
      <c r="V94" s="37">
        <v>3.46038818359375</v>
      </c>
      <c r="W94" s="38">
        <v>0.28460388183593699</v>
      </c>
      <c r="X94" s="39">
        <v>120131.298522949</v>
      </c>
    </row>
    <row r="95" spans="1:24" x14ac:dyDescent="0.25">
      <c r="A95" s="24" t="s">
        <v>756</v>
      </c>
      <c r="B95" s="2" t="s">
        <v>771</v>
      </c>
      <c r="C95" s="2" t="s">
        <v>269</v>
      </c>
      <c r="D95" s="32" t="s">
        <v>861</v>
      </c>
      <c r="E95" s="32" t="s">
        <v>862</v>
      </c>
      <c r="F95" s="26" t="s">
        <v>24</v>
      </c>
      <c r="G95" s="35" t="s">
        <v>33</v>
      </c>
      <c r="H95" s="35" t="s">
        <v>26</v>
      </c>
      <c r="I95" s="32" t="s">
        <v>922</v>
      </c>
      <c r="J95" s="25" t="s">
        <v>27</v>
      </c>
      <c r="K95" s="31" t="s">
        <v>134</v>
      </c>
      <c r="L95" s="31" t="s">
        <v>55</v>
      </c>
      <c r="M95" s="32" t="s">
        <v>68</v>
      </c>
      <c r="N95" s="3" t="s">
        <v>118</v>
      </c>
      <c r="O95" s="31" t="s">
        <v>120</v>
      </c>
      <c r="P95" s="32" t="s">
        <v>970</v>
      </c>
      <c r="Q95" s="32" t="s">
        <v>31</v>
      </c>
      <c r="R95" s="35" t="s">
        <v>126</v>
      </c>
      <c r="S95" s="36">
        <v>415200</v>
      </c>
      <c r="T95" s="2" t="s">
        <v>46</v>
      </c>
      <c r="U95" s="37">
        <v>0</v>
      </c>
      <c r="V95" s="37">
        <v>-1</v>
      </c>
      <c r="W95" s="38">
        <v>0</v>
      </c>
      <c r="X95" s="39">
        <v>0</v>
      </c>
    </row>
    <row r="96" spans="1:24" x14ac:dyDescent="0.25">
      <c r="A96" s="24" t="s">
        <v>764</v>
      </c>
      <c r="B96" s="2" t="s">
        <v>771</v>
      </c>
      <c r="C96" s="2" t="s">
        <v>269</v>
      </c>
      <c r="D96" s="32" t="s">
        <v>878</v>
      </c>
      <c r="E96" s="32" t="s">
        <v>879</v>
      </c>
      <c r="F96" s="26" t="s">
        <v>24</v>
      </c>
      <c r="G96" s="35" t="s">
        <v>33</v>
      </c>
      <c r="H96" s="35" t="s">
        <v>26</v>
      </c>
      <c r="I96" s="32" t="s">
        <v>928</v>
      </c>
      <c r="J96" s="25" t="s">
        <v>41</v>
      </c>
      <c r="K96" s="31" t="s">
        <v>934</v>
      </c>
      <c r="L96" s="31" t="s">
        <v>28</v>
      </c>
      <c r="M96" s="32" t="s">
        <v>68</v>
      </c>
      <c r="N96" s="3" t="s">
        <v>118</v>
      </c>
      <c r="O96" s="31" t="s">
        <v>120</v>
      </c>
      <c r="P96" s="32" t="s">
        <v>978</v>
      </c>
      <c r="Q96" s="32" t="s">
        <v>31</v>
      </c>
      <c r="R96" s="35" t="s">
        <v>126</v>
      </c>
      <c r="S96" s="36">
        <v>344300</v>
      </c>
      <c r="T96" s="2" t="s">
        <v>46</v>
      </c>
      <c r="U96" s="37">
        <v>2.3560180000000002</v>
      </c>
      <c r="V96" s="37">
        <v>1.35601806640625</v>
      </c>
      <c r="W96" s="38">
        <v>0.103560180664062</v>
      </c>
      <c r="X96" s="39">
        <v>35655.770202636697</v>
      </c>
    </row>
    <row r="97" spans="1:24" x14ac:dyDescent="0.25">
      <c r="A97" s="24" t="s">
        <v>766</v>
      </c>
      <c r="B97" s="2" t="s">
        <v>771</v>
      </c>
      <c r="C97" s="2" t="s">
        <v>269</v>
      </c>
      <c r="D97" s="32" t="s">
        <v>881</v>
      </c>
      <c r="E97" s="32" t="s">
        <v>882</v>
      </c>
      <c r="F97" s="26" t="s">
        <v>24</v>
      </c>
      <c r="G97" s="35" t="s">
        <v>33</v>
      </c>
      <c r="H97" s="35" t="s">
        <v>26</v>
      </c>
      <c r="I97" s="32" t="s">
        <v>929</v>
      </c>
      <c r="J97" s="25" t="s">
        <v>27</v>
      </c>
      <c r="K97" s="31" t="s">
        <v>105</v>
      </c>
      <c r="L97" s="31" t="s">
        <v>47</v>
      </c>
      <c r="M97" s="32" t="s">
        <v>58</v>
      </c>
      <c r="N97" s="3" t="s">
        <v>36</v>
      </c>
      <c r="O97" s="31" t="s">
        <v>120</v>
      </c>
      <c r="P97" s="32" t="s">
        <v>125</v>
      </c>
      <c r="Q97" s="32" t="s">
        <v>31</v>
      </c>
      <c r="R97" s="35" t="s">
        <v>126</v>
      </c>
      <c r="S97" s="36">
        <v>321800</v>
      </c>
      <c r="T97" s="2" t="s">
        <v>46</v>
      </c>
      <c r="U97" s="37">
        <v>1.479187</v>
      </c>
      <c r="V97" s="37">
        <v>0.47918701171875</v>
      </c>
      <c r="W97" s="38">
        <v>6.3126831054687499E-2</v>
      </c>
      <c r="X97" s="39">
        <v>20314.214233398401</v>
      </c>
    </row>
    <row r="98" spans="1:24" x14ac:dyDescent="0.25">
      <c r="A98" s="24" t="s">
        <v>768</v>
      </c>
      <c r="B98" s="2" t="s">
        <v>771</v>
      </c>
      <c r="C98" s="2" t="s">
        <v>269</v>
      </c>
      <c r="D98" s="32" t="s">
        <v>885</v>
      </c>
      <c r="E98" s="32" t="s">
        <v>886</v>
      </c>
      <c r="F98" s="26" t="s">
        <v>24</v>
      </c>
      <c r="G98" s="35" t="s">
        <v>33</v>
      </c>
      <c r="H98" s="35" t="s">
        <v>67</v>
      </c>
      <c r="I98" s="32" t="s">
        <v>894</v>
      </c>
      <c r="J98" s="25" t="s">
        <v>41</v>
      </c>
      <c r="K98" s="31" t="s">
        <v>137</v>
      </c>
      <c r="L98" s="31"/>
      <c r="M98" s="32" t="s">
        <v>74</v>
      </c>
      <c r="N98" s="3" t="s">
        <v>117</v>
      </c>
      <c r="O98" s="31" t="s">
        <v>120</v>
      </c>
      <c r="P98" s="32" t="s">
        <v>980</v>
      </c>
      <c r="Q98" s="32" t="s">
        <v>31</v>
      </c>
      <c r="R98" s="35" t="s">
        <v>126</v>
      </c>
      <c r="S98" s="36">
        <v>317000</v>
      </c>
      <c r="T98" s="2" t="s">
        <v>46</v>
      </c>
      <c r="U98" s="37">
        <v>5.7364499999999996</v>
      </c>
      <c r="V98" s="37">
        <v>4.7364501953125</v>
      </c>
      <c r="W98" s="38">
        <v>0.142093505859375</v>
      </c>
      <c r="X98" s="39">
        <v>45043.641357421802</v>
      </c>
    </row>
    <row r="99" spans="1:24" x14ac:dyDescent="0.25">
      <c r="A99" s="24" t="s">
        <v>769</v>
      </c>
      <c r="B99" s="2" t="s">
        <v>771</v>
      </c>
      <c r="C99" s="2" t="s">
        <v>269</v>
      </c>
      <c r="D99" s="32" t="s">
        <v>887</v>
      </c>
      <c r="E99" s="32" t="s">
        <v>888</v>
      </c>
      <c r="F99" s="26" t="s">
        <v>24</v>
      </c>
      <c r="G99" s="35" t="s">
        <v>33</v>
      </c>
      <c r="H99" s="35" t="s">
        <v>26</v>
      </c>
      <c r="I99" s="32" t="s">
        <v>930</v>
      </c>
      <c r="J99" s="25" t="s">
        <v>37</v>
      </c>
      <c r="K99" s="31" t="s">
        <v>89</v>
      </c>
      <c r="L99" s="31"/>
      <c r="M99" s="32" t="s">
        <v>29</v>
      </c>
      <c r="N99" s="3" t="s">
        <v>117</v>
      </c>
      <c r="O99" s="31" t="s">
        <v>120</v>
      </c>
      <c r="P99" s="32" t="s">
        <v>981</v>
      </c>
      <c r="Q99" s="32" t="s">
        <v>31</v>
      </c>
      <c r="R99" s="35" t="s">
        <v>126</v>
      </c>
      <c r="S99" s="36">
        <v>312000</v>
      </c>
      <c r="T99" s="2" t="s">
        <v>46</v>
      </c>
      <c r="U99" s="37">
        <v>8.4479369999999996</v>
      </c>
      <c r="V99" s="37">
        <v>7.44793701171875</v>
      </c>
      <c r="W99" s="38">
        <v>0.178958740234375</v>
      </c>
      <c r="X99" s="39">
        <v>55835.126953125</v>
      </c>
    </row>
    <row r="101" spans="1:24" x14ac:dyDescent="0.25">
      <c r="A101" s="4" t="s">
        <v>61</v>
      </c>
      <c r="B101" s="4" t="s">
        <v>1</v>
      </c>
      <c r="C101" s="4" t="s">
        <v>62</v>
      </c>
      <c r="D101" s="4" t="s">
        <v>63</v>
      </c>
      <c r="E101" s="4" t="s">
        <v>64</v>
      </c>
    </row>
    <row r="102" spans="1:24" x14ac:dyDescent="0.25">
      <c r="A102" s="4">
        <v>540210</v>
      </c>
      <c r="B102" s="1" t="s">
        <v>990</v>
      </c>
      <c r="C102" s="4" t="s">
        <v>711</v>
      </c>
      <c r="D102" s="1" t="s">
        <v>65</v>
      </c>
      <c r="E102" s="4">
        <v>10</v>
      </c>
      <c r="S102" s="40" t="s">
        <v>173</v>
      </c>
    </row>
    <row r="103" spans="1:24" x14ac:dyDescent="0.25">
      <c r="A103" s="24" t="s">
        <v>716</v>
      </c>
      <c r="B103" s="2" t="s">
        <v>778</v>
      </c>
      <c r="C103" s="2" t="s">
        <v>779</v>
      </c>
      <c r="D103" s="32" t="s">
        <v>780</v>
      </c>
      <c r="E103" s="32" t="s">
        <v>781</v>
      </c>
      <c r="F103" s="26" t="s">
        <v>24</v>
      </c>
      <c r="G103" s="35" t="s">
        <v>40</v>
      </c>
      <c r="H103" s="35" t="s">
        <v>26</v>
      </c>
      <c r="I103" s="32" t="s">
        <v>69</v>
      </c>
      <c r="J103" s="25" t="s">
        <v>27</v>
      </c>
      <c r="K103" s="31" t="s">
        <v>85</v>
      </c>
      <c r="L103" s="31"/>
      <c r="M103" s="32" t="s">
        <v>70</v>
      </c>
      <c r="N103" s="3" t="s">
        <v>116</v>
      </c>
      <c r="O103" s="31" t="s">
        <v>120</v>
      </c>
      <c r="P103" s="32" t="s">
        <v>938</v>
      </c>
      <c r="Q103" s="32" t="s">
        <v>31</v>
      </c>
      <c r="R103" s="35" t="s">
        <v>126</v>
      </c>
      <c r="S103" s="36">
        <v>6471000</v>
      </c>
      <c r="T103" s="2" t="s">
        <v>46</v>
      </c>
      <c r="U103" s="37">
        <v>4</v>
      </c>
      <c r="V103" s="37">
        <v>3</v>
      </c>
      <c r="W103" s="38">
        <v>0.09</v>
      </c>
      <c r="X103" s="39">
        <v>582390</v>
      </c>
    </row>
    <row r="104" spans="1:24" x14ac:dyDescent="0.25">
      <c r="A104" s="24" t="s">
        <v>739</v>
      </c>
      <c r="B104" s="2" t="s">
        <v>778</v>
      </c>
      <c r="C104" s="2" t="s">
        <v>831</v>
      </c>
      <c r="D104" s="32" t="s">
        <v>832</v>
      </c>
      <c r="E104" s="32" t="s">
        <v>833</v>
      </c>
      <c r="F104" s="26" t="s">
        <v>24</v>
      </c>
      <c r="G104" s="35" t="s">
        <v>40</v>
      </c>
      <c r="H104" s="35" t="s">
        <v>26</v>
      </c>
      <c r="I104" s="32" t="s">
        <v>910</v>
      </c>
      <c r="J104" s="25" t="s">
        <v>41</v>
      </c>
      <c r="K104" s="31" t="s">
        <v>87</v>
      </c>
      <c r="L104" s="31"/>
      <c r="M104" s="32" t="s">
        <v>29</v>
      </c>
      <c r="N104" s="3" t="s">
        <v>117</v>
      </c>
      <c r="O104" s="31" t="s">
        <v>120</v>
      </c>
      <c r="P104" s="32" t="s">
        <v>958</v>
      </c>
      <c r="Q104" s="32" t="s">
        <v>31</v>
      </c>
      <c r="R104" s="35" t="s">
        <v>126</v>
      </c>
      <c r="S104" s="36">
        <v>552800</v>
      </c>
      <c r="T104" s="2" t="s">
        <v>46</v>
      </c>
      <c r="U104" s="37">
        <v>0</v>
      </c>
      <c r="V104" s="37">
        <v>-1</v>
      </c>
      <c r="W104" s="38">
        <v>0</v>
      </c>
      <c r="X104" s="39">
        <v>0</v>
      </c>
    </row>
    <row r="106" spans="1:24" x14ac:dyDescent="0.25">
      <c r="A106" s="4" t="s">
        <v>61</v>
      </c>
      <c r="B106" s="4" t="s">
        <v>1</v>
      </c>
      <c r="C106" s="4" t="s">
        <v>62</v>
      </c>
      <c r="D106" s="4" t="s">
        <v>63</v>
      </c>
      <c r="E106" s="4" t="s">
        <v>64</v>
      </c>
    </row>
    <row r="107" spans="1:24" x14ac:dyDescent="0.25">
      <c r="A107" s="4">
        <v>540207</v>
      </c>
      <c r="B107" s="1" t="s">
        <v>991</v>
      </c>
      <c r="C107" s="4" t="s">
        <v>711</v>
      </c>
      <c r="D107" s="1" t="s">
        <v>66</v>
      </c>
      <c r="E107" s="4">
        <v>10</v>
      </c>
      <c r="S107" s="40" t="s">
        <v>173</v>
      </c>
    </row>
    <row r="108" spans="1:24" x14ac:dyDescent="0.25">
      <c r="A108" s="24" t="s">
        <v>719</v>
      </c>
      <c r="B108" s="2" t="s">
        <v>786</v>
      </c>
      <c r="C108" s="2" t="s">
        <v>269</v>
      </c>
      <c r="D108" s="32" t="s">
        <v>787</v>
      </c>
      <c r="E108" s="32" t="s">
        <v>788</v>
      </c>
      <c r="F108" s="26" t="str">
        <f>HYPERLINK("https://mapwv.gov/flood/map/?wkid=102100&amp;x=-9002137.473288327&amp;y=4812807.571654485&amp;l=13&amp;v=2","FT")</f>
        <v>FT</v>
      </c>
      <c r="G108" s="35" t="s">
        <v>33</v>
      </c>
      <c r="H108" s="35" t="s">
        <v>67</v>
      </c>
      <c r="I108" s="32" t="s">
        <v>894</v>
      </c>
      <c r="J108" s="25" t="s">
        <v>27</v>
      </c>
      <c r="K108" s="31" t="s">
        <v>88</v>
      </c>
      <c r="L108" s="31" t="s">
        <v>52</v>
      </c>
      <c r="M108" s="32" t="s">
        <v>29</v>
      </c>
      <c r="N108" s="3" t="s">
        <v>117</v>
      </c>
      <c r="O108" s="31" t="s">
        <v>120</v>
      </c>
      <c r="P108" s="57">
        <v>25000</v>
      </c>
      <c r="Q108" s="32" t="s">
        <v>31</v>
      </c>
      <c r="R108" s="35" t="s">
        <v>126</v>
      </c>
      <c r="S108" s="36">
        <v>15000000</v>
      </c>
      <c r="T108" s="2" t="s">
        <v>30</v>
      </c>
      <c r="U108" s="37">
        <v>5.3385009999999999</v>
      </c>
      <c r="V108" s="37">
        <v>4.3385009765625</v>
      </c>
      <c r="W108" s="38">
        <v>0.14000000000000001</v>
      </c>
      <c r="X108" s="39">
        <v>2100000</v>
      </c>
    </row>
    <row r="109" spans="1:24" x14ac:dyDescent="0.25">
      <c r="A109" s="24" t="s">
        <v>722</v>
      </c>
      <c r="B109" s="2" t="s">
        <v>786</v>
      </c>
      <c r="C109" s="2" t="s">
        <v>793</v>
      </c>
      <c r="D109" s="32" t="s">
        <v>794</v>
      </c>
      <c r="E109" s="32" t="s">
        <v>795</v>
      </c>
      <c r="F109" s="26" t="s">
        <v>24</v>
      </c>
      <c r="G109" s="35" t="s">
        <v>40</v>
      </c>
      <c r="H109" s="35" t="s">
        <v>26</v>
      </c>
      <c r="I109" s="32" t="s">
        <v>69</v>
      </c>
      <c r="J109" s="25" t="s">
        <v>41</v>
      </c>
      <c r="K109" s="31" t="s">
        <v>96</v>
      </c>
      <c r="L109" s="31"/>
      <c r="M109" s="32" t="s">
        <v>70</v>
      </c>
      <c r="N109" s="3" t="s">
        <v>116</v>
      </c>
      <c r="O109" s="31" t="s">
        <v>120</v>
      </c>
      <c r="P109" s="32" t="s">
        <v>943</v>
      </c>
      <c r="Q109" s="32" t="s">
        <v>31</v>
      </c>
      <c r="R109" s="35" t="s">
        <v>126</v>
      </c>
      <c r="S109" s="36">
        <v>1625700</v>
      </c>
      <c r="T109" s="2" t="s">
        <v>46</v>
      </c>
      <c r="U109" s="37">
        <v>6</v>
      </c>
      <c r="V109" s="37">
        <v>5</v>
      </c>
      <c r="W109" s="38">
        <v>0.1</v>
      </c>
      <c r="X109" s="39">
        <v>162570</v>
      </c>
    </row>
    <row r="110" spans="1:24" x14ac:dyDescent="0.25">
      <c r="A110" s="24" t="s">
        <v>725</v>
      </c>
      <c r="B110" s="2" t="s">
        <v>786</v>
      </c>
      <c r="C110" s="2" t="s">
        <v>801</v>
      </c>
      <c r="D110" s="32" t="s">
        <v>802</v>
      </c>
      <c r="E110" s="32" t="s">
        <v>803</v>
      </c>
      <c r="F110" s="26" t="s">
        <v>24</v>
      </c>
      <c r="G110" s="35" t="s">
        <v>40</v>
      </c>
      <c r="H110" s="35" t="s">
        <v>26</v>
      </c>
      <c r="I110" s="32" t="s">
        <v>899</v>
      </c>
      <c r="J110" s="25" t="s">
        <v>27</v>
      </c>
      <c r="K110" s="31" t="s">
        <v>146</v>
      </c>
      <c r="L110" s="31" t="s">
        <v>52</v>
      </c>
      <c r="M110" s="32" t="s">
        <v>43</v>
      </c>
      <c r="N110" s="3" t="s">
        <v>44</v>
      </c>
      <c r="O110" s="31" t="s">
        <v>120</v>
      </c>
      <c r="P110" s="32" t="s">
        <v>946</v>
      </c>
      <c r="Q110" s="32" t="s">
        <v>31</v>
      </c>
      <c r="R110" s="35" t="s">
        <v>126</v>
      </c>
      <c r="S110" s="36">
        <v>900000</v>
      </c>
      <c r="T110" s="2" t="s">
        <v>32</v>
      </c>
      <c r="U110" s="37">
        <v>0</v>
      </c>
      <c r="V110" s="37">
        <v>-1</v>
      </c>
      <c r="W110" s="38">
        <v>0</v>
      </c>
      <c r="X110" s="39">
        <v>0</v>
      </c>
    </row>
    <row r="111" spans="1:24" x14ac:dyDescent="0.25">
      <c r="A111" s="24" t="s">
        <v>727</v>
      </c>
      <c r="B111" s="2" t="s">
        <v>786</v>
      </c>
      <c r="C111" s="2" t="s">
        <v>806</v>
      </c>
      <c r="D111" s="32" t="s">
        <v>807</v>
      </c>
      <c r="E111" s="32" t="s">
        <v>808</v>
      </c>
      <c r="F111" s="26" t="s">
        <v>24</v>
      </c>
      <c r="G111" s="35" t="s">
        <v>40</v>
      </c>
      <c r="H111" s="35" t="s">
        <v>26</v>
      </c>
      <c r="I111" s="32" t="s">
        <v>901</v>
      </c>
      <c r="J111" s="25" t="s">
        <v>37</v>
      </c>
      <c r="K111" s="31" t="s">
        <v>89</v>
      </c>
      <c r="L111" s="31"/>
      <c r="M111" s="32" t="s">
        <v>58</v>
      </c>
      <c r="N111" s="3" t="s">
        <v>36</v>
      </c>
      <c r="O111" s="31" t="s">
        <v>120</v>
      </c>
      <c r="P111" s="32" t="s">
        <v>948</v>
      </c>
      <c r="Q111" s="32" t="s">
        <v>31</v>
      </c>
      <c r="R111" s="35" t="s">
        <v>126</v>
      </c>
      <c r="S111" s="36">
        <v>718960</v>
      </c>
      <c r="T111" s="2" t="s">
        <v>128</v>
      </c>
      <c r="U111" s="37">
        <v>0</v>
      </c>
      <c r="V111" s="37">
        <v>-1</v>
      </c>
      <c r="W111" s="38">
        <v>0</v>
      </c>
      <c r="X111" s="39">
        <v>0</v>
      </c>
    </row>
    <row r="112" spans="1:24" x14ac:dyDescent="0.25">
      <c r="A112" s="24" t="s">
        <v>729</v>
      </c>
      <c r="B112" s="2" t="s">
        <v>786</v>
      </c>
      <c r="C112" s="2" t="s">
        <v>806</v>
      </c>
      <c r="D112" s="32" t="s">
        <v>807</v>
      </c>
      <c r="E112" s="32" t="s">
        <v>811</v>
      </c>
      <c r="F112" s="26" t="s">
        <v>24</v>
      </c>
      <c r="G112" s="35" t="s">
        <v>40</v>
      </c>
      <c r="H112" s="35" t="s">
        <v>26</v>
      </c>
      <c r="I112" s="32" t="s">
        <v>901</v>
      </c>
      <c r="J112" s="25" t="s">
        <v>37</v>
      </c>
      <c r="K112" s="31" t="s">
        <v>89</v>
      </c>
      <c r="L112" s="31"/>
      <c r="M112" s="32" t="s">
        <v>39</v>
      </c>
      <c r="N112" s="3" t="s">
        <v>119</v>
      </c>
      <c r="O112" s="31" t="s">
        <v>120</v>
      </c>
      <c r="P112" s="32" t="s">
        <v>183</v>
      </c>
      <c r="Q112" s="32" t="s">
        <v>31</v>
      </c>
      <c r="R112" s="35" t="s">
        <v>126</v>
      </c>
      <c r="S112" s="36">
        <v>684720</v>
      </c>
      <c r="T112" s="2" t="s">
        <v>128</v>
      </c>
      <c r="U112" s="37">
        <v>0</v>
      </c>
      <c r="V112" s="37">
        <v>-1</v>
      </c>
      <c r="W112" s="38">
        <v>0</v>
      </c>
      <c r="X112" s="39">
        <v>0</v>
      </c>
    </row>
    <row r="113" spans="1:24" x14ac:dyDescent="0.25">
      <c r="A113" s="24" t="s">
        <v>730</v>
      </c>
      <c r="B113" s="2" t="s">
        <v>786</v>
      </c>
      <c r="C113" s="2" t="s">
        <v>806</v>
      </c>
      <c r="D113" s="32" t="s">
        <v>807</v>
      </c>
      <c r="E113" s="32" t="s">
        <v>812</v>
      </c>
      <c r="F113" s="26" t="s">
        <v>24</v>
      </c>
      <c r="G113" s="35" t="s">
        <v>40</v>
      </c>
      <c r="H113" s="35" t="s">
        <v>26</v>
      </c>
      <c r="I113" s="32" t="s">
        <v>901</v>
      </c>
      <c r="J113" s="25" t="s">
        <v>37</v>
      </c>
      <c r="K113" s="31" t="s">
        <v>89</v>
      </c>
      <c r="L113" s="31"/>
      <c r="M113" s="32" t="s">
        <v>39</v>
      </c>
      <c r="N113" s="3" t="s">
        <v>119</v>
      </c>
      <c r="O113" s="31" t="s">
        <v>120</v>
      </c>
      <c r="P113" s="32" t="s">
        <v>183</v>
      </c>
      <c r="Q113" s="32" t="s">
        <v>31</v>
      </c>
      <c r="R113" s="35" t="s">
        <v>126</v>
      </c>
      <c r="S113" s="36">
        <v>684720</v>
      </c>
      <c r="T113" s="2" t="s">
        <v>128</v>
      </c>
      <c r="U113" s="37">
        <v>0</v>
      </c>
      <c r="V113" s="37">
        <v>-1</v>
      </c>
      <c r="W113" s="38">
        <v>0</v>
      </c>
      <c r="X113" s="39">
        <v>0</v>
      </c>
    </row>
    <row r="114" spans="1:24" x14ac:dyDescent="0.25">
      <c r="A114" s="24" t="s">
        <v>733</v>
      </c>
      <c r="B114" s="2" t="s">
        <v>786</v>
      </c>
      <c r="C114" s="2" t="s">
        <v>779</v>
      </c>
      <c r="D114" s="32" t="s">
        <v>819</v>
      </c>
      <c r="E114" s="32" t="s">
        <v>820</v>
      </c>
      <c r="F114" s="26" t="s">
        <v>24</v>
      </c>
      <c r="G114" s="35" t="s">
        <v>40</v>
      </c>
      <c r="H114" s="35" t="s">
        <v>26</v>
      </c>
      <c r="I114" s="32" t="s">
        <v>905</v>
      </c>
      <c r="J114" s="25" t="s">
        <v>27</v>
      </c>
      <c r="K114" s="31" t="s">
        <v>132</v>
      </c>
      <c r="L114" s="31" t="s">
        <v>28</v>
      </c>
      <c r="M114" s="32" t="s">
        <v>50</v>
      </c>
      <c r="N114" s="3" t="s">
        <v>36</v>
      </c>
      <c r="O114" s="31" t="s">
        <v>120</v>
      </c>
      <c r="P114" s="32" t="s">
        <v>952</v>
      </c>
      <c r="Q114" s="32" t="s">
        <v>31</v>
      </c>
      <c r="R114" s="35" t="s">
        <v>126</v>
      </c>
      <c r="S114" s="36">
        <v>637200</v>
      </c>
      <c r="T114" s="2" t="s">
        <v>46</v>
      </c>
      <c r="U114" s="37">
        <v>8</v>
      </c>
      <c r="V114" s="37">
        <v>7</v>
      </c>
      <c r="W114" s="38">
        <v>0.26</v>
      </c>
      <c r="X114" s="39">
        <v>165672</v>
      </c>
    </row>
    <row r="115" spans="1:24" x14ac:dyDescent="0.25">
      <c r="A115" s="24" t="s">
        <v>734</v>
      </c>
      <c r="B115" s="2" t="s">
        <v>786</v>
      </c>
      <c r="C115" s="2" t="s">
        <v>806</v>
      </c>
      <c r="D115" s="32" t="s">
        <v>821</v>
      </c>
      <c r="E115" s="32" t="s">
        <v>822</v>
      </c>
      <c r="F115" s="26" t="s">
        <v>24</v>
      </c>
      <c r="G115" s="35" t="s">
        <v>40</v>
      </c>
      <c r="H115" s="35" t="s">
        <v>26</v>
      </c>
      <c r="I115" s="32"/>
      <c r="J115" s="25" t="s">
        <v>37</v>
      </c>
      <c r="K115" s="31" t="s">
        <v>89</v>
      </c>
      <c r="L115" s="31"/>
      <c r="M115" s="32" t="s">
        <v>39</v>
      </c>
      <c r="N115" s="3" t="s">
        <v>119</v>
      </c>
      <c r="O115" s="31" t="s">
        <v>120</v>
      </c>
      <c r="P115" s="32" t="s">
        <v>953</v>
      </c>
      <c r="Q115" s="32" t="s">
        <v>31</v>
      </c>
      <c r="R115" s="35" t="s">
        <v>126</v>
      </c>
      <c r="S115" s="36">
        <v>625520</v>
      </c>
      <c r="T115" s="2" t="s">
        <v>128</v>
      </c>
      <c r="U115" s="37">
        <v>6</v>
      </c>
      <c r="V115" s="37">
        <v>5</v>
      </c>
      <c r="W115" s="38">
        <v>0.26</v>
      </c>
      <c r="X115" s="39">
        <v>162635.20000000001</v>
      </c>
    </row>
    <row r="116" spans="1:24" x14ac:dyDescent="0.25">
      <c r="A116" s="24" t="s">
        <v>737</v>
      </c>
      <c r="B116" s="2" t="s">
        <v>786</v>
      </c>
      <c r="C116" s="2" t="s">
        <v>806</v>
      </c>
      <c r="D116" s="32" t="s">
        <v>827</v>
      </c>
      <c r="E116" s="32" t="s">
        <v>828</v>
      </c>
      <c r="F116" s="26" t="s">
        <v>24</v>
      </c>
      <c r="G116" s="35" t="s">
        <v>40</v>
      </c>
      <c r="H116" s="35" t="s">
        <v>26</v>
      </c>
      <c r="I116" s="32" t="s">
        <v>908</v>
      </c>
      <c r="J116" s="25" t="s">
        <v>41</v>
      </c>
      <c r="K116" s="31" t="s">
        <v>108</v>
      </c>
      <c r="L116" s="31" t="s">
        <v>59</v>
      </c>
      <c r="M116" s="32" t="s">
        <v>43</v>
      </c>
      <c r="N116" s="3" t="s">
        <v>44</v>
      </c>
      <c r="O116" s="31" t="s">
        <v>120</v>
      </c>
      <c r="P116" s="32" t="s">
        <v>956</v>
      </c>
      <c r="Q116" s="32" t="s">
        <v>31</v>
      </c>
      <c r="R116" s="35" t="s">
        <v>126</v>
      </c>
      <c r="S116" s="36">
        <v>570900</v>
      </c>
      <c r="T116" s="2" t="s">
        <v>46</v>
      </c>
      <c r="U116" s="37">
        <v>0</v>
      </c>
      <c r="V116" s="37">
        <v>-1</v>
      </c>
      <c r="W116" s="38">
        <v>0</v>
      </c>
      <c r="X116" s="39">
        <v>0</v>
      </c>
    </row>
    <row r="117" spans="1:24" x14ac:dyDescent="0.25">
      <c r="A117" s="24" t="s">
        <v>746</v>
      </c>
      <c r="B117" s="2" t="s">
        <v>786</v>
      </c>
      <c r="C117" s="2" t="s">
        <v>779</v>
      </c>
      <c r="D117" s="32" t="s">
        <v>845</v>
      </c>
      <c r="E117" s="32" t="s">
        <v>846</v>
      </c>
      <c r="F117" s="26" t="s">
        <v>24</v>
      </c>
      <c r="G117" s="35" t="s">
        <v>40</v>
      </c>
      <c r="H117" s="35" t="s">
        <v>26</v>
      </c>
      <c r="I117" s="32" t="s">
        <v>916</v>
      </c>
      <c r="J117" s="25" t="s">
        <v>37</v>
      </c>
      <c r="K117" s="31" t="s">
        <v>89</v>
      </c>
      <c r="L117" s="31"/>
      <c r="M117" s="32" t="s">
        <v>58</v>
      </c>
      <c r="N117" s="3" t="s">
        <v>36</v>
      </c>
      <c r="O117" s="31" t="s">
        <v>120</v>
      </c>
      <c r="P117" s="32" t="s">
        <v>962</v>
      </c>
      <c r="Q117" s="32" t="s">
        <v>31</v>
      </c>
      <c r="R117" s="35" t="s">
        <v>126</v>
      </c>
      <c r="S117" s="36">
        <v>509000</v>
      </c>
      <c r="T117" s="2" t="s">
        <v>128</v>
      </c>
      <c r="U117" s="37">
        <v>4</v>
      </c>
      <c r="V117" s="37">
        <v>3</v>
      </c>
      <c r="W117" s="38">
        <v>0.22</v>
      </c>
      <c r="X117" s="39">
        <v>111980</v>
      </c>
    </row>
    <row r="118" spans="1:24" x14ac:dyDescent="0.25">
      <c r="A118" s="24" t="s">
        <v>758</v>
      </c>
      <c r="B118" s="2" t="s">
        <v>786</v>
      </c>
      <c r="C118" s="2" t="s">
        <v>865</v>
      </c>
      <c r="D118" s="32" t="s">
        <v>866</v>
      </c>
      <c r="E118" s="32" t="s">
        <v>867</v>
      </c>
      <c r="F118" s="26" t="s">
        <v>24</v>
      </c>
      <c r="G118" s="35" t="s">
        <v>40</v>
      </c>
      <c r="H118" s="35" t="s">
        <v>26</v>
      </c>
      <c r="I118" s="32" t="s">
        <v>924</v>
      </c>
      <c r="J118" s="25" t="s">
        <v>27</v>
      </c>
      <c r="K118" s="31" t="s">
        <v>146</v>
      </c>
      <c r="L118" s="31" t="s">
        <v>28</v>
      </c>
      <c r="M118" s="32" t="s">
        <v>68</v>
      </c>
      <c r="N118" s="3" t="s">
        <v>118</v>
      </c>
      <c r="O118" s="31" t="s">
        <v>120</v>
      </c>
      <c r="P118" s="32" t="s">
        <v>972</v>
      </c>
      <c r="Q118" s="32" t="s">
        <v>31</v>
      </c>
      <c r="R118" s="35" t="s">
        <v>126</v>
      </c>
      <c r="S118" s="36">
        <v>398500</v>
      </c>
      <c r="T118" s="2" t="s">
        <v>46</v>
      </c>
      <c r="U118" s="37">
        <v>0</v>
      </c>
      <c r="V118" s="37">
        <v>-1</v>
      </c>
      <c r="W118" s="38">
        <v>0</v>
      </c>
      <c r="X118" s="39">
        <v>0</v>
      </c>
    </row>
    <row r="119" spans="1:24" x14ac:dyDescent="0.25">
      <c r="A119" s="24" t="s">
        <v>759</v>
      </c>
      <c r="B119" s="2" t="s">
        <v>786</v>
      </c>
      <c r="C119" s="2" t="s">
        <v>806</v>
      </c>
      <c r="D119" s="32" t="s">
        <v>868</v>
      </c>
      <c r="E119" s="32" t="s">
        <v>869</v>
      </c>
      <c r="F119" s="26" t="s">
        <v>24</v>
      </c>
      <c r="G119" s="35" t="s">
        <v>40</v>
      </c>
      <c r="H119" s="35" t="s">
        <v>26</v>
      </c>
      <c r="I119" s="32" t="s">
        <v>925</v>
      </c>
      <c r="J119" s="25" t="s">
        <v>37</v>
      </c>
      <c r="K119" s="31" t="s">
        <v>89</v>
      </c>
      <c r="L119" s="31"/>
      <c r="M119" s="32" t="s">
        <v>74</v>
      </c>
      <c r="N119" s="3" t="s">
        <v>117</v>
      </c>
      <c r="O119" s="31" t="s">
        <v>120</v>
      </c>
      <c r="P119" s="32" t="s">
        <v>973</v>
      </c>
      <c r="Q119" s="32" t="s">
        <v>31</v>
      </c>
      <c r="R119" s="35" t="s">
        <v>126</v>
      </c>
      <c r="S119" s="36">
        <v>385700</v>
      </c>
      <c r="T119" s="2" t="s">
        <v>46</v>
      </c>
      <c r="U119" s="37">
        <v>1</v>
      </c>
      <c r="V119" s="37">
        <v>0</v>
      </c>
      <c r="W119" s="38">
        <v>0</v>
      </c>
      <c r="X119" s="39">
        <v>0</v>
      </c>
    </row>
    <row r="120" spans="1:24" x14ac:dyDescent="0.25">
      <c r="A120" s="24" t="s">
        <v>760</v>
      </c>
      <c r="B120" s="2" t="s">
        <v>786</v>
      </c>
      <c r="C120" s="2" t="s">
        <v>806</v>
      </c>
      <c r="D120" s="32" t="s">
        <v>807</v>
      </c>
      <c r="E120" s="32" t="s">
        <v>870</v>
      </c>
      <c r="F120" s="26" t="s">
        <v>24</v>
      </c>
      <c r="G120" s="35" t="s">
        <v>40</v>
      </c>
      <c r="H120" s="35" t="s">
        <v>26</v>
      </c>
      <c r="I120" s="32" t="s">
        <v>901</v>
      </c>
      <c r="J120" s="25" t="s">
        <v>37</v>
      </c>
      <c r="K120" s="31" t="s">
        <v>89</v>
      </c>
      <c r="L120" s="31"/>
      <c r="M120" s="32" t="s">
        <v>58</v>
      </c>
      <c r="N120" s="3" t="s">
        <v>36</v>
      </c>
      <c r="O120" s="31" t="s">
        <v>120</v>
      </c>
      <c r="P120" s="32" t="s">
        <v>974</v>
      </c>
      <c r="Q120" s="32" t="s">
        <v>31</v>
      </c>
      <c r="R120" s="35" t="s">
        <v>126</v>
      </c>
      <c r="S120" s="36">
        <v>381160</v>
      </c>
      <c r="T120" s="2" t="s">
        <v>128</v>
      </c>
      <c r="U120" s="37">
        <v>0</v>
      </c>
      <c r="V120" s="37">
        <v>-1</v>
      </c>
      <c r="W120" s="38">
        <v>0</v>
      </c>
      <c r="X120" s="39">
        <v>0</v>
      </c>
    </row>
    <row r="121" spans="1:24" x14ac:dyDescent="0.25">
      <c r="A121" s="24" t="s">
        <v>761</v>
      </c>
      <c r="B121" s="2" t="s">
        <v>786</v>
      </c>
      <c r="C121" s="2" t="s">
        <v>806</v>
      </c>
      <c r="D121" s="32" t="s">
        <v>871</v>
      </c>
      <c r="E121" s="32" t="s">
        <v>872</v>
      </c>
      <c r="F121" s="26" t="s">
        <v>24</v>
      </c>
      <c r="G121" s="35" t="s">
        <v>40</v>
      </c>
      <c r="H121" s="35" t="s">
        <v>26</v>
      </c>
      <c r="I121" s="32" t="s">
        <v>901</v>
      </c>
      <c r="J121" s="25" t="s">
        <v>37</v>
      </c>
      <c r="K121" s="31" t="s">
        <v>89</v>
      </c>
      <c r="L121" s="31"/>
      <c r="M121" s="32" t="s">
        <v>58</v>
      </c>
      <c r="N121" s="3" t="s">
        <v>36</v>
      </c>
      <c r="O121" s="31" t="s">
        <v>120</v>
      </c>
      <c r="P121" s="32" t="s">
        <v>975</v>
      </c>
      <c r="Q121" s="32" t="s">
        <v>31</v>
      </c>
      <c r="R121" s="35" t="s">
        <v>126</v>
      </c>
      <c r="S121" s="36">
        <v>374320</v>
      </c>
      <c r="T121" s="2" t="s">
        <v>128</v>
      </c>
      <c r="U121" s="37">
        <v>0</v>
      </c>
      <c r="V121" s="37">
        <v>-1</v>
      </c>
      <c r="W121" s="38">
        <v>0</v>
      </c>
      <c r="X121" s="39">
        <v>0</v>
      </c>
    </row>
    <row r="122" spans="1:24" x14ac:dyDescent="0.25">
      <c r="A122" s="24" t="s">
        <v>762</v>
      </c>
      <c r="B122" s="2" t="s">
        <v>786</v>
      </c>
      <c r="C122" s="2" t="s">
        <v>806</v>
      </c>
      <c r="D122" s="32" t="s">
        <v>873</v>
      </c>
      <c r="E122" s="32" t="s">
        <v>874</v>
      </c>
      <c r="F122" s="26" t="s">
        <v>24</v>
      </c>
      <c r="G122" s="35" t="s">
        <v>40</v>
      </c>
      <c r="H122" s="35" t="s">
        <v>26</v>
      </c>
      <c r="I122" s="32" t="s">
        <v>926</v>
      </c>
      <c r="J122" s="25" t="s">
        <v>37</v>
      </c>
      <c r="K122" s="31" t="s">
        <v>89</v>
      </c>
      <c r="L122" s="31"/>
      <c r="M122" s="32" t="s">
        <v>39</v>
      </c>
      <c r="N122" s="3" t="s">
        <v>119</v>
      </c>
      <c r="O122" s="31" t="s">
        <v>120</v>
      </c>
      <c r="P122" s="32" t="s">
        <v>976</v>
      </c>
      <c r="Q122" s="32" t="s">
        <v>31</v>
      </c>
      <c r="R122" s="35" t="s">
        <v>126</v>
      </c>
      <c r="S122" s="36">
        <v>372030</v>
      </c>
      <c r="T122" s="2" t="s">
        <v>128</v>
      </c>
      <c r="U122" s="37">
        <v>9</v>
      </c>
      <c r="V122" s="37">
        <v>8</v>
      </c>
      <c r="W122" s="38">
        <v>0.42</v>
      </c>
      <c r="X122" s="39">
        <v>156252.6</v>
      </c>
    </row>
    <row r="123" spans="1:24" x14ac:dyDescent="0.25">
      <c r="A123" s="24" t="s">
        <v>763</v>
      </c>
      <c r="B123" s="2" t="s">
        <v>786</v>
      </c>
      <c r="C123" s="2" t="s">
        <v>875</v>
      </c>
      <c r="D123" s="32" t="s">
        <v>876</v>
      </c>
      <c r="E123" s="32" t="s">
        <v>877</v>
      </c>
      <c r="F123" s="26" t="s">
        <v>24</v>
      </c>
      <c r="G123" s="35" t="s">
        <v>40</v>
      </c>
      <c r="H123" s="35" t="s">
        <v>26</v>
      </c>
      <c r="I123" s="32" t="s">
        <v>927</v>
      </c>
      <c r="J123" s="25" t="s">
        <v>37</v>
      </c>
      <c r="K123" s="31" t="s">
        <v>89</v>
      </c>
      <c r="L123" s="31"/>
      <c r="M123" s="32" t="s">
        <v>39</v>
      </c>
      <c r="N123" s="3" t="s">
        <v>119</v>
      </c>
      <c r="O123" s="31" t="s">
        <v>120</v>
      </c>
      <c r="P123" s="32" t="s">
        <v>977</v>
      </c>
      <c r="Q123" s="32" t="s">
        <v>31</v>
      </c>
      <c r="R123" s="35" t="s">
        <v>126</v>
      </c>
      <c r="S123" s="36">
        <v>365190</v>
      </c>
      <c r="T123" s="2" t="s">
        <v>128</v>
      </c>
      <c r="U123" s="37">
        <v>0</v>
      </c>
      <c r="V123" s="37">
        <v>-1</v>
      </c>
      <c r="W123" s="38">
        <v>0</v>
      </c>
      <c r="X123" s="39">
        <v>0</v>
      </c>
    </row>
    <row r="124" spans="1:24" x14ac:dyDescent="0.25">
      <c r="A124" s="24" t="s">
        <v>765</v>
      </c>
      <c r="B124" s="2" t="s">
        <v>786</v>
      </c>
      <c r="C124" s="2" t="s">
        <v>806</v>
      </c>
      <c r="D124" s="32" t="s">
        <v>807</v>
      </c>
      <c r="E124" s="32" t="s">
        <v>880</v>
      </c>
      <c r="F124" s="26" t="s">
        <v>24</v>
      </c>
      <c r="G124" s="35" t="s">
        <v>40</v>
      </c>
      <c r="H124" s="35" t="s">
        <v>26</v>
      </c>
      <c r="I124" s="32" t="s">
        <v>901</v>
      </c>
      <c r="J124" s="25" t="s">
        <v>37</v>
      </c>
      <c r="K124" s="31" t="s">
        <v>89</v>
      </c>
      <c r="L124" s="31"/>
      <c r="M124" s="32" t="s">
        <v>39</v>
      </c>
      <c r="N124" s="3" t="s">
        <v>119</v>
      </c>
      <c r="O124" s="31" t="s">
        <v>120</v>
      </c>
      <c r="P124" s="32" t="s">
        <v>979</v>
      </c>
      <c r="Q124" s="32" t="s">
        <v>31</v>
      </c>
      <c r="R124" s="35" t="s">
        <v>126</v>
      </c>
      <c r="S124" s="36">
        <v>342360</v>
      </c>
      <c r="T124" s="2" t="s">
        <v>128</v>
      </c>
      <c r="U124" s="37">
        <v>0</v>
      </c>
      <c r="V124" s="37">
        <v>-1</v>
      </c>
      <c r="W124" s="38">
        <v>0</v>
      </c>
      <c r="X124" s="39">
        <v>0</v>
      </c>
    </row>
    <row r="125" spans="1:24" x14ac:dyDescent="0.25">
      <c r="A125" s="24" t="s">
        <v>767</v>
      </c>
      <c r="B125" s="2" t="s">
        <v>786</v>
      </c>
      <c r="C125" s="2" t="s">
        <v>779</v>
      </c>
      <c r="D125" s="32" t="s">
        <v>883</v>
      </c>
      <c r="E125" s="32" t="s">
        <v>884</v>
      </c>
      <c r="F125" s="26" t="s">
        <v>24</v>
      </c>
      <c r="G125" s="35" t="s">
        <v>40</v>
      </c>
      <c r="H125" s="35" t="s">
        <v>26</v>
      </c>
      <c r="I125" s="32" t="s">
        <v>926</v>
      </c>
      <c r="J125" s="25" t="s">
        <v>37</v>
      </c>
      <c r="K125" s="31" t="s">
        <v>89</v>
      </c>
      <c r="L125" s="31"/>
      <c r="M125" s="32" t="s">
        <v>39</v>
      </c>
      <c r="N125" s="3" t="s">
        <v>119</v>
      </c>
      <c r="O125" s="31" t="s">
        <v>120</v>
      </c>
      <c r="P125" s="32" t="s">
        <v>166</v>
      </c>
      <c r="Q125" s="32" t="s">
        <v>31</v>
      </c>
      <c r="R125" s="35" t="s">
        <v>126</v>
      </c>
      <c r="S125" s="36">
        <v>319540</v>
      </c>
      <c r="T125" s="2" t="s">
        <v>128</v>
      </c>
      <c r="U125" s="37">
        <v>10</v>
      </c>
      <c r="V125" s="37">
        <v>9</v>
      </c>
      <c r="W125" s="38">
        <v>0.42</v>
      </c>
      <c r="X125" s="39">
        <v>134206.79999999999</v>
      </c>
    </row>
    <row r="126" spans="1:24" x14ac:dyDescent="0.25">
      <c r="A126" s="24" t="s">
        <v>770</v>
      </c>
      <c r="B126" s="2" t="s">
        <v>786</v>
      </c>
      <c r="C126" s="2" t="s">
        <v>806</v>
      </c>
      <c r="D126" s="32" t="s">
        <v>889</v>
      </c>
      <c r="E126" s="32" t="s">
        <v>890</v>
      </c>
      <c r="F126" s="26" t="s">
        <v>24</v>
      </c>
      <c r="G126" s="35" t="s">
        <v>40</v>
      </c>
      <c r="H126" s="35" t="s">
        <v>26</v>
      </c>
      <c r="I126" s="32" t="s">
        <v>931</v>
      </c>
      <c r="J126" s="25" t="s">
        <v>27</v>
      </c>
      <c r="K126" s="31" t="s">
        <v>176</v>
      </c>
      <c r="L126" s="31" t="s">
        <v>40</v>
      </c>
      <c r="M126" s="32" t="s">
        <v>43</v>
      </c>
      <c r="N126" s="3" t="s">
        <v>44</v>
      </c>
      <c r="O126" s="31" t="s">
        <v>121</v>
      </c>
      <c r="P126" s="32" t="s">
        <v>982</v>
      </c>
      <c r="Q126" s="32" t="s">
        <v>45</v>
      </c>
      <c r="R126" s="35" t="s">
        <v>127</v>
      </c>
      <c r="S126" s="36">
        <v>305000</v>
      </c>
      <c r="T126" s="2" t="s">
        <v>46</v>
      </c>
      <c r="U126" s="37">
        <v>0</v>
      </c>
      <c r="V126" s="37">
        <v>-4</v>
      </c>
      <c r="W126" s="38">
        <v>0</v>
      </c>
      <c r="X126" s="39">
        <v>0</v>
      </c>
    </row>
  </sheetData>
  <hyperlinks>
    <hyperlink ref="J3" r:id="rId1" xr:uid="{56E409DE-0AEF-4858-AD8F-DCB8AE552241}"/>
    <hyperlink ref="M3" r:id="rId2" xr:uid="{A81AC538-2C2A-4A06-8DDC-7E0B9DDF40E5}"/>
    <hyperlink ref="Q3" r:id="rId3" xr:uid="{DF6D8DB9-2AA1-453F-B62B-EF40E942A4F3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CC62DA-9450-48B6-989D-4EC182FC5416}">
  <dimension ref="B1:G38"/>
  <sheetViews>
    <sheetView workbookViewId="0">
      <selection activeCell="K14" sqref="K14"/>
    </sheetView>
  </sheetViews>
  <sheetFormatPr defaultRowHeight="15" x14ac:dyDescent="0.25"/>
  <cols>
    <col min="2" max="2" width="19.7109375" style="48" bestFit="1" customWidth="1"/>
    <col min="3" max="3" width="6.28515625" style="48" customWidth="1"/>
    <col min="4" max="4" width="50" style="48" bestFit="1" customWidth="1"/>
    <col min="5" max="5" width="9.140625" style="48"/>
    <col min="6" max="6" width="10.140625" style="48" bestFit="1" customWidth="1"/>
    <col min="7" max="7" width="12.5703125" style="48" bestFit="1" customWidth="1"/>
  </cols>
  <sheetData>
    <row r="1" spans="2:7" x14ac:dyDescent="0.25">
      <c r="B1" s="58" t="s">
        <v>1377</v>
      </c>
      <c r="G1" s="53" t="s">
        <v>1370</v>
      </c>
    </row>
    <row r="2" spans="2:7" ht="48" x14ac:dyDescent="0.25">
      <c r="B2" s="49" t="s">
        <v>1</v>
      </c>
      <c r="C2" s="49" t="s">
        <v>5</v>
      </c>
      <c r="D2" s="49" t="s">
        <v>185</v>
      </c>
      <c r="E2" s="50" t="s">
        <v>12</v>
      </c>
      <c r="F2" s="42" t="s">
        <v>13</v>
      </c>
      <c r="G2" s="43" t="s">
        <v>18</v>
      </c>
    </row>
    <row r="3" spans="2:7" x14ac:dyDescent="0.25">
      <c r="B3" s="54" t="s">
        <v>786</v>
      </c>
      <c r="C3" s="45" t="str">
        <f>HYPERLINK("https://mapwv.gov/flood/map/?wkid=102100&amp;x=-9002137.473288327&amp;y=4812807.571654485&amp;l=13&amp;v=2","FT")</f>
        <v>FT</v>
      </c>
      <c r="D3" s="44" t="s">
        <v>894</v>
      </c>
      <c r="E3" s="44" t="s">
        <v>29</v>
      </c>
      <c r="F3" s="46" t="s">
        <v>30</v>
      </c>
      <c r="G3" s="47">
        <v>15000000</v>
      </c>
    </row>
    <row r="4" spans="2:7" x14ac:dyDescent="0.25">
      <c r="B4" s="54" t="s">
        <v>989</v>
      </c>
      <c r="C4" s="45" t="str">
        <f>HYPERLINK("https://mapwv.gov/flood/map/?wkid=102100&amp;x=-9001367.565092145&amp;y=4814664.5363883395&amp;l=13&amp;v=2","FT")</f>
        <v>FT</v>
      </c>
      <c r="D4" s="44" t="s">
        <v>891</v>
      </c>
      <c r="E4" s="44" t="s">
        <v>70</v>
      </c>
      <c r="F4" s="46" t="s">
        <v>30</v>
      </c>
      <c r="G4" s="47">
        <v>11226100</v>
      </c>
    </row>
    <row r="5" spans="2:7" x14ac:dyDescent="0.25">
      <c r="B5" s="54" t="s">
        <v>989</v>
      </c>
      <c r="C5" s="45" t="str">
        <f>HYPERLINK("https://mapwv.gov/flood/map/?wkid=102100&amp;x=-9001895.808803894&amp;y=4813715.074006065&amp;l=13&amp;v=2","FT")</f>
        <v>FT</v>
      </c>
      <c r="D5" s="44" t="s">
        <v>892</v>
      </c>
      <c r="E5" s="44" t="s">
        <v>74</v>
      </c>
      <c r="F5" s="46" t="s">
        <v>30</v>
      </c>
      <c r="G5" s="47">
        <v>7502100</v>
      </c>
    </row>
    <row r="6" spans="2:7" x14ac:dyDescent="0.25">
      <c r="B6" s="54" t="s">
        <v>990</v>
      </c>
      <c r="C6" s="45" t="str">
        <f>HYPERLINK("https://mapwv.gov/flood/map/?wkid=102100&amp;x=-8980957.193116818&amp;y=4802781.376526124&amp;l=13&amp;v=2","FT")</f>
        <v>FT</v>
      </c>
      <c r="D6" s="44" t="s">
        <v>69</v>
      </c>
      <c r="E6" s="44" t="s">
        <v>70</v>
      </c>
      <c r="F6" s="46" t="s">
        <v>30</v>
      </c>
      <c r="G6" s="47">
        <v>6471000</v>
      </c>
    </row>
    <row r="7" spans="2:7" x14ac:dyDescent="0.25">
      <c r="B7" s="54" t="s">
        <v>989</v>
      </c>
      <c r="C7" s="45" t="str">
        <f>HYPERLINK("https://mapwv.gov/flood/map/?wkid=102100&amp;x=-9001924.556617111&amp;y=4813628.860278632&amp;l=13&amp;v=2","FT")</f>
        <v>FT</v>
      </c>
      <c r="D7" s="44" t="s">
        <v>893</v>
      </c>
      <c r="E7" s="44" t="s">
        <v>174</v>
      </c>
      <c r="F7" s="46" t="s">
        <v>30</v>
      </c>
      <c r="G7" s="47">
        <v>5802800</v>
      </c>
    </row>
    <row r="8" spans="2:7" x14ac:dyDescent="0.25">
      <c r="B8" s="54" t="s">
        <v>989</v>
      </c>
      <c r="C8" s="45" t="str">
        <f>HYPERLINK("https://mapwv.gov/flood/map/?wkid=102100&amp;x=-9001238.047536276&amp;y=4816237.20799822&amp;l=13&amp;v=2","FT")</f>
        <v>FT</v>
      </c>
      <c r="D8" s="44" t="s">
        <v>384</v>
      </c>
      <c r="E8" s="44" t="s">
        <v>50</v>
      </c>
      <c r="F8" s="46" t="s">
        <v>36</v>
      </c>
      <c r="G8" s="47">
        <v>5180100</v>
      </c>
    </row>
    <row r="9" spans="2:7" x14ac:dyDescent="0.25">
      <c r="B9" s="54" t="s">
        <v>991</v>
      </c>
      <c r="C9" s="45" t="str">
        <f>HYPERLINK("https://mapwv.gov/flood/map/?wkid=102100&amp;x=-9002137.473288327&amp;y=4812807.571654485&amp;l=13&amp;v=2","FT")</f>
        <v>FT</v>
      </c>
      <c r="D9" s="44" t="s">
        <v>894</v>
      </c>
      <c r="E9" s="44" t="s">
        <v>29</v>
      </c>
      <c r="F9" s="46" t="s">
        <v>30</v>
      </c>
      <c r="G9" s="47">
        <v>5150200</v>
      </c>
    </row>
    <row r="10" spans="2:7" x14ac:dyDescent="0.25">
      <c r="B10" s="54" t="s">
        <v>815</v>
      </c>
      <c r="C10" s="45" t="str">
        <f>HYPERLINK("https://www.mapwv.gov/flood/map/?wkid=102100&amp;x=-8957107&amp;y=4821172&amp;l=12&amp;v=2","FT")</f>
        <v>FT</v>
      </c>
      <c r="D10" s="44" t="s">
        <v>1376</v>
      </c>
      <c r="E10" s="44" t="s">
        <v>29</v>
      </c>
      <c r="F10" s="46" t="s">
        <v>30</v>
      </c>
      <c r="G10" s="47">
        <v>3300000</v>
      </c>
    </row>
    <row r="11" spans="2:7" x14ac:dyDescent="0.25">
      <c r="B11" s="54" t="s">
        <v>989</v>
      </c>
      <c r="C11" s="45" t="str">
        <f>HYPERLINK("https://mapwv.gov/flood/map/?wkid=102100&amp;x=-9001973.74001717&amp;y=4813846.264201393&amp;l=13&amp;v=2","FT")</f>
        <v>FT</v>
      </c>
      <c r="D11" s="44" t="s">
        <v>896</v>
      </c>
      <c r="E11" s="44" t="s">
        <v>29</v>
      </c>
      <c r="F11" s="46" t="s">
        <v>30</v>
      </c>
      <c r="G11" s="47">
        <v>2218370</v>
      </c>
    </row>
    <row r="12" spans="2:7" x14ac:dyDescent="0.25">
      <c r="B12" s="54" t="s">
        <v>991</v>
      </c>
      <c r="C12" s="45" t="str">
        <f>HYPERLINK("https://mapwv.gov/flood/map/?wkid=102100&amp;x=-8959491.599754572&amp;y=4816925.344075707&amp;l=13&amp;v=2","FT")</f>
        <v>FT</v>
      </c>
      <c r="D12" s="44" t="s">
        <v>69</v>
      </c>
      <c r="E12" s="44" t="s">
        <v>70</v>
      </c>
      <c r="F12" s="46" t="s">
        <v>30</v>
      </c>
      <c r="G12" s="47">
        <v>1625700</v>
      </c>
    </row>
    <row r="13" spans="2:7" x14ac:dyDescent="0.25">
      <c r="B13" s="54" t="s">
        <v>1372</v>
      </c>
      <c r="C13" s="45" t="str">
        <f>HYPERLINK("https://mapwv.gov/flood/map/?wkid=102100&amp;x=-9009917.975104962&amp;y=4809108.979922747&amp;l=13&amp;v=2","FT")</f>
        <v>FT</v>
      </c>
      <c r="D13" s="44" t="s">
        <v>897</v>
      </c>
      <c r="E13" s="44" t="s">
        <v>29</v>
      </c>
      <c r="F13" s="46" t="s">
        <v>30</v>
      </c>
      <c r="G13" s="47">
        <v>1206600</v>
      </c>
    </row>
    <row r="14" spans="2:7" x14ac:dyDescent="0.25">
      <c r="B14" s="54" t="s">
        <v>989</v>
      </c>
      <c r="C14" s="45" t="str">
        <f>HYPERLINK("https://mapwv.gov/flood/map/?wkid=102100&amp;x=-9001173.105971735&amp;y=4814209.595978453&amp;l=13&amp;v=2","FT")</f>
        <v>FT</v>
      </c>
      <c r="D14" s="44" t="s">
        <v>898</v>
      </c>
      <c r="E14" s="44" t="s">
        <v>50</v>
      </c>
      <c r="F14" s="46" t="s">
        <v>36</v>
      </c>
      <c r="G14" s="47">
        <v>1179000</v>
      </c>
    </row>
    <row r="15" spans="2:7" x14ac:dyDescent="0.25">
      <c r="B15" s="54" t="s">
        <v>989</v>
      </c>
      <c r="C15" s="45" t="str">
        <f>HYPERLINK("https://mapwv.gov/flood/map/?wkid=102100&amp;x=-9001971.71845522&amp;y=4813765.475036478&amp;l=13&amp;v=2","FT")</f>
        <v>FT</v>
      </c>
      <c r="D15" s="44" t="s">
        <v>900</v>
      </c>
      <c r="E15" s="44" t="s">
        <v>48</v>
      </c>
      <c r="F15" s="46" t="s">
        <v>36</v>
      </c>
      <c r="G15" s="47">
        <v>764900</v>
      </c>
    </row>
    <row r="16" spans="2:7" x14ac:dyDescent="0.25">
      <c r="B16" s="54" t="s">
        <v>991</v>
      </c>
      <c r="C16" s="45" t="str">
        <f>HYPERLINK("https://mapwv.gov/flood/map/?wkid=102100&amp;x=-8965459.170155263&amp;y=4790778.421626085&amp;l=13&amp;v=2","FT")</f>
        <v>FT</v>
      </c>
      <c r="D16" s="44" t="s">
        <v>901</v>
      </c>
      <c r="E16" s="44" t="s">
        <v>58</v>
      </c>
      <c r="F16" s="46" t="s">
        <v>36</v>
      </c>
      <c r="G16" s="47">
        <v>718960</v>
      </c>
    </row>
    <row r="17" spans="2:7" x14ac:dyDescent="0.25">
      <c r="B17" s="54" t="s">
        <v>989</v>
      </c>
      <c r="C17" s="45" t="str">
        <f>HYPERLINK("https://mapwv.gov/flood/map/?wkid=102100&amp;x=-9001807.932641258&amp;y=4814096.515149314&amp;l=13&amp;v=2","FT")</f>
        <v>FT</v>
      </c>
      <c r="D17" s="44" t="s">
        <v>902</v>
      </c>
      <c r="E17" s="44" t="s">
        <v>50</v>
      </c>
      <c r="F17" s="46" t="s">
        <v>36</v>
      </c>
      <c r="G17" s="47">
        <v>686500</v>
      </c>
    </row>
    <row r="18" spans="2:7" x14ac:dyDescent="0.25">
      <c r="B18" s="54" t="s">
        <v>991</v>
      </c>
      <c r="C18" s="45" t="str">
        <f>HYPERLINK("https://mapwv.gov/flood/map/?wkid=102100&amp;x=-8965436.532223616&amp;y=4790725.506770982&amp;l=13&amp;v=2","FT")</f>
        <v>FT</v>
      </c>
      <c r="D18" s="44" t="s">
        <v>901</v>
      </c>
      <c r="E18" s="44" t="s">
        <v>39</v>
      </c>
      <c r="F18" s="46" t="s">
        <v>36</v>
      </c>
      <c r="G18" s="47">
        <v>684720</v>
      </c>
    </row>
    <row r="19" spans="2:7" x14ac:dyDescent="0.25">
      <c r="B19" s="54" t="s">
        <v>991</v>
      </c>
      <c r="C19" s="45" t="str">
        <f>HYPERLINK("https://mapwv.gov/flood/map/?wkid=102100&amp;x=-8965471.864139438&amp;y=4790736.56514612&amp;l=13&amp;v=2","FT")</f>
        <v>FT</v>
      </c>
      <c r="D19" s="44" t="s">
        <v>901</v>
      </c>
      <c r="E19" s="44" t="s">
        <v>39</v>
      </c>
      <c r="F19" s="46" t="s">
        <v>36</v>
      </c>
      <c r="G19" s="47">
        <v>684720</v>
      </c>
    </row>
    <row r="20" spans="2:7" x14ac:dyDescent="0.25">
      <c r="B20" s="54" t="s">
        <v>1372</v>
      </c>
      <c r="C20" s="45" t="str">
        <f>HYPERLINK("https://mapwv.gov/flood/map/?wkid=102100&amp;x=-9009663.102674257&amp;y=4809096.960326081&amp;l=13&amp;v=2","FT")</f>
        <v>FT</v>
      </c>
      <c r="D20" s="44" t="s">
        <v>903</v>
      </c>
      <c r="E20" s="44" t="s">
        <v>114</v>
      </c>
      <c r="F20" s="46" t="s">
        <v>36</v>
      </c>
      <c r="G20" s="47">
        <v>681200</v>
      </c>
    </row>
    <row r="21" spans="2:7" x14ac:dyDescent="0.25">
      <c r="B21" s="54" t="s">
        <v>1371</v>
      </c>
      <c r="C21" s="45" t="str">
        <f>HYPERLINK("https://mapwv.gov/flood/map/?wkid=102100&amp;x=-8956623.409882326&amp;y=4819998.549625637&amp;l=13&amp;v=2","FT")</f>
        <v>FT</v>
      </c>
      <c r="D21" s="44" t="s">
        <v>904</v>
      </c>
      <c r="E21" s="44" t="s">
        <v>48</v>
      </c>
      <c r="F21" s="46" t="s">
        <v>36</v>
      </c>
      <c r="G21" s="47">
        <v>661100</v>
      </c>
    </row>
    <row r="22" spans="2:7" x14ac:dyDescent="0.25">
      <c r="B22" s="54" t="s">
        <v>991</v>
      </c>
      <c r="C22" s="45" t="str">
        <f>HYPERLINK("https://mapwv.gov/flood/map/?wkid=102100&amp;x=-8982879.88911291&amp;y=4802675.488579946&amp;l=13&amp;v=2","FT")</f>
        <v>FT</v>
      </c>
      <c r="D22" s="44" t="s">
        <v>905</v>
      </c>
      <c r="E22" s="44" t="s">
        <v>50</v>
      </c>
      <c r="F22" s="46" t="s">
        <v>36</v>
      </c>
      <c r="G22" s="47">
        <v>637200</v>
      </c>
    </row>
    <row r="23" spans="2:7" x14ac:dyDescent="0.25">
      <c r="B23" s="54" t="s">
        <v>991</v>
      </c>
      <c r="C23" s="45" t="str">
        <f>HYPERLINK("https://mapwv.gov/flood/map/?wkid=102100&amp;x=-8980492.41264678&amp;y=4801003.899807543&amp;l=13&amp;v=2","FT")</f>
        <v>FT</v>
      </c>
      <c r="D23" s="44" t="s">
        <v>734</v>
      </c>
      <c r="E23" s="44" t="s">
        <v>39</v>
      </c>
      <c r="F23" s="46" t="s">
        <v>36</v>
      </c>
      <c r="G23" s="47">
        <v>625520</v>
      </c>
    </row>
    <row r="24" spans="2:7" x14ac:dyDescent="0.25">
      <c r="B24" s="54" t="s">
        <v>989</v>
      </c>
      <c r="C24" s="45" t="str">
        <f>HYPERLINK("https://mapwv.gov/flood/map/?wkid=102100&amp;x=-9001014.002144244&amp;y=4814209.136552735&amp;l=13&amp;v=2","FT")</f>
        <v>FT</v>
      </c>
      <c r="D24" s="44" t="s">
        <v>906</v>
      </c>
      <c r="E24" s="44" t="s">
        <v>48</v>
      </c>
      <c r="F24" s="46" t="s">
        <v>36</v>
      </c>
      <c r="G24" s="47">
        <v>584900</v>
      </c>
    </row>
    <row r="25" spans="2:7" x14ac:dyDescent="0.25">
      <c r="B25" s="54" t="s">
        <v>989</v>
      </c>
      <c r="C25" s="45" t="str">
        <f>HYPERLINK("https://mapwv.gov/flood/map/?wkid=102100&amp;x=-9001253.70005856&amp;y=4817102.863472505&amp;l=13&amp;v=2","FT")</f>
        <v>FT</v>
      </c>
      <c r="D25" s="44" t="s">
        <v>907</v>
      </c>
      <c r="E25" s="44" t="s">
        <v>73</v>
      </c>
      <c r="F25" s="46" t="s">
        <v>36</v>
      </c>
      <c r="G25" s="47">
        <v>577200</v>
      </c>
    </row>
    <row r="26" spans="2:7" x14ac:dyDescent="0.25">
      <c r="B26" s="54" t="s">
        <v>989</v>
      </c>
      <c r="C26" s="45" t="str">
        <f>HYPERLINK("https://mapwv.gov/flood/map/?wkid=102100&amp;x=-9001306.699936038&amp;y=4813025.114553458&amp;l=13&amp;v=2","FT")</f>
        <v>FT</v>
      </c>
      <c r="D26" s="44" t="s">
        <v>909</v>
      </c>
      <c r="E26" s="44" t="s">
        <v>29</v>
      </c>
      <c r="F26" s="46" t="s">
        <v>30</v>
      </c>
      <c r="G26" s="47">
        <v>561300</v>
      </c>
    </row>
    <row r="27" spans="2:7" x14ac:dyDescent="0.25">
      <c r="B27" s="54" t="s">
        <v>990</v>
      </c>
      <c r="C27" s="45" t="str">
        <f>HYPERLINK("https://mapwv.gov/flood/map/?wkid=102100&amp;x=-8980981.203617787&amp;y=4804062.495502606&amp;l=13&amp;v=2","FT")</f>
        <v>FT</v>
      </c>
      <c r="D27" s="44" t="s">
        <v>910</v>
      </c>
      <c r="E27" s="44" t="s">
        <v>29</v>
      </c>
      <c r="F27" s="46" t="s">
        <v>30</v>
      </c>
      <c r="G27" s="47">
        <v>552800</v>
      </c>
    </row>
    <row r="28" spans="2:7" x14ac:dyDescent="0.25">
      <c r="B28" s="54" t="s">
        <v>989</v>
      </c>
      <c r="C28" s="45" t="str">
        <f>HYPERLINK("https://mapwv.gov/flood/map/?wkid=102100&amp;x=-9001916.466695752&amp;y=4814240.265222351&amp;l=13&amp;v=2","FT")</f>
        <v>FT</v>
      </c>
      <c r="D28" s="44" t="s">
        <v>911</v>
      </c>
      <c r="E28" s="44" t="s">
        <v>68</v>
      </c>
      <c r="F28" s="46" t="s">
        <v>30</v>
      </c>
      <c r="G28" s="47">
        <v>543400</v>
      </c>
    </row>
    <row r="29" spans="2:7" x14ac:dyDescent="0.25">
      <c r="B29" s="54" t="s">
        <v>989</v>
      </c>
      <c r="C29" s="45" t="str">
        <f>HYPERLINK("https://mapwv.gov/flood/map/?wkid=102100&amp;x=-9001780.709459787&amp;y=4813844.32132641&amp;l=13&amp;v=2","FT")</f>
        <v>FT</v>
      </c>
      <c r="D29" s="44" t="s">
        <v>912</v>
      </c>
      <c r="E29" s="44" t="s">
        <v>70</v>
      </c>
      <c r="F29" s="46" t="s">
        <v>30</v>
      </c>
      <c r="G29" s="47">
        <v>540900</v>
      </c>
    </row>
    <row r="30" spans="2:7" x14ac:dyDescent="0.25">
      <c r="B30" s="54" t="s">
        <v>989</v>
      </c>
      <c r="C30" s="45" t="str">
        <f>HYPERLINK("https://mapwv.gov/flood/map/?wkid=102100&amp;x=-9001644.617597425&amp;y=4814981.2143442845&amp;l=13&amp;v=2","FT")</f>
        <v>FT</v>
      </c>
      <c r="D30" s="44" t="s">
        <v>913</v>
      </c>
      <c r="E30" s="44" t="s">
        <v>57</v>
      </c>
      <c r="F30" s="46" t="s">
        <v>36</v>
      </c>
      <c r="G30" s="47">
        <v>540600</v>
      </c>
    </row>
    <row r="31" spans="2:7" x14ac:dyDescent="0.25">
      <c r="B31" s="54" t="s">
        <v>1371</v>
      </c>
      <c r="C31" s="45" t="str">
        <f>HYPERLINK("https://mapwv.gov/flood/map/?wkid=102100&amp;x=-8956355.01269009&amp;y=4820176.016595813&amp;l=13&amp;v=2","FT")</f>
        <v>FT</v>
      </c>
      <c r="D31" s="44" t="s">
        <v>914</v>
      </c>
      <c r="E31" s="44" t="s">
        <v>74</v>
      </c>
      <c r="F31" s="46" t="s">
        <v>30</v>
      </c>
      <c r="G31" s="47">
        <v>538200</v>
      </c>
    </row>
    <row r="32" spans="2:7" x14ac:dyDescent="0.25">
      <c r="B32" s="54" t="s">
        <v>989</v>
      </c>
      <c r="C32" s="45" t="str">
        <f>HYPERLINK("https://mapwv.gov/flood/map/?wkid=102100&amp;x=-9000429.74958918&amp;y=4812865.919382711&amp;l=13&amp;v=2","FT")</f>
        <v>FT</v>
      </c>
      <c r="D32" s="44" t="s">
        <v>915</v>
      </c>
      <c r="E32" s="44" t="s">
        <v>73</v>
      </c>
      <c r="F32" s="46" t="s">
        <v>36</v>
      </c>
      <c r="G32" s="47">
        <v>536400</v>
      </c>
    </row>
    <row r="33" spans="2:7" x14ac:dyDescent="0.25">
      <c r="B33" s="54" t="s">
        <v>989</v>
      </c>
      <c r="C33" s="45" t="str">
        <f>HYPERLINK("https://mapwv.gov/flood/map/?wkid=102100&amp;x=-9001967.140775116&amp;y=4813868.184309828&amp;l=13&amp;v=2","FT")</f>
        <v>FT</v>
      </c>
      <c r="D33" s="44" t="s">
        <v>896</v>
      </c>
      <c r="E33" s="44" t="s">
        <v>74</v>
      </c>
      <c r="F33" s="46" t="s">
        <v>30</v>
      </c>
      <c r="G33" s="47">
        <v>529150</v>
      </c>
    </row>
    <row r="34" spans="2:7" x14ac:dyDescent="0.25">
      <c r="B34" s="54" t="s">
        <v>991</v>
      </c>
      <c r="C34" s="45" t="str">
        <f>HYPERLINK("https://mapwv.gov/flood/map/?wkid=102100&amp;x=-8987042.015780566&amp;y=4803571.543259468&amp;l=13&amp;v=2","FT")</f>
        <v>FT</v>
      </c>
      <c r="D34" s="44" t="s">
        <v>916</v>
      </c>
      <c r="E34" s="44" t="s">
        <v>58</v>
      </c>
      <c r="F34" s="46" t="s">
        <v>36</v>
      </c>
      <c r="G34" s="47">
        <v>509000</v>
      </c>
    </row>
    <row r="35" spans="2:7" x14ac:dyDescent="0.25">
      <c r="B35" s="54" t="s">
        <v>989</v>
      </c>
      <c r="C35" s="45" t="str">
        <f>HYPERLINK("https://mapwv.gov/flood/map/?wkid=102100&amp;x=-9001954.594957186&amp;y=4813906.580827522&amp;l=13&amp;v=2","FT")</f>
        <v>FT</v>
      </c>
      <c r="D35" s="44" t="s">
        <v>917</v>
      </c>
      <c r="E35" s="44" t="s">
        <v>29</v>
      </c>
      <c r="F35" s="46" t="s">
        <v>30</v>
      </c>
      <c r="G35" s="47">
        <v>501500</v>
      </c>
    </row>
    <row r="37" spans="2:7" x14ac:dyDescent="0.25">
      <c r="B37" s="55" t="s">
        <v>992</v>
      </c>
    </row>
    <row r="38" spans="2:7" x14ac:dyDescent="0.25">
      <c r="B38" s="55" t="s">
        <v>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MARSHALL</vt:lpstr>
      <vt:lpstr>MARSHALL (NON_RES &gt; 800K)</vt:lpstr>
      <vt:lpstr>OHIO</vt:lpstr>
      <vt:lpstr>OHIO (NON_RES &gt; 2000K)</vt:lpstr>
      <vt:lpstr>WETZEL</vt:lpstr>
      <vt:lpstr>WETZEL (NON_RES &gt; 500K)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Maneesh Sharma</dc:creator>
  <cp:lastModifiedBy>Behrang Bidadian </cp:lastModifiedBy>
  <dcterms:created xsi:type="dcterms:W3CDTF">2021-08-18T19:44:08Z</dcterms:created>
  <dcterms:modified xsi:type="dcterms:W3CDTF">2021-12-07T16:13:41Z</dcterms:modified>
</cp:coreProperties>
</file>