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11\"/>
    </mc:Choice>
  </mc:AlternateContent>
  <xr:revisionPtr revIDLastSave="0" documentId="13_ncr:1_{92A29606-4275-4E11-8275-B39F17332826}" xr6:coauthVersionLast="44" xr6:coauthVersionMax="44" xr10:uidLastSave="{00000000-0000-0000-0000-000000000000}"/>
  <bookViews>
    <workbookView xWindow="-108" yWindow="-108" windowWidth="23256" windowHeight="12576" tabRatio="735" xr2:uid="{00000000-000D-0000-FFFF-FFFF00000000}"/>
  </bookViews>
  <sheets>
    <sheet name="BROOKE" sheetId="34" r:id="rId1"/>
    <sheet name="HANCOCK" sheetId="35" r:id="rId2"/>
    <sheet name="BROOKE (NON_RES &gt; 500K)" sheetId="36" r:id="rId3"/>
    <sheet name="HANCOCK (NON_RES &gt; 300K)" sheetId="37" r:id="rId4"/>
  </sheets>
  <definedNames>
    <definedName name="_xlnm._FilterDatabase" localSheetId="2" hidden="1">'BROOKE (NON_RES &gt; 500K)'!$B$2:$G$28</definedName>
    <definedName name="_xlnm._FilterDatabase" localSheetId="3" hidden="1">'HANCOCK (NON_RES &gt; 300K)'!$B$2:$G$26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7" l="1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F8" i="35"/>
  <c r="F7" i="35"/>
  <c r="F9" i="35"/>
  <c r="F10" i="35"/>
  <c r="F11" i="35"/>
  <c r="F12" i="35"/>
  <c r="F14" i="35"/>
  <c r="F15" i="35"/>
  <c r="F13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7" i="34"/>
  <c r="F10" i="34"/>
  <c r="F8" i="34"/>
  <c r="F9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</calcChain>
</file>

<file path=xl/sharedStrings.xml><?xml version="1.0" encoding="utf-8"?>
<sst xmlns="http://schemas.openxmlformats.org/spreadsheetml/2006/main" count="1946" uniqueCount="623">
  <si>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</si>
  <si>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</si>
  <si>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</si>
  <si>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</si>
  <si>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</si>
  <si>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</si>
  <si>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</si>
  <si>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</si>
  <si>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</si>
  <si>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</si>
  <si>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</si>
  <si>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</si>
  <si>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</si>
  <si>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</si>
  <si>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</si>
  <si>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</si>
  <si>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</si>
  <si>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</si>
  <si>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</si>
  <si>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</si>
  <si>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</si>
  <si>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</si>
  <si>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</si>
  <si>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</si>
  <si>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</si>
  <si>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</si>
  <si>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</si>
  <si>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</si>
  <si>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</si>
  <si>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</si>
  <si>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</si>
  <si>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</si>
  <si>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</si>
  <si>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</si>
  <si>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</si>
  <si>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D+</t>
  </si>
  <si>
    <t>A</t>
  </si>
  <si>
    <t>Pre-FIRM</t>
  </si>
  <si>
    <t>RES1</t>
  </si>
  <si>
    <t>Residential</t>
  </si>
  <si>
    <t>Basement</t>
  </si>
  <si>
    <t>Assessment (IAS)</t>
  </si>
  <si>
    <t>B</t>
  </si>
  <si>
    <t>B-</t>
  </si>
  <si>
    <t>COM1</t>
  </si>
  <si>
    <t>A-</t>
  </si>
  <si>
    <t>C-</t>
  </si>
  <si>
    <t>B+</t>
  </si>
  <si>
    <t>COM8</t>
  </si>
  <si>
    <t>D</t>
  </si>
  <si>
    <t>Updated AE</t>
  </si>
  <si>
    <t>COM4</t>
  </si>
  <si>
    <t>C+</t>
  </si>
  <si>
    <t>REL1</t>
  </si>
  <si>
    <t>EDU1</t>
  </si>
  <si>
    <t>Insurance (BRIM)</t>
  </si>
  <si>
    <t>RES4</t>
  </si>
  <si>
    <t>COM2</t>
  </si>
  <si>
    <t>GOV2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</si>
  <si>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</si>
  <si>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</si>
  <si>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</si>
  <si>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</si>
  <si>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</si>
  <si>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</si>
  <si>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</si>
  <si>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</si>
  <si>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1999</t>
  </si>
  <si>
    <t>1978</t>
  </si>
  <si>
    <t>2005</t>
  </si>
  <si>
    <t>1970</t>
  </si>
  <si>
    <t>2006</t>
  </si>
  <si>
    <t>1997</t>
  </si>
  <si>
    <t>1960</t>
  </si>
  <si>
    <t>1996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</si>
  <si>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</si>
  <si>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</si>
  <si>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</si>
  <si>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</si>
  <si>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</si>
  <si>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</si>
  <si>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</si>
  <si>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</si>
  <si>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</si>
  <si>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</si>
  <si>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2001</t>
  </si>
  <si>
    <t>1975</t>
  </si>
  <si>
    <t>2012</t>
  </si>
  <si>
    <t>2007</t>
  </si>
  <si>
    <t>2009</t>
  </si>
  <si>
    <t>1972</t>
  </si>
  <si>
    <t>1900</t>
  </si>
  <si>
    <t>Post-FIRM construction regulated to Pre-FIRM (Mapped into SFHA)</t>
  </si>
  <si>
    <t>(Higher than $200,000)</t>
  </si>
  <si>
    <t>Owner Name or Building ID</t>
  </si>
  <si>
    <t>New utility changes applied manually</t>
  </si>
  <si>
    <t>9999</t>
  </si>
  <si>
    <t>2000</t>
  </si>
  <si>
    <t>1993</t>
  </si>
  <si>
    <t>2011</t>
  </si>
  <si>
    <t>2002</t>
  </si>
  <si>
    <t>1954</t>
  </si>
  <si>
    <t>1980</t>
  </si>
  <si>
    <t>1920</t>
  </si>
  <si>
    <t>2016</t>
  </si>
  <si>
    <t>Yes</t>
  </si>
  <si>
    <t>1987</t>
  </si>
  <si>
    <t>1981</t>
  </si>
  <si>
    <t>1974</t>
  </si>
  <si>
    <t>RES3F</t>
  </si>
  <si>
    <t>RES3B</t>
  </si>
  <si>
    <t>COM5</t>
  </si>
  <si>
    <t>3</t>
  </si>
  <si>
    <t>6400</t>
  </si>
  <si>
    <t>2013</t>
  </si>
  <si>
    <t>1989</t>
  </si>
  <si>
    <t>X-</t>
  </si>
  <si>
    <t>1930</t>
  </si>
  <si>
    <t>1965</t>
  </si>
  <si>
    <t>1966</t>
  </si>
  <si>
    <t>6720</t>
  </si>
  <si>
    <t>COM9</t>
  </si>
  <si>
    <t>1910</t>
  </si>
  <si>
    <t>5</t>
  </si>
  <si>
    <t>1968</t>
  </si>
  <si>
    <t>IND4</t>
  </si>
  <si>
    <t>5600</t>
  </si>
  <si>
    <t>2755</t>
  </si>
  <si>
    <t>2638</t>
  </si>
  <si>
    <t>(Higher than $500,000)</t>
  </si>
  <si>
    <t>05-06-0W2R-0068-0000_4502</t>
  </si>
  <si>
    <t>05-07-W22F-0143-0000_2400</t>
  </si>
  <si>
    <t>05-07-W22P-0100-0000_1447</t>
  </si>
  <si>
    <t>05-01-BB36-0001-0000_9999</t>
  </si>
  <si>
    <t>05-06-0W2H-0132-0000_3744</t>
  </si>
  <si>
    <t>05-06-0W2H-0128-0000_3720</t>
  </si>
  <si>
    <t>05-07-W27B-0055-0000_201</t>
  </si>
  <si>
    <t>05-07-W27B-0055-0000_632</t>
  </si>
  <si>
    <t>05-01-BB31-0005-0001_10513</t>
  </si>
  <si>
    <t>05-07-W22P-0055-0000_50</t>
  </si>
  <si>
    <t>05-05-F14L-0109-0000_1048</t>
  </si>
  <si>
    <t>05-06-00W2-0014-0000_786</t>
  </si>
  <si>
    <t>05-07-W27B-0009-0000_44</t>
  </si>
  <si>
    <t>05-06-00W1-0002-0001_3035</t>
  </si>
  <si>
    <t>05-04-0CC2-0002-0000_105</t>
  </si>
  <si>
    <t>05-06-00W1-0002-0002_9999</t>
  </si>
  <si>
    <t>05-07-W27B-0122-0000_745</t>
  </si>
  <si>
    <t>05-07-W27B-0075-0000_950</t>
  </si>
  <si>
    <t>05-07-W27B-0157-0000_744</t>
  </si>
  <si>
    <t>05-06-0W2M-0260-0000_4140</t>
  </si>
  <si>
    <t>05-06-0W2R-0061-0000_4224</t>
  </si>
  <si>
    <t>05-05-F14L-0015-0000_955</t>
  </si>
  <si>
    <t>05-04-CC18-0040-0000_16470</t>
  </si>
  <si>
    <t>05-01-B36B-0115-0003_113</t>
  </si>
  <si>
    <t>05-07-W27B-0233-0000_126</t>
  </si>
  <si>
    <t>05-05-F14M-0007-0000_1017</t>
  </si>
  <si>
    <t>05-07-W27B-0173-0000_834</t>
  </si>
  <si>
    <t>05-07-W22B-0001-0000_60</t>
  </si>
  <si>
    <t>05-07-W27B-0021-0000_945</t>
  </si>
  <si>
    <t>05-07-W22P-0166-0000_1300</t>
  </si>
  <si>
    <t>05-05-F14L-0014-0000_971</t>
  </si>
  <si>
    <t>05-07-W22P-0187-0000_1511</t>
  </si>
  <si>
    <t>05-06-0W2H-0146-0000_3644</t>
  </si>
  <si>
    <t>05-07-W27F-0062-0000_225</t>
  </si>
  <si>
    <t>05-01-BB31-0046-0000_10416</t>
  </si>
  <si>
    <t>05-07-W27B-0098-0000_1125</t>
  </si>
  <si>
    <t>05-06-0W2H-0127-0000_3662</t>
  </si>
  <si>
    <t>05-07-W27B-0007-0000_30</t>
  </si>
  <si>
    <t>05-07-W27B-0224-0000_89</t>
  </si>
  <si>
    <t>05-07-W22P-0170-0000_1215</t>
  </si>
  <si>
    <t>05-07-W27F-0141-0000_124</t>
  </si>
  <si>
    <t>05-07-W27B-0078-0000_1030</t>
  </si>
  <si>
    <t>05-07-W22K-0270-0000_1625</t>
  </si>
  <si>
    <t>05-07-W27F-0132-0000_600</t>
  </si>
  <si>
    <t>05-01-B36B-0115-0001_214</t>
  </si>
  <si>
    <t>05-07-W27B-0061-0000_746</t>
  </si>
  <si>
    <t>05-06-0W3F-0002-0000_844</t>
  </si>
  <si>
    <t>05-07-W27B-0209-0000_1121</t>
  </si>
  <si>
    <t>05-05-F14M-0231-0000_1002</t>
  </si>
  <si>
    <t>05-07-W22K-0347-0000_1704</t>
  </si>
  <si>
    <t>05-07-W27B-0264-0000_125</t>
  </si>
  <si>
    <t>05-05-F14L-0103-0000_1000</t>
  </si>
  <si>
    <t>05-07-W27B-0231-0000_1209</t>
  </si>
  <si>
    <t>05-02-B43G-0016-0000_326</t>
  </si>
  <si>
    <t>05-07-W22K-0226-0000_71</t>
  </si>
  <si>
    <t>05-07-W22P-0209-0000_1420</t>
  </si>
  <si>
    <t>05-07-W22P-0123-0000_1515</t>
  </si>
  <si>
    <t>05-05-F14L-0087-0000_872</t>
  </si>
  <si>
    <t>05-04-CC7S-0036-0000_231</t>
  </si>
  <si>
    <t>05-05-F14M-0263-0000_701</t>
  </si>
  <si>
    <t>05-07-W22P-0174-0000_1411</t>
  </si>
  <si>
    <t>05-07-W22K-0182-0000_9999</t>
  </si>
  <si>
    <t>05-07-W27B-0056-0000_55</t>
  </si>
  <si>
    <t>City of Weirton</t>
  </si>
  <si>
    <t>City of Wellsburg</t>
  </si>
  <si>
    <t>Village of Beech Bottom</t>
  </si>
  <si>
    <t>City of Follansbee</t>
  </si>
  <si>
    <t>Brooke County</t>
  </si>
  <si>
    <t>Town of Bethany</t>
  </si>
  <si>
    <t>Harmon Creek</t>
  </si>
  <si>
    <t>Ohio River</t>
  </si>
  <si>
    <t>Cross Creek</t>
  </si>
  <si>
    <t>Buffalo Creek</t>
  </si>
  <si>
    <t>05-06-0W2R-0068-0000</t>
  </si>
  <si>
    <t>05-07-W22F-0143-0000</t>
  </si>
  <si>
    <t>05-07-W22P-0100-0000</t>
  </si>
  <si>
    <t>05-01-BB36-0001-0000</t>
  </si>
  <si>
    <t>05-06-0W2H-0132-0000</t>
  </si>
  <si>
    <t>05-06-0W2H-0128-0000</t>
  </si>
  <si>
    <t>05-07-W27B-0055-0000</t>
  </si>
  <si>
    <t>05-01-BB31-0005-0001</t>
  </si>
  <si>
    <t>05-07-W22P-0055-0000</t>
  </si>
  <si>
    <t>05-05-F14L-0109-0000</t>
  </si>
  <si>
    <t>05-06-00W2-0014-0000</t>
  </si>
  <si>
    <t>05-07-W27B-0009-0000</t>
  </si>
  <si>
    <t>05-06-00W1-0002-0001</t>
  </si>
  <si>
    <t>05-04-0CC2-0002-0000</t>
  </si>
  <si>
    <t>05-06-00W1-0002-0002</t>
  </si>
  <si>
    <t>05-07-W27B-0122-0000</t>
  </si>
  <si>
    <t>05-07-W27B-0075-0000</t>
  </si>
  <si>
    <t>05-07-W27B-0157-0000</t>
  </si>
  <si>
    <t>05-06-0W2M-0260-0000</t>
  </si>
  <si>
    <t>05-06-0W2R-0061-0000</t>
  </si>
  <si>
    <t>05-05-F14L-0015-0000</t>
  </si>
  <si>
    <t>05-04-CC18-0040-0000</t>
  </si>
  <si>
    <t>05-01-B36B-0115-0003</t>
  </si>
  <si>
    <t>05-07-W27B-0233-0000</t>
  </si>
  <si>
    <t>05-05-F14M-0007-0000</t>
  </si>
  <si>
    <t>05-07-W27B-0173-0000</t>
  </si>
  <si>
    <t>05-07-W22B-0001-0000</t>
  </si>
  <si>
    <t>05-07-W27B-0021-0000</t>
  </si>
  <si>
    <t>05-07-W22P-0166-0000</t>
  </si>
  <si>
    <t>05-05-F14L-0014-0000</t>
  </si>
  <si>
    <t>05-07-W22P-0187-0000</t>
  </si>
  <si>
    <t>05-06-0W2H-0146-0000</t>
  </si>
  <si>
    <t>05-07-W27F-0062-0000</t>
  </si>
  <si>
    <t>05-01-BB31-0046-0000</t>
  </si>
  <si>
    <t>05-07-W27B-0098-0000</t>
  </si>
  <si>
    <t>05-06-0W2H-0127-0000</t>
  </si>
  <si>
    <t>05-07-W27B-0007-0000</t>
  </si>
  <si>
    <t>05-07-W27B-0224-0000</t>
  </si>
  <si>
    <t>05-07-W22P-0170-0000</t>
  </si>
  <si>
    <t>05-07-W27F-0141-0000</t>
  </si>
  <si>
    <t>05-07-W27B-0078-0000</t>
  </si>
  <si>
    <t>05-07-W22K-0270-0000</t>
  </si>
  <si>
    <t>05-07-W27F-0132-0000</t>
  </si>
  <si>
    <t>05-01-B36B-0115-0001</t>
  </si>
  <si>
    <t>05-07-W27B-0061-0000</t>
  </si>
  <si>
    <t>05-06-0W3F-0002-0000</t>
  </si>
  <si>
    <t>05-07-W27B-0209-0000</t>
  </si>
  <si>
    <t>05-05-F14M-0231-0000</t>
  </si>
  <si>
    <t>05-07-W22K-0347-0000</t>
  </si>
  <si>
    <t>05-07-W27B-0264-0000</t>
  </si>
  <si>
    <t>05-05-F14L-0103-0000</t>
  </si>
  <si>
    <t>05-07-W27B-0231-0000</t>
  </si>
  <si>
    <t>05-02-B43G-0016-0000</t>
  </si>
  <si>
    <t>05-07-W22K-0226-0000</t>
  </si>
  <si>
    <t>05-07-W22P-0209-0000</t>
  </si>
  <si>
    <t>05-07-W22P-0123-0000</t>
  </si>
  <si>
    <t>05-05-F14L-0087-0000</t>
  </si>
  <si>
    <t>05-04-CC7S-0036-0000</t>
  </si>
  <si>
    <t>05-05-F14M-0263-0000</t>
  </si>
  <si>
    <t>05-07-W22P-0174-0000</t>
  </si>
  <si>
    <t>05-07-W22K-0182-0000</t>
  </si>
  <si>
    <t>05-07-W27B-0056-0000</t>
  </si>
  <si>
    <t>4502 FREEDOM WAY, WEIRTON, WV, 46240</t>
  </si>
  <si>
    <t>2400 CHARLES ST, WELLSBURG, WV, 26070</t>
  </si>
  <si>
    <t>1447 MAIN ST, WELLSBURG, WV, 26070</t>
  </si>
  <si>
    <t>9999 RIVER RD, BEECH BOTTOM, WV, 26003</t>
  </si>
  <si>
    <t>3744 MAIN ST, WEIRTON, WV, 25301</t>
  </si>
  <si>
    <t>3720 MAIN ST, WEIRTON, WV, 43215</t>
  </si>
  <si>
    <t>201 COURTHOUSE SQ, WELLSBURG, WV, 26070</t>
  </si>
  <si>
    <t>632 MAIN ST, WELLSBURG, WV, 26070</t>
  </si>
  <si>
    <t>10513 RIVER RD, WELLSBURG, WV, 26003</t>
  </si>
  <si>
    <t>50 15TH, WELLSBURG, WV, 26070</t>
  </si>
  <si>
    <t>1048 MAIN ST, FOLLANSBEE, WV, 44115</t>
  </si>
  <si>
    <t>786 TERMINAL DRIVE, WEIRTON, WV, 26062</t>
  </si>
  <si>
    <t>44 12TH ST, WELLSBURG, WV, 26070</t>
  </si>
  <si>
    <t>3035 BIRCH DRIVE, WEIRTON, WV, 26062</t>
  </si>
  <si>
    <t>105 MARSHALLING YARD DR, WEIRTON, WV, 16002</t>
  </si>
  <si>
    <t>9999 BIRCH DR, WEIRTON, WV, 26062</t>
  </si>
  <si>
    <t>745 CHARLES ST, WELLSBURG, WV, 26070</t>
  </si>
  <si>
    <t>950 MAIN ST, WELLSBURG, WV, 26070</t>
  </si>
  <si>
    <t>744 CHARLES ST, WELLSBURG, WV, 26003</t>
  </si>
  <si>
    <t>4140 FREEDOM WAY, WEIRTON, WV, 26062</t>
  </si>
  <si>
    <t>4224 FREEDOM WAY, WEIRTON, WV, 26062</t>
  </si>
  <si>
    <t>955 MAIN ST, FOLLANSBEE, WV, 26003</t>
  </si>
  <si>
    <t>16470 RIVER RD, WELLSBURG, WV, 26037</t>
  </si>
  <si>
    <t>113 INDUSTRIAL PARK LN, BEECH BOTTOM, WV, 26030</t>
  </si>
  <si>
    <t>126 12TH ST, WELLSBURG, WV, 26070</t>
  </si>
  <si>
    <t>1017 JEFFERSON ST, FOLLANSBEE, WV, 26037</t>
  </si>
  <si>
    <t>834 CHARLES ST, WELLSBURG, WV, 26070</t>
  </si>
  <si>
    <t>60 MERCO RD, WELLSBURG, WV, 26070</t>
  </si>
  <si>
    <t>945 MAIN ST, WELLSBURG, WV, 26070</t>
  </si>
  <si>
    <t>1300 CHARLES ST, WELLSBURG, WV, 26070</t>
  </si>
  <si>
    <t>971 MAIN ST, FOLLANSBEE, WV, 26037</t>
  </si>
  <si>
    <t>1511 COMMERCE ST, WELLSBURG, WV, 26070</t>
  </si>
  <si>
    <t>3644 MAIN STREET, WEIRTON, WV, 26062</t>
  </si>
  <si>
    <t>225 CHARLES ST, WELLSBURG, WV, 26070</t>
  </si>
  <si>
    <t>10416 RIVER RD, BEECH BOTTOM, WV, 26070</t>
  </si>
  <si>
    <t>1125 CHARLES ST, WELLSBURG, WV, 26070</t>
  </si>
  <si>
    <t>3662 MAIN ST, WEIRTON, WV, 43952</t>
  </si>
  <si>
    <t>30 12TH ST, WELLSBURG, WV, 26070</t>
  </si>
  <si>
    <t>89 12TH ST, WELLSBURG, WV, 26070</t>
  </si>
  <si>
    <t>1215 COMMERCE ST, WELLSBURG, WV, 43702</t>
  </si>
  <si>
    <t>124 7TH ST, WELLSBURG, WV, 26070</t>
  </si>
  <si>
    <t>1030 MAIN ST, WELLSBURG, WV, 26070</t>
  </si>
  <si>
    <t>1625 COMMERCE ST, WELLSBURG, WV, 43944</t>
  </si>
  <si>
    <t>600 CHARLES ST, WELLSBURG, WV, 26070</t>
  </si>
  <si>
    <t>214 INDUSTRIAL PARK LN, WELLSBURG, WV, 26030</t>
  </si>
  <si>
    <t>746 MAIN ST, WELLSBURG, WV, 26070</t>
  </si>
  <si>
    <t>844 COVE RD, WEIRTON, WV, 26062</t>
  </si>
  <si>
    <t>1121 YANKEE ST, WELLSBURG, WV, 26070</t>
  </si>
  <si>
    <t>1002 VIRGINIA AVE, FOLLANSBEE, WV, 26037</t>
  </si>
  <si>
    <t>1704 COMMERCE ST, WELLSBURG, WV, 26037</t>
  </si>
  <si>
    <t>125 7TH ST, WELLSBURG, WV, 26070</t>
  </si>
  <si>
    <t>1000 MAIN ST, FOLLANSBEE, WV, 26070</t>
  </si>
  <si>
    <t>1209 COMMERCE ST, WELLSBURG, WV, 25303</t>
  </si>
  <si>
    <t>326 CHURCH ST, BETHANY, WV, 26032</t>
  </si>
  <si>
    <t>71 22ND ST, WELLSBURG, WV, 26070</t>
  </si>
  <si>
    <t>1420 COMMERCE ST, WELLSBURG, WV, 26070</t>
  </si>
  <si>
    <t>1515 CHARLES ST, WELLSBURG, WV, 26070</t>
  </si>
  <si>
    <t>872 MAIN ST, FOLLANSBEE, WV, 26037</t>
  </si>
  <si>
    <t>231 PENNSYLVANIA AVE, COLLIERS, WV, 26003</t>
  </si>
  <si>
    <t>701 VIRGINIA AVE, FOLLANSBEE, WV, 26037</t>
  </si>
  <si>
    <t>1411 COMMERCE ST, WELLSBURG, WV, 26070</t>
  </si>
  <si>
    <t>9999 CHARLES ST, WELLSBURG, WV, 26070</t>
  </si>
  <si>
    <t>55 7TH, WELLSBURG, WV, 26070</t>
  </si>
  <si>
    <t>ROLL COATER  INC</t>
  </si>
  <si>
    <t>HERITAGE HOLDINGS LLC</t>
  </si>
  <si>
    <t>BROOKE COUNTY BOARD OF EDUCATION</t>
  </si>
  <si>
    <t>BUSINESS DEV CORP OF THE NORTHERN PANHANDLE</t>
  </si>
  <si>
    <t>WEIRTON HSNG FOR THE ELDERLY FREEDOM PLACE APTS</t>
  </si>
  <si>
    <t>FREEDOM PLACE II LTD</t>
  </si>
  <si>
    <t>COUNTY COURT OF BROOKE COUNTY</t>
  </si>
  <si>
    <t>WHEELING LAND DEVELOPMENT CORP</t>
  </si>
  <si>
    <t>FOLLANSBEE MANOR LTD</t>
  </si>
  <si>
    <t>STARVAGGI INDUSTRIES INC</t>
  </si>
  <si>
    <t>CENTER POINT TERMINAL J&amp;W LLC</t>
  </si>
  <si>
    <t>GODFREY DEAN M &amp; DEBORAH L</t>
  </si>
  <si>
    <t>WESBANCO BANK WHEELING</t>
  </si>
  <si>
    <t>MUNICIPAL MUTUAL INSURANCE COMPANY</t>
  </si>
  <si>
    <t>CB FINANCIAL SERVICES INC</t>
  </si>
  <si>
    <t>BRUCETON FARM SERVICE INC</t>
  </si>
  <si>
    <t>WEIR COVE MOVING &amp; STORAGE COMPANY</t>
  </si>
  <si>
    <t>WHEELING DOLLAR BANK</t>
  </si>
  <si>
    <t>BOYD PAULINE TRUST; TRUS MARY ANN BOYD</t>
  </si>
  <si>
    <t>BROWNLEE LAND VENTURES LP</t>
  </si>
  <si>
    <t>K R S LLC</t>
  </si>
  <si>
    <t>CATHOLIC CHURCH</t>
  </si>
  <si>
    <t>BPOE LODGE 1553 WELLSBURG</t>
  </si>
  <si>
    <t>GO PARTNERS LLC</t>
  </si>
  <si>
    <t>BROOKE COUNTY PUBLIC LIBRARY</t>
  </si>
  <si>
    <t>DIOCESE OF WHEELING-CHARLESTON MOST REV BERNARD SCHMITT</t>
  </si>
  <si>
    <t>HOODS PHARMACY INC</t>
  </si>
  <si>
    <t>CUOMO SHARON ANN</t>
  </si>
  <si>
    <t>DG STRATEGIC II LLC</t>
  </si>
  <si>
    <t>RIVERVIEW BAPTIST CH TRUSTEES</t>
  </si>
  <si>
    <t>APOSTOLICS OF THE OHIO VALLEY INC</t>
  </si>
  <si>
    <t>MASONS LODGE</t>
  </si>
  <si>
    <t>SECRIST MARK C JR MARY E  JTWS</t>
  </si>
  <si>
    <t>BIG E'S COLLEGE INN LLC</t>
  </si>
  <si>
    <t>WELLSBURG CITY OF</t>
  </si>
  <si>
    <t>HEJ CAPITAL LTD</t>
  </si>
  <si>
    <t>ROHR DENNIS S &amp; GERESTI KEVIN</t>
  </si>
  <si>
    <t>FITHYAN FUNERAL SERVICES LLC</t>
  </si>
  <si>
    <t>ALLIETTA MATTHEW</t>
  </si>
  <si>
    <t>HUKILL DANNY C &amp; TAMERA J SURV</t>
  </si>
  <si>
    <t>VARIETY DESIGNS INC</t>
  </si>
  <si>
    <t>WEIRTON LUMBER CO</t>
  </si>
  <si>
    <t>WELLSBURG VOL FIRE DEPT INC</t>
  </si>
  <si>
    <t>METHODIST EPISCOPAL CHURCH</t>
  </si>
  <si>
    <t>AMAISMEIER MATT INC</t>
  </si>
  <si>
    <t>SCOTT WELLSBURG ASSOCIATES</t>
  </si>
  <si>
    <t>ROLLER RENT INC</t>
  </si>
  <si>
    <t>ARG AA12PCK001 LLC</t>
  </si>
  <si>
    <t>BETHANY TOWN OF</t>
  </si>
  <si>
    <t>HANCOCK BROOKE MENTAL HEALTH SERVICE ASSOCIATION</t>
  </si>
  <si>
    <t>BRADLEY GEORGE LESTER; THOMPSON KIMBERLY CIONNI</t>
  </si>
  <si>
    <t>RJ MORRIS PROPERTY HOLDINGS LLC</t>
  </si>
  <si>
    <t>FOLLANSBEE CITY OF</t>
  </si>
  <si>
    <t>COLLIERS STATION LLC</t>
  </si>
  <si>
    <t>ANGELO JONATHAN</t>
  </si>
  <si>
    <t>PIZZA HUT OF AMERICA INC</t>
  </si>
  <si>
    <t>AUSTIN REAL ESTATE LLC</t>
  </si>
  <si>
    <t>KINS JACK L &amp; GERALDINE M (SURV)</t>
  </si>
  <si>
    <t>1925</t>
  </si>
  <si>
    <t>X+</t>
  </si>
  <si>
    <t>1964</t>
  </si>
  <si>
    <t>1924</t>
  </si>
  <si>
    <t>1902</t>
  </si>
  <si>
    <t>1961</t>
  </si>
  <si>
    <t>1945</t>
  </si>
  <si>
    <t>A+</t>
  </si>
  <si>
    <t>2015</t>
  </si>
  <si>
    <t>1928</t>
  </si>
  <si>
    <t>1859</t>
  </si>
  <si>
    <t>1991</t>
  </si>
  <si>
    <t>1963</t>
  </si>
  <si>
    <t>1977</t>
  </si>
  <si>
    <t>IND6</t>
  </si>
  <si>
    <t>4</t>
  </si>
  <si>
    <t>7</t>
  </si>
  <si>
    <t>234797</t>
  </si>
  <si>
    <t>374308</t>
  </si>
  <si>
    <t>55722</t>
  </si>
  <si>
    <t>496419</t>
  </si>
  <si>
    <t>78498</t>
  </si>
  <si>
    <t>36135</t>
  </si>
  <si>
    <t>52946</t>
  </si>
  <si>
    <t>29897</t>
  </si>
  <si>
    <t>36745</t>
  </si>
  <si>
    <t>60299</t>
  </si>
  <si>
    <t>54689</t>
  </si>
  <si>
    <t>15300</t>
  </si>
  <si>
    <t>40639</t>
  </si>
  <si>
    <t>11271</t>
  </si>
  <si>
    <t>18466</t>
  </si>
  <si>
    <t>9432</t>
  </si>
  <si>
    <t>68261</t>
  </si>
  <si>
    <t>4160</t>
  </si>
  <si>
    <t>44035</t>
  </si>
  <si>
    <t>22100</t>
  </si>
  <si>
    <t>11294</t>
  </si>
  <si>
    <t>15832</t>
  </si>
  <si>
    <t>12808</t>
  </si>
  <si>
    <t>37588</t>
  </si>
  <si>
    <t>7060</t>
  </si>
  <si>
    <t>10570</t>
  </si>
  <si>
    <t>4476</t>
  </si>
  <si>
    <t>9514</t>
  </si>
  <si>
    <t>9100</t>
  </si>
  <si>
    <t>7874</t>
  </si>
  <si>
    <t>10620</t>
  </si>
  <si>
    <t>26997</t>
  </si>
  <si>
    <t>7156</t>
  </si>
  <si>
    <t>8515</t>
  </si>
  <si>
    <t>3505</t>
  </si>
  <si>
    <t>14186</t>
  </si>
  <si>
    <t>12250</t>
  </si>
  <si>
    <t>11200</t>
  </si>
  <si>
    <t>15840</t>
  </si>
  <si>
    <t>10201</t>
  </si>
  <si>
    <t>752</t>
  </si>
  <si>
    <t>16212</t>
  </si>
  <si>
    <t>8160</t>
  </si>
  <si>
    <t>6136</t>
  </si>
  <si>
    <t>12789</t>
  </si>
  <si>
    <t>14436</t>
  </si>
  <si>
    <t>18560</t>
  </si>
  <si>
    <t>5520</t>
  </si>
  <si>
    <t>5050</t>
  </si>
  <si>
    <t>7600</t>
  </si>
  <si>
    <t>4400</t>
  </si>
  <si>
    <t>7514</t>
  </si>
  <si>
    <t>10000</t>
  </si>
  <si>
    <t>10872</t>
  </si>
  <si>
    <t>4570</t>
  </si>
  <si>
    <t>177768</t>
  </si>
  <si>
    <t>21600</t>
  </si>
  <si>
    <t>BROOKE</t>
  </si>
  <si>
    <t>05-07-W27F-0007-0000_200</t>
  </si>
  <si>
    <t>05-07-W27F-0007-0000</t>
  </si>
  <si>
    <t>200 MAIN ST, WELLSBURG, WV, 26070</t>
  </si>
  <si>
    <t>05-06-00W6-0003-0000_5000</t>
  </si>
  <si>
    <t>05-06-00W6-0003-0000</t>
  </si>
  <si>
    <t>5000 FREEDOM WAY, WEIRTON, WV, 26062</t>
  </si>
  <si>
    <t>WEIRTON CITY OF</t>
  </si>
  <si>
    <t>HANCOCK</t>
  </si>
  <si>
    <t>15-04-00G6-0012-0000_45</t>
  </si>
  <si>
    <t>15-06-W38R-0030-0000_9999</t>
  </si>
  <si>
    <t>15-04-00G6-0007-0000_209</t>
  </si>
  <si>
    <t>15-06-W42S-0330-0000_140</t>
  </si>
  <si>
    <t>15-04-00G6-0004-0000_180</t>
  </si>
  <si>
    <t>15-06-W42S-0343-0000_3442</t>
  </si>
  <si>
    <t>15-05-N26R-0009-0000_1215</t>
  </si>
  <si>
    <t>15-02-CH7C-0118-0000_371</t>
  </si>
  <si>
    <t>15-05-N26B-0046-0000_900</t>
  </si>
  <si>
    <t>15-05-N26R-0004-0000_1020</t>
  </si>
  <si>
    <t>15-05-N26B-0042-0000_1000</t>
  </si>
  <si>
    <t>15-04-00G6-0007-0001_9999</t>
  </si>
  <si>
    <t>15-02-CH7F-0108-0001_18</t>
  </si>
  <si>
    <t>15-02-CH7C-0114-0000_417</t>
  </si>
  <si>
    <t>15-05-N26B-0008-0000_619</t>
  </si>
  <si>
    <t>15-04-00G6-0005-0000_9998</t>
  </si>
  <si>
    <t>15-05-N26R-0001-0000_9999</t>
  </si>
  <si>
    <t>15-06-W39M-0019-0000_372</t>
  </si>
  <si>
    <t>15-06-W40J-0005-0000_156</t>
  </si>
  <si>
    <t>15-06-W40J-0005-0000_143</t>
  </si>
  <si>
    <t>15-06-W39C-0115-0000_2883</t>
  </si>
  <si>
    <t>15-03-0C26-0005-0000_486</t>
  </si>
  <si>
    <t>15-05-N26F-0001-0000_303</t>
  </si>
  <si>
    <t>15-06-W42S-0348-0000_200</t>
  </si>
  <si>
    <t>15-05-N26F-0046-0000_208</t>
  </si>
  <si>
    <t>15-06-W40J-0047-0000_332</t>
  </si>
  <si>
    <t>15-04-00G6-0012-0000</t>
  </si>
  <si>
    <t>15-06-W38R-0030-0000</t>
  </si>
  <si>
    <t>15-04-00G6-0007-0000</t>
  </si>
  <si>
    <t>15-06-W42S-0330-0000</t>
  </si>
  <si>
    <t>15-04-00G6-0004-0000</t>
  </si>
  <si>
    <t>15-06-W42S-0343-0000</t>
  </si>
  <si>
    <t>15-05-N26R-0009-0000</t>
  </si>
  <si>
    <t>15-02-CH7C-0118-0000</t>
  </si>
  <si>
    <t>15-05-N26B-0046-0000</t>
  </si>
  <si>
    <t>15-05-N26R-0004-0000</t>
  </si>
  <si>
    <t>15-05-N26B-0042-0000</t>
  </si>
  <si>
    <t>15-04-00G6-0007-0001</t>
  </si>
  <si>
    <t>15-02-CH7F-0108-0001</t>
  </si>
  <si>
    <t>15-02-CH7C-0114-0000</t>
  </si>
  <si>
    <t>15-05-N26B-0008-0000</t>
  </si>
  <si>
    <t>15-04-00G6-0005-0000</t>
  </si>
  <si>
    <t>15-05-N26R-0001-0000</t>
  </si>
  <si>
    <t>15-06-W39M-0019-0000</t>
  </si>
  <si>
    <t>15-06-W40J-0005-0000</t>
  </si>
  <si>
    <t>15-06-W39C-0115-0000</t>
  </si>
  <si>
    <t>15-03-0C26-0005-0000</t>
  </si>
  <si>
    <t>15-05-N26F-0001-0000</t>
  </si>
  <si>
    <t>15-06-W42S-0348-0000</t>
  </si>
  <si>
    <t>15-05-N26F-0046-0000</t>
  </si>
  <si>
    <t>15-06-W40J-0047-0000</t>
  </si>
  <si>
    <t>45 QUAKER STATE ROAD, Newell, WV, 26050</t>
  </si>
  <si>
    <t>9999 Main St, Weirton, WV, 26062</t>
  </si>
  <si>
    <t>209 KENNEDY PARK MARINA ROAD, Newell, WV, 26050</t>
  </si>
  <si>
    <t>140 WALNUT ST, WEIRTON, WV, 26062</t>
  </si>
  <si>
    <t>180 QUAKER STATE ROAD, Newell, WV, 26050</t>
  </si>
  <si>
    <t>3442 MAIN STREET, WEIRTON, WV, 26062</t>
  </si>
  <si>
    <t>1215 INDUSTRIAL PARK ROAD, NEW CUMBERLAND, WV, 26047</t>
  </si>
  <si>
    <t>371 CAROLINA AVE, CHESTER, WV, 26034</t>
  </si>
  <si>
    <t>900 NORTH CHESTER STREET, NEW CUMBERLAND, WV, 26047</t>
  </si>
  <si>
    <t>1020 INDUSTRIAL PARK ROAD, NEW CUMBERLAND, WV, 26047</t>
  </si>
  <si>
    <t>1000 NORTH CHESTER STREET, NEW CUMBERLAND, WV, 26047</t>
  </si>
  <si>
    <t>9999 QUAKER STATE RD, Newell, WV, 26050</t>
  </si>
  <si>
    <t>18 COLUMBIA AVENUE, CHESTER, WV, 26034</t>
  </si>
  <si>
    <t>417 CAROLINA AVENUE, CHESTER, WV, 26034</t>
  </si>
  <si>
    <t>619 NORTH CHESTER ST, NEW CUMBERLAND, WV, 26047</t>
  </si>
  <si>
    <t>9998 QUAKER STATE RD, Newell, WV, 26050</t>
  </si>
  <si>
    <t>9999 Pottery Ave, New Cumberland, WV, 26047</t>
  </si>
  <si>
    <t>372 COUNTRY CLUB BOULEVARD, WEIRTON, WV, 26062</t>
  </si>
  <si>
    <t>156 LISA COURT, WEIRTON, WV, 26062</t>
  </si>
  <si>
    <t>143 LISA COURT, WEIRTON, WV, 26062</t>
  </si>
  <si>
    <t>2883 KINGS CREEK ROAD, WEIRTON, WV, 26062</t>
  </si>
  <si>
    <t>486 HARDINS RUN ROAD, New Cumberland, WV, 26047</t>
  </si>
  <si>
    <t>303 NORTH CHESTER STREET, NEW CUMBERLAND, WV, 26047</t>
  </si>
  <si>
    <t>200 MUNICIPAL PLAZA, WEIRTON, WV, 26062</t>
  </si>
  <si>
    <t>208 NORTH CHESTER STREET, NEW CUMBERLAND, WV, 26047</t>
  </si>
  <si>
    <t>332 COUNTRY CLUB BOULEVARD, WEIRTON, WV, 26062</t>
  </si>
  <si>
    <t>Hancock County</t>
  </si>
  <si>
    <t>City of New Cumberland</t>
  </si>
  <si>
    <t>City of Chester</t>
  </si>
  <si>
    <t>Middle Run</t>
  </si>
  <si>
    <t>Cunningham Run</t>
  </si>
  <si>
    <t>Kings Creek</t>
  </si>
  <si>
    <t>Hardin Run</t>
  </si>
  <si>
    <t>Advisory A</t>
  </si>
  <si>
    <t>ERGON-WEST VIRGINIA INC</t>
  </si>
  <si>
    <t>ISG WEIRTON INC</t>
  </si>
  <si>
    <t>C-E NEWELL INC</t>
  </si>
  <si>
    <t>SWINT JOHN J ARCHBISHOP</t>
  </si>
  <si>
    <t>MURRAY HARRY B ET UX</t>
  </si>
  <si>
    <t>CITY OF WEIRTON</t>
  </si>
  <si>
    <t>TOWN OF NEW CUMBERLAND</t>
  </si>
  <si>
    <t>CITY OF CHESTER</t>
  </si>
  <si>
    <t>COMMISSION OF HANCOCK CO WV</t>
  </si>
  <si>
    <t>AMASTAN PHOENIX LLC</t>
  </si>
  <si>
    <t>CHARTODD LLC</t>
  </si>
  <si>
    <t>MURRAY BETTY JEAN</t>
  </si>
  <si>
    <t>HARRIS DONALD W ET UX</t>
  </si>
  <si>
    <t>VFW BURGE CASTO POST 6450</t>
  </si>
  <si>
    <t>DAVIS JEFFREY</t>
  </si>
  <si>
    <t>BOGARAD SHARON ET VIR</t>
  </si>
  <si>
    <t>SELLITTI FAMILY LIMITED PARTNERSHIP</t>
  </si>
  <si>
    <t>KINGS CK UNION CHAPEL</t>
  </si>
  <si>
    <t>MICK BRIAN CHARLES</t>
  </si>
  <si>
    <t>NEW CUMB FIRE COMPANY</t>
  </si>
  <si>
    <t>CITY OF WEIRTON THE</t>
  </si>
  <si>
    <t>ADAM POE POST NO 3526 INCORP</t>
  </si>
  <si>
    <t>APERFINE JOSEPH P JR ET UX</t>
  </si>
  <si>
    <t>1957</t>
  </si>
  <si>
    <t>1973</t>
  </si>
  <si>
    <t>1985</t>
  </si>
  <si>
    <t>1947</t>
  </si>
  <si>
    <t>1955</t>
  </si>
  <si>
    <t>IND3</t>
  </si>
  <si>
    <t>IND1</t>
  </si>
  <si>
    <t>119903</t>
  </si>
  <si>
    <t>2497466</t>
  </si>
  <si>
    <t>369090</t>
  </si>
  <si>
    <t>45384</t>
  </si>
  <si>
    <t>85885</t>
  </si>
  <si>
    <t>19760</t>
  </si>
  <si>
    <t>13784</t>
  </si>
  <si>
    <t>7200</t>
  </si>
  <si>
    <t>24668</t>
  </si>
  <si>
    <t>17042</t>
  </si>
  <si>
    <t>20160</t>
  </si>
  <si>
    <t>3577</t>
  </si>
  <si>
    <t>7536</t>
  </si>
  <si>
    <t>6844</t>
  </si>
  <si>
    <t>44440</t>
  </si>
  <si>
    <t>20054</t>
  </si>
  <si>
    <t>3736</t>
  </si>
  <si>
    <t>10944</t>
  </si>
  <si>
    <t>5790</t>
  </si>
  <si>
    <t>5132</t>
  </si>
  <si>
    <t>5018</t>
  </si>
  <si>
    <t>8576</t>
  </si>
  <si>
    <t>2862</t>
  </si>
  <si>
    <t>15-06-W38R-0030-0000_9998</t>
  </si>
  <si>
    <t>9998 MAIN ST, WEIRTON, WV, 26062</t>
  </si>
  <si>
    <t>15-02-CH7C-0137-0000_360</t>
  </si>
  <si>
    <t>15-02-CH7C-0137-0000</t>
  </si>
  <si>
    <t>360 LOUELLA AVENUE, CHESTER, WV, 26034</t>
  </si>
  <si>
    <t>BD OF PK COMM CITY OF CHESTER</t>
  </si>
  <si>
    <t>Brooke County*</t>
  </si>
  <si>
    <t>Follansbee</t>
  </si>
  <si>
    <t>Weirton</t>
  </si>
  <si>
    <t>Wellsburg</t>
  </si>
  <si>
    <t>Beech Bottom</t>
  </si>
  <si>
    <t>Weirton**</t>
  </si>
  <si>
    <t>Chester</t>
  </si>
  <si>
    <t>New Cumberland</t>
  </si>
  <si>
    <t>Hancock County*</t>
  </si>
  <si>
    <t>(Higher than $300,000)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</si>
</sst>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0" fontId="10" fillId="0" borderId="0" xfId="0" applyFont="1"/>
    <xf numFmtId="0" fontId="9" fillId="0" borderId="1" xfId="0" applyFont="1" applyFill="1" applyBorder="1"/>
    <xf numFmtId="0" fontId="0" fillId="0" borderId="1" xfId="0" applyFill="1" applyBorder="1" applyAlignment="1">
      <alignment horizontal="left"/>
    </xf>
    <xf numFmtId="44" fontId="0" fillId="0" borderId="0" xfId="0" applyNumberFormat="1"/>
    <xf numFmtId="0" fontId="10" fillId="0" borderId="1" xfId="0" applyFont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75FC-4513-4D5B-A5BE-852E02492116}">
  <dimension ref="A1:X71"/>
  <sheetViews>
    <sheetView tabSelected="1" workbookViewId="0">
      <pane ySplit="6" topLeftCell="A7" activePane="bottomLeft" state="frozen"/>
      <selection pane="bottomLeft" activeCell="F4" sqref="F4"/>
    </sheetView>
  </sheetViews>
  <sheetFormatPr defaultRowHeight="14.4" x14ac:dyDescent="0.3"/>
  <cols>
    <col min="1" max="1" width="33.88671875" bestFit="1" customWidth="1"/>
    <col min="2" max="2" width="12" customWidth="1"/>
    <col min="7" max="7" width="11.6640625" customWidth="1"/>
    <col min="13" max="13" width="10.109375" customWidth="1"/>
    <col min="14" max="14" width="11.5546875" customWidth="1"/>
    <col min="17" max="17" width="11.21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59</v>
      </c>
      <c r="B1" s="4"/>
      <c r="C1" s="4"/>
      <c r="D1" s="4"/>
      <c r="F1" s="17" t="s">
        <v>60</v>
      </c>
      <c r="G1" s="6"/>
      <c r="H1" s="6"/>
      <c r="J1" s="6"/>
      <c r="K1" s="6"/>
      <c r="L1" s="6"/>
      <c r="N1" s="5" t="s">
        <v>61</v>
      </c>
      <c r="O1" s="6"/>
      <c r="P1" s="6"/>
      <c r="R1" s="6"/>
      <c r="S1" s="7" t="s">
        <v>62</v>
      </c>
      <c r="U1" s="8"/>
      <c r="V1" s="8"/>
      <c r="W1" s="9"/>
      <c r="X1" s="10"/>
    </row>
    <row r="2" spans="1:24" x14ac:dyDescent="0.3">
      <c r="A2" s="11">
        <v>44586</v>
      </c>
      <c r="B2" s="12" t="s">
        <v>63</v>
      </c>
      <c r="F2" s="6"/>
      <c r="G2" s="6"/>
      <c r="H2" s="6"/>
      <c r="J2" s="6"/>
      <c r="K2" s="6"/>
      <c r="L2" s="6"/>
      <c r="N2" s="13" t="s">
        <v>39</v>
      </c>
      <c r="O2" s="6"/>
      <c r="P2" s="6"/>
      <c r="R2" s="6"/>
      <c r="S2" s="37"/>
      <c r="U2" s="8"/>
      <c r="V2" s="8"/>
      <c r="W2" s="9"/>
      <c r="X2" s="10"/>
    </row>
    <row r="3" spans="1:24" x14ac:dyDescent="0.3">
      <c r="A3" t="s">
        <v>65</v>
      </c>
      <c r="B3" s="38" t="s">
        <v>95</v>
      </c>
      <c r="F3" s="6"/>
      <c r="G3" s="6"/>
      <c r="H3" s="6"/>
      <c r="J3" s="16" t="s">
        <v>64</v>
      </c>
      <c r="K3" s="6"/>
      <c r="L3" s="6"/>
      <c r="M3" s="14" t="s">
        <v>64</v>
      </c>
      <c r="N3" s="5"/>
      <c r="O3" s="6"/>
      <c r="P3" s="6"/>
      <c r="Q3" s="14" t="s">
        <v>64</v>
      </c>
      <c r="R3" s="15"/>
      <c r="S3" s="37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7"/>
      <c r="U4" s="8"/>
      <c r="V4" s="8"/>
      <c r="W4" s="9"/>
      <c r="X4" s="10"/>
    </row>
    <row r="5" spans="1:24" x14ac:dyDescent="0.3">
      <c r="A5" s="1" t="s">
        <v>460</v>
      </c>
      <c r="F5" s="6"/>
      <c r="G5" s="6"/>
      <c r="H5" s="6"/>
      <c r="J5" s="6"/>
      <c r="K5" s="6"/>
      <c r="L5" s="6"/>
      <c r="O5" s="6"/>
      <c r="P5" s="6"/>
      <c r="R5" s="6"/>
      <c r="S5" s="32" t="s">
        <v>93</v>
      </c>
      <c r="U5" s="6"/>
      <c r="V5" s="6"/>
      <c r="W5" s="9"/>
      <c r="X5" s="10"/>
    </row>
    <row r="6" spans="1:24" ht="43.2" x14ac:dyDescent="0.3">
      <c r="A6" s="23" t="s">
        <v>0</v>
      </c>
      <c r="B6" s="18" t="s">
        <v>1</v>
      </c>
      <c r="C6" s="18" t="s">
        <v>2</v>
      </c>
      <c r="D6" s="24" t="s">
        <v>3</v>
      </c>
      <c r="E6" s="24" t="s">
        <v>4</v>
      </c>
      <c r="F6" s="18" t="s">
        <v>5</v>
      </c>
      <c r="G6" s="18" t="s">
        <v>6</v>
      </c>
      <c r="H6" s="23" t="s">
        <v>7</v>
      </c>
      <c r="I6" s="18" t="s">
        <v>8</v>
      </c>
      <c r="J6" s="23" t="s">
        <v>9</v>
      </c>
      <c r="K6" s="24" t="s">
        <v>10</v>
      </c>
      <c r="L6" s="18" t="s">
        <v>11</v>
      </c>
      <c r="M6" s="24" t="s">
        <v>12</v>
      </c>
      <c r="N6" s="19" t="s">
        <v>13</v>
      </c>
      <c r="O6" s="24" t="s">
        <v>14</v>
      </c>
      <c r="P6" s="24" t="s">
        <v>15</v>
      </c>
      <c r="Q6" s="24" t="s">
        <v>16</v>
      </c>
      <c r="R6" s="24" t="s">
        <v>17</v>
      </c>
      <c r="S6" s="20" t="s">
        <v>18</v>
      </c>
      <c r="T6" s="18" t="s">
        <v>19</v>
      </c>
      <c r="U6" s="25" t="s">
        <v>20</v>
      </c>
      <c r="V6" s="25" t="s">
        <v>21</v>
      </c>
      <c r="W6" s="26" t="s">
        <v>22</v>
      </c>
      <c r="X6" s="21" t="s">
        <v>23</v>
      </c>
    </row>
    <row r="7" spans="1:24" x14ac:dyDescent="0.3">
      <c r="A7" s="47" t="s">
        <v>464</v>
      </c>
      <c r="B7" s="2" t="s">
        <v>193</v>
      </c>
      <c r="C7" s="42" t="s">
        <v>200</v>
      </c>
      <c r="D7" s="42" t="s">
        <v>465</v>
      </c>
      <c r="E7" s="42" t="s">
        <v>466</v>
      </c>
      <c r="F7" s="22" t="str">
        <f>HYPERLINK("https://www.mapwv.gov/flood/map/?wkid=102100&amp;x=-8973605&amp;y=4921712&amp;l=11&amp;v=2","FT")</f>
        <v>FT</v>
      </c>
      <c r="G7" s="43" t="s">
        <v>31</v>
      </c>
      <c r="H7" s="27" t="s">
        <v>24</v>
      </c>
      <c r="I7" s="2" t="s">
        <v>467</v>
      </c>
      <c r="J7" s="47" t="s">
        <v>25</v>
      </c>
      <c r="K7" s="24">
        <v>9999</v>
      </c>
      <c r="L7" s="18"/>
      <c r="M7" s="42" t="s">
        <v>27</v>
      </c>
      <c r="N7" s="3" t="s">
        <v>76</v>
      </c>
      <c r="O7" s="43" t="s">
        <v>79</v>
      </c>
      <c r="P7" s="44">
        <v>35000</v>
      </c>
      <c r="Q7" s="42" t="s">
        <v>29</v>
      </c>
      <c r="R7" s="27" t="s">
        <v>81</v>
      </c>
      <c r="S7" s="28">
        <v>23795000</v>
      </c>
      <c r="T7" s="42" t="s">
        <v>28</v>
      </c>
      <c r="U7" s="25">
        <v>4.9000000000000004</v>
      </c>
      <c r="V7" s="25">
        <v>3.9</v>
      </c>
      <c r="W7" s="30"/>
      <c r="X7" s="21"/>
    </row>
    <row r="8" spans="1:24" x14ac:dyDescent="0.3">
      <c r="A8" s="47" t="s">
        <v>130</v>
      </c>
      <c r="B8" s="2" t="s">
        <v>193</v>
      </c>
      <c r="C8" s="42" t="s">
        <v>199</v>
      </c>
      <c r="D8" s="42" t="s">
        <v>203</v>
      </c>
      <c r="E8" s="42" t="s">
        <v>265</v>
      </c>
      <c r="F8" s="22" t="str">
        <f>HYPERLINK("https://mapwv.gov/flood/map/?wkid=102100&amp;x=-8972929.915024733&amp;y=4922280.931331622&amp;l=13&amp;v=2","FT")</f>
        <v>FT</v>
      </c>
      <c r="G8" s="43" t="s">
        <v>31</v>
      </c>
      <c r="H8" s="27" t="s">
        <v>24</v>
      </c>
      <c r="I8" s="2" t="s">
        <v>328</v>
      </c>
      <c r="J8" s="47" t="s">
        <v>25</v>
      </c>
      <c r="K8" s="43" t="s">
        <v>104</v>
      </c>
      <c r="L8" s="43" t="s">
        <v>66</v>
      </c>
      <c r="M8" s="42" t="s">
        <v>400</v>
      </c>
      <c r="N8" s="3" t="s">
        <v>78</v>
      </c>
      <c r="O8" s="43" t="s">
        <v>80</v>
      </c>
      <c r="P8" s="42" t="s">
        <v>403</v>
      </c>
      <c r="Q8" s="42" t="s">
        <v>29</v>
      </c>
      <c r="R8" s="27" t="s">
        <v>81</v>
      </c>
      <c r="S8" s="28">
        <v>10222400</v>
      </c>
      <c r="T8" s="42" t="s">
        <v>41</v>
      </c>
      <c r="U8" s="29">
        <v>0</v>
      </c>
      <c r="V8" s="29">
        <v>-1</v>
      </c>
      <c r="W8" s="30">
        <v>0</v>
      </c>
      <c r="X8" s="31">
        <v>0</v>
      </c>
    </row>
    <row r="9" spans="1:24" x14ac:dyDescent="0.3">
      <c r="A9" s="47" t="s">
        <v>131</v>
      </c>
      <c r="B9" s="2" t="s">
        <v>194</v>
      </c>
      <c r="C9" s="42" t="s">
        <v>200</v>
      </c>
      <c r="D9" s="42" t="s">
        <v>204</v>
      </c>
      <c r="E9" s="42" t="s">
        <v>266</v>
      </c>
      <c r="F9" s="22" t="str">
        <f>HYPERLINK("https://mapwv.gov/flood/map/?wkid=102100&amp;x=-8973508.312174581&amp;y=4907692.980548596&amp;l=13&amp;v=2","FT")</f>
        <v>FT</v>
      </c>
      <c r="G9" s="43" t="s">
        <v>31</v>
      </c>
      <c r="H9" s="27" t="s">
        <v>24</v>
      </c>
      <c r="I9" s="2" t="s">
        <v>329</v>
      </c>
      <c r="J9" s="47" t="s">
        <v>25</v>
      </c>
      <c r="K9" s="43" t="s">
        <v>99</v>
      </c>
      <c r="L9" s="43" t="s">
        <v>35</v>
      </c>
      <c r="M9" s="42" t="s">
        <v>33</v>
      </c>
      <c r="N9" s="3" t="s">
        <v>78</v>
      </c>
      <c r="O9" s="43" t="s">
        <v>401</v>
      </c>
      <c r="P9" s="42" t="s">
        <v>404</v>
      </c>
      <c r="Q9" s="42" t="s">
        <v>29</v>
      </c>
      <c r="R9" s="27" t="s">
        <v>81</v>
      </c>
      <c r="S9" s="28">
        <v>4617800</v>
      </c>
      <c r="T9" s="42" t="s">
        <v>41</v>
      </c>
      <c r="U9" s="29">
        <v>2.6074830000000002</v>
      </c>
      <c r="V9" s="29">
        <v>1.60748291015625</v>
      </c>
      <c r="W9" s="30">
        <v>0.120374145507812</v>
      </c>
      <c r="X9" s="31">
        <v>555863.72912597598</v>
      </c>
    </row>
    <row r="10" spans="1:24" x14ac:dyDescent="0.3">
      <c r="A10" s="47" t="s">
        <v>461</v>
      </c>
      <c r="B10" s="2" t="s">
        <v>194</v>
      </c>
      <c r="C10" s="42" t="s">
        <v>200</v>
      </c>
      <c r="D10" s="42" t="s">
        <v>462</v>
      </c>
      <c r="E10" s="42" t="s">
        <v>463</v>
      </c>
      <c r="F10" s="22" t="str">
        <f>HYPERLINK("https://mapwv.gov/flood/map/?wkid=102100&amp;x=-8974026.859624716&amp;y=4904552.290513464&amp;l=13&amp;v=2","FT")</f>
        <v>FT</v>
      </c>
      <c r="G10" s="43" t="s">
        <v>31</v>
      </c>
      <c r="H10" s="27" t="s">
        <v>24</v>
      </c>
      <c r="I10" s="2" t="s">
        <v>362</v>
      </c>
      <c r="J10" s="47" t="s">
        <v>25</v>
      </c>
      <c r="K10" s="43">
        <v>9999</v>
      </c>
      <c r="L10" s="43" t="s">
        <v>393</v>
      </c>
      <c r="M10" s="42" t="s">
        <v>27</v>
      </c>
      <c r="N10" s="3" t="s">
        <v>76</v>
      </c>
      <c r="O10" s="43" t="s">
        <v>79</v>
      </c>
      <c r="P10" s="44">
        <v>19500</v>
      </c>
      <c r="Q10" s="42" t="s">
        <v>29</v>
      </c>
      <c r="R10" s="27" t="s">
        <v>81</v>
      </c>
      <c r="S10" s="28">
        <v>4600000</v>
      </c>
      <c r="T10" s="42" t="s">
        <v>28</v>
      </c>
      <c r="U10" s="29">
        <v>1</v>
      </c>
      <c r="V10" s="29">
        <v>0</v>
      </c>
      <c r="W10" s="30">
        <v>0</v>
      </c>
      <c r="X10" s="31">
        <v>0</v>
      </c>
    </row>
    <row r="11" spans="1:24" x14ac:dyDescent="0.3">
      <c r="A11" s="47" t="s">
        <v>132</v>
      </c>
      <c r="B11" s="2" t="s">
        <v>194</v>
      </c>
      <c r="C11" s="42" t="s">
        <v>200</v>
      </c>
      <c r="D11" s="42" t="s">
        <v>205</v>
      </c>
      <c r="E11" s="42" t="s">
        <v>267</v>
      </c>
      <c r="F11" s="22" t="str">
        <f>HYPERLINK("https://mapwv.gov/flood/map/?wkid=102100&amp;x=-8973632.785955645&amp;y=4906317.910085618&amp;l=13&amp;v=2","FT")</f>
        <v>FT</v>
      </c>
      <c r="G11" s="43" t="s">
        <v>31</v>
      </c>
      <c r="H11" s="27" t="s">
        <v>24</v>
      </c>
      <c r="I11" s="2" t="s">
        <v>330</v>
      </c>
      <c r="J11" s="47" t="s">
        <v>37</v>
      </c>
      <c r="K11" s="43" t="s">
        <v>91</v>
      </c>
      <c r="L11" s="43" t="s">
        <v>42</v>
      </c>
      <c r="M11" s="42" t="s">
        <v>27</v>
      </c>
      <c r="N11" s="3" t="s">
        <v>76</v>
      </c>
      <c r="O11" s="43" t="s">
        <v>112</v>
      </c>
      <c r="P11" s="42" t="s">
        <v>405</v>
      </c>
      <c r="Q11" s="42" t="s">
        <v>29</v>
      </c>
      <c r="R11" s="27" t="s">
        <v>81</v>
      </c>
      <c r="S11" s="28">
        <v>3491600</v>
      </c>
      <c r="T11" s="42" t="s">
        <v>41</v>
      </c>
      <c r="U11" s="29">
        <v>0.26269530000000002</v>
      </c>
      <c r="V11" s="29">
        <v>-0.7373046875</v>
      </c>
      <c r="W11" s="30">
        <v>0</v>
      </c>
      <c r="X11" s="31">
        <v>0</v>
      </c>
    </row>
    <row r="12" spans="1:24" x14ac:dyDescent="0.3">
      <c r="A12" s="47" t="s">
        <v>133</v>
      </c>
      <c r="B12" s="2" t="s">
        <v>195</v>
      </c>
      <c r="C12" s="42" t="s">
        <v>200</v>
      </c>
      <c r="D12" s="42" t="s">
        <v>206</v>
      </c>
      <c r="E12" s="42" t="s">
        <v>268</v>
      </c>
      <c r="F12" s="22" t="str">
        <f>HYPERLINK("https://mapwv.gov/flood/map/?wkid=102100&amp;x=-8978991.303711152&amp;y=4897204.983239564&amp;l=13&amp;v=2","FT")</f>
        <v>FT</v>
      </c>
      <c r="G12" s="43" t="s">
        <v>31</v>
      </c>
      <c r="H12" s="27" t="s">
        <v>24</v>
      </c>
      <c r="I12" s="2" t="s">
        <v>331</v>
      </c>
      <c r="J12" s="47" t="s">
        <v>37</v>
      </c>
      <c r="K12" s="43" t="s">
        <v>97</v>
      </c>
      <c r="L12" s="43" t="s">
        <v>35</v>
      </c>
      <c r="M12" s="42" t="s">
        <v>33</v>
      </c>
      <c r="N12" s="3" t="s">
        <v>78</v>
      </c>
      <c r="O12" s="43" t="s">
        <v>80</v>
      </c>
      <c r="P12" s="42" t="s">
        <v>406</v>
      </c>
      <c r="Q12" s="42" t="s">
        <v>29</v>
      </c>
      <c r="R12" s="27" t="s">
        <v>81</v>
      </c>
      <c r="S12" s="28">
        <v>3117200</v>
      </c>
      <c r="T12" s="42" t="s">
        <v>41</v>
      </c>
      <c r="U12" s="29">
        <v>0</v>
      </c>
      <c r="V12" s="29">
        <v>-1</v>
      </c>
      <c r="W12" s="30">
        <v>0</v>
      </c>
      <c r="X12" s="31">
        <v>0</v>
      </c>
    </row>
    <row r="13" spans="1:24" x14ac:dyDescent="0.3">
      <c r="A13" s="47" t="s">
        <v>134</v>
      </c>
      <c r="B13" s="2" t="s">
        <v>193</v>
      </c>
      <c r="C13" s="42" t="s">
        <v>199</v>
      </c>
      <c r="D13" s="42" t="s">
        <v>207</v>
      </c>
      <c r="E13" s="42" t="s">
        <v>269</v>
      </c>
      <c r="F13" s="22" t="str">
        <f>HYPERLINK("https://mapwv.gov/flood/map/?wkid=102100&amp;x=-8971360.291057596&amp;y=4923807.943666809&amp;l=13&amp;v=2","FT")</f>
        <v>FT</v>
      </c>
      <c r="G13" s="43" t="s">
        <v>31</v>
      </c>
      <c r="H13" s="27" t="s">
        <v>24</v>
      </c>
      <c r="I13" s="2" t="s">
        <v>332</v>
      </c>
      <c r="J13" s="47" t="s">
        <v>25</v>
      </c>
      <c r="K13" s="43" t="s">
        <v>107</v>
      </c>
      <c r="L13" s="43" t="s">
        <v>26</v>
      </c>
      <c r="M13" s="42" t="s">
        <v>109</v>
      </c>
      <c r="N13" s="3" t="s">
        <v>39</v>
      </c>
      <c r="O13" s="43" t="s">
        <v>402</v>
      </c>
      <c r="P13" s="42" t="s">
        <v>407</v>
      </c>
      <c r="Q13" s="42" t="s">
        <v>29</v>
      </c>
      <c r="R13" s="27" t="s">
        <v>81</v>
      </c>
      <c r="S13" s="28">
        <v>2780600</v>
      </c>
      <c r="T13" s="42" t="s">
        <v>41</v>
      </c>
      <c r="U13" s="29">
        <v>0</v>
      </c>
      <c r="V13" s="29">
        <v>-1</v>
      </c>
      <c r="W13" s="30">
        <v>0</v>
      </c>
      <c r="X13" s="31">
        <v>0</v>
      </c>
    </row>
    <row r="14" spans="1:24" x14ac:dyDescent="0.3">
      <c r="A14" s="47" t="s">
        <v>135</v>
      </c>
      <c r="B14" s="2" t="s">
        <v>193</v>
      </c>
      <c r="C14" s="42" t="s">
        <v>199</v>
      </c>
      <c r="D14" s="42" t="s">
        <v>208</v>
      </c>
      <c r="E14" s="42" t="s">
        <v>270</v>
      </c>
      <c r="F14" s="22" t="str">
        <f>HYPERLINK("https://mapwv.gov/flood/map/?wkid=102100&amp;x=-8971344.833344426&amp;y=4923883.073945788&amp;l=13&amp;v=2","FT")</f>
        <v>FT</v>
      </c>
      <c r="G14" s="43" t="s">
        <v>31</v>
      </c>
      <c r="H14" s="27" t="s">
        <v>24</v>
      </c>
      <c r="I14" s="2" t="s">
        <v>333</v>
      </c>
      <c r="J14" s="47" t="s">
        <v>37</v>
      </c>
      <c r="K14" s="43" t="s">
        <v>68</v>
      </c>
      <c r="L14" s="43" t="s">
        <v>26</v>
      </c>
      <c r="M14" s="42" t="s">
        <v>109</v>
      </c>
      <c r="N14" s="3" t="s">
        <v>39</v>
      </c>
      <c r="O14" s="43" t="s">
        <v>402</v>
      </c>
      <c r="P14" s="42" t="s">
        <v>407</v>
      </c>
      <c r="Q14" s="42" t="s">
        <v>29</v>
      </c>
      <c r="R14" s="27" t="s">
        <v>81</v>
      </c>
      <c r="S14" s="28">
        <v>2691100</v>
      </c>
      <c r="T14" s="42" t="s">
        <v>41</v>
      </c>
      <c r="U14" s="29">
        <v>0.13946533</v>
      </c>
      <c r="V14" s="29">
        <v>-0.86053466796875</v>
      </c>
      <c r="W14" s="30">
        <v>2.09197998046875E-2</v>
      </c>
      <c r="X14" s="31">
        <v>56297.273254394502</v>
      </c>
    </row>
    <row r="15" spans="1:24" x14ac:dyDescent="0.3">
      <c r="A15" s="47" t="s">
        <v>136</v>
      </c>
      <c r="B15" s="2" t="s">
        <v>194</v>
      </c>
      <c r="C15" s="42" t="s">
        <v>200</v>
      </c>
      <c r="D15" s="42" t="s">
        <v>209</v>
      </c>
      <c r="E15" s="42" t="s">
        <v>271</v>
      </c>
      <c r="F15" s="22" t="str">
        <f>HYPERLINK("https://mapwv.gov/flood/map/?wkid=102100&amp;x=-8973859.028349146&amp;y=4905226.97148768&amp;l=13&amp;v=2","FT")</f>
        <v>FT</v>
      </c>
      <c r="G15" s="43" t="s">
        <v>31</v>
      </c>
      <c r="H15" s="27" t="s">
        <v>24</v>
      </c>
      <c r="I15" s="2" t="s">
        <v>334</v>
      </c>
      <c r="J15" s="47" t="s">
        <v>37</v>
      </c>
      <c r="K15" s="43" t="s">
        <v>386</v>
      </c>
      <c r="L15" s="43" t="s">
        <v>36</v>
      </c>
      <c r="M15" s="42" t="s">
        <v>27</v>
      </c>
      <c r="N15" s="3" t="s">
        <v>76</v>
      </c>
      <c r="O15" s="43" t="s">
        <v>80</v>
      </c>
      <c r="P15" s="42" t="s">
        <v>408</v>
      </c>
      <c r="Q15" s="42" t="s">
        <v>29</v>
      </c>
      <c r="R15" s="27" t="s">
        <v>81</v>
      </c>
      <c r="S15" s="28">
        <v>2375800</v>
      </c>
      <c r="T15" s="42" t="s">
        <v>41</v>
      </c>
      <c r="U15" s="29">
        <v>1.2556763</v>
      </c>
      <c r="V15" s="29">
        <v>0.25567626953125</v>
      </c>
      <c r="W15" s="30">
        <v>1.2783813476562499E-2</v>
      </c>
      <c r="X15" s="31">
        <v>30371.7840576171</v>
      </c>
    </row>
    <row r="16" spans="1:24" x14ac:dyDescent="0.3">
      <c r="A16" s="47" t="s">
        <v>137</v>
      </c>
      <c r="B16" s="2" t="s">
        <v>194</v>
      </c>
      <c r="C16" s="42" t="s">
        <v>200</v>
      </c>
      <c r="D16" s="42" t="s">
        <v>209</v>
      </c>
      <c r="E16" s="42" t="s">
        <v>272</v>
      </c>
      <c r="F16" s="22" t="str">
        <f>HYPERLINK("https://mapwv.gov/flood/map/?wkid=102100&amp;x=-8973878.921698749&amp;y=4905196.560230101&amp;l=13&amp;v=2","FT")</f>
        <v>FT</v>
      </c>
      <c r="G16" s="43" t="s">
        <v>31</v>
      </c>
      <c r="H16" s="27" t="s">
        <v>24</v>
      </c>
      <c r="I16" s="2" t="s">
        <v>334</v>
      </c>
      <c r="J16" s="47" t="s">
        <v>37</v>
      </c>
      <c r="K16" s="43" t="s">
        <v>386</v>
      </c>
      <c r="L16" s="43" t="s">
        <v>36</v>
      </c>
      <c r="M16" s="42" t="s">
        <v>27</v>
      </c>
      <c r="N16" s="3" t="s">
        <v>76</v>
      </c>
      <c r="O16" s="43" t="s">
        <v>80</v>
      </c>
      <c r="P16" s="42" t="s">
        <v>408</v>
      </c>
      <c r="Q16" s="42" t="s">
        <v>29</v>
      </c>
      <c r="R16" s="27" t="s">
        <v>81</v>
      </c>
      <c r="S16" s="28">
        <v>2375800</v>
      </c>
      <c r="T16" s="42" t="s">
        <v>41</v>
      </c>
      <c r="U16" s="29">
        <v>5.9031982000000003</v>
      </c>
      <c r="V16" s="29">
        <v>4.9031982421875</v>
      </c>
      <c r="W16" s="30">
        <v>0.14000000000000001</v>
      </c>
      <c r="X16" s="31">
        <v>332612</v>
      </c>
    </row>
    <row r="17" spans="1:24" x14ac:dyDescent="0.3">
      <c r="A17" s="47" t="s">
        <v>138</v>
      </c>
      <c r="B17" s="2" t="s">
        <v>195</v>
      </c>
      <c r="C17" s="42" t="s">
        <v>200</v>
      </c>
      <c r="D17" s="42" t="s">
        <v>210</v>
      </c>
      <c r="E17" s="42" t="s">
        <v>273</v>
      </c>
      <c r="F17" s="22" t="str">
        <f>HYPERLINK("https://mapwv.gov/flood/map/?wkid=102100&amp;x=-8978141.336986218&amp;y=4900423.704849434&amp;l=13&amp;v=2","FT")</f>
        <v>FT</v>
      </c>
      <c r="G17" s="43" t="s">
        <v>31</v>
      </c>
      <c r="H17" s="27" t="s">
        <v>24</v>
      </c>
      <c r="I17" s="2" t="s">
        <v>335</v>
      </c>
      <c r="J17" s="47" t="s">
        <v>37</v>
      </c>
      <c r="K17" s="43" t="s">
        <v>100</v>
      </c>
      <c r="L17" s="43" t="s">
        <v>26</v>
      </c>
      <c r="M17" s="42" t="s">
        <v>44</v>
      </c>
      <c r="N17" s="3" t="s">
        <v>34</v>
      </c>
      <c r="O17" s="43" t="s">
        <v>79</v>
      </c>
      <c r="P17" s="42" t="s">
        <v>409</v>
      </c>
      <c r="Q17" s="42" t="s">
        <v>29</v>
      </c>
      <c r="R17" s="27" t="s">
        <v>81</v>
      </c>
      <c r="S17" s="28">
        <v>2329000</v>
      </c>
      <c r="T17" s="42" t="s">
        <v>41</v>
      </c>
      <c r="U17" s="29">
        <v>8.6486820000000006E-2</v>
      </c>
      <c r="V17" s="29">
        <v>-0.91351318359375</v>
      </c>
      <c r="W17" s="30">
        <v>8.648681640625E-4</v>
      </c>
      <c r="X17" s="31">
        <v>2014.27795410156</v>
      </c>
    </row>
    <row r="18" spans="1:24" x14ac:dyDescent="0.3">
      <c r="A18" s="47" t="s">
        <v>139</v>
      </c>
      <c r="B18" s="2" t="s">
        <v>194</v>
      </c>
      <c r="C18" s="42" t="s">
        <v>200</v>
      </c>
      <c r="D18" s="42" t="s">
        <v>211</v>
      </c>
      <c r="E18" s="42" t="s">
        <v>274</v>
      </c>
      <c r="F18" s="22" t="str">
        <f>HYPERLINK("https://mapwv.gov/flood/map/?wkid=102100&amp;x=-8973478.169639463&amp;y=4906374.994182989&amp;l=13&amp;v=2","FT")</f>
        <v>FT</v>
      </c>
      <c r="G18" s="43" t="s">
        <v>31</v>
      </c>
      <c r="H18" s="27" t="s">
        <v>24</v>
      </c>
      <c r="I18" s="2" t="s">
        <v>330</v>
      </c>
      <c r="J18" s="47" t="s">
        <v>37</v>
      </c>
      <c r="K18" s="43" t="s">
        <v>118</v>
      </c>
      <c r="L18" s="43" t="s">
        <v>42</v>
      </c>
      <c r="M18" s="42" t="s">
        <v>54</v>
      </c>
      <c r="N18" s="3" t="s">
        <v>75</v>
      </c>
      <c r="O18" s="43" t="s">
        <v>79</v>
      </c>
      <c r="P18" s="42" t="s">
        <v>410</v>
      </c>
      <c r="Q18" s="42" t="s">
        <v>29</v>
      </c>
      <c r="R18" s="27" t="s">
        <v>81</v>
      </c>
      <c r="S18" s="28">
        <v>1715700</v>
      </c>
      <c r="T18" s="42" t="s">
        <v>41</v>
      </c>
      <c r="U18" s="29">
        <v>5.9838867000000002</v>
      </c>
      <c r="V18" s="29">
        <v>4.98388671875</v>
      </c>
      <c r="W18" s="30">
        <v>9.9838867187499999E-2</v>
      </c>
      <c r="X18" s="31">
        <v>171293.54443359299</v>
      </c>
    </row>
    <row r="19" spans="1:24" x14ac:dyDescent="0.3">
      <c r="A19" s="47" t="s">
        <v>140</v>
      </c>
      <c r="B19" s="2" t="s">
        <v>196</v>
      </c>
      <c r="C19" s="42" t="s">
        <v>200</v>
      </c>
      <c r="D19" s="42" t="s">
        <v>212</v>
      </c>
      <c r="E19" s="42" t="s">
        <v>275</v>
      </c>
      <c r="F19" s="22" t="str">
        <f>HYPERLINK("https://mapwv.gov/flood/map/?wkid=102100&amp;x=-8971893.449302223&amp;y=4913986.0336206565&amp;l=13&amp;v=2","FT")</f>
        <v>FT</v>
      </c>
      <c r="G19" s="43" t="s">
        <v>31</v>
      </c>
      <c r="H19" s="27" t="s">
        <v>24</v>
      </c>
      <c r="I19" s="2" t="s">
        <v>336</v>
      </c>
      <c r="J19" s="47" t="s">
        <v>37</v>
      </c>
      <c r="K19" s="43" t="s">
        <v>102</v>
      </c>
      <c r="L19" s="43" t="s">
        <v>26</v>
      </c>
      <c r="M19" s="42" t="s">
        <v>109</v>
      </c>
      <c r="N19" s="3" t="s">
        <v>39</v>
      </c>
      <c r="O19" s="43" t="s">
        <v>123</v>
      </c>
      <c r="P19" s="42" t="s">
        <v>411</v>
      </c>
      <c r="Q19" s="42" t="s">
        <v>29</v>
      </c>
      <c r="R19" s="27" t="s">
        <v>81</v>
      </c>
      <c r="S19" s="28">
        <v>1036800</v>
      </c>
      <c r="T19" s="42" t="s">
        <v>41</v>
      </c>
      <c r="U19" s="29">
        <v>3.550354</v>
      </c>
      <c r="V19" s="29">
        <v>2.55035400390625</v>
      </c>
      <c r="W19" s="30">
        <v>0.26651062011718701</v>
      </c>
      <c r="X19" s="31">
        <v>276318.2109375</v>
      </c>
    </row>
    <row r="20" spans="1:24" x14ac:dyDescent="0.3">
      <c r="A20" s="47" t="s">
        <v>141</v>
      </c>
      <c r="B20" s="2" t="s">
        <v>193</v>
      </c>
      <c r="C20" s="42" t="s">
        <v>200</v>
      </c>
      <c r="D20" s="42" t="s">
        <v>213</v>
      </c>
      <c r="E20" s="42" t="s">
        <v>276</v>
      </c>
      <c r="F20" s="22" t="str">
        <f>HYPERLINK("https://mapwv.gov/flood/map/?wkid=102100&amp;x=-8974646.544951063&amp;y=4922161.679640192&amp;l=13&amp;v=2","FT")</f>
        <v>FT</v>
      </c>
      <c r="G20" s="43" t="s">
        <v>31</v>
      </c>
      <c r="H20" s="27" t="s">
        <v>24</v>
      </c>
      <c r="I20" s="2" t="s">
        <v>337</v>
      </c>
      <c r="J20" s="47" t="s">
        <v>25</v>
      </c>
      <c r="K20" s="43" t="s">
        <v>114</v>
      </c>
      <c r="L20" s="43" t="s">
        <v>387</v>
      </c>
      <c r="M20" s="42" t="s">
        <v>33</v>
      </c>
      <c r="N20" s="3" t="s">
        <v>78</v>
      </c>
      <c r="O20" s="43" t="s">
        <v>80</v>
      </c>
      <c r="P20" s="42" t="s">
        <v>412</v>
      </c>
      <c r="Q20" s="42" t="s">
        <v>29</v>
      </c>
      <c r="R20" s="27" t="s">
        <v>81</v>
      </c>
      <c r="S20" s="28">
        <v>892200</v>
      </c>
      <c r="T20" s="42" t="s">
        <v>41</v>
      </c>
      <c r="U20" s="29">
        <v>0</v>
      </c>
      <c r="V20" s="29">
        <v>-1</v>
      </c>
      <c r="W20" s="30">
        <v>0</v>
      </c>
      <c r="X20" s="31">
        <v>0</v>
      </c>
    </row>
    <row r="21" spans="1:24" x14ac:dyDescent="0.3">
      <c r="A21" s="47" t="s">
        <v>142</v>
      </c>
      <c r="B21" s="2" t="s">
        <v>194</v>
      </c>
      <c r="C21" s="42" t="s">
        <v>200</v>
      </c>
      <c r="D21" s="42" t="s">
        <v>214</v>
      </c>
      <c r="E21" s="42" t="s">
        <v>277</v>
      </c>
      <c r="F21" s="22" t="str">
        <f>HYPERLINK("https://mapwv.gov/flood/map/?wkid=102100&amp;x=-8973762.64938117&amp;y=4905925.915994169&amp;l=13&amp;v=2","FT")</f>
        <v>FT</v>
      </c>
      <c r="G21" s="43" t="s">
        <v>31</v>
      </c>
      <c r="H21" s="27" t="s">
        <v>24</v>
      </c>
      <c r="I21" s="2" t="s">
        <v>329</v>
      </c>
      <c r="J21" s="47" t="s">
        <v>25</v>
      </c>
      <c r="K21" s="43" t="s">
        <v>99</v>
      </c>
      <c r="L21" s="43" t="s">
        <v>46</v>
      </c>
      <c r="M21" s="42" t="s">
        <v>400</v>
      </c>
      <c r="N21" s="3" t="s">
        <v>78</v>
      </c>
      <c r="O21" s="43" t="s">
        <v>80</v>
      </c>
      <c r="P21" s="42" t="s">
        <v>413</v>
      </c>
      <c r="Q21" s="42" t="s">
        <v>29</v>
      </c>
      <c r="R21" s="27" t="s">
        <v>81</v>
      </c>
      <c r="S21" s="28">
        <v>805500</v>
      </c>
      <c r="T21" s="42" t="s">
        <v>41</v>
      </c>
      <c r="U21" s="29">
        <v>5.9769287000000002</v>
      </c>
      <c r="V21" s="29">
        <v>4.9769287109375</v>
      </c>
      <c r="W21" s="30">
        <v>0.46907714843749998</v>
      </c>
      <c r="X21" s="31">
        <v>377841.64306640602</v>
      </c>
    </row>
    <row r="22" spans="1:24" x14ac:dyDescent="0.3">
      <c r="A22" s="47" t="s">
        <v>143</v>
      </c>
      <c r="B22" s="2" t="s">
        <v>193</v>
      </c>
      <c r="C22" s="42" t="s">
        <v>200</v>
      </c>
      <c r="D22" s="42" t="s">
        <v>215</v>
      </c>
      <c r="E22" s="42" t="s">
        <v>278</v>
      </c>
      <c r="F22" s="22" t="str">
        <f>HYPERLINK("https://mapwv.gov/flood/map/?wkid=102100&amp;x=-8975600.227155011&amp;y=4922850.882208711&amp;l=13&amp;v=2","FT")</f>
        <v>FT</v>
      </c>
      <c r="G22" s="43" t="s">
        <v>31</v>
      </c>
      <c r="H22" s="27" t="s">
        <v>24</v>
      </c>
      <c r="I22" s="2" t="s">
        <v>338</v>
      </c>
      <c r="J22" s="47" t="s">
        <v>37</v>
      </c>
      <c r="K22" s="43" t="s">
        <v>388</v>
      </c>
      <c r="L22" s="43" t="s">
        <v>32</v>
      </c>
      <c r="M22" s="42" t="s">
        <v>57</v>
      </c>
      <c r="N22" s="3" t="s">
        <v>34</v>
      </c>
      <c r="O22" s="43" t="s">
        <v>79</v>
      </c>
      <c r="P22" s="42" t="s">
        <v>414</v>
      </c>
      <c r="Q22" s="42" t="s">
        <v>29</v>
      </c>
      <c r="R22" s="27" t="s">
        <v>81</v>
      </c>
      <c r="S22" s="28">
        <v>768500</v>
      </c>
      <c r="T22" s="42" t="s">
        <v>41</v>
      </c>
      <c r="U22" s="29">
        <v>3.5400999999999998</v>
      </c>
      <c r="V22" s="29">
        <v>2.54010009765625</v>
      </c>
      <c r="W22" s="30">
        <v>9.6203002929687503E-2</v>
      </c>
      <c r="X22" s="31">
        <v>73932.0077514648</v>
      </c>
    </row>
    <row r="23" spans="1:24" x14ac:dyDescent="0.3">
      <c r="A23" s="47" t="s">
        <v>144</v>
      </c>
      <c r="B23" s="2" t="s">
        <v>197</v>
      </c>
      <c r="C23" s="42" t="s">
        <v>199</v>
      </c>
      <c r="D23" s="42" t="s">
        <v>216</v>
      </c>
      <c r="E23" s="42" t="s">
        <v>279</v>
      </c>
      <c r="F23" s="22" t="str">
        <f>HYPERLINK("https://mapwv.gov/flood/map/?wkid=102100&amp;x=-8971555.71598591&amp;y=4923102.785866861&amp;l=13&amp;v=2","FT")</f>
        <v>FT</v>
      </c>
      <c r="G23" s="43" t="s">
        <v>31</v>
      </c>
      <c r="H23" s="27" t="s">
        <v>105</v>
      </c>
      <c r="I23" s="2" t="s">
        <v>339</v>
      </c>
      <c r="J23" s="47" t="s">
        <v>25</v>
      </c>
      <c r="K23" s="43" t="s">
        <v>88</v>
      </c>
      <c r="L23" s="43" t="s">
        <v>46</v>
      </c>
      <c r="M23" s="42" t="s">
        <v>48</v>
      </c>
      <c r="N23" s="3" t="s">
        <v>34</v>
      </c>
      <c r="O23" s="43" t="s">
        <v>80</v>
      </c>
      <c r="P23" s="42" t="s">
        <v>415</v>
      </c>
      <c r="Q23" s="42" t="s">
        <v>29</v>
      </c>
      <c r="R23" s="27" t="s">
        <v>81</v>
      </c>
      <c r="S23" s="28">
        <v>686300</v>
      </c>
      <c r="T23" s="42" t="s">
        <v>41</v>
      </c>
      <c r="U23" s="29">
        <v>0.65838622999999996</v>
      </c>
      <c r="V23" s="29">
        <v>-0.34161376953125</v>
      </c>
      <c r="W23" s="30">
        <v>6.5838623046875003E-3</v>
      </c>
      <c r="X23" s="31">
        <v>4518.5046997070303</v>
      </c>
    </row>
    <row r="24" spans="1:24" x14ac:dyDescent="0.3">
      <c r="A24" s="47" t="s">
        <v>145</v>
      </c>
      <c r="B24" s="2" t="s">
        <v>193</v>
      </c>
      <c r="C24" s="42" t="s">
        <v>200</v>
      </c>
      <c r="D24" s="42" t="s">
        <v>217</v>
      </c>
      <c r="E24" s="42" t="s">
        <v>280</v>
      </c>
      <c r="F24" s="22" t="str">
        <f>HYPERLINK("https://mapwv.gov/flood/map/?wkid=102100&amp;x=-8975655.055121172&amp;y=4922857.26544974&amp;l=13&amp;v=2","FT")</f>
        <v>FT</v>
      </c>
      <c r="G24" s="43" t="s">
        <v>31</v>
      </c>
      <c r="H24" s="27" t="s">
        <v>24</v>
      </c>
      <c r="I24" s="2" t="s">
        <v>338</v>
      </c>
      <c r="J24" s="47" t="s">
        <v>25</v>
      </c>
      <c r="K24" s="43" t="s">
        <v>87</v>
      </c>
      <c r="L24" s="43" t="s">
        <v>66</v>
      </c>
      <c r="M24" s="42" t="s">
        <v>400</v>
      </c>
      <c r="N24" s="3" t="s">
        <v>78</v>
      </c>
      <c r="O24" s="43" t="s">
        <v>79</v>
      </c>
      <c r="P24" s="42" t="s">
        <v>113</v>
      </c>
      <c r="Q24" s="42" t="s">
        <v>29</v>
      </c>
      <c r="R24" s="27" t="s">
        <v>81</v>
      </c>
      <c r="S24" s="28">
        <v>652700</v>
      </c>
      <c r="T24" s="42" t="s">
        <v>41</v>
      </c>
      <c r="U24" s="29">
        <v>3.5671997000000002</v>
      </c>
      <c r="V24" s="29">
        <v>2.56719970703125</v>
      </c>
      <c r="W24" s="30">
        <v>0.34403198242187499</v>
      </c>
      <c r="X24" s="31">
        <v>224549.674926757</v>
      </c>
    </row>
    <row r="25" spans="1:24" x14ac:dyDescent="0.3">
      <c r="A25" s="47" t="s">
        <v>146</v>
      </c>
      <c r="B25" s="2" t="s">
        <v>194</v>
      </c>
      <c r="C25" s="42" t="s">
        <v>200</v>
      </c>
      <c r="D25" s="42" t="s">
        <v>218</v>
      </c>
      <c r="E25" s="42" t="s">
        <v>281</v>
      </c>
      <c r="F25" s="22" t="str">
        <f>HYPERLINK("https://mapwv.gov/flood/map/?wkid=102100&amp;x=-8973760.571157599&amp;y=4905354.399507331&amp;l=13&amp;v=2","FT")</f>
        <v>FT</v>
      </c>
      <c r="G25" s="43" t="s">
        <v>31</v>
      </c>
      <c r="H25" s="27" t="s">
        <v>24</v>
      </c>
      <c r="I25" s="2" t="s">
        <v>340</v>
      </c>
      <c r="J25" s="47" t="s">
        <v>37</v>
      </c>
      <c r="K25" s="43" t="s">
        <v>389</v>
      </c>
      <c r="L25" s="43" t="s">
        <v>42</v>
      </c>
      <c r="M25" s="42" t="s">
        <v>111</v>
      </c>
      <c r="N25" s="3" t="s">
        <v>34</v>
      </c>
      <c r="O25" s="43" t="s">
        <v>80</v>
      </c>
      <c r="P25" s="42" t="s">
        <v>416</v>
      </c>
      <c r="Q25" s="42" t="s">
        <v>29</v>
      </c>
      <c r="R25" s="27" t="s">
        <v>81</v>
      </c>
      <c r="S25" s="28">
        <v>621300</v>
      </c>
      <c r="T25" s="42" t="s">
        <v>41</v>
      </c>
      <c r="U25" s="29">
        <v>2.0239258000000002</v>
      </c>
      <c r="V25" s="29">
        <v>1.02392578125</v>
      </c>
      <c r="W25" s="30">
        <v>0.11</v>
      </c>
      <c r="X25" s="31">
        <v>68343</v>
      </c>
    </row>
    <row r="26" spans="1:24" x14ac:dyDescent="0.3">
      <c r="A26" s="47" t="s">
        <v>147</v>
      </c>
      <c r="B26" s="2" t="s">
        <v>194</v>
      </c>
      <c r="C26" s="42" t="s">
        <v>200</v>
      </c>
      <c r="D26" s="42" t="s">
        <v>219</v>
      </c>
      <c r="E26" s="42" t="s">
        <v>282</v>
      </c>
      <c r="F26" s="22" t="str">
        <f>HYPERLINK("https://mapwv.gov/flood/map/?wkid=102100&amp;x=-8973731.14696715&amp;y=4905632.266182392&amp;l=13&amp;v=2","FT")</f>
        <v>FT</v>
      </c>
      <c r="G26" s="43" t="s">
        <v>31</v>
      </c>
      <c r="H26" s="27" t="s">
        <v>24</v>
      </c>
      <c r="I26" s="2" t="s">
        <v>341</v>
      </c>
      <c r="J26" s="47" t="s">
        <v>25</v>
      </c>
      <c r="K26" s="43" t="s">
        <v>114</v>
      </c>
      <c r="L26" s="43" t="s">
        <v>47</v>
      </c>
      <c r="M26" s="42" t="s">
        <v>51</v>
      </c>
      <c r="N26" s="3" t="s">
        <v>34</v>
      </c>
      <c r="O26" s="43" t="s">
        <v>79</v>
      </c>
      <c r="P26" s="42" t="s">
        <v>126</v>
      </c>
      <c r="Q26" s="42" t="s">
        <v>29</v>
      </c>
      <c r="R26" s="27" t="s">
        <v>81</v>
      </c>
      <c r="S26" s="28">
        <v>564100</v>
      </c>
      <c r="T26" s="42" t="s">
        <v>41</v>
      </c>
      <c r="U26" s="29">
        <v>0</v>
      </c>
      <c r="V26" s="29">
        <v>-1</v>
      </c>
      <c r="W26" s="30">
        <v>0</v>
      </c>
      <c r="X26" s="31">
        <v>0</v>
      </c>
    </row>
    <row r="27" spans="1:24" x14ac:dyDescent="0.3">
      <c r="A27" s="47" t="s">
        <v>148</v>
      </c>
      <c r="B27" s="2" t="s">
        <v>194</v>
      </c>
      <c r="C27" s="42" t="s">
        <v>200</v>
      </c>
      <c r="D27" s="42" t="s">
        <v>220</v>
      </c>
      <c r="E27" s="42" t="s">
        <v>283</v>
      </c>
      <c r="F27" s="22" t="str">
        <f>HYPERLINK("https://mapwv.gov/flood/map/?wkid=102100&amp;x=-8973715.948739713&amp;y=4905342.285666496&amp;l=13&amp;v=2","FT")</f>
        <v>FT</v>
      </c>
      <c r="G27" s="43" t="s">
        <v>31</v>
      </c>
      <c r="H27" s="27" t="s">
        <v>24</v>
      </c>
      <c r="I27" s="2" t="s">
        <v>342</v>
      </c>
      <c r="J27" s="47" t="s">
        <v>37</v>
      </c>
      <c r="K27" s="43" t="s">
        <v>390</v>
      </c>
      <c r="L27" s="43" t="s">
        <v>43</v>
      </c>
      <c r="M27" s="42" t="s">
        <v>111</v>
      </c>
      <c r="N27" s="3" t="s">
        <v>34</v>
      </c>
      <c r="O27" s="43" t="s">
        <v>112</v>
      </c>
      <c r="P27" s="42" t="s">
        <v>417</v>
      </c>
      <c r="Q27" s="42" t="s">
        <v>29</v>
      </c>
      <c r="R27" s="27" t="s">
        <v>81</v>
      </c>
      <c r="S27" s="28">
        <v>563000</v>
      </c>
      <c r="T27" s="42" t="s">
        <v>41</v>
      </c>
      <c r="U27" s="29">
        <v>2.7124022999999999</v>
      </c>
      <c r="V27" s="29">
        <v>1.71240234375</v>
      </c>
      <c r="W27" s="30">
        <v>0.11</v>
      </c>
      <c r="X27" s="31">
        <v>61930</v>
      </c>
    </row>
    <row r="28" spans="1:24" x14ac:dyDescent="0.3">
      <c r="A28" s="47" t="s">
        <v>149</v>
      </c>
      <c r="B28" s="2" t="s">
        <v>193</v>
      </c>
      <c r="C28" s="42" t="s">
        <v>199</v>
      </c>
      <c r="D28" s="42" t="s">
        <v>221</v>
      </c>
      <c r="E28" s="42" t="s">
        <v>284</v>
      </c>
      <c r="F28" s="22" t="str">
        <f>HYPERLINK("https://mapwv.gov/flood/map/?wkid=102100&amp;x=-8971796.46987691&amp;y=4922920.998262149&amp;l=13&amp;v=2","FT")</f>
        <v>FT</v>
      </c>
      <c r="G28" s="43" t="s">
        <v>50</v>
      </c>
      <c r="H28" s="27" t="s">
        <v>24</v>
      </c>
      <c r="I28" s="2" t="s">
        <v>343</v>
      </c>
      <c r="J28" s="47" t="s">
        <v>92</v>
      </c>
      <c r="K28" s="43" t="s">
        <v>84</v>
      </c>
      <c r="L28" s="43" t="s">
        <v>49</v>
      </c>
      <c r="M28" s="42" t="s">
        <v>44</v>
      </c>
      <c r="N28" s="3" t="s">
        <v>34</v>
      </c>
      <c r="O28" s="43" t="s">
        <v>79</v>
      </c>
      <c r="P28" s="42" t="s">
        <v>418</v>
      </c>
      <c r="Q28" s="42" t="s">
        <v>29</v>
      </c>
      <c r="R28" s="27" t="s">
        <v>81</v>
      </c>
      <c r="S28" s="28">
        <v>533000</v>
      </c>
      <c r="T28" s="42" t="s">
        <v>41</v>
      </c>
      <c r="U28" s="29">
        <v>1.2379761</v>
      </c>
      <c r="V28" s="29">
        <v>0.23797607421875</v>
      </c>
      <c r="W28" s="30">
        <v>2.9038085937499999E-2</v>
      </c>
      <c r="X28" s="31">
        <v>15477.2998046875</v>
      </c>
    </row>
    <row r="29" spans="1:24" x14ac:dyDescent="0.3">
      <c r="A29" s="47" t="s">
        <v>150</v>
      </c>
      <c r="B29" s="2" t="s">
        <v>197</v>
      </c>
      <c r="C29" s="42" t="s">
        <v>199</v>
      </c>
      <c r="D29" s="42" t="s">
        <v>222</v>
      </c>
      <c r="E29" s="42" t="s">
        <v>285</v>
      </c>
      <c r="F29" s="22" t="str">
        <f>HYPERLINK("https://mapwv.gov/flood/map/?wkid=102100&amp;x=-8971984.909952454&amp;y=4922743.340551483&amp;l=13&amp;v=2","FT")</f>
        <v>FT</v>
      </c>
      <c r="G29" s="43" t="s">
        <v>31</v>
      </c>
      <c r="H29" s="27" t="s">
        <v>105</v>
      </c>
      <c r="I29" s="2" t="s">
        <v>344</v>
      </c>
      <c r="J29" s="47" t="s">
        <v>37</v>
      </c>
      <c r="K29" s="43" t="s">
        <v>70</v>
      </c>
      <c r="L29" s="43" t="s">
        <v>46</v>
      </c>
      <c r="M29" s="42" t="s">
        <v>51</v>
      </c>
      <c r="N29" s="3" t="s">
        <v>34</v>
      </c>
      <c r="O29" s="43" t="s">
        <v>80</v>
      </c>
      <c r="P29" s="42" t="s">
        <v>419</v>
      </c>
      <c r="Q29" s="42" t="s">
        <v>29</v>
      </c>
      <c r="R29" s="27" t="s">
        <v>81</v>
      </c>
      <c r="S29" s="28">
        <v>524600</v>
      </c>
      <c r="T29" s="42" t="s">
        <v>41</v>
      </c>
      <c r="U29" s="29">
        <v>1</v>
      </c>
      <c r="V29" s="29">
        <v>0</v>
      </c>
      <c r="W29" s="30">
        <v>0.02</v>
      </c>
      <c r="X29" s="31">
        <v>10492</v>
      </c>
    </row>
    <row r="30" spans="1:24" x14ac:dyDescent="0.3">
      <c r="A30" s="47" t="s">
        <v>151</v>
      </c>
      <c r="B30" s="2" t="s">
        <v>196</v>
      </c>
      <c r="C30" s="42" t="s">
        <v>200</v>
      </c>
      <c r="D30" s="42" t="s">
        <v>223</v>
      </c>
      <c r="E30" s="42" t="s">
        <v>286</v>
      </c>
      <c r="F30" s="22" t="str">
        <f>HYPERLINK("https://mapwv.gov/flood/map/?wkid=102100&amp;x=-8971944.168688614&amp;y=4913812.284376887&amp;l=13&amp;v=2","FT")</f>
        <v>FT</v>
      </c>
      <c r="G30" s="43" t="s">
        <v>31</v>
      </c>
      <c r="H30" s="27" t="s">
        <v>24</v>
      </c>
      <c r="I30" s="2" t="s">
        <v>345</v>
      </c>
      <c r="J30" s="47" t="s">
        <v>25</v>
      </c>
      <c r="K30" s="43" t="s">
        <v>115</v>
      </c>
      <c r="L30" s="43" t="s">
        <v>43</v>
      </c>
      <c r="M30" s="42" t="s">
        <v>111</v>
      </c>
      <c r="N30" s="3" t="s">
        <v>34</v>
      </c>
      <c r="O30" s="43" t="s">
        <v>79</v>
      </c>
      <c r="P30" s="42" t="s">
        <v>420</v>
      </c>
      <c r="Q30" s="42" t="s">
        <v>29</v>
      </c>
      <c r="R30" s="27" t="s">
        <v>81</v>
      </c>
      <c r="S30" s="28">
        <v>514400</v>
      </c>
      <c r="T30" s="42" t="s">
        <v>41</v>
      </c>
      <c r="U30" s="29">
        <v>2.2728271000000002</v>
      </c>
      <c r="V30" s="29">
        <v>1.2728271484375</v>
      </c>
      <c r="W30" s="30">
        <v>0.11</v>
      </c>
      <c r="X30" s="31">
        <v>56584</v>
      </c>
    </row>
    <row r="31" spans="1:24" x14ac:dyDescent="0.3">
      <c r="A31" s="47" t="s">
        <v>152</v>
      </c>
      <c r="B31" s="2" t="s">
        <v>197</v>
      </c>
      <c r="C31" s="42" t="s">
        <v>201</v>
      </c>
      <c r="D31" s="42" t="s">
        <v>224</v>
      </c>
      <c r="E31" s="42" t="s">
        <v>287</v>
      </c>
      <c r="F31" s="22" t="str">
        <f>HYPERLINK("https://mapwv.gov/flood/map/?wkid=102100&amp;x=-8972144.896432186&amp;y=4910541.52829196&amp;l=13&amp;v=2","FT")</f>
        <v>FT</v>
      </c>
      <c r="G31" s="43" t="s">
        <v>31</v>
      </c>
      <c r="H31" s="27" t="s">
        <v>24</v>
      </c>
      <c r="I31" s="2" t="s">
        <v>346</v>
      </c>
      <c r="J31" s="47" t="s">
        <v>37</v>
      </c>
      <c r="K31" s="43" t="s">
        <v>107</v>
      </c>
      <c r="L31" s="43" t="s">
        <v>26</v>
      </c>
      <c r="M31" s="42" t="s">
        <v>44</v>
      </c>
      <c r="N31" s="3" t="s">
        <v>34</v>
      </c>
      <c r="O31" s="43" t="s">
        <v>79</v>
      </c>
      <c r="P31" s="42" t="s">
        <v>421</v>
      </c>
      <c r="Q31" s="42" t="s">
        <v>29</v>
      </c>
      <c r="R31" s="27" t="s">
        <v>81</v>
      </c>
      <c r="S31" s="28">
        <v>504300</v>
      </c>
      <c r="T31" s="42" t="s">
        <v>41</v>
      </c>
      <c r="U31" s="29">
        <v>0</v>
      </c>
      <c r="V31" s="29">
        <v>-1</v>
      </c>
      <c r="W31" s="30">
        <v>0</v>
      </c>
      <c r="X31" s="31">
        <v>0</v>
      </c>
    </row>
    <row r="32" spans="1:24" x14ac:dyDescent="0.3">
      <c r="A32" s="47" t="s">
        <v>153</v>
      </c>
      <c r="B32" s="2" t="s">
        <v>195</v>
      </c>
      <c r="C32" s="42" t="s">
        <v>200</v>
      </c>
      <c r="D32" s="42" t="s">
        <v>225</v>
      </c>
      <c r="E32" s="42" t="s">
        <v>288</v>
      </c>
      <c r="F32" s="22" t="str">
        <f>HYPERLINK("https://mapwv.gov/flood/map/?wkid=102100&amp;x=-8978445.238528166&amp;y=4899034.87179032&amp;l=13&amp;v=2","FT")</f>
        <v>FT</v>
      </c>
      <c r="G32" s="43" t="s">
        <v>31</v>
      </c>
      <c r="H32" s="27" t="s">
        <v>24</v>
      </c>
      <c r="I32" s="2" t="s">
        <v>347</v>
      </c>
      <c r="J32" s="47" t="s">
        <v>37</v>
      </c>
      <c r="K32" s="43" t="s">
        <v>119</v>
      </c>
      <c r="L32" s="43" t="s">
        <v>26</v>
      </c>
      <c r="M32" s="42" t="s">
        <v>57</v>
      </c>
      <c r="N32" s="3" t="s">
        <v>34</v>
      </c>
      <c r="O32" s="43" t="s">
        <v>79</v>
      </c>
      <c r="P32" s="42" t="s">
        <v>422</v>
      </c>
      <c r="Q32" s="42" t="s">
        <v>29</v>
      </c>
      <c r="R32" s="27" t="s">
        <v>81</v>
      </c>
      <c r="S32" s="28">
        <v>477600</v>
      </c>
      <c r="T32" s="42" t="s">
        <v>41</v>
      </c>
      <c r="U32" s="29">
        <v>0</v>
      </c>
      <c r="V32" s="29">
        <v>-1</v>
      </c>
      <c r="W32" s="30">
        <v>0</v>
      </c>
      <c r="X32" s="31">
        <v>0</v>
      </c>
    </row>
    <row r="33" spans="1:24" x14ac:dyDescent="0.3">
      <c r="A33" s="47" t="s">
        <v>154</v>
      </c>
      <c r="B33" s="2" t="s">
        <v>194</v>
      </c>
      <c r="C33" s="42" t="s">
        <v>200</v>
      </c>
      <c r="D33" s="42" t="s">
        <v>226</v>
      </c>
      <c r="E33" s="42" t="s">
        <v>289</v>
      </c>
      <c r="F33" s="22" t="str">
        <f>HYPERLINK("https://mapwv.gov/flood/map/?wkid=102100&amp;x=-8973447.13766161&amp;y=4905789.476143732&amp;l=13&amp;v=2","FT")</f>
        <v>FT</v>
      </c>
      <c r="G33" s="43" t="s">
        <v>31</v>
      </c>
      <c r="H33" s="27" t="s">
        <v>24</v>
      </c>
      <c r="I33" s="2" t="s">
        <v>348</v>
      </c>
      <c r="J33" s="47" t="s">
        <v>25</v>
      </c>
      <c r="K33" s="43" t="s">
        <v>72</v>
      </c>
      <c r="L33" s="43" t="s">
        <v>26</v>
      </c>
      <c r="M33" s="42" t="s">
        <v>44</v>
      </c>
      <c r="N33" s="3" t="s">
        <v>34</v>
      </c>
      <c r="O33" s="43" t="s">
        <v>79</v>
      </c>
      <c r="P33" s="42" t="s">
        <v>423</v>
      </c>
      <c r="Q33" s="42" t="s">
        <v>29</v>
      </c>
      <c r="R33" s="27" t="s">
        <v>81</v>
      </c>
      <c r="S33" s="28">
        <v>454000</v>
      </c>
      <c r="T33" s="42" t="s">
        <v>41</v>
      </c>
      <c r="U33" s="29">
        <v>3.0389404</v>
      </c>
      <c r="V33" s="29">
        <v>2.0389404296875</v>
      </c>
      <c r="W33" s="30">
        <v>0.14077880859375</v>
      </c>
      <c r="X33" s="31">
        <v>63913.5791015625</v>
      </c>
    </row>
    <row r="34" spans="1:24" x14ac:dyDescent="0.3">
      <c r="A34" s="47" t="s">
        <v>155</v>
      </c>
      <c r="B34" s="2" t="s">
        <v>196</v>
      </c>
      <c r="C34" s="42" t="s">
        <v>200</v>
      </c>
      <c r="D34" s="42" t="s">
        <v>227</v>
      </c>
      <c r="E34" s="42" t="s">
        <v>290</v>
      </c>
      <c r="F34" s="22" t="str">
        <f>HYPERLINK("https://mapwv.gov/flood/map/?wkid=102100&amp;x=-8971757.364007711&amp;y=4913914.4420543555&amp;l=13&amp;v=2","FT")</f>
        <v>FT</v>
      </c>
      <c r="G34" s="43" t="s">
        <v>50</v>
      </c>
      <c r="H34" s="27" t="s">
        <v>24</v>
      </c>
      <c r="I34" s="2" t="s">
        <v>349</v>
      </c>
      <c r="J34" s="47" t="s">
        <v>37</v>
      </c>
      <c r="K34" s="43" t="s">
        <v>101</v>
      </c>
      <c r="L34" s="43" t="s">
        <v>26</v>
      </c>
      <c r="M34" s="42" t="s">
        <v>44</v>
      </c>
      <c r="N34" s="3" t="s">
        <v>34</v>
      </c>
      <c r="O34" s="43" t="s">
        <v>79</v>
      </c>
      <c r="P34" s="42" t="s">
        <v>424</v>
      </c>
      <c r="Q34" s="42" t="s">
        <v>29</v>
      </c>
      <c r="R34" s="27" t="s">
        <v>81</v>
      </c>
      <c r="S34" s="28">
        <v>445200</v>
      </c>
      <c r="T34" s="42" t="s">
        <v>41</v>
      </c>
      <c r="U34" s="29">
        <v>0.48547362999999999</v>
      </c>
      <c r="V34" s="29">
        <v>-0.5145263671875</v>
      </c>
      <c r="W34" s="30">
        <v>4.8547363281250004E-3</v>
      </c>
      <c r="X34" s="31">
        <v>2161.32861328125</v>
      </c>
    </row>
    <row r="35" spans="1:24" x14ac:dyDescent="0.3">
      <c r="A35" s="47" t="s">
        <v>156</v>
      </c>
      <c r="B35" s="2" t="s">
        <v>194</v>
      </c>
      <c r="C35" s="42" t="s">
        <v>200</v>
      </c>
      <c r="D35" s="42" t="s">
        <v>228</v>
      </c>
      <c r="E35" s="42" t="s">
        <v>291</v>
      </c>
      <c r="F35" s="22" t="str">
        <f>HYPERLINK("https://mapwv.gov/flood/map/?wkid=102100&amp;x=-8973681.428454297&amp;y=4905437.233016022&amp;l=13&amp;v=2","FT")</f>
        <v>FT</v>
      </c>
      <c r="G35" s="43" t="s">
        <v>31</v>
      </c>
      <c r="H35" s="27" t="s">
        <v>24</v>
      </c>
      <c r="I35" s="2" t="s">
        <v>350</v>
      </c>
      <c r="J35" s="47" t="s">
        <v>37</v>
      </c>
      <c r="K35" s="43" t="s">
        <v>122</v>
      </c>
      <c r="L35" s="43" t="s">
        <v>42</v>
      </c>
      <c r="M35" s="42" t="s">
        <v>121</v>
      </c>
      <c r="N35" s="3" t="s">
        <v>34</v>
      </c>
      <c r="O35" s="43" t="s">
        <v>80</v>
      </c>
      <c r="P35" s="42" t="s">
        <v>425</v>
      </c>
      <c r="Q35" s="42" t="s">
        <v>29</v>
      </c>
      <c r="R35" s="27" t="s">
        <v>81</v>
      </c>
      <c r="S35" s="28">
        <v>438500</v>
      </c>
      <c r="T35" s="42" t="s">
        <v>41</v>
      </c>
      <c r="U35" s="29">
        <v>2.2448730000000001</v>
      </c>
      <c r="V35" s="29">
        <v>1.244873046875</v>
      </c>
      <c r="W35" s="30">
        <v>2.4897460937500001E-2</v>
      </c>
      <c r="X35" s="31">
        <v>10917.536621093701</v>
      </c>
    </row>
    <row r="36" spans="1:24" x14ac:dyDescent="0.3">
      <c r="A36" s="47" t="s">
        <v>157</v>
      </c>
      <c r="B36" s="2" t="s">
        <v>194</v>
      </c>
      <c r="C36" s="42" t="s">
        <v>200</v>
      </c>
      <c r="D36" s="42" t="s">
        <v>229</v>
      </c>
      <c r="E36" s="42" t="s">
        <v>292</v>
      </c>
      <c r="F36" s="22" t="str">
        <f>HYPERLINK("https://mapwv.gov/flood/map/?wkid=102100&amp;x=-8973344.816347895&amp;y=4908831.713851352&amp;l=13&amp;v=2","FT")</f>
        <v>FT</v>
      </c>
      <c r="G36" s="43" t="s">
        <v>31</v>
      </c>
      <c r="H36" s="27" t="s">
        <v>24</v>
      </c>
      <c r="I36" s="2" t="s">
        <v>351</v>
      </c>
      <c r="J36" s="47" t="s">
        <v>25</v>
      </c>
      <c r="K36" s="43" t="s">
        <v>67</v>
      </c>
      <c r="L36" s="43" t="s">
        <v>49</v>
      </c>
      <c r="M36" s="42" t="s">
        <v>57</v>
      </c>
      <c r="N36" s="3" t="s">
        <v>34</v>
      </c>
      <c r="O36" s="43" t="s">
        <v>80</v>
      </c>
      <c r="P36" s="42" t="s">
        <v>426</v>
      </c>
      <c r="Q36" s="42" t="s">
        <v>29</v>
      </c>
      <c r="R36" s="27" t="s">
        <v>81</v>
      </c>
      <c r="S36" s="28">
        <v>436100</v>
      </c>
      <c r="T36" s="42" t="s">
        <v>41</v>
      </c>
      <c r="U36" s="29">
        <v>0</v>
      </c>
      <c r="V36" s="29">
        <v>-1</v>
      </c>
      <c r="W36" s="30">
        <v>0</v>
      </c>
      <c r="X36" s="31">
        <v>0</v>
      </c>
    </row>
    <row r="37" spans="1:24" x14ac:dyDescent="0.3">
      <c r="A37" s="47" t="s">
        <v>158</v>
      </c>
      <c r="B37" s="2" t="s">
        <v>194</v>
      </c>
      <c r="C37" s="42" t="s">
        <v>200</v>
      </c>
      <c r="D37" s="42" t="s">
        <v>230</v>
      </c>
      <c r="E37" s="42" t="s">
        <v>293</v>
      </c>
      <c r="F37" s="22" t="str">
        <f>HYPERLINK("https://mapwv.gov/flood/map/?wkid=102100&amp;x=-8973796.677523118&amp;y=4905642.734610085&amp;l=13&amp;v=2","FT")</f>
        <v>FT</v>
      </c>
      <c r="G37" s="43" t="s">
        <v>31</v>
      </c>
      <c r="H37" s="27" t="s">
        <v>24</v>
      </c>
      <c r="I37" s="2" t="s">
        <v>352</v>
      </c>
      <c r="J37" s="47" t="s">
        <v>37</v>
      </c>
      <c r="K37" s="43" t="s">
        <v>90</v>
      </c>
      <c r="L37" s="43" t="s">
        <v>52</v>
      </c>
      <c r="M37" s="42" t="s">
        <v>54</v>
      </c>
      <c r="N37" s="3" t="s">
        <v>75</v>
      </c>
      <c r="O37" s="43" t="s">
        <v>79</v>
      </c>
      <c r="P37" s="42" t="s">
        <v>427</v>
      </c>
      <c r="Q37" s="42" t="s">
        <v>29</v>
      </c>
      <c r="R37" s="27" t="s">
        <v>81</v>
      </c>
      <c r="S37" s="28">
        <v>413000</v>
      </c>
      <c r="T37" s="42" t="s">
        <v>41</v>
      </c>
      <c r="U37" s="29">
        <v>1.4058838</v>
      </c>
      <c r="V37" s="29">
        <v>0.4058837890625</v>
      </c>
      <c r="W37" s="30">
        <v>2.0294189453125E-2</v>
      </c>
      <c r="X37" s="31">
        <v>8381.5002441406195</v>
      </c>
    </row>
    <row r="38" spans="1:24" x14ac:dyDescent="0.3">
      <c r="A38" s="47" t="s">
        <v>159</v>
      </c>
      <c r="B38" s="2" t="s">
        <v>194</v>
      </c>
      <c r="C38" s="42" t="s">
        <v>200</v>
      </c>
      <c r="D38" s="42" t="s">
        <v>231</v>
      </c>
      <c r="E38" s="42" t="s">
        <v>294</v>
      </c>
      <c r="F38" s="22" t="str">
        <f>HYPERLINK("https://mapwv.gov/flood/map/?wkid=102100&amp;x=-8973470.561508866&amp;y=4906037.74458984&amp;l=13&amp;v=2","FT")</f>
        <v>FT</v>
      </c>
      <c r="G38" s="43" t="s">
        <v>31</v>
      </c>
      <c r="H38" s="27" t="s">
        <v>24</v>
      </c>
      <c r="I38" s="2" t="s">
        <v>353</v>
      </c>
      <c r="J38" s="47" t="s">
        <v>37</v>
      </c>
      <c r="K38" s="43" t="s">
        <v>391</v>
      </c>
      <c r="L38" s="43" t="s">
        <v>52</v>
      </c>
      <c r="M38" s="42" t="s">
        <v>53</v>
      </c>
      <c r="N38" s="3" t="s">
        <v>77</v>
      </c>
      <c r="O38" s="43" t="s">
        <v>80</v>
      </c>
      <c r="P38" s="42" t="s">
        <v>428</v>
      </c>
      <c r="Q38" s="42" t="s">
        <v>29</v>
      </c>
      <c r="R38" s="27" t="s">
        <v>81</v>
      </c>
      <c r="S38" s="28">
        <v>360500</v>
      </c>
      <c r="T38" s="42" t="s">
        <v>30</v>
      </c>
      <c r="U38" s="29">
        <v>3.3864746000000001</v>
      </c>
      <c r="V38" s="29">
        <v>2.386474609375</v>
      </c>
      <c r="W38" s="30">
        <v>0.11</v>
      </c>
      <c r="X38" s="31">
        <v>39655</v>
      </c>
    </row>
    <row r="39" spans="1:24" x14ac:dyDescent="0.3">
      <c r="A39" s="47" t="s">
        <v>160</v>
      </c>
      <c r="B39" s="2" t="s">
        <v>196</v>
      </c>
      <c r="C39" s="42" t="s">
        <v>200</v>
      </c>
      <c r="D39" s="42" t="s">
        <v>232</v>
      </c>
      <c r="E39" s="42" t="s">
        <v>295</v>
      </c>
      <c r="F39" s="22" t="str">
        <f>HYPERLINK("https://mapwv.gov/flood/map/?wkid=102100&amp;x=-8971952.900812114&amp;y=4913859.699143073&amp;l=13&amp;v=2","FT")</f>
        <v>FT</v>
      </c>
      <c r="G39" s="43" t="s">
        <v>31</v>
      </c>
      <c r="H39" s="27" t="s">
        <v>24</v>
      </c>
      <c r="I39" s="2" t="s">
        <v>354</v>
      </c>
      <c r="J39" s="47" t="s">
        <v>25</v>
      </c>
      <c r="K39" s="43" t="s">
        <v>104</v>
      </c>
      <c r="L39" s="43" t="s">
        <v>42</v>
      </c>
      <c r="M39" s="42" t="s">
        <v>44</v>
      </c>
      <c r="N39" s="3" t="s">
        <v>34</v>
      </c>
      <c r="O39" s="43" t="s">
        <v>80</v>
      </c>
      <c r="P39" s="42" t="s">
        <v>429</v>
      </c>
      <c r="Q39" s="42" t="s">
        <v>29</v>
      </c>
      <c r="R39" s="27" t="s">
        <v>81</v>
      </c>
      <c r="S39" s="28">
        <v>340600</v>
      </c>
      <c r="T39" s="42" t="s">
        <v>41</v>
      </c>
      <c r="U39" s="29">
        <v>3.348938</v>
      </c>
      <c r="V39" s="29">
        <v>2.34893798828125</v>
      </c>
      <c r="W39" s="30">
        <v>0.14697875976562499</v>
      </c>
      <c r="X39" s="31">
        <v>50060.965576171802</v>
      </c>
    </row>
    <row r="40" spans="1:24" x14ac:dyDescent="0.3">
      <c r="A40" s="47" t="s">
        <v>161</v>
      </c>
      <c r="B40" s="2" t="s">
        <v>194</v>
      </c>
      <c r="C40" s="42" t="s">
        <v>200</v>
      </c>
      <c r="D40" s="42" t="s">
        <v>233</v>
      </c>
      <c r="E40" s="42" t="s">
        <v>296</v>
      </c>
      <c r="F40" s="22" t="str">
        <f>HYPERLINK("https://mapwv.gov/flood/map/?wkid=102100&amp;x=-8973329.837308533&amp;y=4906577.698998251&amp;l=13&amp;v=2","FT")</f>
        <v>FT</v>
      </c>
      <c r="G40" s="43" t="s">
        <v>31</v>
      </c>
      <c r="H40" s="27" t="s">
        <v>24</v>
      </c>
      <c r="I40" s="2" t="s">
        <v>355</v>
      </c>
      <c r="J40" s="47" t="s">
        <v>37</v>
      </c>
      <c r="K40" s="43" t="s">
        <v>392</v>
      </c>
      <c r="L40" s="43" t="s">
        <v>393</v>
      </c>
      <c r="M40" s="42" t="s">
        <v>51</v>
      </c>
      <c r="N40" s="3" t="s">
        <v>34</v>
      </c>
      <c r="O40" s="43" t="s">
        <v>79</v>
      </c>
      <c r="P40" s="42" t="s">
        <v>430</v>
      </c>
      <c r="Q40" s="42" t="s">
        <v>29</v>
      </c>
      <c r="R40" s="27" t="s">
        <v>81</v>
      </c>
      <c r="S40" s="28">
        <v>330300</v>
      </c>
      <c r="T40" s="42" t="s">
        <v>41</v>
      </c>
      <c r="U40" s="29">
        <v>0.51684569999999996</v>
      </c>
      <c r="V40" s="29">
        <v>-0.483154296875</v>
      </c>
      <c r="W40" s="30">
        <v>1.0336914062500001E-2</v>
      </c>
      <c r="X40" s="31">
        <v>3414.28271484375</v>
      </c>
    </row>
    <row r="41" spans="1:24" x14ac:dyDescent="0.3">
      <c r="A41" s="47" t="s">
        <v>162</v>
      </c>
      <c r="B41" s="2" t="s">
        <v>193</v>
      </c>
      <c r="C41" s="42" t="s">
        <v>199</v>
      </c>
      <c r="D41" s="42" t="s">
        <v>234</v>
      </c>
      <c r="E41" s="42" t="s">
        <v>297</v>
      </c>
      <c r="F41" s="22" t="str">
        <f>HYPERLINK("https://mapwv.gov/flood/map/?wkid=102100&amp;x=-8971318.97026449&amp;y=4923957.782358522&amp;l=13&amp;v=2","FT")</f>
        <v>FT</v>
      </c>
      <c r="G41" s="43" t="s">
        <v>31</v>
      </c>
      <c r="H41" s="27" t="s">
        <v>24</v>
      </c>
      <c r="I41" s="2" t="s">
        <v>356</v>
      </c>
      <c r="J41" s="47" t="s">
        <v>25</v>
      </c>
      <c r="K41" s="43" t="s">
        <v>394</v>
      </c>
      <c r="L41" s="43" t="s">
        <v>46</v>
      </c>
      <c r="M41" s="42" t="s">
        <v>125</v>
      </c>
      <c r="N41" s="3" t="s">
        <v>78</v>
      </c>
      <c r="O41" s="43" t="s">
        <v>79</v>
      </c>
      <c r="P41" s="42" t="s">
        <v>431</v>
      </c>
      <c r="Q41" s="42" t="s">
        <v>29</v>
      </c>
      <c r="R41" s="27" t="s">
        <v>81</v>
      </c>
      <c r="S41" s="28">
        <v>323600</v>
      </c>
      <c r="T41" s="42" t="s">
        <v>41</v>
      </c>
      <c r="U41" s="29">
        <v>0</v>
      </c>
      <c r="V41" s="29">
        <v>-1</v>
      </c>
      <c r="W41" s="30">
        <v>0</v>
      </c>
      <c r="X41" s="31">
        <v>0</v>
      </c>
    </row>
    <row r="42" spans="1:24" x14ac:dyDescent="0.3">
      <c r="A42" s="47" t="s">
        <v>163</v>
      </c>
      <c r="B42" s="2" t="s">
        <v>194</v>
      </c>
      <c r="C42" s="42" t="s">
        <v>200</v>
      </c>
      <c r="D42" s="42" t="s">
        <v>235</v>
      </c>
      <c r="E42" s="42" t="s">
        <v>298</v>
      </c>
      <c r="F42" s="22" t="str">
        <f>HYPERLINK("https://mapwv.gov/flood/map/?wkid=102100&amp;x=-8973970.403165728&amp;y=4904642.894361545&amp;l=13&amp;v=2","FT")</f>
        <v>FT</v>
      </c>
      <c r="G42" s="43" t="s">
        <v>31</v>
      </c>
      <c r="H42" s="27" t="s">
        <v>24</v>
      </c>
      <c r="I42" s="2" t="s">
        <v>357</v>
      </c>
      <c r="J42" s="47" t="s">
        <v>37</v>
      </c>
      <c r="K42" s="43" t="s">
        <v>103</v>
      </c>
      <c r="L42" s="43" t="s">
        <v>26</v>
      </c>
      <c r="M42" s="42" t="s">
        <v>53</v>
      </c>
      <c r="N42" s="3" t="s">
        <v>77</v>
      </c>
      <c r="O42" s="43" t="s">
        <v>80</v>
      </c>
      <c r="P42" s="42" t="s">
        <v>432</v>
      </c>
      <c r="Q42" s="42" t="s">
        <v>29</v>
      </c>
      <c r="R42" s="27" t="s">
        <v>81</v>
      </c>
      <c r="S42" s="28">
        <v>315000</v>
      </c>
      <c r="T42" s="42" t="s">
        <v>41</v>
      </c>
      <c r="U42" s="29">
        <v>8.3693240000000007</v>
      </c>
      <c r="V42" s="29">
        <v>7.36932373046875</v>
      </c>
      <c r="W42" s="30">
        <v>0.14000000000000001</v>
      </c>
      <c r="X42" s="31">
        <v>44100</v>
      </c>
    </row>
    <row r="43" spans="1:24" x14ac:dyDescent="0.3">
      <c r="A43" s="47" t="s">
        <v>164</v>
      </c>
      <c r="B43" s="2" t="s">
        <v>195</v>
      </c>
      <c r="C43" s="42" t="s">
        <v>200</v>
      </c>
      <c r="D43" s="42" t="s">
        <v>236</v>
      </c>
      <c r="E43" s="42" t="s">
        <v>299</v>
      </c>
      <c r="F43" s="22" t="str">
        <f>HYPERLINK("https://mapwv.gov/flood/map/?wkid=102100&amp;x=-8978133.804886833&amp;y=4900117.45200021&amp;l=13&amp;v=2","FT")</f>
        <v>FT</v>
      </c>
      <c r="G43" s="43" t="s">
        <v>31</v>
      </c>
      <c r="H43" s="27" t="s">
        <v>24</v>
      </c>
      <c r="I43" s="2" t="s">
        <v>358</v>
      </c>
      <c r="J43" s="47" t="s">
        <v>37</v>
      </c>
      <c r="K43" s="43" t="s">
        <v>74</v>
      </c>
      <c r="L43" s="43" t="s">
        <v>36</v>
      </c>
      <c r="M43" s="42" t="s">
        <v>53</v>
      </c>
      <c r="N43" s="3" t="s">
        <v>77</v>
      </c>
      <c r="O43" s="43" t="s">
        <v>79</v>
      </c>
      <c r="P43" s="42" t="s">
        <v>120</v>
      </c>
      <c r="Q43" s="42" t="s">
        <v>29</v>
      </c>
      <c r="R43" s="27" t="s">
        <v>81</v>
      </c>
      <c r="S43" s="28">
        <v>307500</v>
      </c>
      <c r="T43" s="42" t="s">
        <v>41</v>
      </c>
      <c r="U43" s="29">
        <v>0</v>
      </c>
      <c r="V43" s="29">
        <v>-1</v>
      </c>
      <c r="W43" s="30">
        <v>0</v>
      </c>
      <c r="X43" s="31">
        <v>0</v>
      </c>
    </row>
    <row r="44" spans="1:24" x14ac:dyDescent="0.3">
      <c r="A44" s="47" t="s">
        <v>165</v>
      </c>
      <c r="B44" s="2" t="s">
        <v>194</v>
      </c>
      <c r="C44" s="42" t="s">
        <v>200</v>
      </c>
      <c r="D44" s="42" t="s">
        <v>237</v>
      </c>
      <c r="E44" s="42" t="s">
        <v>300</v>
      </c>
      <c r="F44" s="22" t="str">
        <f>HYPERLINK("https://mapwv.gov/flood/map/?wkid=102100&amp;x=-8973612.464916559&amp;y=4905844.633724601&amp;l=13&amp;v=2","FT")</f>
        <v>FT</v>
      </c>
      <c r="G44" s="43" t="s">
        <v>31</v>
      </c>
      <c r="H44" s="27" t="s">
        <v>24</v>
      </c>
      <c r="I44" s="2" t="s">
        <v>359</v>
      </c>
      <c r="J44" s="47" t="s">
        <v>37</v>
      </c>
      <c r="K44" s="43" t="s">
        <v>103</v>
      </c>
      <c r="L44" s="43" t="s">
        <v>52</v>
      </c>
      <c r="M44" s="42" t="s">
        <v>56</v>
      </c>
      <c r="N44" s="3" t="s">
        <v>39</v>
      </c>
      <c r="O44" s="43" t="s">
        <v>80</v>
      </c>
      <c r="P44" s="42" t="s">
        <v>433</v>
      </c>
      <c r="Q44" s="42" t="s">
        <v>40</v>
      </c>
      <c r="R44" s="27" t="s">
        <v>82</v>
      </c>
      <c r="S44" s="28">
        <v>301200</v>
      </c>
      <c r="T44" s="42" t="s">
        <v>41</v>
      </c>
      <c r="U44" s="29">
        <v>1.7648315000000001</v>
      </c>
      <c r="V44" s="29">
        <v>-2.23516845703125</v>
      </c>
      <c r="W44" s="30">
        <v>0</v>
      </c>
      <c r="X44" s="31">
        <v>0</v>
      </c>
    </row>
    <row r="45" spans="1:24" x14ac:dyDescent="0.3">
      <c r="A45" s="47" t="s">
        <v>166</v>
      </c>
      <c r="B45" s="2" t="s">
        <v>193</v>
      </c>
      <c r="C45" s="42" t="s">
        <v>199</v>
      </c>
      <c r="D45" s="42" t="s">
        <v>238</v>
      </c>
      <c r="E45" s="42" t="s">
        <v>301</v>
      </c>
      <c r="F45" s="22" t="str">
        <f>HYPERLINK("https://mapwv.gov/flood/map/?wkid=102100&amp;x=-8971377.44984391&amp;y=4923915.790617324&amp;l=13&amp;v=2","FT")</f>
        <v>FT</v>
      </c>
      <c r="G45" s="43" t="s">
        <v>31</v>
      </c>
      <c r="H45" s="27" t="s">
        <v>24</v>
      </c>
      <c r="I45" s="2" t="s">
        <v>360</v>
      </c>
      <c r="J45" s="47" t="s">
        <v>37</v>
      </c>
      <c r="K45" s="43" t="s">
        <v>395</v>
      </c>
      <c r="L45" s="43" t="s">
        <v>49</v>
      </c>
      <c r="M45" s="42" t="s">
        <v>44</v>
      </c>
      <c r="N45" s="3" t="s">
        <v>34</v>
      </c>
      <c r="O45" s="43" t="s">
        <v>79</v>
      </c>
      <c r="P45" s="42" t="s">
        <v>434</v>
      </c>
      <c r="Q45" s="42" t="s">
        <v>29</v>
      </c>
      <c r="R45" s="27" t="s">
        <v>81</v>
      </c>
      <c r="S45" s="28">
        <v>299600</v>
      </c>
      <c r="T45" s="42" t="s">
        <v>41</v>
      </c>
      <c r="U45" s="29">
        <v>0.10894775399999999</v>
      </c>
      <c r="V45" s="29">
        <v>-0.89105224609375</v>
      </c>
      <c r="W45" s="30">
        <v>1.0894775390625001E-3</v>
      </c>
      <c r="X45" s="31">
        <v>326.407470703125</v>
      </c>
    </row>
    <row r="46" spans="1:24" x14ac:dyDescent="0.3">
      <c r="A46" s="47" t="s">
        <v>167</v>
      </c>
      <c r="B46" s="2" t="s">
        <v>194</v>
      </c>
      <c r="C46" s="42" t="s">
        <v>200</v>
      </c>
      <c r="D46" s="42" t="s">
        <v>239</v>
      </c>
      <c r="E46" s="42" t="s">
        <v>302</v>
      </c>
      <c r="F46" s="22" t="str">
        <f>HYPERLINK("https://mapwv.gov/flood/map/?wkid=102100&amp;x=-8973837.352329215&amp;y=4905948.853417642&amp;l=13&amp;v=2","FT")</f>
        <v>FT</v>
      </c>
      <c r="G46" s="43" t="s">
        <v>31</v>
      </c>
      <c r="H46" s="27" t="s">
        <v>24</v>
      </c>
      <c r="I46" s="2" t="s">
        <v>361</v>
      </c>
      <c r="J46" s="47" t="s">
        <v>25</v>
      </c>
      <c r="K46" s="43" t="s">
        <v>106</v>
      </c>
      <c r="L46" s="43" t="s">
        <v>49</v>
      </c>
      <c r="M46" s="42" t="s">
        <v>48</v>
      </c>
      <c r="N46" s="3" t="s">
        <v>34</v>
      </c>
      <c r="O46" s="43" t="s">
        <v>79</v>
      </c>
      <c r="P46" s="42" t="s">
        <v>435</v>
      </c>
      <c r="Q46" s="42" t="s">
        <v>29</v>
      </c>
      <c r="R46" s="27" t="s">
        <v>81</v>
      </c>
      <c r="S46" s="28">
        <v>296300</v>
      </c>
      <c r="T46" s="42" t="s">
        <v>41</v>
      </c>
      <c r="U46" s="29">
        <v>5.2454834000000004</v>
      </c>
      <c r="V46" s="29">
        <v>4.2454833984375</v>
      </c>
      <c r="W46" s="30">
        <v>0.14490966796874902</v>
      </c>
      <c r="X46" s="31">
        <v>42936.734619140603</v>
      </c>
    </row>
    <row r="47" spans="1:24" x14ac:dyDescent="0.3">
      <c r="A47" s="47" t="s">
        <v>168</v>
      </c>
      <c r="B47" s="2" t="s">
        <v>194</v>
      </c>
      <c r="C47" s="42" t="s">
        <v>200</v>
      </c>
      <c r="D47" s="42" t="s">
        <v>240</v>
      </c>
      <c r="E47" s="42" t="s">
        <v>303</v>
      </c>
      <c r="F47" s="22" t="str">
        <f>HYPERLINK("https://mapwv.gov/flood/map/?wkid=102100&amp;x=-8973473.178741412&amp;y=4905891.406439218&amp;l=13&amp;v=2","FT")</f>
        <v>FT</v>
      </c>
      <c r="G47" s="43" t="s">
        <v>31</v>
      </c>
      <c r="H47" s="27" t="s">
        <v>24</v>
      </c>
      <c r="I47" s="2" t="s">
        <v>362</v>
      </c>
      <c r="J47" s="47" t="s">
        <v>37</v>
      </c>
      <c r="K47" s="43" t="s">
        <v>118</v>
      </c>
      <c r="L47" s="43" t="s">
        <v>42</v>
      </c>
      <c r="M47" s="42" t="s">
        <v>58</v>
      </c>
      <c r="N47" s="3" t="s">
        <v>76</v>
      </c>
      <c r="O47" s="43" t="s">
        <v>80</v>
      </c>
      <c r="P47" s="42" t="s">
        <v>436</v>
      </c>
      <c r="Q47" s="42" t="s">
        <v>29</v>
      </c>
      <c r="R47" s="27" t="s">
        <v>81</v>
      </c>
      <c r="S47" s="28">
        <v>295600</v>
      </c>
      <c r="T47" s="42" t="s">
        <v>30</v>
      </c>
      <c r="U47" s="29">
        <v>3.3555907999999999</v>
      </c>
      <c r="V47" s="29">
        <v>2.3555908203125</v>
      </c>
      <c r="W47" s="30">
        <v>0.103555908203125</v>
      </c>
      <c r="X47" s="31">
        <v>30611.126464843699</v>
      </c>
    </row>
    <row r="48" spans="1:24" x14ac:dyDescent="0.3">
      <c r="A48" s="47" t="s">
        <v>169</v>
      </c>
      <c r="B48" s="2" t="s">
        <v>194</v>
      </c>
      <c r="C48" s="42" t="s">
        <v>200</v>
      </c>
      <c r="D48" s="42" t="s">
        <v>241</v>
      </c>
      <c r="E48" s="42" t="s">
        <v>304</v>
      </c>
      <c r="F48" s="22" t="str">
        <f>HYPERLINK("https://mapwv.gov/flood/map/?wkid=102100&amp;x=-8973359.580429323&amp;y=4905988.816140373&amp;l=13&amp;v=2","FT")</f>
        <v>FT</v>
      </c>
      <c r="G48" s="43" t="s">
        <v>31</v>
      </c>
      <c r="H48" s="27" t="s">
        <v>24</v>
      </c>
      <c r="I48" s="2" t="s">
        <v>363</v>
      </c>
      <c r="J48" s="47" t="s">
        <v>25</v>
      </c>
      <c r="K48" s="43" t="s">
        <v>98</v>
      </c>
      <c r="L48" s="43" t="s">
        <v>45</v>
      </c>
      <c r="M48" s="42" t="s">
        <v>48</v>
      </c>
      <c r="N48" s="3" t="s">
        <v>34</v>
      </c>
      <c r="O48" s="43" t="s">
        <v>79</v>
      </c>
      <c r="P48" s="42" t="s">
        <v>437</v>
      </c>
      <c r="Q48" s="42" t="s">
        <v>29</v>
      </c>
      <c r="R48" s="27" t="s">
        <v>81</v>
      </c>
      <c r="S48" s="28">
        <v>292400</v>
      </c>
      <c r="T48" s="42" t="s">
        <v>41</v>
      </c>
      <c r="U48" s="29">
        <v>1.0800780999999999</v>
      </c>
      <c r="V48" s="29">
        <v>8.0078125E-2</v>
      </c>
      <c r="W48" s="30">
        <v>1.6406250000000001E-2</v>
      </c>
      <c r="X48" s="31">
        <v>4797.1875</v>
      </c>
    </row>
    <row r="49" spans="1:24" x14ac:dyDescent="0.3">
      <c r="A49" s="47" t="s">
        <v>170</v>
      </c>
      <c r="B49" s="2" t="s">
        <v>194</v>
      </c>
      <c r="C49" s="42" t="s">
        <v>200</v>
      </c>
      <c r="D49" s="42" t="s">
        <v>242</v>
      </c>
      <c r="E49" s="42" t="s">
        <v>305</v>
      </c>
      <c r="F49" s="22" t="str">
        <f>HYPERLINK("https://mapwv.gov/flood/map/?wkid=102100&amp;x=-8973629.767305013&amp;y=4905165.611736961&amp;l=13&amp;v=2","FT")</f>
        <v>FT</v>
      </c>
      <c r="G49" s="43" t="s">
        <v>31</v>
      </c>
      <c r="H49" s="27" t="s">
        <v>24</v>
      </c>
      <c r="I49" s="2" t="s">
        <v>364</v>
      </c>
      <c r="J49" s="47" t="s">
        <v>37</v>
      </c>
      <c r="K49" s="43" t="s">
        <v>391</v>
      </c>
      <c r="L49" s="43" t="s">
        <v>46</v>
      </c>
      <c r="M49" s="42" t="s">
        <v>44</v>
      </c>
      <c r="N49" s="3" t="s">
        <v>34</v>
      </c>
      <c r="O49" s="43" t="s">
        <v>80</v>
      </c>
      <c r="P49" s="42" t="s">
        <v>438</v>
      </c>
      <c r="Q49" s="42" t="s">
        <v>29</v>
      </c>
      <c r="R49" s="27" t="s">
        <v>81</v>
      </c>
      <c r="S49" s="28">
        <v>291900</v>
      </c>
      <c r="T49" s="42" t="s">
        <v>41</v>
      </c>
      <c r="U49" s="29">
        <v>4.1850585999999996</v>
      </c>
      <c r="V49" s="29">
        <v>3.18505859375</v>
      </c>
      <c r="W49" s="30">
        <v>0.163701171875</v>
      </c>
      <c r="X49" s="31">
        <v>47784.3720703125</v>
      </c>
    </row>
    <row r="50" spans="1:24" x14ac:dyDescent="0.3">
      <c r="A50" s="47" t="s">
        <v>171</v>
      </c>
      <c r="B50" s="2" t="s">
        <v>194</v>
      </c>
      <c r="C50" s="42" t="s">
        <v>200</v>
      </c>
      <c r="D50" s="42" t="s">
        <v>243</v>
      </c>
      <c r="E50" s="42" t="s">
        <v>306</v>
      </c>
      <c r="F50" s="22" t="str">
        <f>HYPERLINK("https://mapwv.gov/flood/map/?wkid=102100&amp;x=-8973703.21256545&amp;y=4905740.3067265265&amp;l=13&amp;v=2","FT")</f>
        <v>FT</v>
      </c>
      <c r="G50" s="43" t="s">
        <v>31</v>
      </c>
      <c r="H50" s="27" t="s">
        <v>24</v>
      </c>
      <c r="I50" s="2" t="s">
        <v>365</v>
      </c>
      <c r="J50" s="47" t="s">
        <v>37</v>
      </c>
      <c r="K50" s="43" t="s">
        <v>396</v>
      </c>
      <c r="L50" s="43" t="s">
        <v>52</v>
      </c>
      <c r="M50" s="42" t="s">
        <v>51</v>
      </c>
      <c r="N50" s="3" t="s">
        <v>34</v>
      </c>
      <c r="O50" s="43" t="s">
        <v>112</v>
      </c>
      <c r="P50" s="42" t="s">
        <v>439</v>
      </c>
      <c r="Q50" s="42" t="s">
        <v>29</v>
      </c>
      <c r="R50" s="27" t="s">
        <v>81</v>
      </c>
      <c r="S50" s="28">
        <v>291100</v>
      </c>
      <c r="T50" s="42" t="s">
        <v>41</v>
      </c>
      <c r="U50" s="29">
        <v>1</v>
      </c>
      <c r="V50" s="29">
        <v>0</v>
      </c>
      <c r="W50" s="30">
        <v>0.02</v>
      </c>
      <c r="X50" s="31">
        <v>5822</v>
      </c>
    </row>
    <row r="51" spans="1:24" x14ac:dyDescent="0.3">
      <c r="A51" s="47" t="s">
        <v>172</v>
      </c>
      <c r="B51" s="2" t="s">
        <v>194</v>
      </c>
      <c r="C51" s="42" t="s">
        <v>200</v>
      </c>
      <c r="D51" s="42" t="s">
        <v>244</v>
      </c>
      <c r="E51" s="42" t="s">
        <v>307</v>
      </c>
      <c r="F51" s="22" t="str">
        <f>HYPERLINK("https://mapwv.gov/flood/map/?wkid=102100&amp;x=-8973347.954778299&amp;y=4906871.226070748&amp;l=13&amp;v=2","FT")</f>
        <v>FT</v>
      </c>
      <c r="G51" s="43" t="s">
        <v>31</v>
      </c>
      <c r="H51" s="27" t="s">
        <v>24</v>
      </c>
      <c r="I51" s="2" t="s">
        <v>366</v>
      </c>
      <c r="J51" s="47" t="s">
        <v>37</v>
      </c>
      <c r="K51" s="43" t="s">
        <v>124</v>
      </c>
      <c r="L51" s="43" t="s">
        <v>26</v>
      </c>
      <c r="M51" s="42" t="s">
        <v>44</v>
      </c>
      <c r="N51" s="3" t="s">
        <v>34</v>
      </c>
      <c r="O51" s="43" t="s">
        <v>79</v>
      </c>
      <c r="P51" s="42" t="s">
        <v>440</v>
      </c>
      <c r="Q51" s="42" t="s">
        <v>29</v>
      </c>
      <c r="R51" s="27" t="s">
        <v>81</v>
      </c>
      <c r="S51" s="28">
        <v>287500</v>
      </c>
      <c r="T51" s="42" t="s">
        <v>41</v>
      </c>
      <c r="U51" s="29">
        <v>0</v>
      </c>
      <c r="V51" s="29">
        <v>-1</v>
      </c>
      <c r="W51" s="30">
        <v>0</v>
      </c>
      <c r="X51" s="31">
        <v>0</v>
      </c>
    </row>
    <row r="52" spans="1:24" x14ac:dyDescent="0.3">
      <c r="A52" s="47" t="s">
        <v>173</v>
      </c>
      <c r="B52" s="2" t="s">
        <v>194</v>
      </c>
      <c r="C52" s="42" t="s">
        <v>200</v>
      </c>
      <c r="D52" s="42" t="s">
        <v>245</v>
      </c>
      <c r="E52" s="42" t="s">
        <v>308</v>
      </c>
      <c r="F52" s="22" t="str">
        <f>HYPERLINK("https://mapwv.gov/flood/map/?wkid=102100&amp;x=-8973790.44251844&amp;y=4905108.9114793&amp;l=13&amp;v=2","FT")</f>
        <v>FT</v>
      </c>
      <c r="G52" s="43" t="s">
        <v>31</v>
      </c>
      <c r="H52" s="27" t="s">
        <v>24</v>
      </c>
      <c r="I52" s="2" t="s">
        <v>367</v>
      </c>
      <c r="J52" s="47" t="s">
        <v>37</v>
      </c>
      <c r="K52" s="43" t="s">
        <v>117</v>
      </c>
      <c r="L52" s="43" t="s">
        <v>46</v>
      </c>
      <c r="M52" s="42" t="s">
        <v>51</v>
      </c>
      <c r="N52" s="3" t="s">
        <v>34</v>
      </c>
      <c r="O52" s="43" t="s">
        <v>112</v>
      </c>
      <c r="P52" s="42" t="s">
        <v>441</v>
      </c>
      <c r="Q52" s="42" t="s">
        <v>29</v>
      </c>
      <c r="R52" s="27" t="s">
        <v>81</v>
      </c>
      <c r="S52" s="28">
        <v>283400</v>
      </c>
      <c r="T52" s="42" t="s">
        <v>41</v>
      </c>
      <c r="U52" s="29">
        <v>6.0668335000000004</v>
      </c>
      <c r="V52" s="29">
        <v>5.06683349609375</v>
      </c>
      <c r="W52" s="30">
        <v>0.352005004882812</v>
      </c>
      <c r="X52" s="31">
        <v>99758.218383789004</v>
      </c>
    </row>
    <row r="53" spans="1:24" x14ac:dyDescent="0.3">
      <c r="A53" s="47" t="s">
        <v>174</v>
      </c>
      <c r="B53" s="2" t="s">
        <v>195</v>
      </c>
      <c r="C53" s="42" t="s">
        <v>200</v>
      </c>
      <c r="D53" s="42" t="s">
        <v>246</v>
      </c>
      <c r="E53" s="42" t="s">
        <v>309</v>
      </c>
      <c r="F53" s="22" t="str">
        <f>HYPERLINK("https://mapwv.gov/flood/map/?wkid=102100&amp;x=-8978329.623663502&amp;y=4899257.445226682&amp;l=13&amp;v=2","FT")</f>
        <v>FT</v>
      </c>
      <c r="G53" s="43" t="s">
        <v>31</v>
      </c>
      <c r="H53" s="27" t="s">
        <v>24</v>
      </c>
      <c r="I53" s="2" t="s">
        <v>368</v>
      </c>
      <c r="J53" s="47" t="s">
        <v>37</v>
      </c>
      <c r="K53" s="43" t="s">
        <v>71</v>
      </c>
      <c r="L53" s="43" t="s">
        <v>26</v>
      </c>
      <c r="M53" s="42" t="s">
        <v>57</v>
      </c>
      <c r="N53" s="3" t="s">
        <v>34</v>
      </c>
      <c r="O53" s="43" t="s">
        <v>79</v>
      </c>
      <c r="P53" s="42" t="s">
        <v>442</v>
      </c>
      <c r="Q53" s="42" t="s">
        <v>29</v>
      </c>
      <c r="R53" s="27" t="s">
        <v>81</v>
      </c>
      <c r="S53" s="28">
        <v>281200</v>
      </c>
      <c r="T53" s="42" t="s">
        <v>41</v>
      </c>
      <c r="U53" s="29">
        <v>0</v>
      </c>
      <c r="V53" s="29">
        <v>-1</v>
      </c>
      <c r="W53" s="30">
        <v>0</v>
      </c>
      <c r="X53" s="31">
        <v>0</v>
      </c>
    </row>
    <row r="54" spans="1:24" x14ac:dyDescent="0.3">
      <c r="A54" s="47" t="s">
        <v>175</v>
      </c>
      <c r="B54" s="2" t="s">
        <v>194</v>
      </c>
      <c r="C54" s="42" t="s">
        <v>200</v>
      </c>
      <c r="D54" s="42" t="s">
        <v>247</v>
      </c>
      <c r="E54" s="42" t="s">
        <v>310</v>
      </c>
      <c r="F54" s="22" t="str">
        <f>HYPERLINK("https://mapwv.gov/flood/map/?wkid=102100&amp;x=-8973818.882421942&amp;y=4905369.54657096&amp;l=13&amp;v=2","FT")</f>
        <v>FT</v>
      </c>
      <c r="G54" s="43" t="s">
        <v>31</v>
      </c>
      <c r="H54" s="27" t="s">
        <v>24</v>
      </c>
      <c r="I54" s="2" t="s">
        <v>340</v>
      </c>
      <c r="J54" s="47" t="s">
        <v>25</v>
      </c>
      <c r="K54" s="43" t="s">
        <v>100</v>
      </c>
      <c r="L54" s="43" t="s">
        <v>52</v>
      </c>
      <c r="M54" s="42" t="s">
        <v>111</v>
      </c>
      <c r="N54" s="3" t="s">
        <v>34</v>
      </c>
      <c r="O54" s="43" t="s">
        <v>79</v>
      </c>
      <c r="P54" s="42" t="s">
        <v>443</v>
      </c>
      <c r="Q54" s="42" t="s">
        <v>29</v>
      </c>
      <c r="R54" s="27" t="s">
        <v>81</v>
      </c>
      <c r="S54" s="28">
        <v>269300</v>
      </c>
      <c r="T54" s="42" t="s">
        <v>41</v>
      </c>
      <c r="U54" s="29">
        <v>2.6149292000000002</v>
      </c>
      <c r="V54" s="29">
        <v>1.61492919921875</v>
      </c>
      <c r="W54" s="30">
        <v>0.11</v>
      </c>
      <c r="X54" s="31">
        <v>29623</v>
      </c>
    </row>
    <row r="55" spans="1:24" x14ac:dyDescent="0.3">
      <c r="A55" s="47" t="s">
        <v>176</v>
      </c>
      <c r="B55" s="2" t="s">
        <v>193</v>
      </c>
      <c r="C55" s="42" t="s">
        <v>199</v>
      </c>
      <c r="D55" s="42" t="s">
        <v>248</v>
      </c>
      <c r="E55" s="42" t="s">
        <v>311</v>
      </c>
      <c r="F55" s="22" t="str">
        <f>HYPERLINK("https://mapwv.gov/flood/map/?wkid=102100&amp;x=-8969514.650413034&amp;y=4924117.54409881&amp;l=13&amp;v=2","FT")</f>
        <v>FT</v>
      </c>
      <c r="G55" s="43" t="s">
        <v>31</v>
      </c>
      <c r="H55" s="27" t="s">
        <v>24</v>
      </c>
      <c r="I55" s="2" t="s">
        <v>369</v>
      </c>
      <c r="J55" s="47" t="s">
        <v>25</v>
      </c>
      <c r="K55" s="43" t="s">
        <v>397</v>
      </c>
      <c r="L55" s="43" t="s">
        <v>32</v>
      </c>
      <c r="M55" s="42" t="s">
        <v>57</v>
      </c>
      <c r="N55" s="3" t="s">
        <v>34</v>
      </c>
      <c r="O55" s="43" t="s">
        <v>80</v>
      </c>
      <c r="P55" s="42" t="s">
        <v>444</v>
      </c>
      <c r="Q55" s="42" t="s">
        <v>29</v>
      </c>
      <c r="R55" s="27" t="s">
        <v>81</v>
      </c>
      <c r="S55" s="28">
        <v>265800</v>
      </c>
      <c r="T55" s="42" t="s">
        <v>41</v>
      </c>
      <c r="U55" s="29">
        <v>0</v>
      </c>
      <c r="V55" s="29">
        <v>-1</v>
      </c>
      <c r="W55" s="30">
        <v>0</v>
      </c>
      <c r="X55" s="31">
        <v>0</v>
      </c>
    </row>
    <row r="56" spans="1:24" x14ac:dyDescent="0.3">
      <c r="A56" s="47" t="s">
        <v>177</v>
      </c>
      <c r="B56" s="2" t="s">
        <v>194</v>
      </c>
      <c r="C56" s="42" t="s">
        <v>200</v>
      </c>
      <c r="D56" s="42" t="s">
        <v>249</v>
      </c>
      <c r="E56" s="42" t="s">
        <v>312</v>
      </c>
      <c r="F56" s="22" t="str">
        <f>HYPERLINK("https://mapwv.gov/flood/map/?wkid=102100&amp;x=-8973516.81375541&amp;y=4905761.710712737&amp;l=13&amp;v=2","FT")</f>
        <v>FT</v>
      </c>
      <c r="G56" s="43" t="s">
        <v>31</v>
      </c>
      <c r="H56" s="27" t="s">
        <v>24</v>
      </c>
      <c r="I56" s="2" t="s">
        <v>370</v>
      </c>
      <c r="J56" s="47" t="s">
        <v>37</v>
      </c>
      <c r="K56" s="43" t="s">
        <v>398</v>
      </c>
      <c r="L56" s="43" t="s">
        <v>42</v>
      </c>
      <c r="M56" s="42" t="s">
        <v>58</v>
      </c>
      <c r="N56" s="3" t="s">
        <v>76</v>
      </c>
      <c r="O56" s="43" t="s">
        <v>79</v>
      </c>
      <c r="P56" s="42" t="s">
        <v>445</v>
      </c>
      <c r="Q56" s="42" t="s">
        <v>29</v>
      </c>
      <c r="R56" s="27" t="s">
        <v>81</v>
      </c>
      <c r="S56" s="28">
        <v>262700</v>
      </c>
      <c r="T56" s="42" t="s">
        <v>41</v>
      </c>
      <c r="U56" s="29">
        <v>2.6342772999999999</v>
      </c>
      <c r="V56" s="29">
        <v>1.63427734375</v>
      </c>
      <c r="W56" s="30">
        <v>8.9028320312500006E-2</v>
      </c>
      <c r="X56" s="31">
        <v>23387.739746093699</v>
      </c>
    </row>
    <row r="57" spans="1:24" x14ac:dyDescent="0.3">
      <c r="A57" s="47" t="s">
        <v>178</v>
      </c>
      <c r="B57" s="2" t="s">
        <v>196</v>
      </c>
      <c r="C57" s="42" t="s">
        <v>200</v>
      </c>
      <c r="D57" s="42" t="s">
        <v>250</v>
      </c>
      <c r="E57" s="42" t="s">
        <v>313</v>
      </c>
      <c r="F57" s="22" t="str">
        <f>HYPERLINK("https://mapwv.gov/flood/map/?wkid=102100&amp;x=-8971784.960666075&amp;y=4913919.447902539&amp;l=13&amp;v=2","FT")</f>
        <v>FT</v>
      </c>
      <c r="G57" s="43" t="s">
        <v>31</v>
      </c>
      <c r="H57" s="27" t="s">
        <v>24</v>
      </c>
      <c r="I57" s="2" t="s">
        <v>371</v>
      </c>
      <c r="J57" s="47" t="s">
        <v>37</v>
      </c>
      <c r="K57" s="43" t="s">
        <v>103</v>
      </c>
      <c r="L57" s="43" t="s">
        <v>26</v>
      </c>
      <c r="M57" s="42" t="s">
        <v>53</v>
      </c>
      <c r="N57" s="3" t="s">
        <v>77</v>
      </c>
      <c r="O57" s="43" t="s">
        <v>79</v>
      </c>
      <c r="P57" s="42" t="s">
        <v>446</v>
      </c>
      <c r="Q57" s="42" t="s">
        <v>29</v>
      </c>
      <c r="R57" s="27" t="s">
        <v>81</v>
      </c>
      <c r="S57" s="28">
        <v>250300</v>
      </c>
      <c r="T57" s="42" t="s">
        <v>41</v>
      </c>
      <c r="U57" s="29">
        <v>0.88372799999999996</v>
      </c>
      <c r="V57" s="29">
        <v>-0.11627197265625</v>
      </c>
      <c r="W57" s="30">
        <v>0</v>
      </c>
      <c r="X57" s="31">
        <v>0</v>
      </c>
    </row>
    <row r="58" spans="1:24" x14ac:dyDescent="0.3">
      <c r="A58" s="47" t="s">
        <v>179</v>
      </c>
      <c r="B58" s="2" t="s">
        <v>194</v>
      </c>
      <c r="C58" s="42" t="s">
        <v>200</v>
      </c>
      <c r="D58" s="42" t="s">
        <v>251</v>
      </c>
      <c r="E58" s="42" t="s">
        <v>314</v>
      </c>
      <c r="F58" s="22" t="str">
        <f>HYPERLINK("https://mapwv.gov/flood/map/?wkid=102100&amp;x=-8973261.52576905&amp;y=4906797.617018193&amp;l=13&amp;v=2","FT")</f>
        <v>FT</v>
      </c>
      <c r="G58" s="43" t="s">
        <v>31</v>
      </c>
      <c r="H58" s="27" t="s">
        <v>24</v>
      </c>
      <c r="I58" s="2" t="s">
        <v>372</v>
      </c>
      <c r="J58" s="47" t="s">
        <v>37</v>
      </c>
      <c r="K58" s="43" t="s">
        <v>399</v>
      </c>
      <c r="L58" s="43" t="s">
        <v>26</v>
      </c>
      <c r="M58" s="42" t="s">
        <v>110</v>
      </c>
      <c r="N58" s="3" t="s">
        <v>39</v>
      </c>
      <c r="O58" s="43" t="s">
        <v>80</v>
      </c>
      <c r="P58" s="42" t="s">
        <v>447</v>
      </c>
      <c r="Q58" s="42" t="s">
        <v>40</v>
      </c>
      <c r="R58" s="27" t="s">
        <v>82</v>
      </c>
      <c r="S58" s="28">
        <v>247200</v>
      </c>
      <c r="T58" s="42" t="s">
        <v>41</v>
      </c>
      <c r="U58" s="29">
        <v>0</v>
      </c>
      <c r="V58" s="29">
        <v>-4</v>
      </c>
      <c r="W58" s="30">
        <v>0</v>
      </c>
      <c r="X58" s="31">
        <v>0</v>
      </c>
    </row>
    <row r="59" spans="1:24" x14ac:dyDescent="0.3">
      <c r="A59" s="47" t="s">
        <v>180</v>
      </c>
      <c r="B59" s="2" t="s">
        <v>194</v>
      </c>
      <c r="C59" s="42" t="s">
        <v>200</v>
      </c>
      <c r="D59" s="42" t="s">
        <v>252</v>
      </c>
      <c r="E59" s="42" t="s">
        <v>315</v>
      </c>
      <c r="F59" s="22" t="str">
        <f>HYPERLINK("https://mapwv.gov/flood/map/?wkid=102100&amp;x=-8973612.714272218&amp;y=4905266.910131832&amp;l=13&amp;v=2","FT")</f>
        <v>FT</v>
      </c>
      <c r="G59" s="43" t="s">
        <v>31</v>
      </c>
      <c r="H59" s="27" t="s">
        <v>24</v>
      </c>
      <c r="I59" s="2" t="s">
        <v>373</v>
      </c>
      <c r="J59" s="47" t="s">
        <v>37</v>
      </c>
      <c r="K59" s="43" t="s">
        <v>391</v>
      </c>
      <c r="L59" s="43" t="s">
        <v>46</v>
      </c>
      <c r="M59" s="42" t="s">
        <v>44</v>
      </c>
      <c r="N59" s="3" t="s">
        <v>34</v>
      </c>
      <c r="O59" s="43" t="s">
        <v>79</v>
      </c>
      <c r="P59" s="42" t="s">
        <v>448</v>
      </c>
      <c r="Q59" s="42" t="s">
        <v>29</v>
      </c>
      <c r="R59" s="27" t="s">
        <v>81</v>
      </c>
      <c r="S59" s="28">
        <v>247100</v>
      </c>
      <c r="T59" s="42" t="s">
        <v>41</v>
      </c>
      <c r="U59" s="29">
        <v>3.6186522999999999</v>
      </c>
      <c r="V59" s="29">
        <v>2.61865234375</v>
      </c>
      <c r="W59" s="30">
        <v>0.152373046875</v>
      </c>
      <c r="X59" s="31">
        <v>37651.3798828125</v>
      </c>
    </row>
    <row r="60" spans="1:24" x14ac:dyDescent="0.3">
      <c r="A60" s="47" t="s">
        <v>181</v>
      </c>
      <c r="B60" s="2" t="s">
        <v>196</v>
      </c>
      <c r="C60" s="42" t="s">
        <v>200</v>
      </c>
      <c r="D60" s="42" t="s">
        <v>253</v>
      </c>
      <c r="E60" s="42" t="s">
        <v>316</v>
      </c>
      <c r="F60" s="22" t="str">
        <f>HYPERLINK("https://mapwv.gov/flood/map/?wkid=102100&amp;x=-8971902.15893918&amp;y=4913896.754335616&amp;l=13&amp;v=2","FT")</f>
        <v>FT</v>
      </c>
      <c r="G60" s="43" t="s">
        <v>31</v>
      </c>
      <c r="H60" s="27" t="s">
        <v>24</v>
      </c>
      <c r="I60" s="2" t="s">
        <v>374</v>
      </c>
      <c r="J60" s="47" t="s">
        <v>37</v>
      </c>
      <c r="K60" s="43" t="s">
        <v>386</v>
      </c>
      <c r="L60" s="43" t="s">
        <v>35</v>
      </c>
      <c r="M60" s="42" t="s">
        <v>44</v>
      </c>
      <c r="N60" s="3" t="s">
        <v>34</v>
      </c>
      <c r="O60" s="43" t="s">
        <v>80</v>
      </c>
      <c r="P60" s="42" t="s">
        <v>449</v>
      </c>
      <c r="Q60" s="42" t="s">
        <v>29</v>
      </c>
      <c r="R60" s="27" t="s">
        <v>81</v>
      </c>
      <c r="S60" s="28">
        <v>240000</v>
      </c>
      <c r="T60" s="42" t="s">
        <v>41</v>
      </c>
      <c r="U60" s="29">
        <v>3.6254271999999998</v>
      </c>
      <c r="V60" s="29">
        <v>2.62542724609375</v>
      </c>
      <c r="W60" s="30">
        <v>0.15250854492187402</v>
      </c>
      <c r="X60" s="31">
        <v>36602.05078125</v>
      </c>
    </row>
    <row r="61" spans="1:24" x14ac:dyDescent="0.3">
      <c r="A61" s="47" t="s">
        <v>182</v>
      </c>
      <c r="B61" s="2" t="s">
        <v>194</v>
      </c>
      <c r="C61" s="42" t="s">
        <v>200</v>
      </c>
      <c r="D61" s="42" t="s">
        <v>254</v>
      </c>
      <c r="E61" s="42" t="s">
        <v>317</v>
      </c>
      <c r="F61" s="22" t="str">
        <f>HYPERLINK("https://mapwv.gov/flood/map/?wkid=102100&amp;x=-8973383.338235045&amp;y=4905934.433972397&amp;l=13&amp;v=2","FT")</f>
        <v>FT</v>
      </c>
      <c r="G61" s="43" t="s">
        <v>31</v>
      </c>
      <c r="H61" s="27" t="s">
        <v>24</v>
      </c>
      <c r="I61" s="2" t="s">
        <v>375</v>
      </c>
      <c r="J61" s="47" t="s">
        <v>25</v>
      </c>
      <c r="K61" s="43" t="s">
        <v>74</v>
      </c>
      <c r="L61" s="43" t="s">
        <v>52</v>
      </c>
      <c r="M61" s="42" t="s">
        <v>44</v>
      </c>
      <c r="N61" s="3" t="s">
        <v>34</v>
      </c>
      <c r="O61" s="43" t="s">
        <v>79</v>
      </c>
      <c r="P61" s="42" t="s">
        <v>450</v>
      </c>
      <c r="Q61" s="42" t="s">
        <v>29</v>
      </c>
      <c r="R61" s="27" t="s">
        <v>81</v>
      </c>
      <c r="S61" s="28">
        <v>237400</v>
      </c>
      <c r="T61" s="42" t="s">
        <v>41</v>
      </c>
      <c r="U61" s="29">
        <v>2.1838380000000002</v>
      </c>
      <c r="V61" s="29">
        <v>1.183837890625</v>
      </c>
      <c r="W61" s="30">
        <v>9.9191894531250005E-2</v>
      </c>
      <c r="X61" s="31">
        <v>23548.155761718699</v>
      </c>
    </row>
    <row r="62" spans="1:24" x14ac:dyDescent="0.3">
      <c r="A62" s="47" t="s">
        <v>183</v>
      </c>
      <c r="B62" s="2" t="s">
        <v>198</v>
      </c>
      <c r="C62" s="42" t="s">
        <v>202</v>
      </c>
      <c r="D62" s="42" t="s">
        <v>255</v>
      </c>
      <c r="E62" s="42" t="s">
        <v>318</v>
      </c>
      <c r="F62" s="22" t="str">
        <f>HYPERLINK("https://mapwv.gov/flood/map/?wkid=102100&amp;x=-8967150.743734013&amp;y=4895559.059879571&amp;l=13&amp;v=2","FT")</f>
        <v>FT</v>
      </c>
      <c r="G62" s="43" t="s">
        <v>36</v>
      </c>
      <c r="H62" s="27" t="s">
        <v>24</v>
      </c>
      <c r="I62" s="2" t="s">
        <v>376</v>
      </c>
      <c r="J62" s="47" t="s">
        <v>25</v>
      </c>
      <c r="K62" s="43" t="s">
        <v>96</v>
      </c>
      <c r="L62" s="43"/>
      <c r="M62" s="42" t="s">
        <v>27</v>
      </c>
      <c r="N62" s="3" t="s">
        <v>76</v>
      </c>
      <c r="O62" s="43" t="s">
        <v>79</v>
      </c>
      <c r="P62" s="42" t="s">
        <v>451</v>
      </c>
      <c r="Q62" s="42" t="s">
        <v>29</v>
      </c>
      <c r="R62" s="27" t="s">
        <v>81</v>
      </c>
      <c r="S62" s="28">
        <v>236428</v>
      </c>
      <c r="T62" s="42" t="s">
        <v>83</v>
      </c>
      <c r="U62" s="29">
        <v>4.0061884000000001</v>
      </c>
      <c r="V62" s="29">
        <v>3.0061883926391602</v>
      </c>
      <c r="W62" s="30">
        <v>0.13006188392639101</v>
      </c>
      <c r="X62" s="31">
        <v>30750.2710929489</v>
      </c>
    </row>
    <row r="63" spans="1:24" x14ac:dyDescent="0.3">
      <c r="A63" s="47" t="s">
        <v>184</v>
      </c>
      <c r="B63" s="2" t="s">
        <v>194</v>
      </c>
      <c r="C63" s="42" t="s">
        <v>200</v>
      </c>
      <c r="D63" s="42" t="s">
        <v>256</v>
      </c>
      <c r="E63" s="42" t="s">
        <v>319</v>
      </c>
      <c r="F63" s="22" t="str">
        <f>HYPERLINK("https://mapwv.gov/flood/map/?wkid=102100&amp;x=-8973426.641516969&amp;y=4907407.235564029&amp;l=13&amp;v=2","FT")</f>
        <v>FT</v>
      </c>
      <c r="G63" s="43" t="s">
        <v>31</v>
      </c>
      <c r="H63" s="27" t="s">
        <v>24</v>
      </c>
      <c r="I63" s="2" t="s">
        <v>377</v>
      </c>
      <c r="J63" s="47" t="s">
        <v>37</v>
      </c>
      <c r="K63" s="43" t="s">
        <v>86</v>
      </c>
      <c r="L63" s="43" t="s">
        <v>52</v>
      </c>
      <c r="M63" s="42" t="s">
        <v>44</v>
      </c>
      <c r="N63" s="3" t="s">
        <v>34</v>
      </c>
      <c r="O63" s="43" t="s">
        <v>79</v>
      </c>
      <c r="P63" s="42" t="s">
        <v>452</v>
      </c>
      <c r="Q63" s="42" t="s">
        <v>29</v>
      </c>
      <c r="R63" s="27" t="s">
        <v>81</v>
      </c>
      <c r="S63" s="28">
        <v>235400</v>
      </c>
      <c r="T63" s="42" t="s">
        <v>41</v>
      </c>
      <c r="U63" s="29">
        <v>0.80871579999999998</v>
      </c>
      <c r="V63" s="29">
        <v>-0.1912841796875</v>
      </c>
      <c r="W63" s="30">
        <v>8.087158203125E-3</v>
      </c>
      <c r="X63" s="31">
        <v>1903.71704101562</v>
      </c>
    </row>
    <row r="64" spans="1:24" x14ac:dyDescent="0.3">
      <c r="A64" s="47" t="s">
        <v>185</v>
      </c>
      <c r="B64" s="2" t="s">
        <v>194</v>
      </c>
      <c r="C64" s="42" t="s">
        <v>200</v>
      </c>
      <c r="D64" s="42" t="s">
        <v>257</v>
      </c>
      <c r="E64" s="42" t="s">
        <v>320</v>
      </c>
      <c r="F64" s="22" t="str">
        <f>HYPERLINK("https://mapwv.gov/flood/map/?wkid=102100&amp;x=-8973228.809638623&amp;y=4906207.6391120255&amp;l=13&amp;v=2","FT")</f>
        <v>FT</v>
      </c>
      <c r="G64" s="43" t="s">
        <v>31</v>
      </c>
      <c r="H64" s="27" t="s">
        <v>24</v>
      </c>
      <c r="I64" s="2" t="s">
        <v>378</v>
      </c>
      <c r="J64" s="47" t="s">
        <v>25</v>
      </c>
      <c r="K64" s="43" t="s">
        <v>69</v>
      </c>
      <c r="L64" s="43" t="s">
        <v>52</v>
      </c>
      <c r="M64" s="42" t="s">
        <v>44</v>
      </c>
      <c r="N64" s="3" t="s">
        <v>34</v>
      </c>
      <c r="O64" s="43" t="s">
        <v>79</v>
      </c>
      <c r="P64" s="42" t="s">
        <v>453</v>
      </c>
      <c r="Q64" s="42" t="s">
        <v>29</v>
      </c>
      <c r="R64" s="27" t="s">
        <v>81</v>
      </c>
      <c r="S64" s="28">
        <v>235100</v>
      </c>
      <c r="T64" s="42" t="s">
        <v>41</v>
      </c>
      <c r="U64" s="29">
        <v>0</v>
      </c>
      <c r="V64" s="29">
        <v>-1</v>
      </c>
      <c r="W64" s="30">
        <v>0</v>
      </c>
      <c r="X64" s="31">
        <v>0</v>
      </c>
    </row>
    <row r="65" spans="1:24" x14ac:dyDescent="0.3">
      <c r="A65" s="47" t="s">
        <v>186</v>
      </c>
      <c r="B65" s="2" t="s">
        <v>194</v>
      </c>
      <c r="C65" s="42" t="s">
        <v>200</v>
      </c>
      <c r="D65" s="42" t="s">
        <v>258</v>
      </c>
      <c r="E65" s="42" t="s">
        <v>321</v>
      </c>
      <c r="F65" s="22" t="str">
        <f>HYPERLINK("https://mapwv.gov/flood/map/?wkid=102100&amp;x=-8973469.631991113&amp;y=4906544.636827287&amp;l=13&amp;v=2","FT")</f>
        <v>FT</v>
      </c>
      <c r="G65" s="43" t="s">
        <v>31</v>
      </c>
      <c r="H65" s="27" t="s">
        <v>24</v>
      </c>
      <c r="I65" s="2" t="s">
        <v>379</v>
      </c>
      <c r="J65" s="47" t="s">
        <v>37</v>
      </c>
      <c r="K65" s="43" t="s">
        <v>103</v>
      </c>
      <c r="L65" s="43" t="s">
        <v>52</v>
      </c>
      <c r="M65" s="42" t="s">
        <v>51</v>
      </c>
      <c r="N65" s="3" t="s">
        <v>34</v>
      </c>
      <c r="O65" s="43" t="s">
        <v>80</v>
      </c>
      <c r="P65" s="42" t="s">
        <v>454</v>
      </c>
      <c r="Q65" s="42" t="s">
        <v>29</v>
      </c>
      <c r="R65" s="27" t="s">
        <v>81</v>
      </c>
      <c r="S65" s="28">
        <v>227500</v>
      </c>
      <c r="T65" s="42" t="s">
        <v>41</v>
      </c>
      <c r="U65" s="29">
        <v>3.0016479999999999</v>
      </c>
      <c r="V65" s="29">
        <v>2.00164794921875</v>
      </c>
      <c r="W65" s="30">
        <v>0.160098876953125</v>
      </c>
      <c r="X65" s="31">
        <v>36422.494506835901</v>
      </c>
    </row>
    <row r="66" spans="1:24" x14ac:dyDescent="0.3">
      <c r="A66" s="47" t="s">
        <v>187</v>
      </c>
      <c r="B66" s="2" t="s">
        <v>196</v>
      </c>
      <c r="C66" s="42" t="s">
        <v>200</v>
      </c>
      <c r="D66" s="42" t="s">
        <v>259</v>
      </c>
      <c r="E66" s="42" t="s">
        <v>322</v>
      </c>
      <c r="F66" s="22" t="str">
        <f>HYPERLINK("https://mapwv.gov/flood/map/?wkid=102100&amp;x=-8971848.059447765&amp;y=4913651.72438235&amp;l=13&amp;v=2","FT")</f>
        <v>FT</v>
      </c>
      <c r="G66" s="43" t="s">
        <v>31</v>
      </c>
      <c r="H66" s="27" t="s">
        <v>24</v>
      </c>
      <c r="I66" s="2" t="s">
        <v>380</v>
      </c>
      <c r="J66" s="47" t="s">
        <v>37</v>
      </c>
      <c r="K66" s="43" t="s">
        <v>389</v>
      </c>
      <c r="L66" s="43" t="s">
        <v>26</v>
      </c>
      <c r="M66" s="42" t="s">
        <v>44</v>
      </c>
      <c r="N66" s="3" t="s">
        <v>34</v>
      </c>
      <c r="O66" s="43" t="s">
        <v>79</v>
      </c>
      <c r="P66" s="42" t="s">
        <v>455</v>
      </c>
      <c r="Q66" s="42" t="s">
        <v>29</v>
      </c>
      <c r="R66" s="27" t="s">
        <v>81</v>
      </c>
      <c r="S66" s="28">
        <v>226800</v>
      </c>
      <c r="T66" s="42" t="s">
        <v>41</v>
      </c>
      <c r="U66" s="29">
        <v>0</v>
      </c>
      <c r="V66" s="29">
        <v>-1</v>
      </c>
      <c r="W66" s="30">
        <v>0</v>
      </c>
      <c r="X66" s="31">
        <v>0</v>
      </c>
    </row>
    <row r="67" spans="1:24" x14ac:dyDescent="0.3">
      <c r="A67" s="47" t="s">
        <v>188</v>
      </c>
      <c r="B67" s="2" t="s">
        <v>197</v>
      </c>
      <c r="C67" s="42" t="s">
        <v>199</v>
      </c>
      <c r="D67" s="42" t="s">
        <v>260</v>
      </c>
      <c r="E67" s="42" t="s">
        <v>323</v>
      </c>
      <c r="F67" s="22" t="str">
        <f>HYPERLINK("https://mapwv.gov/flood/map/?wkid=102100&amp;x=-8966228.660792036&amp;y=4919669.431086273&amp;l=13&amp;v=2","FT")</f>
        <v>FT</v>
      </c>
      <c r="G67" s="43" t="s">
        <v>31</v>
      </c>
      <c r="H67" s="27" t="s">
        <v>24</v>
      </c>
      <c r="I67" s="2" t="s">
        <v>381</v>
      </c>
      <c r="J67" s="47" t="s">
        <v>25</v>
      </c>
      <c r="K67" s="43" t="s">
        <v>74</v>
      </c>
      <c r="L67" s="43" t="s">
        <v>49</v>
      </c>
      <c r="M67" s="42" t="s">
        <v>44</v>
      </c>
      <c r="N67" s="3" t="s">
        <v>34</v>
      </c>
      <c r="O67" s="43" t="s">
        <v>79</v>
      </c>
      <c r="P67" s="42" t="s">
        <v>456</v>
      </c>
      <c r="Q67" s="42" t="s">
        <v>29</v>
      </c>
      <c r="R67" s="27" t="s">
        <v>81</v>
      </c>
      <c r="S67" s="28">
        <v>218900</v>
      </c>
      <c r="T67" s="42" t="s">
        <v>41</v>
      </c>
      <c r="U67" s="29">
        <v>0</v>
      </c>
      <c r="V67" s="29">
        <v>-1</v>
      </c>
      <c r="W67" s="30">
        <v>0</v>
      </c>
      <c r="X67" s="31">
        <v>0</v>
      </c>
    </row>
    <row r="68" spans="1:24" x14ac:dyDescent="0.3">
      <c r="A68" s="47" t="s">
        <v>189</v>
      </c>
      <c r="B68" s="2" t="s">
        <v>196</v>
      </c>
      <c r="C68" s="42" t="s">
        <v>200</v>
      </c>
      <c r="D68" s="42" t="s">
        <v>261</v>
      </c>
      <c r="E68" s="42" t="s">
        <v>324</v>
      </c>
      <c r="F68" s="22" t="str">
        <f>HYPERLINK("https://mapwv.gov/flood/map/?wkid=102100&amp;x=-8971777.105628846&amp;y=4913245.345954424&amp;l=13&amp;v=2","FT")</f>
        <v>FT</v>
      </c>
      <c r="G68" s="43" t="s">
        <v>31</v>
      </c>
      <c r="H68" s="27" t="s">
        <v>24</v>
      </c>
      <c r="I68" s="2" t="s">
        <v>382</v>
      </c>
      <c r="J68" s="47" t="s">
        <v>25</v>
      </c>
      <c r="K68" s="43" t="s">
        <v>96</v>
      </c>
      <c r="L68" s="43"/>
      <c r="M68" s="42" t="s">
        <v>44</v>
      </c>
      <c r="N68" s="3" t="s">
        <v>34</v>
      </c>
      <c r="O68" s="43" t="s">
        <v>79</v>
      </c>
      <c r="P68" s="42" t="s">
        <v>457</v>
      </c>
      <c r="Q68" s="42" t="s">
        <v>29</v>
      </c>
      <c r="R68" s="27" t="s">
        <v>81</v>
      </c>
      <c r="S68" s="28">
        <v>213956</v>
      </c>
      <c r="T68" s="42" t="s">
        <v>30</v>
      </c>
      <c r="U68" s="29">
        <v>0.55810546999999999</v>
      </c>
      <c r="V68" s="29">
        <v>-0.44189453125</v>
      </c>
      <c r="W68" s="30">
        <v>5.5810546874999999E-3</v>
      </c>
      <c r="X68" s="31">
        <v>1194.10013671875</v>
      </c>
    </row>
    <row r="69" spans="1:24" x14ac:dyDescent="0.3">
      <c r="A69" s="47" t="s">
        <v>190</v>
      </c>
      <c r="B69" s="2" t="s">
        <v>194</v>
      </c>
      <c r="C69" s="42" t="s">
        <v>200</v>
      </c>
      <c r="D69" s="42" t="s">
        <v>262</v>
      </c>
      <c r="E69" s="42" t="s">
        <v>325</v>
      </c>
      <c r="F69" s="22" t="str">
        <f>HYPERLINK("https://mapwv.gov/flood/map/?wkid=102100&amp;x=-8973316.973896096&amp;y=4906136.935823218&amp;l=13&amp;v=2","FT")</f>
        <v>FT</v>
      </c>
      <c r="G69" s="43" t="s">
        <v>31</v>
      </c>
      <c r="H69" s="27" t="s">
        <v>24</v>
      </c>
      <c r="I69" s="2" t="s">
        <v>383</v>
      </c>
      <c r="J69" s="47" t="s">
        <v>37</v>
      </c>
      <c r="K69" s="43" t="s">
        <v>102</v>
      </c>
      <c r="L69" s="43" t="s">
        <v>47</v>
      </c>
      <c r="M69" s="42" t="s">
        <v>48</v>
      </c>
      <c r="N69" s="3" t="s">
        <v>34</v>
      </c>
      <c r="O69" s="43" t="s">
        <v>79</v>
      </c>
      <c r="P69" s="42" t="s">
        <v>127</v>
      </c>
      <c r="Q69" s="42" t="s">
        <v>29</v>
      </c>
      <c r="R69" s="27" t="s">
        <v>81</v>
      </c>
      <c r="S69" s="28">
        <v>213500</v>
      </c>
      <c r="T69" s="42" t="s">
        <v>41</v>
      </c>
      <c r="U69" s="29">
        <v>2.6204833999999999</v>
      </c>
      <c r="V69" s="29">
        <v>1.6204833984375</v>
      </c>
      <c r="W69" s="30">
        <v>0.10240966796875001</v>
      </c>
      <c r="X69" s="31">
        <v>21864.4641113281</v>
      </c>
    </row>
    <row r="70" spans="1:24" x14ac:dyDescent="0.3">
      <c r="A70" s="47" t="s">
        <v>191</v>
      </c>
      <c r="B70" s="2" t="s">
        <v>194</v>
      </c>
      <c r="C70" s="42" t="s">
        <v>200</v>
      </c>
      <c r="D70" s="42" t="s">
        <v>263</v>
      </c>
      <c r="E70" s="42" t="s">
        <v>326</v>
      </c>
      <c r="F70" s="22" t="str">
        <f>HYPERLINK("https://mapwv.gov/flood/map/?wkid=102100&amp;x=-8973391.31661427&amp;y=4906811.943315624&amp;l=13&amp;v=2","FT")</f>
        <v>FT</v>
      </c>
      <c r="G70" s="43" t="s">
        <v>31</v>
      </c>
      <c r="H70" s="27" t="s">
        <v>24</v>
      </c>
      <c r="I70" s="2" t="s">
        <v>384</v>
      </c>
      <c r="J70" s="47" t="s">
        <v>37</v>
      </c>
      <c r="K70" s="43" t="s">
        <v>395</v>
      </c>
      <c r="L70" s="43" t="s">
        <v>49</v>
      </c>
      <c r="M70" s="42" t="s">
        <v>57</v>
      </c>
      <c r="N70" s="3" t="s">
        <v>34</v>
      </c>
      <c r="O70" s="43" t="s">
        <v>80</v>
      </c>
      <c r="P70" s="42" t="s">
        <v>458</v>
      </c>
      <c r="Q70" s="42" t="s">
        <v>29</v>
      </c>
      <c r="R70" s="27" t="s">
        <v>81</v>
      </c>
      <c r="S70" s="28">
        <v>207800</v>
      </c>
      <c r="T70" s="42" t="s">
        <v>41</v>
      </c>
      <c r="U70" s="29">
        <v>0</v>
      </c>
      <c r="V70" s="29">
        <v>-1</v>
      </c>
      <c r="W70" s="30">
        <v>0</v>
      </c>
      <c r="X70" s="31">
        <v>0</v>
      </c>
    </row>
    <row r="71" spans="1:24" x14ac:dyDescent="0.3">
      <c r="A71" s="47" t="s">
        <v>192</v>
      </c>
      <c r="B71" s="2" t="s">
        <v>194</v>
      </c>
      <c r="C71" s="42" t="s">
        <v>200</v>
      </c>
      <c r="D71" s="42" t="s">
        <v>264</v>
      </c>
      <c r="E71" s="42" t="s">
        <v>327</v>
      </c>
      <c r="F71" s="22" t="str">
        <f>HYPERLINK("https://mapwv.gov/flood/map/?wkid=102100&amp;x=-8973856.343656987&amp;y=4905269.184212285&amp;l=13&amp;v=2","FT")</f>
        <v>FT</v>
      </c>
      <c r="G71" s="43" t="s">
        <v>31</v>
      </c>
      <c r="H71" s="27" t="s">
        <v>24</v>
      </c>
      <c r="I71" s="2" t="s">
        <v>385</v>
      </c>
      <c r="J71" s="47" t="s">
        <v>37</v>
      </c>
      <c r="K71" s="43" t="s">
        <v>91</v>
      </c>
      <c r="L71" s="43" t="s">
        <v>46</v>
      </c>
      <c r="M71" s="42" t="s">
        <v>51</v>
      </c>
      <c r="N71" s="3" t="s">
        <v>34</v>
      </c>
      <c r="O71" s="43" t="s">
        <v>112</v>
      </c>
      <c r="P71" s="42" t="s">
        <v>459</v>
      </c>
      <c r="Q71" s="42" t="s">
        <v>29</v>
      </c>
      <c r="R71" s="27" t="s">
        <v>81</v>
      </c>
      <c r="S71" s="28">
        <v>202400</v>
      </c>
      <c r="T71" s="42" t="s">
        <v>41</v>
      </c>
      <c r="U71" s="29">
        <v>4.5186156999999998</v>
      </c>
      <c r="V71" s="29">
        <v>3.51861572265625</v>
      </c>
      <c r="W71" s="30">
        <v>0.25111694335937501</v>
      </c>
      <c r="X71" s="31">
        <v>50826.0693359375</v>
      </c>
    </row>
  </sheetData>
  <hyperlinks>
    <hyperlink ref="J3" r:id="rId1" xr:uid="{5ED28C6F-5A7F-41C6-9E8C-8154750F93D5}"/>
    <hyperlink ref="M3" r:id="rId2" xr:uid="{8B6C5EEC-E5CC-4992-B7A0-6D4D9194CC48}"/>
    <hyperlink ref="Q3" r:id="rId3" xr:uid="{10BA985F-82A7-4A47-9B4E-D0ED771A02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8DD-8156-49EF-AACD-179F5CA1C245}">
  <dimension ref="A1:Z34"/>
  <sheetViews>
    <sheetView workbookViewId="0">
      <pane ySplit="6" topLeftCell="A7" activePane="bottomLeft" state="frozen"/>
      <selection pane="bottomLeft" activeCell="E3" sqref="E3"/>
    </sheetView>
  </sheetViews>
  <sheetFormatPr defaultRowHeight="14.4" x14ac:dyDescent="0.3"/>
  <cols>
    <col min="1" max="1" width="33.88671875" bestFit="1" customWidth="1"/>
    <col min="2" max="2" width="11.44140625" customWidth="1"/>
    <col min="7" max="7" width="11" customWidth="1"/>
    <col min="13" max="13" width="10.109375" customWidth="1"/>
    <col min="14" max="14" width="10.77734375" customWidth="1"/>
    <col min="17" max="17" width="10.88671875" customWidth="1"/>
    <col min="19" max="19" width="21.77734375" bestFit="1" customWidth="1"/>
    <col min="24" max="24" width="11" bestFit="1" customWidth="1"/>
    <col min="26" max="26" width="11.109375" bestFit="1" customWidth="1"/>
  </cols>
  <sheetData>
    <row r="1" spans="1:26" ht="14.25" customHeight="1" x14ac:dyDescent="0.3">
      <c r="A1" s="4" t="s">
        <v>59</v>
      </c>
      <c r="B1" s="4"/>
      <c r="C1" s="4"/>
      <c r="D1" s="4"/>
      <c r="F1" s="17" t="s">
        <v>60</v>
      </c>
      <c r="G1" s="6"/>
      <c r="H1" s="6"/>
      <c r="J1" s="6"/>
      <c r="K1" s="6"/>
      <c r="L1" s="6"/>
      <c r="N1" s="5" t="s">
        <v>61</v>
      </c>
      <c r="O1" s="6"/>
      <c r="P1" s="6"/>
      <c r="R1" s="6"/>
      <c r="S1" s="7" t="s">
        <v>62</v>
      </c>
      <c r="U1" s="8"/>
      <c r="V1" s="8"/>
      <c r="W1" s="9"/>
      <c r="X1" s="10"/>
    </row>
    <row r="2" spans="1:26" x14ac:dyDescent="0.3">
      <c r="A2" s="11">
        <v>44586</v>
      </c>
      <c r="B2" s="12" t="s">
        <v>63</v>
      </c>
      <c r="F2" s="6"/>
      <c r="G2" s="6"/>
      <c r="H2" s="6"/>
      <c r="J2" s="6"/>
      <c r="K2" s="6"/>
      <c r="L2" s="6"/>
      <c r="N2" s="13" t="s">
        <v>39</v>
      </c>
      <c r="O2" s="6"/>
      <c r="P2" s="6"/>
      <c r="R2" s="6"/>
      <c r="S2" s="37"/>
      <c r="U2" s="8"/>
      <c r="V2" s="8"/>
      <c r="W2" s="9"/>
      <c r="X2" s="10"/>
    </row>
    <row r="3" spans="1:26" x14ac:dyDescent="0.3">
      <c r="A3" t="s">
        <v>65</v>
      </c>
      <c r="B3" s="38" t="s">
        <v>95</v>
      </c>
      <c r="F3" s="6"/>
      <c r="G3" s="6"/>
      <c r="H3" s="6"/>
      <c r="J3" s="16" t="s">
        <v>64</v>
      </c>
      <c r="K3" s="6"/>
      <c r="L3" s="6"/>
      <c r="M3" s="14" t="s">
        <v>64</v>
      </c>
      <c r="N3" s="5"/>
      <c r="O3" s="6"/>
      <c r="P3" s="6"/>
      <c r="Q3" s="14" t="s">
        <v>64</v>
      </c>
      <c r="R3" s="15"/>
      <c r="S3" s="37"/>
      <c r="U3" s="8"/>
      <c r="V3" s="8"/>
      <c r="W3" s="9"/>
      <c r="X3" s="10"/>
    </row>
    <row r="4" spans="1:26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7"/>
      <c r="U4" s="8"/>
      <c r="V4" s="8"/>
      <c r="W4" s="9"/>
      <c r="X4" s="10"/>
    </row>
    <row r="5" spans="1:26" x14ac:dyDescent="0.3">
      <c r="A5" s="1" t="s">
        <v>468</v>
      </c>
      <c r="F5" s="6"/>
      <c r="G5" s="6"/>
      <c r="H5" s="6"/>
      <c r="J5" s="6"/>
      <c r="K5" s="6"/>
      <c r="L5" s="6"/>
      <c r="O5" s="6"/>
      <c r="P5" s="6"/>
      <c r="R5" s="6"/>
      <c r="S5" s="32" t="s">
        <v>93</v>
      </c>
      <c r="U5" s="6"/>
      <c r="V5" s="6"/>
      <c r="W5" s="9"/>
      <c r="X5" s="10"/>
    </row>
    <row r="6" spans="1:26" ht="43.2" x14ac:dyDescent="0.3">
      <c r="A6" s="23" t="s">
        <v>0</v>
      </c>
      <c r="B6" s="18" t="s">
        <v>1</v>
      </c>
      <c r="C6" s="18" t="s">
        <v>2</v>
      </c>
      <c r="D6" s="24" t="s">
        <v>3</v>
      </c>
      <c r="E6" s="24" t="s">
        <v>4</v>
      </c>
      <c r="F6" s="18" t="s">
        <v>5</v>
      </c>
      <c r="G6" s="18" t="s">
        <v>6</v>
      </c>
      <c r="H6" s="23" t="s">
        <v>7</v>
      </c>
      <c r="I6" s="18" t="s">
        <v>8</v>
      </c>
      <c r="J6" s="23" t="s">
        <v>9</v>
      </c>
      <c r="K6" s="24" t="s">
        <v>10</v>
      </c>
      <c r="L6" s="18" t="s">
        <v>11</v>
      </c>
      <c r="M6" s="24" t="s">
        <v>12</v>
      </c>
      <c r="N6" s="19" t="s">
        <v>13</v>
      </c>
      <c r="O6" s="24" t="s">
        <v>14</v>
      </c>
      <c r="P6" s="24" t="s">
        <v>15</v>
      </c>
      <c r="Q6" s="24" t="s">
        <v>16</v>
      </c>
      <c r="R6" s="24" t="s">
        <v>17</v>
      </c>
      <c r="S6" s="20" t="s">
        <v>18</v>
      </c>
      <c r="T6" s="18" t="s">
        <v>19</v>
      </c>
      <c r="U6" s="25" t="s">
        <v>20</v>
      </c>
      <c r="V6" s="25" t="s">
        <v>21</v>
      </c>
      <c r="W6" s="26" t="s">
        <v>22</v>
      </c>
      <c r="X6" s="21" t="s">
        <v>23</v>
      </c>
    </row>
    <row r="7" spans="1:26" x14ac:dyDescent="0.3">
      <c r="A7" s="47" t="s">
        <v>607</v>
      </c>
      <c r="B7" s="42" t="s">
        <v>193</v>
      </c>
      <c r="C7" s="42" t="s">
        <v>200</v>
      </c>
      <c r="D7" s="42" t="s">
        <v>496</v>
      </c>
      <c r="E7" s="42" t="s">
        <v>608</v>
      </c>
      <c r="F7" s="22" t="str">
        <f>HYPERLINK("https://www.mapwv.gov/flood/map/?wkid=102100&amp;x=-8972864&amp;y=4925840&amp;l=11&amp;v=2","FT")</f>
        <v>FT</v>
      </c>
      <c r="G7" s="27" t="s">
        <v>31</v>
      </c>
      <c r="H7" s="27" t="s">
        <v>24</v>
      </c>
      <c r="I7" s="42" t="s">
        <v>555</v>
      </c>
      <c r="J7" s="48" t="s">
        <v>25</v>
      </c>
      <c r="K7" s="24">
        <v>9999</v>
      </c>
      <c r="L7" s="18"/>
      <c r="M7" s="42" t="s">
        <v>27</v>
      </c>
      <c r="N7" s="3" t="s">
        <v>76</v>
      </c>
      <c r="O7" s="43" t="s">
        <v>79</v>
      </c>
      <c r="P7" s="44">
        <v>42000</v>
      </c>
      <c r="Q7" s="42" t="s">
        <v>29</v>
      </c>
      <c r="R7" s="27" t="s">
        <v>81</v>
      </c>
      <c r="S7" s="28">
        <v>7250000</v>
      </c>
      <c r="T7" s="42" t="s">
        <v>28</v>
      </c>
      <c r="U7" s="25">
        <v>10.5</v>
      </c>
      <c r="V7" s="25">
        <v>9.5</v>
      </c>
      <c r="W7" s="26"/>
      <c r="X7" s="21"/>
    </row>
    <row r="8" spans="1:26" x14ac:dyDescent="0.3">
      <c r="A8" s="47" t="s">
        <v>609</v>
      </c>
      <c r="B8" s="42" t="s">
        <v>548</v>
      </c>
      <c r="C8" s="42" t="s">
        <v>549</v>
      </c>
      <c r="D8" s="42" t="s">
        <v>610</v>
      </c>
      <c r="E8" s="42" t="s">
        <v>611</v>
      </c>
      <c r="F8" s="22" t="str">
        <f>HYPERLINK("https://www.mapwv.gov/flood/map/?wkid=102100&amp;x=-8968648&amp;y=4955537&amp;l=13&amp;v=2","FT")</f>
        <v>FT</v>
      </c>
      <c r="G8" s="27" t="s">
        <v>31</v>
      </c>
      <c r="H8" s="27" t="s">
        <v>24</v>
      </c>
      <c r="I8" s="42" t="s">
        <v>612</v>
      </c>
      <c r="J8" s="48" t="s">
        <v>25</v>
      </c>
      <c r="K8" s="24">
        <v>9999</v>
      </c>
      <c r="L8" s="18"/>
      <c r="M8" s="42" t="s">
        <v>27</v>
      </c>
      <c r="N8" s="3" t="s">
        <v>76</v>
      </c>
      <c r="O8" s="43" t="s">
        <v>79</v>
      </c>
      <c r="P8" s="44">
        <v>16500</v>
      </c>
      <c r="Q8" s="42" t="s">
        <v>29</v>
      </c>
      <c r="R8" s="27" t="s">
        <v>81</v>
      </c>
      <c r="S8" s="28">
        <v>6600000</v>
      </c>
      <c r="T8" s="42" t="s">
        <v>28</v>
      </c>
      <c r="U8" s="25">
        <v>7.8</v>
      </c>
      <c r="V8" s="25">
        <v>6.8</v>
      </c>
      <c r="W8" s="26"/>
      <c r="X8" s="21"/>
    </row>
    <row r="9" spans="1:26" x14ac:dyDescent="0.3">
      <c r="A9" s="47" t="s">
        <v>469</v>
      </c>
      <c r="B9" s="42" t="s">
        <v>546</v>
      </c>
      <c r="C9" s="42" t="s">
        <v>200</v>
      </c>
      <c r="D9" s="42" t="s">
        <v>495</v>
      </c>
      <c r="E9" s="42" t="s">
        <v>520</v>
      </c>
      <c r="F9" s="22" t="str">
        <f>HYPERLINK("https://mapwv.gov/flood/map/?wkid=102100&amp;x=-8975395.615140444&amp;y=4955154.776852403&amp;l=13&amp;v=2","FT")</f>
        <v>FT</v>
      </c>
      <c r="G9" s="27" t="s">
        <v>31</v>
      </c>
      <c r="H9" s="27" t="s">
        <v>24</v>
      </c>
      <c r="I9" s="42" t="s">
        <v>554</v>
      </c>
      <c r="J9" s="48" t="s">
        <v>25</v>
      </c>
      <c r="K9" s="43" t="s">
        <v>87</v>
      </c>
      <c r="L9" s="43" t="s">
        <v>116</v>
      </c>
      <c r="M9" s="42" t="s">
        <v>582</v>
      </c>
      <c r="N9" s="3" t="s">
        <v>78</v>
      </c>
      <c r="O9" s="43" t="s">
        <v>79</v>
      </c>
      <c r="P9" s="42" t="s">
        <v>584</v>
      </c>
      <c r="Q9" s="42" t="s">
        <v>29</v>
      </c>
      <c r="R9" s="27" t="s">
        <v>81</v>
      </c>
      <c r="S9" s="28">
        <v>6280600</v>
      </c>
      <c r="T9" s="42" t="s">
        <v>41</v>
      </c>
      <c r="U9" s="25">
        <v>4.7552490000000001</v>
      </c>
      <c r="V9" s="25">
        <v>3.7552490234375</v>
      </c>
      <c r="W9" s="30">
        <v>0.21265747070312499</v>
      </c>
      <c r="X9" s="31">
        <v>1335616.5104980399</v>
      </c>
    </row>
    <row r="10" spans="1:26" x14ac:dyDescent="0.3">
      <c r="A10" s="47" t="s">
        <v>470</v>
      </c>
      <c r="B10" s="42" t="s">
        <v>193</v>
      </c>
      <c r="C10" s="42" t="s">
        <v>200</v>
      </c>
      <c r="D10" s="42" t="s">
        <v>496</v>
      </c>
      <c r="E10" s="42" t="s">
        <v>521</v>
      </c>
      <c r="F10" s="22" t="str">
        <f>HYPERLINK("https://mapwv.gov/flood/map/?wkid=102100&amp;x=-8972788.713375106&amp;y=4927391.971024293&amp;l=13&amp;v=2","FT")</f>
        <v>FT</v>
      </c>
      <c r="G10" s="27" t="s">
        <v>31</v>
      </c>
      <c r="H10" s="27" t="s">
        <v>24</v>
      </c>
      <c r="I10" s="42" t="s">
        <v>555</v>
      </c>
      <c r="J10" s="48" t="s">
        <v>25</v>
      </c>
      <c r="K10" s="43" t="s">
        <v>74</v>
      </c>
      <c r="L10" s="43" t="s">
        <v>32</v>
      </c>
      <c r="M10" s="42" t="s">
        <v>583</v>
      </c>
      <c r="N10" s="3" t="s">
        <v>78</v>
      </c>
      <c r="O10" s="43" t="s">
        <v>80</v>
      </c>
      <c r="P10" s="42" t="s">
        <v>585</v>
      </c>
      <c r="Q10" s="42" t="s">
        <v>29</v>
      </c>
      <c r="R10" s="27" t="s">
        <v>81</v>
      </c>
      <c r="S10" s="28">
        <v>6241698</v>
      </c>
      <c r="T10" s="42" t="s">
        <v>41</v>
      </c>
      <c r="U10" s="25">
        <v>1</v>
      </c>
      <c r="V10" s="25">
        <v>0</v>
      </c>
      <c r="W10" s="30">
        <v>0.01</v>
      </c>
      <c r="X10" s="31">
        <v>62416.98</v>
      </c>
    </row>
    <row r="11" spans="1:26" x14ac:dyDescent="0.3">
      <c r="A11" s="47" t="s">
        <v>471</v>
      </c>
      <c r="B11" s="42" t="s">
        <v>546</v>
      </c>
      <c r="C11" s="42" t="s">
        <v>200</v>
      </c>
      <c r="D11" s="42" t="s">
        <v>497</v>
      </c>
      <c r="E11" s="42" t="s">
        <v>522</v>
      </c>
      <c r="F11" s="22" t="str">
        <f>HYPERLINK("https://mapwv.gov/flood/map/?wkid=102100&amp;x=-8974853.964888467&amp;y=4955522.795862771&amp;l=13&amp;v=2","FT")</f>
        <v>FT</v>
      </c>
      <c r="G11" s="27" t="s">
        <v>31</v>
      </c>
      <c r="H11" s="27" t="s">
        <v>24</v>
      </c>
      <c r="I11" s="42" t="s">
        <v>556</v>
      </c>
      <c r="J11" s="48" t="s">
        <v>37</v>
      </c>
      <c r="K11" s="43" t="s">
        <v>399</v>
      </c>
      <c r="L11" s="43" t="s">
        <v>49</v>
      </c>
      <c r="M11" s="42" t="s">
        <v>33</v>
      </c>
      <c r="N11" s="3" t="s">
        <v>78</v>
      </c>
      <c r="O11" s="43" t="s">
        <v>112</v>
      </c>
      <c r="P11" s="42" t="s">
        <v>586</v>
      </c>
      <c r="Q11" s="42" t="s">
        <v>29</v>
      </c>
      <c r="R11" s="27" t="s">
        <v>81</v>
      </c>
      <c r="S11" s="28">
        <v>3180600</v>
      </c>
      <c r="T11" s="42" t="s">
        <v>41</v>
      </c>
      <c r="U11" s="25">
        <v>4.1320799999999998E-2</v>
      </c>
      <c r="V11" s="25">
        <v>-0.95867919921875</v>
      </c>
      <c r="W11" s="30">
        <v>4.1320800781249997E-4</v>
      </c>
      <c r="X11" s="31">
        <v>1314.24938964843</v>
      </c>
    </row>
    <row r="12" spans="1:26" x14ac:dyDescent="0.3">
      <c r="A12" s="47" t="s">
        <v>472</v>
      </c>
      <c r="B12" s="42" t="s">
        <v>193</v>
      </c>
      <c r="C12" s="42" t="s">
        <v>199</v>
      </c>
      <c r="D12" s="42" t="s">
        <v>498</v>
      </c>
      <c r="E12" s="42" t="s">
        <v>523</v>
      </c>
      <c r="F12" s="22" t="str">
        <f>HYPERLINK("https://mapwv.gov/flood/map/?wkid=102100&amp;x=-8971048.96060943&amp;y=4924214.845444747&amp;l=13&amp;v=2","FT")</f>
        <v>FT</v>
      </c>
      <c r="G12" s="27" t="s">
        <v>31</v>
      </c>
      <c r="H12" s="27" t="s">
        <v>24</v>
      </c>
      <c r="I12" s="42" t="s">
        <v>557</v>
      </c>
      <c r="J12" s="48" t="s">
        <v>37</v>
      </c>
      <c r="K12" s="43" t="s">
        <v>118</v>
      </c>
      <c r="L12" s="43" t="s">
        <v>26</v>
      </c>
      <c r="M12" s="42" t="s">
        <v>54</v>
      </c>
      <c r="N12" s="3" t="s">
        <v>75</v>
      </c>
      <c r="O12" s="43" t="s">
        <v>80</v>
      </c>
      <c r="P12" s="42" t="s">
        <v>587</v>
      </c>
      <c r="Q12" s="42" t="s">
        <v>29</v>
      </c>
      <c r="R12" s="27" t="s">
        <v>81</v>
      </c>
      <c r="S12" s="28">
        <v>2887800</v>
      </c>
      <c r="T12" s="42" t="s">
        <v>41</v>
      </c>
      <c r="U12" s="25">
        <v>0</v>
      </c>
      <c r="V12" s="25">
        <v>-1</v>
      </c>
      <c r="W12" s="30">
        <v>0</v>
      </c>
      <c r="X12" s="31">
        <v>0</v>
      </c>
    </row>
    <row r="13" spans="1:26" x14ac:dyDescent="0.3">
      <c r="A13" s="47" t="s">
        <v>475</v>
      </c>
      <c r="B13" s="42" t="s">
        <v>547</v>
      </c>
      <c r="C13" s="42" t="s">
        <v>200</v>
      </c>
      <c r="D13" s="42" t="s">
        <v>501</v>
      </c>
      <c r="E13" s="42" t="s">
        <v>526</v>
      </c>
      <c r="F13" s="22" t="str">
        <f>HYPERLINK("https://mapwv.gov/flood/map/?wkid=102100&amp;x=-8972164.912455874&amp;y=4936844.0909157405&amp;l=13&amp;v=2","FT")</f>
        <v>FT</v>
      </c>
      <c r="G13" s="27" t="s">
        <v>31</v>
      </c>
      <c r="H13" s="27" t="s">
        <v>24</v>
      </c>
      <c r="I13" s="42" t="s">
        <v>560</v>
      </c>
      <c r="J13" s="48" t="s">
        <v>25</v>
      </c>
      <c r="K13" s="43">
        <v>9999</v>
      </c>
      <c r="L13" s="43"/>
      <c r="M13" s="42" t="s">
        <v>51</v>
      </c>
      <c r="N13" s="3" t="s">
        <v>34</v>
      </c>
      <c r="O13" s="43" t="s">
        <v>79</v>
      </c>
      <c r="P13" s="44">
        <v>5700</v>
      </c>
      <c r="Q13" s="42" t="s">
        <v>29</v>
      </c>
      <c r="R13" s="27" t="s">
        <v>81</v>
      </c>
      <c r="S13" s="28">
        <v>2750000</v>
      </c>
      <c r="T13" s="42" t="s">
        <v>28</v>
      </c>
      <c r="U13" s="25">
        <v>0.28546143000000002</v>
      </c>
      <c r="V13" s="25">
        <v>-0.71453857421875</v>
      </c>
      <c r="W13" s="30">
        <v>5.7092285156250004E-3</v>
      </c>
      <c r="X13" s="31">
        <v>15700.378417968752</v>
      </c>
      <c r="Z13" s="49"/>
    </row>
    <row r="14" spans="1:26" x14ac:dyDescent="0.3">
      <c r="A14" s="47" t="s">
        <v>473</v>
      </c>
      <c r="B14" s="42" t="s">
        <v>546</v>
      </c>
      <c r="C14" s="42" t="s">
        <v>200</v>
      </c>
      <c r="D14" s="42" t="s">
        <v>499</v>
      </c>
      <c r="E14" s="42" t="s">
        <v>524</v>
      </c>
      <c r="F14" s="22" t="str">
        <f>HYPERLINK("https://mapwv.gov/flood/map/?wkid=102100&amp;x=-8975175.795436282&amp;y=4955320.776495204&amp;l=13&amp;v=2","FT")</f>
        <v>FT</v>
      </c>
      <c r="G14" s="27" t="s">
        <v>31</v>
      </c>
      <c r="H14" s="27" t="s">
        <v>24</v>
      </c>
      <c r="I14" s="42" t="s">
        <v>558</v>
      </c>
      <c r="J14" s="48" t="s">
        <v>25</v>
      </c>
      <c r="K14" s="43" t="s">
        <v>69</v>
      </c>
      <c r="L14" s="43" t="s">
        <v>32</v>
      </c>
      <c r="M14" s="42" t="s">
        <v>57</v>
      </c>
      <c r="N14" s="3" t="s">
        <v>34</v>
      </c>
      <c r="O14" s="43" t="s">
        <v>79</v>
      </c>
      <c r="P14" s="42" t="s">
        <v>588</v>
      </c>
      <c r="Q14" s="42" t="s">
        <v>29</v>
      </c>
      <c r="R14" s="27" t="s">
        <v>81</v>
      </c>
      <c r="S14" s="28">
        <v>1596800</v>
      </c>
      <c r="T14" s="42" t="s">
        <v>41</v>
      </c>
      <c r="U14" s="25">
        <v>1.6445923</v>
      </c>
      <c r="V14" s="25">
        <v>0.64459228515625</v>
      </c>
      <c r="W14" s="30">
        <v>3.22296142578124E-2</v>
      </c>
      <c r="X14" s="31">
        <v>51464.248046874898</v>
      </c>
    </row>
    <row r="15" spans="1:26" x14ac:dyDescent="0.3">
      <c r="A15" s="47" t="s">
        <v>474</v>
      </c>
      <c r="B15" s="42" t="s">
        <v>193</v>
      </c>
      <c r="C15" s="42" t="s">
        <v>199</v>
      </c>
      <c r="D15" s="42" t="s">
        <v>500</v>
      </c>
      <c r="E15" s="42" t="s">
        <v>525</v>
      </c>
      <c r="F15" s="22" t="str">
        <f>HYPERLINK("https://mapwv.gov/flood/map/?wkid=102100&amp;x=-8971154.33563941&amp;y=4924299.259960035&amp;l=13&amp;v=2","FT")</f>
        <v>FT</v>
      </c>
      <c r="G15" s="27" t="s">
        <v>31</v>
      </c>
      <c r="H15" s="27" t="s">
        <v>24</v>
      </c>
      <c r="I15" s="42" t="s">
        <v>559</v>
      </c>
      <c r="J15" s="48" t="s">
        <v>37</v>
      </c>
      <c r="K15" s="43" t="s">
        <v>577</v>
      </c>
      <c r="L15" s="43" t="s">
        <v>26</v>
      </c>
      <c r="M15" s="42" t="s">
        <v>54</v>
      </c>
      <c r="N15" s="3" t="s">
        <v>75</v>
      </c>
      <c r="O15" s="43" t="s">
        <v>80</v>
      </c>
      <c r="P15" s="42" t="s">
        <v>589</v>
      </c>
      <c r="Q15" s="42" t="s">
        <v>29</v>
      </c>
      <c r="R15" s="27" t="s">
        <v>81</v>
      </c>
      <c r="S15" s="28">
        <v>1466900</v>
      </c>
      <c r="T15" s="42" t="s">
        <v>41</v>
      </c>
      <c r="U15" s="25">
        <v>0</v>
      </c>
      <c r="V15" s="25">
        <v>-1</v>
      </c>
      <c r="W15" s="30">
        <v>0</v>
      </c>
      <c r="X15" s="31">
        <v>0</v>
      </c>
    </row>
    <row r="16" spans="1:26" x14ac:dyDescent="0.3">
      <c r="A16" s="47" t="s">
        <v>476</v>
      </c>
      <c r="B16" s="42" t="s">
        <v>548</v>
      </c>
      <c r="C16" s="42" t="s">
        <v>549</v>
      </c>
      <c r="D16" s="42" t="s">
        <v>502</v>
      </c>
      <c r="E16" s="42" t="s">
        <v>527</v>
      </c>
      <c r="F16" s="22" t="str">
        <f>HYPERLINK("https://mapwv.gov/flood/map/?wkid=102100&amp;x=-8968443.629005508&amp;y=4955366.0684365425&amp;l=13&amp;v=2","FT")</f>
        <v>FT</v>
      </c>
      <c r="G16" s="27" t="s">
        <v>50</v>
      </c>
      <c r="H16" s="27" t="s">
        <v>24</v>
      </c>
      <c r="I16" s="42" t="s">
        <v>561</v>
      </c>
      <c r="J16" s="48" t="s">
        <v>37</v>
      </c>
      <c r="K16" s="43" t="s">
        <v>86</v>
      </c>
      <c r="L16" s="43" t="s">
        <v>26</v>
      </c>
      <c r="M16" s="42" t="s">
        <v>58</v>
      </c>
      <c r="N16" s="3" t="s">
        <v>76</v>
      </c>
      <c r="O16" s="43" t="s">
        <v>79</v>
      </c>
      <c r="P16" s="42" t="s">
        <v>590</v>
      </c>
      <c r="Q16" s="42" t="s">
        <v>29</v>
      </c>
      <c r="R16" s="27" t="s">
        <v>81</v>
      </c>
      <c r="S16" s="28">
        <v>650000</v>
      </c>
      <c r="T16" s="42" t="s">
        <v>55</v>
      </c>
      <c r="U16" s="25">
        <v>0</v>
      </c>
      <c r="V16" s="25">
        <v>-1</v>
      </c>
      <c r="W16" s="30">
        <v>0</v>
      </c>
      <c r="X16" s="31">
        <v>0</v>
      </c>
    </row>
    <row r="17" spans="1:24" x14ac:dyDescent="0.3">
      <c r="A17" s="47" t="s">
        <v>477</v>
      </c>
      <c r="B17" s="42" t="s">
        <v>547</v>
      </c>
      <c r="C17" s="42" t="s">
        <v>200</v>
      </c>
      <c r="D17" s="42" t="s">
        <v>503</v>
      </c>
      <c r="E17" s="42" t="s">
        <v>528</v>
      </c>
      <c r="F17" s="22" t="str">
        <f>HYPERLINK("https://mapwv.gov/flood/map/?wkid=102100&amp;x=-8973895.752983116&amp;y=4939741.922222906&amp;l=13&amp;v=2","FT")</f>
        <v>FT</v>
      </c>
      <c r="G17" s="27" t="s">
        <v>31</v>
      </c>
      <c r="H17" s="27" t="s">
        <v>24</v>
      </c>
      <c r="I17" s="42" t="s">
        <v>562</v>
      </c>
      <c r="J17" s="48" t="s">
        <v>25</v>
      </c>
      <c r="K17" s="43" t="s">
        <v>85</v>
      </c>
      <c r="L17" s="43" t="s">
        <v>46</v>
      </c>
      <c r="M17" s="42" t="s">
        <v>44</v>
      </c>
      <c r="N17" s="3" t="s">
        <v>34</v>
      </c>
      <c r="O17" s="43" t="s">
        <v>79</v>
      </c>
      <c r="P17" s="42" t="s">
        <v>591</v>
      </c>
      <c r="Q17" s="42" t="s">
        <v>29</v>
      </c>
      <c r="R17" s="27" t="s">
        <v>81</v>
      </c>
      <c r="S17" s="28">
        <v>636800</v>
      </c>
      <c r="T17" s="42" t="s">
        <v>41</v>
      </c>
      <c r="U17" s="25">
        <v>0.92669679999999999</v>
      </c>
      <c r="V17" s="25">
        <v>-7.330322265625E-2</v>
      </c>
      <c r="W17" s="30">
        <v>9.2669677734375008E-3</v>
      </c>
      <c r="X17" s="31">
        <v>5901.205078125</v>
      </c>
    </row>
    <row r="18" spans="1:24" x14ac:dyDescent="0.3">
      <c r="A18" s="47" t="s">
        <v>478</v>
      </c>
      <c r="B18" s="42" t="s">
        <v>547</v>
      </c>
      <c r="C18" s="42" t="s">
        <v>200</v>
      </c>
      <c r="D18" s="42" t="s">
        <v>504</v>
      </c>
      <c r="E18" s="42" t="s">
        <v>529</v>
      </c>
      <c r="F18" s="22" t="str">
        <f>HYPERLINK("https://mapwv.gov/flood/map/?wkid=102100&amp;x=-8972512.741782082&amp;y=4937265.598933554&amp;l=13&amp;v=2","FT")</f>
        <v>FT</v>
      </c>
      <c r="G18" s="27" t="s">
        <v>31</v>
      </c>
      <c r="H18" s="27" t="s">
        <v>24</v>
      </c>
      <c r="I18" s="42" t="s">
        <v>563</v>
      </c>
      <c r="J18" s="48" t="s">
        <v>37</v>
      </c>
      <c r="K18" s="43" t="s">
        <v>578</v>
      </c>
      <c r="L18" s="43" t="s">
        <v>52</v>
      </c>
      <c r="M18" s="42" t="s">
        <v>57</v>
      </c>
      <c r="N18" s="3" t="s">
        <v>34</v>
      </c>
      <c r="O18" s="43" t="s">
        <v>79</v>
      </c>
      <c r="P18" s="42" t="s">
        <v>592</v>
      </c>
      <c r="Q18" s="42" t="s">
        <v>29</v>
      </c>
      <c r="R18" s="27" t="s">
        <v>81</v>
      </c>
      <c r="S18" s="28">
        <v>482300</v>
      </c>
      <c r="T18" s="42" t="s">
        <v>41</v>
      </c>
      <c r="U18" s="25">
        <v>5.7957764000000003</v>
      </c>
      <c r="V18" s="25">
        <v>4.7957763671875</v>
      </c>
      <c r="W18" s="30">
        <v>0.153873291015625</v>
      </c>
      <c r="X18" s="31">
        <v>74213.088256835894</v>
      </c>
    </row>
    <row r="19" spans="1:24" x14ac:dyDescent="0.3">
      <c r="A19" s="47" t="s">
        <v>479</v>
      </c>
      <c r="B19" s="42" t="s">
        <v>547</v>
      </c>
      <c r="C19" s="42" t="s">
        <v>200</v>
      </c>
      <c r="D19" s="42" t="s">
        <v>505</v>
      </c>
      <c r="E19" s="42" t="s">
        <v>530</v>
      </c>
      <c r="F19" s="22" t="str">
        <f>HYPERLINK("https://mapwv.gov/flood/map/?wkid=102100&amp;x=-8973971.008632438&amp;y=4939860.291321261&amp;l=13&amp;v=2","FT")</f>
        <v>FT</v>
      </c>
      <c r="G19" s="27" t="s">
        <v>31</v>
      </c>
      <c r="H19" s="27" t="s">
        <v>24</v>
      </c>
      <c r="I19" s="42" t="s">
        <v>564</v>
      </c>
      <c r="J19" s="48" t="s">
        <v>25</v>
      </c>
      <c r="K19" s="43" t="s">
        <v>579</v>
      </c>
      <c r="L19" s="43" t="s">
        <v>26</v>
      </c>
      <c r="M19" s="42" t="s">
        <v>44</v>
      </c>
      <c r="N19" s="3" t="s">
        <v>34</v>
      </c>
      <c r="O19" s="43" t="s">
        <v>79</v>
      </c>
      <c r="P19" s="42" t="s">
        <v>593</v>
      </c>
      <c r="Q19" s="42" t="s">
        <v>29</v>
      </c>
      <c r="R19" s="27" t="s">
        <v>81</v>
      </c>
      <c r="S19" s="28">
        <v>458600</v>
      </c>
      <c r="T19" s="42" t="s">
        <v>41</v>
      </c>
      <c r="U19" s="25">
        <v>0.15240479000000001</v>
      </c>
      <c r="V19" s="25">
        <v>-0.84759521484375</v>
      </c>
      <c r="W19" s="30">
        <v>1.5240478515624999E-3</v>
      </c>
      <c r="X19" s="31">
        <v>698.92834472656205</v>
      </c>
    </row>
    <row r="20" spans="1:24" x14ac:dyDescent="0.3">
      <c r="A20" s="47" t="s">
        <v>480</v>
      </c>
      <c r="B20" s="42" t="s">
        <v>546</v>
      </c>
      <c r="C20" s="42" t="s">
        <v>200</v>
      </c>
      <c r="D20" s="42" t="s">
        <v>506</v>
      </c>
      <c r="E20" s="42" t="s">
        <v>531</v>
      </c>
      <c r="F20" s="22" t="str">
        <f>HYPERLINK("https://mapwv.gov/flood/map/?wkid=102100&amp;x=-8975016.802149042&amp;y=4955225.779548819&amp;l=13&amp;v=2","FT")</f>
        <v>FT</v>
      </c>
      <c r="G20" s="27" t="s">
        <v>31</v>
      </c>
      <c r="H20" s="27" t="s">
        <v>24</v>
      </c>
      <c r="I20" s="42" t="s">
        <v>565</v>
      </c>
      <c r="J20" s="48" t="s">
        <v>25</v>
      </c>
      <c r="K20" s="43" t="s">
        <v>394</v>
      </c>
      <c r="L20" s="43" t="s">
        <v>26</v>
      </c>
      <c r="M20" s="42" t="s">
        <v>51</v>
      </c>
      <c r="N20" s="3" t="s">
        <v>34</v>
      </c>
      <c r="O20" s="43" t="s">
        <v>79</v>
      </c>
      <c r="P20" s="42" t="s">
        <v>594</v>
      </c>
      <c r="Q20" s="42" t="s">
        <v>29</v>
      </c>
      <c r="R20" s="27" t="s">
        <v>81</v>
      </c>
      <c r="S20" s="28">
        <v>408500</v>
      </c>
      <c r="T20" s="42" t="s">
        <v>41</v>
      </c>
      <c r="U20" s="25">
        <v>5.6544800000000004</v>
      </c>
      <c r="V20" s="25">
        <v>4.65447998046875</v>
      </c>
      <c r="W20" s="30">
        <v>0.32581359863281201</v>
      </c>
      <c r="X20" s="31">
        <v>133094.855041503</v>
      </c>
    </row>
    <row r="21" spans="1:24" x14ac:dyDescent="0.3">
      <c r="A21" s="47" t="s">
        <v>481</v>
      </c>
      <c r="B21" s="42" t="s">
        <v>548</v>
      </c>
      <c r="C21" s="42" t="s">
        <v>550</v>
      </c>
      <c r="D21" s="42" t="s">
        <v>507</v>
      </c>
      <c r="E21" s="42" t="s">
        <v>532</v>
      </c>
      <c r="F21" s="22" t="str">
        <f>HYPERLINK("https://mapwv.gov/flood/map/?wkid=102100&amp;x=-8969375.478340369&amp;y=4955053.606648697&amp;l=13&amp;v=2","FT")</f>
        <v>FT</v>
      </c>
      <c r="G21" s="27" t="s">
        <v>31</v>
      </c>
      <c r="H21" s="27" t="s">
        <v>24</v>
      </c>
      <c r="I21" s="42" t="s">
        <v>566</v>
      </c>
      <c r="J21" s="48" t="s">
        <v>25</v>
      </c>
      <c r="K21" s="43" t="s">
        <v>72</v>
      </c>
      <c r="L21" s="43" t="s">
        <v>47</v>
      </c>
      <c r="M21" s="42" t="s">
        <v>38</v>
      </c>
      <c r="N21" s="3" t="s">
        <v>39</v>
      </c>
      <c r="O21" s="43" t="s">
        <v>80</v>
      </c>
      <c r="P21" s="42" t="s">
        <v>595</v>
      </c>
      <c r="Q21" s="42" t="s">
        <v>40</v>
      </c>
      <c r="R21" s="27" t="s">
        <v>82</v>
      </c>
      <c r="S21" s="28">
        <v>386900</v>
      </c>
      <c r="T21" s="42" t="s">
        <v>41</v>
      </c>
      <c r="U21" s="25">
        <v>0</v>
      </c>
      <c r="V21" s="25">
        <v>-4</v>
      </c>
      <c r="W21" s="30">
        <v>0</v>
      </c>
      <c r="X21" s="31">
        <v>0</v>
      </c>
    </row>
    <row r="22" spans="1:24" x14ac:dyDescent="0.3">
      <c r="A22" s="47" t="s">
        <v>482</v>
      </c>
      <c r="B22" s="42" t="s">
        <v>548</v>
      </c>
      <c r="C22" s="42" t="s">
        <v>549</v>
      </c>
      <c r="D22" s="42" t="s">
        <v>508</v>
      </c>
      <c r="E22" s="42" t="s">
        <v>533</v>
      </c>
      <c r="F22" s="22" t="str">
        <f>HYPERLINK("https://mapwv.gov/flood/map/?wkid=102100&amp;x=-8968331.090232333&amp;y=4955388.15922749&amp;l=13&amp;v=2","FT")</f>
        <v>FT</v>
      </c>
      <c r="G22" s="27" t="s">
        <v>31</v>
      </c>
      <c r="H22" s="27" t="s">
        <v>24</v>
      </c>
      <c r="I22" s="42" t="s">
        <v>567</v>
      </c>
      <c r="J22" s="48" t="s">
        <v>37</v>
      </c>
      <c r="K22" s="43" t="s">
        <v>103</v>
      </c>
      <c r="L22" s="43" t="s">
        <v>26</v>
      </c>
      <c r="M22" s="42" t="s">
        <v>53</v>
      </c>
      <c r="N22" s="3" t="s">
        <v>77</v>
      </c>
      <c r="O22" s="43" t="s">
        <v>79</v>
      </c>
      <c r="P22" s="42" t="s">
        <v>596</v>
      </c>
      <c r="Q22" s="42" t="s">
        <v>29</v>
      </c>
      <c r="R22" s="27" t="s">
        <v>81</v>
      </c>
      <c r="S22" s="28">
        <v>348300</v>
      </c>
      <c r="T22" s="42" t="s">
        <v>41</v>
      </c>
      <c r="U22" s="25">
        <v>0</v>
      </c>
      <c r="V22" s="25">
        <v>-1</v>
      </c>
      <c r="W22" s="30">
        <v>0</v>
      </c>
      <c r="X22" s="31">
        <v>0</v>
      </c>
    </row>
    <row r="23" spans="1:24" x14ac:dyDescent="0.3">
      <c r="A23" s="47" t="s">
        <v>483</v>
      </c>
      <c r="B23" s="42" t="s">
        <v>547</v>
      </c>
      <c r="C23" s="42" t="s">
        <v>200</v>
      </c>
      <c r="D23" s="42" t="s">
        <v>509</v>
      </c>
      <c r="E23" s="42" t="s">
        <v>534</v>
      </c>
      <c r="F23" s="22" t="str">
        <f>HYPERLINK("https://mapwv.gov/flood/map/?wkid=102100&amp;x=-8973773.790903723&amp;y=4939348.543839616&amp;l=13&amp;v=2","FT")</f>
        <v>FT</v>
      </c>
      <c r="G23" s="27" t="s">
        <v>31</v>
      </c>
      <c r="H23" s="27" t="s">
        <v>24</v>
      </c>
      <c r="I23" s="42" t="s">
        <v>568</v>
      </c>
      <c r="J23" s="48" t="s">
        <v>25</v>
      </c>
      <c r="K23" s="43" t="s">
        <v>89</v>
      </c>
      <c r="L23" s="43" t="s">
        <v>26</v>
      </c>
      <c r="M23" s="42" t="s">
        <v>44</v>
      </c>
      <c r="N23" s="3" t="s">
        <v>34</v>
      </c>
      <c r="O23" s="43" t="s">
        <v>79</v>
      </c>
      <c r="P23" s="42" t="s">
        <v>597</v>
      </c>
      <c r="Q23" s="42" t="s">
        <v>29</v>
      </c>
      <c r="R23" s="27" t="s">
        <v>81</v>
      </c>
      <c r="S23" s="28">
        <v>346100</v>
      </c>
      <c r="T23" s="42" t="s">
        <v>41</v>
      </c>
      <c r="U23" s="25">
        <v>3.4545897999999999</v>
      </c>
      <c r="V23" s="25">
        <v>2.45458984375</v>
      </c>
      <c r="W23" s="30">
        <v>0.14909179687499902</v>
      </c>
      <c r="X23" s="31">
        <v>51600.670898437398</v>
      </c>
    </row>
    <row r="24" spans="1:24" x14ac:dyDescent="0.3">
      <c r="A24" s="47" t="s">
        <v>484</v>
      </c>
      <c r="B24" s="42" t="s">
        <v>546</v>
      </c>
      <c r="C24" s="42" t="s">
        <v>200</v>
      </c>
      <c r="D24" s="42" t="s">
        <v>510</v>
      </c>
      <c r="E24" s="42" t="s">
        <v>535</v>
      </c>
      <c r="F24" s="22" t="str">
        <f>HYPERLINK("https://mapwv.gov/flood/map/?wkid=102100&amp;x=-8975050.538188644&amp;y=4955371.122720656&amp;l=13&amp;v=2","FT")</f>
        <v>FT</v>
      </c>
      <c r="G24" s="27" t="s">
        <v>31</v>
      </c>
      <c r="H24" s="27" t="s">
        <v>24</v>
      </c>
      <c r="I24" s="42" t="s">
        <v>558</v>
      </c>
      <c r="J24" s="48" t="s">
        <v>37</v>
      </c>
      <c r="K24" s="43" t="s">
        <v>73</v>
      </c>
      <c r="L24" s="43" t="s">
        <v>26</v>
      </c>
      <c r="M24" s="42" t="s">
        <v>57</v>
      </c>
      <c r="N24" s="3" t="s">
        <v>34</v>
      </c>
      <c r="O24" s="43" t="s">
        <v>79</v>
      </c>
      <c r="P24" s="42" t="s">
        <v>598</v>
      </c>
      <c r="Q24" s="42" t="s">
        <v>29</v>
      </c>
      <c r="R24" s="27" t="s">
        <v>81</v>
      </c>
      <c r="S24" s="28">
        <v>337400</v>
      </c>
      <c r="T24" s="42" t="s">
        <v>41</v>
      </c>
      <c r="U24" s="25">
        <v>1.4502562999999999</v>
      </c>
      <c r="V24" s="25">
        <v>0.45025634765625</v>
      </c>
      <c r="W24" s="30">
        <v>2.2512817382812501E-2</v>
      </c>
      <c r="X24" s="31">
        <v>7595.8245849609302</v>
      </c>
    </row>
    <row r="25" spans="1:24" x14ac:dyDescent="0.3">
      <c r="A25" s="47" t="s">
        <v>485</v>
      </c>
      <c r="B25" s="42" t="s">
        <v>547</v>
      </c>
      <c r="C25" s="42" t="s">
        <v>200</v>
      </c>
      <c r="D25" s="42" t="s">
        <v>511</v>
      </c>
      <c r="E25" s="42" t="s">
        <v>536</v>
      </c>
      <c r="F25" s="22" t="str">
        <f>HYPERLINK("https://mapwv.gov/flood/map/?wkid=102100&amp;x=-8972618.269765047&amp;y=4937409.162626304&amp;l=13&amp;v=2","FT")</f>
        <v>FT</v>
      </c>
      <c r="G25" s="27" t="s">
        <v>31</v>
      </c>
      <c r="H25" s="27" t="s">
        <v>24</v>
      </c>
      <c r="I25" s="42" t="s">
        <v>563</v>
      </c>
      <c r="J25" s="48" t="s">
        <v>25</v>
      </c>
      <c r="K25" s="43" t="s">
        <v>74</v>
      </c>
      <c r="L25" s="43" t="s">
        <v>52</v>
      </c>
      <c r="M25" s="42" t="s">
        <v>57</v>
      </c>
      <c r="N25" s="3" t="s">
        <v>34</v>
      </c>
      <c r="O25" s="43" t="s">
        <v>79</v>
      </c>
      <c r="P25" s="42" t="s">
        <v>599</v>
      </c>
      <c r="Q25" s="42" t="s">
        <v>29</v>
      </c>
      <c r="R25" s="27" t="s">
        <v>81</v>
      </c>
      <c r="S25" s="28">
        <v>316600</v>
      </c>
      <c r="T25" s="42" t="s">
        <v>41</v>
      </c>
      <c r="U25" s="25">
        <v>4.9427490000000001</v>
      </c>
      <c r="V25" s="25">
        <v>3.9427490234375</v>
      </c>
      <c r="W25" s="30">
        <v>0.12885498046874999</v>
      </c>
      <c r="X25" s="31">
        <v>40795.486816406199</v>
      </c>
    </row>
    <row r="26" spans="1:24" x14ac:dyDescent="0.3">
      <c r="A26" s="47" t="s">
        <v>486</v>
      </c>
      <c r="B26" s="42" t="s">
        <v>193</v>
      </c>
      <c r="C26" s="42" t="s">
        <v>551</v>
      </c>
      <c r="D26" s="42" t="s">
        <v>512</v>
      </c>
      <c r="E26" s="42" t="s">
        <v>537</v>
      </c>
      <c r="F26" s="22" t="str">
        <f>HYPERLINK("https://mapwv.gov/flood/map/?wkid=102100&amp;x=-8966159.330011295&amp;y=4928087.526584314&amp;l=13&amp;v=2","FT")</f>
        <v>FT</v>
      </c>
      <c r="G26" s="27" t="s">
        <v>31</v>
      </c>
      <c r="H26" s="27" t="s">
        <v>24</v>
      </c>
      <c r="I26" s="42" t="s">
        <v>569</v>
      </c>
      <c r="J26" s="48" t="s">
        <v>37</v>
      </c>
      <c r="K26" s="43" t="s">
        <v>124</v>
      </c>
      <c r="L26" s="43" t="s">
        <v>47</v>
      </c>
      <c r="M26" s="42" t="s">
        <v>38</v>
      </c>
      <c r="N26" s="3" t="s">
        <v>39</v>
      </c>
      <c r="O26" s="43" t="s">
        <v>79</v>
      </c>
      <c r="P26" s="42" t="s">
        <v>600</v>
      </c>
      <c r="Q26" s="42" t="s">
        <v>40</v>
      </c>
      <c r="R26" s="27" t="s">
        <v>82</v>
      </c>
      <c r="S26" s="28">
        <v>314500</v>
      </c>
      <c r="T26" s="42" t="s">
        <v>41</v>
      </c>
      <c r="U26" s="25">
        <v>0</v>
      </c>
      <c r="V26" s="25">
        <v>-4</v>
      </c>
      <c r="W26" s="30">
        <v>0</v>
      </c>
      <c r="X26" s="31">
        <v>0</v>
      </c>
    </row>
    <row r="27" spans="1:24" x14ac:dyDescent="0.3">
      <c r="A27" s="47" t="s">
        <v>487</v>
      </c>
      <c r="B27" s="42" t="s">
        <v>193</v>
      </c>
      <c r="C27" s="42" t="s">
        <v>551</v>
      </c>
      <c r="D27" s="42" t="s">
        <v>513</v>
      </c>
      <c r="E27" s="42" t="s">
        <v>538</v>
      </c>
      <c r="F27" s="22" t="str">
        <f>HYPERLINK("https://mapwv.gov/flood/map/?wkid=102100&amp;x=-8964836.414080769&amp;y=4928208.383986294&amp;l=13&amp;v=2","FT")</f>
        <v>FT</v>
      </c>
      <c r="G27" s="27" t="s">
        <v>31</v>
      </c>
      <c r="H27" s="27" t="s">
        <v>24</v>
      </c>
      <c r="I27" s="42" t="s">
        <v>570</v>
      </c>
      <c r="J27" s="48" t="s">
        <v>37</v>
      </c>
      <c r="K27" s="43" t="s">
        <v>108</v>
      </c>
      <c r="L27" s="43" t="s">
        <v>26</v>
      </c>
      <c r="M27" s="42" t="s">
        <v>110</v>
      </c>
      <c r="N27" s="3" t="s">
        <v>39</v>
      </c>
      <c r="O27" s="43" t="s">
        <v>80</v>
      </c>
      <c r="P27" s="42" t="s">
        <v>601</v>
      </c>
      <c r="Q27" s="42" t="s">
        <v>40</v>
      </c>
      <c r="R27" s="27" t="s">
        <v>82</v>
      </c>
      <c r="S27" s="28">
        <v>276300</v>
      </c>
      <c r="T27" s="42" t="s">
        <v>30</v>
      </c>
      <c r="U27" s="25">
        <v>0</v>
      </c>
      <c r="V27" s="25">
        <v>-4</v>
      </c>
      <c r="W27" s="30">
        <v>0</v>
      </c>
      <c r="X27" s="31">
        <v>0</v>
      </c>
    </row>
    <row r="28" spans="1:24" x14ac:dyDescent="0.3">
      <c r="A28" s="47" t="s">
        <v>488</v>
      </c>
      <c r="B28" s="42" t="s">
        <v>193</v>
      </c>
      <c r="C28" s="42" t="s">
        <v>551</v>
      </c>
      <c r="D28" s="42" t="s">
        <v>513</v>
      </c>
      <c r="E28" s="42" t="s">
        <v>539</v>
      </c>
      <c r="F28" s="22" t="str">
        <f>HYPERLINK("https://mapwv.gov/flood/map/?wkid=102100&amp;x=-8964886.404992417&amp;y=4928209.69674789&amp;l=13&amp;v=2","FT")</f>
        <v>FT</v>
      </c>
      <c r="G28" s="27" t="s">
        <v>31</v>
      </c>
      <c r="H28" s="27" t="s">
        <v>24</v>
      </c>
      <c r="I28" s="42" t="s">
        <v>570</v>
      </c>
      <c r="J28" s="48" t="s">
        <v>37</v>
      </c>
      <c r="K28" s="43" t="s">
        <v>108</v>
      </c>
      <c r="L28" s="43" t="s">
        <v>26</v>
      </c>
      <c r="M28" s="42" t="s">
        <v>110</v>
      </c>
      <c r="N28" s="3" t="s">
        <v>39</v>
      </c>
      <c r="O28" s="43" t="s">
        <v>80</v>
      </c>
      <c r="P28" s="42" t="s">
        <v>601</v>
      </c>
      <c r="Q28" s="42" t="s">
        <v>40</v>
      </c>
      <c r="R28" s="27" t="s">
        <v>82</v>
      </c>
      <c r="S28" s="28">
        <v>275900</v>
      </c>
      <c r="T28" s="42" t="s">
        <v>30</v>
      </c>
      <c r="U28" s="25">
        <v>0</v>
      </c>
      <c r="V28" s="25">
        <v>-4</v>
      </c>
      <c r="W28" s="30">
        <v>0</v>
      </c>
      <c r="X28" s="31">
        <v>0</v>
      </c>
    </row>
    <row r="29" spans="1:24" x14ac:dyDescent="0.3">
      <c r="A29" s="47" t="s">
        <v>489</v>
      </c>
      <c r="B29" s="42" t="s">
        <v>193</v>
      </c>
      <c r="C29" s="42" t="s">
        <v>551</v>
      </c>
      <c r="D29" s="42" t="s">
        <v>514</v>
      </c>
      <c r="E29" s="42" t="s">
        <v>540</v>
      </c>
      <c r="F29" s="22" t="str">
        <f>HYPERLINK("https://mapwv.gov/flood/map/?wkid=102100&amp;x=-8968226.522046018&amp;y=4929855.373813403&amp;l=13&amp;v=2","FT")</f>
        <v>FT</v>
      </c>
      <c r="G29" s="27" t="s">
        <v>31</v>
      </c>
      <c r="H29" s="27" t="s">
        <v>105</v>
      </c>
      <c r="I29" s="42" t="s">
        <v>571</v>
      </c>
      <c r="J29" s="48" t="s">
        <v>37</v>
      </c>
      <c r="K29" s="43" t="s">
        <v>580</v>
      </c>
      <c r="L29" s="43" t="s">
        <v>26</v>
      </c>
      <c r="M29" s="42" t="s">
        <v>53</v>
      </c>
      <c r="N29" s="3" t="s">
        <v>77</v>
      </c>
      <c r="O29" s="43" t="s">
        <v>79</v>
      </c>
      <c r="P29" s="42" t="s">
        <v>602</v>
      </c>
      <c r="Q29" s="42" t="s">
        <v>29</v>
      </c>
      <c r="R29" s="27" t="s">
        <v>81</v>
      </c>
      <c r="S29" s="28">
        <v>266700</v>
      </c>
      <c r="T29" s="42" t="s">
        <v>41</v>
      </c>
      <c r="U29" s="25">
        <v>1.5845336999999999</v>
      </c>
      <c r="V29" s="25">
        <v>0.58453369140625</v>
      </c>
      <c r="W29" s="30">
        <v>5.8453369140625003E-2</v>
      </c>
      <c r="X29" s="31">
        <v>15589.5135498046</v>
      </c>
    </row>
    <row r="30" spans="1:24" x14ac:dyDescent="0.3">
      <c r="A30" s="47" t="s">
        <v>490</v>
      </c>
      <c r="B30" s="42" t="s">
        <v>546</v>
      </c>
      <c r="C30" s="42" t="s">
        <v>552</v>
      </c>
      <c r="D30" s="42" t="s">
        <v>515</v>
      </c>
      <c r="E30" s="42" t="s">
        <v>541</v>
      </c>
      <c r="F30" s="22" t="str">
        <f>HYPERLINK("https://mapwv.gov/flood/map/?wkid=102100&amp;x=-8971683.908728518&amp;y=4938405.779348068&amp;l=13&amp;v=2","FT")</f>
        <v>FT</v>
      </c>
      <c r="G30" s="27" t="s">
        <v>553</v>
      </c>
      <c r="H30" s="27" t="s">
        <v>24</v>
      </c>
      <c r="I30" s="42" t="s">
        <v>572</v>
      </c>
      <c r="J30" s="48" t="s">
        <v>92</v>
      </c>
      <c r="K30" s="43" t="s">
        <v>99</v>
      </c>
      <c r="L30" s="43" t="s">
        <v>52</v>
      </c>
      <c r="M30" s="42" t="s">
        <v>38</v>
      </c>
      <c r="N30" s="3" t="s">
        <v>39</v>
      </c>
      <c r="O30" s="43" t="s">
        <v>79</v>
      </c>
      <c r="P30" s="42" t="s">
        <v>128</v>
      </c>
      <c r="Q30" s="42" t="s">
        <v>40</v>
      </c>
      <c r="R30" s="27" t="s">
        <v>82</v>
      </c>
      <c r="S30" s="28">
        <v>242100</v>
      </c>
      <c r="T30" s="42" t="s">
        <v>41</v>
      </c>
      <c r="U30" s="25">
        <v>1.3275071000000001</v>
      </c>
      <c r="V30" s="25">
        <v>-2.6724928617477399</v>
      </c>
      <c r="W30" s="30">
        <v>4.5850999355316099E-2</v>
      </c>
      <c r="X30" s="31">
        <v>11100.526943921999</v>
      </c>
    </row>
    <row r="31" spans="1:24" x14ac:dyDescent="0.3">
      <c r="A31" s="47" t="s">
        <v>491</v>
      </c>
      <c r="B31" s="42" t="s">
        <v>547</v>
      </c>
      <c r="C31" s="42" t="s">
        <v>200</v>
      </c>
      <c r="D31" s="42" t="s">
        <v>516</v>
      </c>
      <c r="E31" s="42" t="s">
        <v>542</v>
      </c>
      <c r="F31" s="22" t="str">
        <f>HYPERLINK("https://mapwv.gov/flood/map/?wkid=102100&amp;x=-8973577.248327728&amp;y=4938895.817922067&amp;l=13&amp;v=2","FT")</f>
        <v>FT</v>
      </c>
      <c r="G31" s="27" t="s">
        <v>31</v>
      </c>
      <c r="H31" s="27" t="s">
        <v>24</v>
      </c>
      <c r="I31" s="42" t="s">
        <v>573</v>
      </c>
      <c r="J31" s="48" t="s">
        <v>37</v>
      </c>
      <c r="K31" s="43" t="s">
        <v>86</v>
      </c>
      <c r="L31" s="43" t="s">
        <v>26</v>
      </c>
      <c r="M31" s="42" t="s">
        <v>58</v>
      </c>
      <c r="N31" s="3" t="s">
        <v>76</v>
      </c>
      <c r="O31" s="43" t="s">
        <v>79</v>
      </c>
      <c r="P31" s="42" t="s">
        <v>603</v>
      </c>
      <c r="Q31" s="42" t="s">
        <v>29</v>
      </c>
      <c r="R31" s="27" t="s">
        <v>81</v>
      </c>
      <c r="S31" s="28">
        <v>230100</v>
      </c>
      <c r="T31" s="42" t="s">
        <v>41</v>
      </c>
      <c r="U31" s="25">
        <v>7.5032350000000001</v>
      </c>
      <c r="V31" s="25">
        <v>6.50323486328125</v>
      </c>
      <c r="W31" s="30">
        <v>0.18509704589843701</v>
      </c>
      <c r="X31" s="31">
        <v>42590.830261230403</v>
      </c>
    </row>
    <row r="32" spans="1:24" x14ac:dyDescent="0.3">
      <c r="A32" s="47" t="s">
        <v>492</v>
      </c>
      <c r="B32" s="42" t="s">
        <v>193</v>
      </c>
      <c r="C32" s="42" t="s">
        <v>199</v>
      </c>
      <c r="D32" s="42" t="s">
        <v>517</v>
      </c>
      <c r="E32" s="42" t="s">
        <v>543</v>
      </c>
      <c r="F32" s="22" t="str">
        <f>HYPERLINK("https://mapwv.gov/flood/map/?wkid=102100&amp;x=-8971032.519388555&amp;y=4924306.063233164&amp;l=13&amp;v=2","FT")</f>
        <v>FT</v>
      </c>
      <c r="G32" s="27" t="s">
        <v>31</v>
      </c>
      <c r="H32" s="27" t="s">
        <v>24</v>
      </c>
      <c r="I32" s="42" t="s">
        <v>574</v>
      </c>
      <c r="J32" s="48" t="s">
        <v>37</v>
      </c>
      <c r="K32" s="43" t="s">
        <v>90</v>
      </c>
      <c r="L32" s="43" t="s">
        <v>26</v>
      </c>
      <c r="M32" s="42" t="s">
        <v>58</v>
      </c>
      <c r="N32" s="3" t="s">
        <v>76</v>
      </c>
      <c r="O32" s="43" t="s">
        <v>80</v>
      </c>
      <c r="P32" s="42" t="s">
        <v>604</v>
      </c>
      <c r="Q32" s="42" t="s">
        <v>29</v>
      </c>
      <c r="R32" s="27" t="s">
        <v>81</v>
      </c>
      <c r="S32" s="28">
        <v>216600</v>
      </c>
      <c r="T32" s="42" t="s">
        <v>41</v>
      </c>
      <c r="U32" s="25">
        <v>0</v>
      </c>
      <c r="V32" s="25">
        <v>-1</v>
      </c>
      <c r="W32" s="30">
        <v>0</v>
      </c>
      <c r="X32" s="31">
        <v>0</v>
      </c>
    </row>
    <row r="33" spans="1:24" x14ac:dyDescent="0.3">
      <c r="A33" s="47" t="s">
        <v>493</v>
      </c>
      <c r="B33" s="42" t="s">
        <v>547</v>
      </c>
      <c r="C33" s="42" t="s">
        <v>200</v>
      </c>
      <c r="D33" s="42" t="s">
        <v>518</v>
      </c>
      <c r="E33" s="42" t="s">
        <v>544</v>
      </c>
      <c r="F33" s="22" t="str">
        <f>HYPERLINK("https://mapwv.gov/flood/map/?wkid=102100&amp;x=-8973477.230325598&amp;y=4938837.662449761&amp;l=13&amp;v=2","FT")</f>
        <v>FT</v>
      </c>
      <c r="G33" s="27" t="s">
        <v>31</v>
      </c>
      <c r="H33" s="27" t="s">
        <v>24</v>
      </c>
      <c r="I33" s="42" t="s">
        <v>575</v>
      </c>
      <c r="J33" s="48" t="s">
        <v>37</v>
      </c>
      <c r="K33" s="43" t="s">
        <v>581</v>
      </c>
      <c r="L33" s="43" t="s">
        <v>26</v>
      </c>
      <c r="M33" s="42" t="s">
        <v>53</v>
      </c>
      <c r="N33" s="3" t="s">
        <v>77</v>
      </c>
      <c r="O33" s="43" t="s">
        <v>80</v>
      </c>
      <c r="P33" s="42" t="s">
        <v>605</v>
      </c>
      <c r="Q33" s="42" t="s">
        <v>29</v>
      </c>
      <c r="R33" s="27" t="s">
        <v>81</v>
      </c>
      <c r="S33" s="28">
        <v>205400</v>
      </c>
      <c r="T33" s="42" t="s">
        <v>41</v>
      </c>
      <c r="U33" s="25">
        <v>5.4161986999999998</v>
      </c>
      <c r="V33" s="25">
        <v>4.41619873046875</v>
      </c>
      <c r="W33" s="30">
        <v>0.12</v>
      </c>
      <c r="X33" s="31">
        <v>24648</v>
      </c>
    </row>
    <row r="34" spans="1:24" x14ac:dyDescent="0.3">
      <c r="A34" s="47" t="s">
        <v>494</v>
      </c>
      <c r="B34" s="42" t="s">
        <v>193</v>
      </c>
      <c r="C34" s="42" t="s">
        <v>551</v>
      </c>
      <c r="D34" s="42" t="s">
        <v>519</v>
      </c>
      <c r="E34" s="42" t="s">
        <v>545</v>
      </c>
      <c r="F34" s="22" t="str">
        <f>HYPERLINK("https://mapwv.gov/flood/map/?wkid=102100&amp;x=-8965787.378864625&amp;y=4928003.471317355&amp;l=13&amp;v=2","FT")</f>
        <v>FT</v>
      </c>
      <c r="G34" s="27" t="s">
        <v>31</v>
      </c>
      <c r="H34" s="27" t="s">
        <v>105</v>
      </c>
      <c r="I34" s="42" t="s">
        <v>576</v>
      </c>
      <c r="J34" s="48" t="s">
        <v>37</v>
      </c>
      <c r="K34" s="43" t="s">
        <v>388</v>
      </c>
      <c r="L34" s="43" t="s">
        <v>43</v>
      </c>
      <c r="M34" s="42" t="s">
        <v>38</v>
      </c>
      <c r="N34" s="3" t="s">
        <v>39</v>
      </c>
      <c r="O34" s="43" t="s">
        <v>80</v>
      </c>
      <c r="P34" s="42" t="s">
        <v>606</v>
      </c>
      <c r="Q34" s="42" t="s">
        <v>40</v>
      </c>
      <c r="R34" s="27" t="s">
        <v>82</v>
      </c>
      <c r="S34" s="28">
        <v>200100</v>
      </c>
      <c r="T34" s="42" t="s">
        <v>41</v>
      </c>
      <c r="U34" s="25">
        <v>0</v>
      </c>
      <c r="V34" s="25">
        <v>-4</v>
      </c>
      <c r="W34" s="30">
        <v>0</v>
      </c>
      <c r="X34" s="31">
        <v>0</v>
      </c>
    </row>
  </sheetData>
  <conditionalFormatting sqref="A9:A34">
    <cfRule type="duplicateValues" dxfId="1" priority="2"/>
  </conditionalFormatting>
  <conditionalFormatting sqref="A7:A8">
    <cfRule type="duplicateValues" dxfId="0" priority="1"/>
  </conditionalFormatting>
  <hyperlinks>
    <hyperlink ref="J3" r:id="rId1" xr:uid="{3AA1BB0C-83FF-4FEF-B604-D1D9FEC7670A}"/>
    <hyperlink ref="M3" r:id="rId2" xr:uid="{366D994F-8EB8-4A33-9885-017194A3A484}"/>
    <hyperlink ref="Q3" r:id="rId3" xr:uid="{196A04D7-99FB-40C5-8FF7-B59E2838D34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2599-DA2B-4FCE-8FF7-91BF6EF4414E}">
  <sheetPr filterMode="1"/>
  <dimension ref="B1:G28"/>
  <sheetViews>
    <sheetView workbookViewId="0">
      <selection activeCell="J2" sqref="J2"/>
    </sheetView>
  </sheetViews>
  <sheetFormatPr defaultRowHeight="14.4" x14ac:dyDescent="0.3"/>
  <cols>
    <col min="2" max="2" width="20.88671875" style="46" bestFit="1" customWidth="1"/>
    <col min="3" max="3" width="8.88671875" style="46"/>
    <col min="4" max="4" width="39.5546875" style="46" bestFit="1" customWidth="1"/>
    <col min="5" max="5" width="8.88671875" style="46"/>
    <col min="6" max="6" width="9.44140625" style="46" bestFit="1" customWidth="1"/>
    <col min="7" max="7" width="12" style="46" bestFit="1" customWidth="1"/>
  </cols>
  <sheetData>
    <row r="1" spans="2:7" x14ac:dyDescent="0.3">
      <c r="G1" s="32" t="s">
        <v>129</v>
      </c>
    </row>
    <row r="2" spans="2:7" ht="36" x14ac:dyDescent="0.3">
      <c r="B2" s="35" t="s">
        <v>1</v>
      </c>
      <c r="C2" s="35" t="s">
        <v>5</v>
      </c>
      <c r="D2" s="35" t="s">
        <v>94</v>
      </c>
      <c r="E2" s="36" t="s">
        <v>12</v>
      </c>
      <c r="F2" s="33" t="s">
        <v>13</v>
      </c>
      <c r="G2" s="34" t="s">
        <v>18</v>
      </c>
    </row>
    <row r="3" spans="2:7" x14ac:dyDescent="0.3">
      <c r="B3" s="50" t="s">
        <v>618</v>
      </c>
      <c r="C3" s="39" t="str">
        <f>HYPERLINK("https://www.mapwv.gov/flood/map/?wkid=102100&amp;x=-8973605&amp;y=4921712&amp;l=11&amp;v=2","FT")</f>
        <v>FT</v>
      </c>
      <c r="D3" s="50" t="s">
        <v>467</v>
      </c>
      <c r="E3" s="45" t="s">
        <v>27</v>
      </c>
      <c r="F3" s="40" t="s">
        <v>28</v>
      </c>
      <c r="G3" s="41">
        <v>23795000</v>
      </c>
    </row>
    <row r="4" spans="2:7" x14ac:dyDescent="0.3">
      <c r="B4" s="50" t="s">
        <v>618</v>
      </c>
      <c r="C4" s="39" t="str">
        <f>HYPERLINK("https://mapwv.gov/flood/map/?wkid=102100&amp;x=-8972929.915024733&amp;y=4922280.931331622&amp;l=13&amp;v=2","FT")</f>
        <v>FT</v>
      </c>
      <c r="D4" s="50" t="s">
        <v>328</v>
      </c>
      <c r="E4" s="45" t="s">
        <v>400</v>
      </c>
      <c r="F4" s="40" t="s">
        <v>34</v>
      </c>
      <c r="G4" s="41">
        <v>10222400</v>
      </c>
    </row>
    <row r="5" spans="2:7" x14ac:dyDescent="0.3">
      <c r="B5" s="50" t="s">
        <v>616</v>
      </c>
      <c r="C5" s="39" t="str">
        <f>HYPERLINK("https://mapwv.gov/flood/map/?wkid=102100&amp;x=-8973508.312174581&amp;y=4907692.980548596&amp;l=13&amp;v=2","FT")</f>
        <v>FT</v>
      </c>
      <c r="D5" s="50" t="s">
        <v>329</v>
      </c>
      <c r="E5" s="45" t="s">
        <v>33</v>
      </c>
      <c r="F5" s="40" t="s">
        <v>34</v>
      </c>
      <c r="G5" s="41">
        <v>4617800</v>
      </c>
    </row>
    <row r="6" spans="2:7" x14ac:dyDescent="0.3">
      <c r="B6" s="50" t="s">
        <v>616</v>
      </c>
      <c r="C6" s="39" t="str">
        <f>HYPERLINK("https://mapwv.gov/flood/map/?wkid=102100&amp;x=-8974026.859624716&amp;y=4904552.290513464&amp;l=13&amp;v=2","FT")</f>
        <v>FT</v>
      </c>
      <c r="D6" s="50" t="s">
        <v>362</v>
      </c>
      <c r="E6" s="45" t="s">
        <v>27</v>
      </c>
      <c r="F6" s="40" t="s">
        <v>28</v>
      </c>
      <c r="G6" s="41">
        <v>4600000</v>
      </c>
    </row>
    <row r="7" spans="2:7" x14ac:dyDescent="0.3">
      <c r="B7" s="50" t="s">
        <v>616</v>
      </c>
      <c r="C7" s="39" t="str">
        <f>HYPERLINK("https://mapwv.gov/flood/map/?wkid=102100&amp;x=-8973632.785955645&amp;y=4906317.910085618&amp;l=13&amp;v=2","FT")</f>
        <v>FT</v>
      </c>
      <c r="D7" s="50" t="s">
        <v>330</v>
      </c>
      <c r="E7" s="45" t="s">
        <v>27</v>
      </c>
      <c r="F7" s="40" t="s">
        <v>28</v>
      </c>
      <c r="G7" s="41">
        <v>3491600</v>
      </c>
    </row>
    <row r="8" spans="2:7" x14ac:dyDescent="0.3">
      <c r="B8" s="50" t="s">
        <v>617</v>
      </c>
      <c r="C8" s="39" t="str">
        <f>HYPERLINK("https://mapwv.gov/flood/map/?wkid=102100&amp;x=-8978991.303711152&amp;y=4897204.983239564&amp;l=13&amp;v=2","FT")</f>
        <v>FT</v>
      </c>
      <c r="D8" s="50" t="s">
        <v>331</v>
      </c>
      <c r="E8" s="45" t="s">
        <v>33</v>
      </c>
      <c r="F8" s="40" t="s">
        <v>34</v>
      </c>
      <c r="G8" s="41">
        <v>3117200</v>
      </c>
    </row>
    <row r="9" spans="2:7" hidden="1" x14ac:dyDescent="0.3">
      <c r="B9" s="50" t="s">
        <v>615</v>
      </c>
      <c r="C9" s="39" t="str">
        <f>HYPERLINK("https://mapwv.gov/flood/map/?wkid=102100&amp;x=-8971360.291057596&amp;y=4923807.943666809&amp;l=13&amp;v=2","FT")</f>
        <v>FT</v>
      </c>
      <c r="D9" s="50" t="s">
        <v>332</v>
      </c>
      <c r="E9" s="45" t="s">
        <v>109</v>
      </c>
      <c r="F9" s="40" t="s">
        <v>39</v>
      </c>
      <c r="G9" s="41">
        <v>2780600</v>
      </c>
    </row>
    <row r="10" spans="2:7" hidden="1" x14ac:dyDescent="0.3">
      <c r="B10" s="50" t="s">
        <v>615</v>
      </c>
      <c r="C10" s="39" t="str">
        <f>HYPERLINK("https://mapwv.gov/flood/map/?wkid=102100&amp;x=-8971344.833344426&amp;y=4923883.073945788&amp;l=13&amp;v=2","FT")</f>
        <v>FT</v>
      </c>
      <c r="D10" s="50" t="s">
        <v>333</v>
      </c>
      <c r="E10" s="45" t="s">
        <v>109</v>
      </c>
      <c r="F10" s="40" t="s">
        <v>39</v>
      </c>
      <c r="G10" s="41">
        <v>2691100</v>
      </c>
    </row>
    <row r="11" spans="2:7" x14ac:dyDescent="0.3">
      <c r="B11" s="50" t="s">
        <v>616</v>
      </c>
      <c r="C11" s="39" t="str">
        <f>HYPERLINK("https://mapwv.gov/flood/map/?wkid=102100&amp;x=-8973859.028349146&amp;y=4905226.97148768&amp;l=13&amp;v=2","FT")</f>
        <v>FT</v>
      </c>
      <c r="D11" s="50" t="s">
        <v>334</v>
      </c>
      <c r="E11" s="45" t="s">
        <v>27</v>
      </c>
      <c r="F11" s="40" t="s">
        <v>28</v>
      </c>
      <c r="G11" s="41">
        <v>2375800</v>
      </c>
    </row>
    <row r="12" spans="2:7" x14ac:dyDescent="0.3">
      <c r="B12" s="50" t="s">
        <v>616</v>
      </c>
      <c r="C12" s="39" t="str">
        <f>HYPERLINK("https://mapwv.gov/flood/map/?wkid=102100&amp;x=-8973878.921698749&amp;y=4905196.560230101&amp;l=13&amp;v=2","FT")</f>
        <v>FT</v>
      </c>
      <c r="D12" s="50" t="s">
        <v>334</v>
      </c>
      <c r="E12" s="45" t="s">
        <v>27</v>
      </c>
      <c r="F12" s="40" t="s">
        <v>28</v>
      </c>
      <c r="G12" s="41">
        <v>2375800</v>
      </c>
    </row>
    <row r="13" spans="2:7" x14ac:dyDescent="0.3">
      <c r="B13" s="50" t="s">
        <v>617</v>
      </c>
      <c r="C13" s="39" t="str">
        <f>HYPERLINK("https://mapwv.gov/flood/map/?wkid=102100&amp;x=-8978141.336986218&amp;y=4900423.704849434&amp;l=13&amp;v=2","FT")</f>
        <v>FT</v>
      </c>
      <c r="D13" s="50" t="s">
        <v>335</v>
      </c>
      <c r="E13" s="45" t="s">
        <v>44</v>
      </c>
      <c r="F13" s="40" t="s">
        <v>34</v>
      </c>
      <c r="G13" s="41">
        <v>2329000</v>
      </c>
    </row>
    <row r="14" spans="2:7" x14ac:dyDescent="0.3">
      <c r="B14" s="50" t="s">
        <v>616</v>
      </c>
      <c r="C14" s="39" t="str">
        <f>HYPERLINK("https://mapwv.gov/flood/map/?wkid=102100&amp;x=-8973478.169639463&amp;y=4906374.994182989&amp;l=13&amp;v=2","FT")</f>
        <v>FT</v>
      </c>
      <c r="D14" s="50" t="s">
        <v>330</v>
      </c>
      <c r="E14" s="45" t="s">
        <v>54</v>
      </c>
      <c r="F14" s="40" t="s">
        <v>28</v>
      </c>
      <c r="G14" s="41">
        <v>1715700</v>
      </c>
    </row>
    <row r="15" spans="2:7" hidden="1" x14ac:dyDescent="0.3">
      <c r="B15" s="50" t="s">
        <v>614</v>
      </c>
      <c r="C15" s="39" t="str">
        <f>HYPERLINK("https://mapwv.gov/flood/map/?wkid=102100&amp;x=-8971893.449302223&amp;y=4913986.0336206565&amp;l=13&amp;v=2","FT")</f>
        <v>FT</v>
      </c>
      <c r="D15" s="50" t="s">
        <v>336</v>
      </c>
      <c r="E15" s="45" t="s">
        <v>109</v>
      </c>
      <c r="F15" s="40" t="s">
        <v>39</v>
      </c>
      <c r="G15" s="41">
        <v>1036800</v>
      </c>
    </row>
    <row r="16" spans="2:7" x14ac:dyDescent="0.3">
      <c r="B16" s="50" t="s">
        <v>618</v>
      </c>
      <c r="C16" s="39" t="str">
        <f>HYPERLINK("https://mapwv.gov/flood/map/?wkid=102100&amp;x=-8974646.544951063&amp;y=4922161.679640192&amp;l=13&amp;v=2","FT")</f>
        <v>FT</v>
      </c>
      <c r="D16" s="50" t="s">
        <v>337</v>
      </c>
      <c r="E16" s="45" t="s">
        <v>33</v>
      </c>
      <c r="F16" s="40" t="s">
        <v>34</v>
      </c>
      <c r="G16" s="41">
        <v>892200</v>
      </c>
    </row>
    <row r="17" spans="2:7" x14ac:dyDescent="0.3">
      <c r="B17" s="50" t="s">
        <v>616</v>
      </c>
      <c r="C17" s="39" t="str">
        <f>HYPERLINK("https://mapwv.gov/flood/map/?wkid=102100&amp;x=-8973762.64938117&amp;y=4905925.915994169&amp;l=13&amp;v=2","FT")</f>
        <v>FT</v>
      </c>
      <c r="D17" s="50" t="s">
        <v>329</v>
      </c>
      <c r="E17" s="45" t="s">
        <v>400</v>
      </c>
      <c r="F17" s="40" t="s">
        <v>34</v>
      </c>
      <c r="G17" s="41">
        <v>805500</v>
      </c>
    </row>
    <row r="18" spans="2:7" x14ac:dyDescent="0.3">
      <c r="B18" s="50" t="s">
        <v>618</v>
      </c>
      <c r="C18" s="39" t="str">
        <f>HYPERLINK("https://mapwv.gov/flood/map/?wkid=102100&amp;x=-8975600.227155011&amp;y=4922850.882208711&amp;l=13&amp;v=2","FT")</f>
        <v>FT</v>
      </c>
      <c r="D18" s="50" t="s">
        <v>338</v>
      </c>
      <c r="E18" s="45" t="s">
        <v>57</v>
      </c>
      <c r="F18" s="40" t="s">
        <v>34</v>
      </c>
      <c r="G18" s="41">
        <v>768500</v>
      </c>
    </row>
    <row r="19" spans="2:7" x14ac:dyDescent="0.3">
      <c r="B19" s="50" t="s">
        <v>613</v>
      </c>
      <c r="C19" s="39" t="str">
        <f>HYPERLINK("https://mapwv.gov/flood/map/?wkid=102100&amp;x=-8971555.71598591&amp;y=4923102.785866861&amp;l=13&amp;v=2","FT")</f>
        <v>FT</v>
      </c>
      <c r="D19" s="50" t="s">
        <v>339</v>
      </c>
      <c r="E19" s="45" t="s">
        <v>48</v>
      </c>
      <c r="F19" s="40" t="s">
        <v>34</v>
      </c>
      <c r="G19" s="41">
        <v>686300</v>
      </c>
    </row>
    <row r="20" spans="2:7" x14ac:dyDescent="0.3">
      <c r="B20" s="50" t="s">
        <v>618</v>
      </c>
      <c r="C20" s="39" t="str">
        <f>HYPERLINK("https://mapwv.gov/flood/map/?wkid=102100&amp;x=-8975655.055121172&amp;y=4922857.26544974&amp;l=13&amp;v=2","FT")</f>
        <v>FT</v>
      </c>
      <c r="D20" s="50" t="s">
        <v>338</v>
      </c>
      <c r="E20" s="45" t="s">
        <v>400</v>
      </c>
      <c r="F20" s="40" t="s">
        <v>34</v>
      </c>
      <c r="G20" s="41">
        <v>652700</v>
      </c>
    </row>
    <row r="21" spans="2:7" x14ac:dyDescent="0.3">
      <c r="B21" s="50" t="s">
        <v>616</v>
      </c>
      <c r="C21" s="39" t="str">
        <f>HYPERLINK("https://mapwv.gov/flood/map/?wkid=102100&amp;x=-8973760.571157599&amp;y=4905354.399507331&amp;l=13&amp;v=2","FT")</f>
        <v>FT</v>
      </c>
      <c r="D21" s="50" t="s">
        <v>340</v>
      </c>
      <c r="E21" s="45" t="s">
        <v>111</v>
      </c>
      <c r="F21" s="40" t="s">
        <v>34</v>
      </c>
      <c r="G21" s="41">
        <v>621300</v>
      </c>
    </row>
    <row r="22" spans="2:7" x14ac:dyDescent="0.3">
      <c r="B22" s="50" t="s">
        <v>616</v>
      </c>
      <c r="C22" s="39" t="str">
        <f>HYPERLINK("https://mapwv.gov/flood/map/?wkid=102100&amp;x=-8973731.14696715&amp;y=4905632.266182392&amp;l=13&amp;v=2","FT")</f>
        <v>FT</v>
      </c>
      <c r="D22" s="50" t="s">
        <v>341</v>
      </c>
      <c r="E22" s="45" t="s">
        <v>51</v>
      </c>
      <c r="F22" s="40" t="s">
        <v>34</v>
      </c>
      <c r="G22" s="41">
        <v>564100</v>
      </c>
    </row>
    <row r="23" spans="2:7" x14ac:dyDescent="0.3">
      <c r="B23" s="50" t="s">
        <v>616</v>
      </c>
      <c r="C23" s="39" t="str">
        <f>HYPERLINK("https://mapwv.gov/flood/map/?wkid=102100&amp;x=-8973715.948739713&amp;y=4905342.285666496&amp;l=13&amp;v=2","FT")</f>
        <v>FT</v>
      </c>
      <c r="D23" s="50" t="s">
        <v>342</v>
      </c>
      <c r="E23" s="45" t="s">
        <v>111</v>
      </c>
      <c r="F23" s="40" t="s">
        <v>34</v>
      </c>
      <c r="G23" s="41">
        <v>563000</v>
      </c>
    </row>
    <row r="24" spans="2:7" x14ac:dyDescent="0.3">
      <c r="B24" s="50" t="s">
        <v>618</v>
      </c>
      <c r="C24" s="39" t="str">
        <f>HYPERLINK("https://mapwv.gov/flood/map/?wkid=102100&amp;x=-8971796.46987691&amp;y=4922920.998262149&amp;l=13&amp;v=2","FT")</f>
        <v>FT</v>
      </c>
      <c r="D24" s="50" t="s">
        <v>343</v>
      </c>
      <c r="E24" s="45" t="s">
        <v>44</v>
      </c>
      <c r="F24" s="40" t="s">
        <v>34</v>
      </c>
      <c r="G24" s="41">
        <v>533000</v>
      </c>
    </row>
    <row r="25" spans="2:7" x14ac:dyDescent="0.3">
      <c r="B25" s="50" t="s">
        <v>613</v>
      </c>
      <c r="C25" s="39" t="str">
        <f>HYPERLINK("https://mapwv.gov/flood/map/?wkid=102100&amp;x=-8971984.909952454&amp;y=4922743.340551483&amp;l=13&amp;v=2","FT")</f>
        <v>FT</v>
      </c>
      <c r="D25" s="50" t="s">
        <v>344</v>
      </c>
      <c r="E25" s="45" t="s">
        <v>51</v>
      </c>
      <c r="F25" s="40" t="s">
        <v>34</v>
      </c>
      <c r="G25" s="41">
        <v>524600</v>
      </c>
    </row>
    <row r="26" spans="2:7" x14ac:dyDescent="0.3">
      <c r="B26" s="50" t="s">
        <v>614</v>
      </c>
      <c r="C26" s="39" t="str">
        <f>HYPERLINK("https://mapwv.gov/flood/map/?wkid=102100&amp;x=-8971944.168688614&amp;y=4913812.284376887&amp;l=13&amp;v=2","FT")</f>
        <v>FT</v>
      </c>
      <c r="D26" s="50" t="s">
        <v>345</v>
      </c>
      <c r="E26" s="45" t="s">
        <v>111</v>
      </c>
      <c r="F26" s="40" t="s">
        <v>34</v>
      </c>
      <c r="G26" s="41">
        <v>514400</v>
      </c>
    </row>
    <row r="27" spans="2:7" x14ac:dyDescent="0.3">
      <c r="B27" s="50" t="s">
        <v>613</v>
      </c>
      <c r="C27" s="39" t="str">
        <f>HYPERLINK("https://mapwv.gov/flood/map/?wkid=102100&amp;x=-8972144.896432186&amp;y=4910541.52829196&amp;l=13&amp;v=2","FT")</f>
        <v>FT</v>
      </c>
      <c r="D27" s="50" t="s">
        <v>346</v>
      </c>
      <c r="E27" s="45" t="s">
        <v>44</v>
      </c>
      <c r="F27" s="40" t="s">
        <v>34</v>
      </c>
      <c r="G27" s="41">
        <v>504300</v>
      </c>
    </row>
    <row r="28" spans="2:7" hidden="1" x14ac:dyDescent="0.3">
      <c r="B28" s="50" t="s">
        <v>616</v>
      </c>
      <c r="C28" s="39" t="str">
        <f>HYPERLINK("https://mapwv.gov/flood/map/?wkid=102100&amp;x=-8973612.464916559&amp;y=4905844.633724601&amp;l=13&amp;v=2","FT")</f>
        <v>FT</v>
      </c>
      <c r="D28" s="50" t="s">
        <v>359</v>
      </c>
      <c r="E28" s="45" t="s">
        <v>56</v>
      </c>
      <c r="F28" s="40" t="s">
        <v>39</v>
      </c>
      <c r="G28" s="41">
        <v>301200</v>
      </c>
    </row>
  </sheetData>
  <autoFilter ref="B2:G28" xr:uid="{4349BEAB-290F-43A3-B956-685191293FF2}">
    <filterColumn colId="4">
      <filters>
        <filter val="Commercial"/>
        <filter val="Other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8AB4-FDB9-4C87-98E2-E4532CC863D6}">
  <sheetPr filterMode="1"/>
  <dimension ref="B1:G26"/>
  <sheetViews>
    <sheetView workbookViewId="0">
      <selection activeCell="K3" sqref="K3"/>
    </sheetView>
  </sheetViews>
  <sheetFormatPr defaultRowHeight="14.4" x14ac:dyDescent="0.3"/>
  <cols>
    <col min="2" max="2" width="17.77734375" style="46" bestFit="1" customWidth="1"/>
    <col min="3" max="3" width="8.88671875" style="46"/>
    <col min="4" max="4" width="27.44140625" style="46" bestFit="1" customWidth="1"/>
    <col min="5" max="5" width="8.88671875" style="46"/>
    <col min="6" max="6" width="9.44140625" style="46" bestFit="1" customWidth="1"/>
    <col min="7" max="7" width="8.88671875" style="46"/>
  </cols>
  <sheetData>
    <row r="1" spans="2:7" x14ac:dyDescent="0.3">
      <c r="G1" s="32" t="s">
        <v>622</v>
      </c>
    </row>
    <row r="2" spans="2:7" ht="36" x14ac:dyDescent="0.3">
      <c r="B2" s="35" t="s">
        <v>1</v>
      </c>
      <c r="C2" s="35" t="s">
        <v>5</v>
      </c>
      <c r="D2" s="35" t="s">
        <v>94</v>
      </c>
      <c r="E2" s="36" t="s">
        <v>12</v>
      </c>
      <c r="F2" s="33" t="s">
        <v>13</v>
      </c>
      <c r="G2" s="34" t="s">
        <v>18</v>
      </c>
    </row>
    <row r="3" spans="2:7" x14ac:dyDescent="0.3">
      <c r="B3" s="45" t="s">
        <v>618</v>
      </c>
      <c r="C3" s="39" t="str">
        <f>HYPERLINK("https://www.mapwv.gov/flood/map/?wkid=102100&amp;x=-8972864&amp;y=4925840&amp;l=11&amp;v=2","FT")</f>
        <v>FT</v>
      </c>
      <c r="D3" s="45" t="s">
        <v>555</v>
      </c>
      <c r="E3" s="45" t="s">
        <v>27</v>
      </c>
      <c r="F3" s="40" t="s">
        <v>28</v>
      </c>
      <c r="G3" s="41">
        <v>7250000</v>
      </c>
    </row>
    <row r="4" spans="2:7" x14ac:dyDescent="0.3">
      <c r="B4" s="45" t="s">
        <v>619</v>
      </c>
      <c r="C4" s="39" t="str">
        <f>HYPERLINK("https://www.mapwv.gov/flood/map/?wkid=102100&amp;x=-8968648&amp;y=4955537&amp;l=13&amp;v=2","FT")</f>
        <v>FT</v>
      </c>
      <c r="D4" s="45" t="s">
        <v>612</v>
      </c>
      <c r="E4" s="45" t="s">
        <v>27</v>
      </c>
      <c r="F4" s="40" t="s">
        <v>28</v>
      </c>
      <c r="G4" s="41">
        <v>6600000</v>
      </c>
    </row>
    <row r="5" spans="2:7" x14ac:dyDescent="0.3">
      <c r="B5" s="45" t="s">
        <v>621</v>
      </c>
      <c r="C5" s="39" t="str">
        <f>HYPERLINK("https://mapwv.gov/flood/map/?wkid=102100&amp;x=-8975395.615140444&amp;y=4955154.776852403&amp;l=13&amp;v=2","FT")</f>
        <v>FT</v>
      </c>
      <c r="D5" s="45" t="s">
        <v>554</v>
      </c>
      <c r="E5" s="45" t="s">
        <v>582</v>
      </c>
      <c r="F5" s="40" t="s">
        <v>34</v>
      </c>
      <c r="G5" s="41">
        <v>6280600</v>
      </c>
    </row>
    <row r="6" spans="2:7" x14ac:dyDescent="0.3">
      <c r="B6" s="45" t="s">
        <v>618</v>
      </c>
      <c r="C6" s="39" t="str">
        <f>HYPERLINK("https://mapwv.gov/flood/map/?wkid=102100&amp;x=-8972788.713375106&amp;y=4927391.971024293&amp;l=13&amp;v=2","FT")</f>
        <v>FT</v>
      </c>
      <c r="D6" s="45" t="s">
        <v>555</v>
      </c>
      <c r="E6" s="45" t="s">
        <v>583</v>
      </c>
      <c r="F6" s="40" t="s">
        <v>34</v>
      </c>
      <c r="G6" s="41">
        <v>6241698</v>
      </c>
    </row>
    <row r="7" spans="2:7" x14ac:dyDescent="0.3">
      <c r="B7" s="45" t="s">
        <v>621</v>
      </c>
      <c r="C7" s="39" t="str">
        <f>HYPERLINK("https://mapwv.gov/flood/map/?wkid=102100&amp;x=-8974853.964888467&amp;y=4955522.795862771&amp;l=13&amp;v=2","FT")</f>
        <v>FT</v>
      </c>
      <c r="D7" s="45" t="s">
        <v>556</v>
      </c>
      <c r="E7" s="45" t="s">
        <v>33</v>
      </c>
      <c r="F7" s="40" t="s">
        <v>34</v>
      </c>
      <c r="G7" s="41">
        <v>3180600</v>
      </c>
    </row>
    <row r="8" spans="2:7" x14ac:dyDescent="0.3">
      <c r="B8" s="45" t="s">
        <v>618</v>
      </c>
      <c r="C8" s="39" t="str">
        <f>HYPERLINK("https://mapwv.gov/flood/map/?wkid=102100&amp;x=-8971048.96060943&amp;y=4924214.845444747&amp;l=13&amp;v=2","FT")</f>
        <v>FT</v>
      </c>
      <c r="D8" s="45" t="s">
        <v>557</v>
      </c>
      <c r="E8" s="45" t="s">
        <v>54</v>
      </c>
      <c r="F8" s="40" t="s">
        <v>28</v>
      </c>
      <c r="G8" s="41">
        <v>2887800</v>
      </c>
    </row>
    <row r="9" spans="2:7" x14ac:dyDescent="0.3">
      <c r="B9" s="45" t="s">
        <v>620</v>
      </c>
      <c r="C9" s="39" t="str">
        <f>HYPERLINK("https://mapwv.gov/flood/map/?wkid=102100&amp;x=-8972164.912455874&amp;y=4936844.0909157405&amp;l=13&amp;v=2","FT")</f>
        <v>FT</v>
      </c>
      <c r="D9" s="45" t="s">
        <v>560</v>
      </c>
      <c r="E9" s="45" t="s">
        <v>51</v>
      </c>
      <c r="F9" s="40" t="s">
        <v>34</v>
      </c>
      <c r="G9" s="41">
        <v>2750000</v>
      </c>
    </row>
    <row r="10" spans="2:7" x14ac:dyDescent="0.3">
      <c r="B10" s="45" t="s">
        <v>621</v>
      </c>
      <c r="C10" s="39" t="str">
        <f>HYPERLINK("https://mapwv.gov/flood/map/?wkid=102100&amp;x=-8975175.795436282&amp;y=4955320.776495204&amp;l=13&amp;v=2","FT")</f>
        <v>FT</v>
      </c>
      <c r="D10" s="45" t="s">
        <v>558</v>
      </c>
      <c r="E10" s="45" t="s">
        <v>57</v>
      </c>
      <c r="F10" s="40" t="s">
        <v>34</v>
      </c>
      <c r="G10" s="41">
        <v>1596800</v>
      </c>
    </row>
    <row r="11" spans="2:7" x14ac:dyDescent="0.3">
      <c r="B11" s="45" t="s">
        <v>618</v>
      </c>
      <c r="C11" s="39" t="str">
        <f>HYPERLINK("https://mapwv.gov/flood/map/?wkid=102100&amp;x=-8971154.33563941&amp;y=4924299.259960035&amp;l=13&amp;v=2","FT")</f>
        <v>FT</v>
      </c>
      <c r="D11" s="45" t="s">
        <v>559</v>
      </c>
      <c r="E11" s="45" t="s">
        <v>54</v>
      </c>
      <c r="F11" s="40" t="s">
        <v>28</v>
      </c>
      <c r="G11" s="41">
        <v>1466900</v>
      </c>
    </row>
    <row r="12" spans="2:7" x14ac:dyDescent="0.3">
      <c r="B12" s="45" t="s">
        <v>619</v>
      </c>
      <c r="C12" s="39" t="str">
        <f>HYPERLINK("https://mapwv.gov/flood/map/?wkid=102100&amp;x=-8968443.629005508&amp;y=4955366.0684365425&amp;l=13&amp;v=2","FT")</f>
        <v>FT</v>
      </c>
      <c r="D12" s="45" t="s">
        <v>561</v>
      </c>
      <c r="E12" s="45" t="s">
        <v>58</v>
      </c>
      <c r="F12" s="40" t="s">
        <v>28</v>
      </c>
      <c r="G12" s="41">
        <v>650000</v>
      </c>
    </row>
    <row r="13" spans="2:7" x14ac:dyDescent="0.3">
      <c r="B13" s="45" t="s">
        <v>620</v>
      </c>
      <c r="C13" s="39" t="str">
        <f>HYPERLINK("https://mapwv.gov/flood/map/?wkid=102100&amp;x=-8973895.752983116&amp;y=4939741.922222906&amp;l=13&amp;v=2","FT")</f>
        <v>FT</v>
      </c>
      <c r="D13" s="45" t="s">
        <v>562</v>
      </c>
      <c r="E13" s="45" t="s">
        <v>44</v>
      </c>
      <c r="F13" s="40" t="s">
        <v>34</v>
      </c>
      <c r="G13" s="41">
        <v>636800</v>
      </c>
    </row>
    <row r="14" spans="2:7" x14ac:dyDescent="0.3">
      <c r="B14" s="45" t="s">
        <v>620</v>
      </c>
      <c r="C14" s="39" t="str">
        <f>HYPERLINK("https://mapwv.gov/flood/map/?wkid=102100&amp;x=-8972512.741782082&amp;y=4937265.598933554&amp;l=13&amp;v=2","FT")</f>
        <v>FT</v>
      </c>
      <c r="D14" s="45" t="s">
        <v>563</v>
      </c>
      <c r="E14" s="45" t="s">
        <v>57</v>
      </c>
      <c r="F14" s="40" t="s">
        <v>34</v>
      </c>
      <c r="G14" s="41">
        <v>482300</v>
      </c>
    </row>
    <row r="15" spans="2:7" x14ac:dyDescent="0.3">
      <c r="B15" s="45" t="s">
        <v>620</v>
      </c>
      <c r="C15" s="39" t="str">
        <f>HYPERLINK("https://mapwv.gov/flood/map/?wkid=102100&amp;x=-8973971.008632438&amp;y=4939860.291321261&amp;l=13&amp;v=2","FT")</f>
        <v>FT</v>
      </c>
      <c r="D15" s="45" t="s">
        <v>564</v>
      </c>
      <c r="E15" s="45" t="s">
        <v>44</v>
      </c>
      <c r="F15" s="40" t="s">
        <v>34</v>
      </c>
      <c r="G15" s="41">
        <v>458600</v>
      </c>
    </row>
    <row r="16" spans="2:7" x14ac:dyDescent="0.3">
      <c r="B16" s="45" t="s">
        <v>621</v>
      </c>
      <c r="C16" s="39" t="str">
        <f>HYPERLINK("https://mapwv.gov/flood/map/?wkid=102100&amp;x=-8975016.802149042&amp;y=4955225.779548819&amp;l=13&amp;v=2","FT")</f>
        <v>FT</v>
      </c>
      <c r="D16" s="45" t="s">
        <v>565</v>
      </c>
      <c r="E16" s="45" t="s">
        <v>51</v>
      </c>
      <c r="F16" s="40" t="s">
        <v>34</v>
      </c>
      <c r="G16" s="41">
        <v>408500</v>
      </c>
    </row>
    <row r="17" spans="2:7" hidden="1" x14ac:dyDescent="0.3">
      <c r="B17" s="45" t="s">
        <v>619</v>
      </c>
      <c r="C17" s="39" t="str">
        <f>HYPERLINK("https://mapwv.gov/flood/map/?wkid=102100&amp;x=-8969375.478340369&amp;y=4955053.606648697&amp;l=13&amp;v=2","FT")</f>
        <v>FT</v>
      </c>
      <c r="D17" s="45" t="s">
        <v>566</v>
      </c>
      <c r="E17" s="45" t="s">
        <v>38</v>
      </c>
      <c r="F17" s="40" t="s">
        <v>39</v>
      </c>
      <c r="G17" s="41">
        <v>386900</v>
      </c>
    </row>
    <row r="18" spans="2:7" x14ac:dyDescent="0.3">
      <c r="B18" s="45" t="s">
        <v>619</v>
      </c>
      <c r="C18" s="39" t="str">
        <f>HYPERLINK("https://mapwv.gov/flood/map/?wkid=102100&amp;x=-8968331.090232333&amp;y=4955388.15922749&amp;l=13&amp;v=2","FT")</f>
        <v>FT</v>
      </c>
      <c r="D18" s="45" t="s">
        <v>567</v>
      </c>
      <c r="E18" s="45" t="s">
        <v>53</v>
      </c>
      <c r="F18" s="40" t="s">
        <v>28</v>
      </c>
      <c r="G18" s="41">
        <v>348300</v>
      </c>
    </row>
    <row r="19" spans="2:7" x14ac:dyDescent="0.3">
      <c r="B19" s="45" t="s">
        <v>620</v>
      </c>
      <c r="C19" s="39" t="str">
        <f>HYPERLINK("https://mapwv.gov/flood/map/?wkid=102100&amp;x=-8973773.790903723&amp;y=4939348.543839616&amp;l=13&amp;v=2","FT")</f>
        <v>FT</v>
      </c>
      <c r="D19" s="45" t="s">
        <v>568</v>
      </c>
      <c r="E19" s="45" t="s">
        <v>44</v>
      </c>
      <c r="F19" s="40" t="s">
        <v>34</v>
      </c>
      <c r="G19" s="41">
        <v>346100</v>
      </c>
    </row>
    <row r="20" spans="2:7" x14ac:dyDescent="0.3">
      <c r="B20" s="45" t="s">
        <v>621</v>
      </c>
      <c r="C20" s="39" t="str">
        <f>HYPERLINK("https://mapwv.gov/flood/map/?wkid=102100&amp;x=-8975050.538188644&amp;y=4955371.122720656&amp;l=13&amp;v=2","FT")</f>
        <v>FT</v>
      </c>
      <c r="D20" s="45" t="s">
        <v>558</v>
      </c>
      <c r="E20" s="45" t="s">
        <v>57</v>
      </c>
      <c r="F20" s="40" t="s">
        <v>34</v>
      </c>
      <c r="G20" s="41">
        <v>337400</v>
      </c>
    </row>
    <row r="21" spans="2:7" x14ac:dyDescent="0.3">
      <c r="B21" s="45" t="s">
        <v>620</v>
      </c>
      <c r="C21" s="39" t="str">
        <f>HYPERLINK("https://mapwv.gov/flood/map/?wkid=102100&amp;x=-8972618.269765047&amp;y=4937409.162626304&amp;l=13&amp;v=2","FT")</f>
        <v>FT</v>
      </c>
      <c r="D21" s="45" t="s">
        <v>563</v>
      </c>
      <c r="E21" s="45" t="s">
        <v>57</v>
      </c>
      <c r="F21" s="40" t="s">
        <v>34</v>
      </c>
      <c r="G21" s="41">
        <v>316600</v>
      </c>
    </row>
    <row r="22" spans="2:7" hidden="1" x14ac:dyDescent="0.3">
      <c r="B22" s="45" t="s">
        <v>618</v>
      </c>
      <c r="C22" s="39" t="str">
        <f>HYPERLINK("https://mapwv.gov/flood/map/?wkid=102100&amp;x=-8966159.330011295&amp;y=4928087.526584314&amp;l=13&amp;v=2","FT")</f>
        <v>FT</v>
      </c>
      <c r="D22" s="45" t="s">
        <v>569</v>
      </c>
      <c r="E22" s="45" t="s">
        <v>38</v>
      </c>
      <c r="F22" s="40" t="s">
        <v>39</v>
      </c>
      <c r="G22" s="41">
        <v>314500</v>
      </c>
    </row>
    <row r="23" spans="2:7" hidden="1" x14ac:dyDescent="0.3">
      <c r="B23" s="45" t="s">
        <v>618</v>
      </c>
      <c r="C23" s="39" t="str">
        <f>HYPERLINK("https://mapwv.gov/flood/map/?wkid=102100&amp;x=-8964836.414080769&amp;y=4928208.383986294&amp;l=13&amp;v=2","FT")</f>
        <v>FT</v>
      </c>
      <c r="D23" s="45" t="s">
        <v>570</v>
      </c>
      <c r="E23" s="45" t="s">
        <v>110</v>
      </c>
      <c r="F23" s="40" t="s">
        <v>39</v>
      </c>
      <c r="G23" s="41">
        <v>276300</v>
      </c>
    </row>
    <row r="24" spans="2:7" hidden="1" x14ac:dyDescent="0.3">
      <c r="B24" s="45" t="s">
        <v>618</v>
      </c>
      <c r="C24" s="39" t="str">
        <f>HYPERLINK("https://mapwv.gov/flood/map/?wkid=102100&amp;x=-8964886.404992417&amp;y=4928209.69674789&amp;l=13&amp;v=2","FT")</f>
        <v>FT</v>
      </c>
      <c r="D24" s="45" t="s">
        <v>570</v>
      </c>
      <c r="E24" s="45" t="s">
        <v>110</v>
      </c>
      <c r="F24" s="40" t="s">
        <v>39</v>
      </c>
      <c r="G24" s="41">
        <v>275900</v>
      </c>
    </row>
    <row r="25" spans="2:7" hidden="1" x14ac:dyDescent="0.3">
      <c r="B25" s="45" t="s">
        <v>621</v>
      </c>
      <c r="C25" s="39" t="str">
        <f>HYPERLINK("https://mapwv.gov/flood/map/?wkid=102100&amp;x=-8971683.908728518&amp;y=4938405.779348068&amp;l=13&amp;v=2","FT")</f>
        <v>FT</v>
      </c>
      <c r="D25" s="45" t="s">
        <v>572</v>
      </c>
      <c r="E25" s="45" t="s">
        <v>38</v>
      </c>
      <c r="F25" s="40" t="s">
        <v>39</v>
      </c>
      <c r="G25" s="41">
        <v>242100</v>
      </c>
    </row>
    <row r="26" spans="2:7" hidden="1" x14ac:dyDescent="0.3">
      <c r="B26" s="45" t="s">
        <v>618</v>
      </c>
      <c r="C26" s="39" t="str">
        <f>HYPERLINK("https://mapwv.gov/flood/map/?wkid=102100&amp;x=-8965787.378864625&amp;y=4928003.471317355&amp;l=13&amp;v=2","FT")</f>
        <v>FT</v>
      </c>
      <c r="D26" s="45" t="s">
        <v>576</v>
      </c>
      <c r="E26" s="45" t="s">
        <v>38</v>
      </c>
      <c r="F26" s="40" t="s">
        <v>39</v>
      </c>
      <c r="G26" s="41">
        <v>200100</v>
      </c>
    </row>
  </sheetData>
  <autoFilter ref="B2:G26" xr:uid="{725110B4-C372-4632-BA21-669B6DE17EE5}">
    <filterColumn colId="4">
      <filters>
        <filter val="Commercial"/>
        <filter val="Other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BROOKE</vt:lpstr>
      <vt:lpstr>HANCOCK</vt:lpstr>
      <vt:lpstr>BROOKE (NON_RES &gt; 500K)</vt:lpstr>
      <vt:lpstr>HANCOCK (NON_RES &gt; 300K)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2022-01-25T21:41:51Z</dcterms:modified>
</cp:coreProperties>
</file>