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2\"/>
    </mc:Choice>
  </mc:AlternateContent>
  <xr:revisionPtr revIDLastSave="0" documentId="13_ncr:1_{771E15E7-E095-4316-9238-6735BCE5259D}" xr6:coauthVersionLast="44" xr6:coauthVersionMax="44" xr10:uidLastSave="{00000000-0000-0000-0000-000000000000}"/>
  <bookViews>
    <workbookView xWindow="-108" yWindow="-108" windowWidth="23256" windowHeight="12576" tabRatio="735" xr2:uid="{00000000-000D-0000-FFFF-FFFF00000000}"/>
  </bookViews>
  <sheets>
    <sheet name="CABELL" sheetId="34" r:id="rId1"/>
    <sheet name="LINCOLN" sheetId="35" r:id="rId2"/>
    <sheet name="LOGAN" sheetId="36" r:id="rId3"/>
    <sheet name="MASON" sheetId="37" r:id="rId4"/>
    <sheet name="MINGO" sheetId="38" r:id="rId5"/>
    <sheet name="WAYNE" sheetId="39" r:id="rId6"/>
    <sheet name="CABELL (NON_RES &gt; 1M)" sheetId="40" r:id="rId7"/>
    <sheet name="LOGAN (NON_RES &gt; 1M)" sheetId="41" r:id="rId8"/>
  </sheets>
  <definedNames>
    <definedName name="_xlnm._FilterDatabase" localSheetId="6" hidden="1">'CABELL (NON_RES &gt; 1M)'!$B$2:$G$29</definedName>
    <definedName name="_xlnm._FilterDatabase" localSheetId="7" hidden="1">'LOGAN (NON_RES &gt; 1M)'!$B$2:$G$25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41" l="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F14" i="39" l="1"/>
  <c r="F7" i="39"/>
  <c r="F8" i="39"/>
  <c r="F9" i="39"/>
  <c r="F10" i="39"/>
  <c r="F11" i="39"/>
  <c r="F12" i="39"/>
  <c r="F13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49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11" i="38"/>
  <c r="F19" i="38"/>
  <c r="F14" i="38"/>
  <c r="F22" i="38"/>
  <c r="F7" i="38"/>
  <c r="F8" i="38"/>
  <c r="F9" i="38"/>
  <c r="F10" i="38"/>
  <c r="F12" i="38"/>
  <c r="F13" i="38"/>
  <c r="F15" i="38"/>
  <c r="F16" i="38"/>
  <c r="F17" i="38"/>
  <c r="F18" i="38"/>
  <c r="F20" i="38"/>
  <c r="F21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42" i="38"/>
  <c r="F43" i="38"/>
  <c r="F44" i="38"/>
  <c r="F45" i="38"/>
  <c r="F46" i="38"/>
  <c r="F47" i="38"/>
  <c r="F48" i="38"/>
  <c r="F49" i="38"/>
  <c r="F50" i="38"/>
  <c r="F51" i="38"/>
  <c r="F52" i="38"/>
  <c r="F53" i="38"/>
  <c r="F54" i="38"/>
  <c r="F55" i="38"/>
  <c r="F56" i="38"/>
  <c r="F57" i="38"/>
  <c r="F58" i="38"/>
  <c r="F59" i="38"/>
  <c r="F60" i="38"/>
  <c r="F61" i="38"/>
  <c r="F62" i="38"/>
  <c r="F63" i="38"/>
  <c r="F64" i="38"/>
  <c r="F65" i="38"/>
  <c r="F66" i="38"/>
  <c r="F67" i="38"/>
  <c r="F68" i="38"/>
  <c r="F69" i="38"/>
  <c r="F70" i="38"/>
  <c r="F71" i="38"/>
  <c r="F72" i="38"/>
  <c r="F73" i="38"/>
  <c r="F74" i="38"/>
  <c r="F75" i="38"/>
  <c r="F76" i="38"/>
  <c r="F77" i="38"/>
  <c r="F78" i="38"/>
  <c r="F79" i="38"/>
  <c r="F80" i="38"/>
  <c r="F81" i="38"/>
  <c r="F82" i="38"/>
  <c r="F83" i="38"/>
  <c r="F84" i="38"/>
  <c r="F85" i="38"/>
  <c r="F86" i="38"/>
  <c r="F7" i="37"/>
  <c r="F9" i="37"/>
  <c r="F8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37" i="37"/>
  <c r="F38" i="37"/>
  <c r="F39" i="37"/>
  <c r="F40" i="37"/>
  <c r="F41" i="37"/>
  <c r="F42" i="37"/>
  <c r="F43" i="37"/>
  <c r="F44" i="37"/>
  <c r="F45" i="37"/>
  <c r="F46" i="37"/>
  <c r="F47" i="37"/>
  <c r="F48" i="37"/>
  <c r="F49" i="37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5" i="36"/>
  <c r="F56" i="36"/>
  <c r="F57" i="36"/>
  <c r="F58" i="36"/>
  <c r="F59" i="36"/>
  <c r="F60" i="36"/>
  <c r="F61" i="36"/>
  <c r="F62" i="36"/>
  <c r="F63" i="36"/>
  <c r="F64" i="36"/>
  <c r="F65" i="36"/>
  <c r="F66" i="36"/>
  <c r="F67" i="36"/>
  <c r="F68" i="36"/>
  <c r="F69" i="36"/>
  <c r="F70" i="36"/>
  <c r="F71" i="36"/>
  <c r="F72" i="36"/>
  <c r="F73" i="36"/>
  <c r="F7" i="35" l="1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1" i="35"/>
  <c r="F32" i="35"/>
  <c r="F33" i="35"/>
  <c r="F34" i="35"/>
  <c r="F35" i="35"/>
  <c r="F36" i="35"/>
  <c r="F37" i="35"/>
  <c r="F38" i="35"/>
  <c r="F39" i="35"/>
  <c r="F40" i="35"/>
  <c r="F41" i="35"/>
  <c r="F42" i="35"/>
  <c r="F7" i="34"/>
  <c r="F8" i="34"/>
  <c r="F12" i="34"/>
  <c r="F9" i="34"/>
  <c r="F10" i="34"/>
  <c r="F11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53" i="34"/>
  <c r="F54" i="34"/>
  <c r="F55" i="34"/>
  <c r="F56" i="34"/>
  <c r="F57" i="34"/>
  <c r="F58" i="34"/>
  <c r="F59" i="34"/>
  <c r="F60" i="34"/>
  <c r="F61" i="34"/>
  <c r="F62" i="34"/>
  <c r="F63" i="34"/>
  <c r="F64" i="34"/>
  <c r="F65" i="34"/>
  <c r="F66" i="34"/>
  <c r="F67" i="34"/>
  <c r="F68" i="34"/>
  <c r="F69" i="34"/>
  <c r="F70" i="34"/>
  <c r="F71" i="34"/>
  <c r="F72" i="34"/>
  <c r="F73" i="34"/>
  <c r="F74" i="34"/>
  <c r="F75" i="34"/>
</calcChain>
</file>

<file path=xl/sharedStrings.xml><?xml version="1.0" encoding="utf-8"?>
<sst xmlns="http://schemas.openxmlformats.org/spreadsheetml/2006/main" count="6621" uniqueCount="1950">
  <si>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</si>
  <si>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</si>
  <si>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</si>
  <si>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</si>
  <si>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</si>
  <si>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</si>
  <si>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</si>
  <si>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</si>
  <si>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</si>
  <si>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</si>
  <si>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</si>
  <si>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</si>
  <si>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</si>
  <si>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</si>
  <si>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</si>
  <si>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</si>
  <si>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</si>
  <si>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</si>
  <si>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</si>
  <si>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</si>
  <si>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</si>
  <si>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</si>
  <si>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</si>
  <si>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</si>
  <si>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</si>
  <si>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</si>
  <si>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</si>
  <si>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</si>
  <si>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</si>
  <si>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</si>
  <si>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</si>
  <si>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</si>
  <si>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</si>
  <si>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</si>
  <si>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</si>
  <si>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</si>
  <si>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</si>
  <si>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A</t>
  </si>
  <si>
    <t>Pre-FIRM</t>
  </si>
  <si>
    <t>RES1</t>
  </si>
  <si>
    <t>Residential</t>
  </si>
  <si>
    <t>Basement</t>
  </si>
  <si>
    <t>Assessment (IAS)</t>
  </si>
  <si>
    <t>B</t>
  </si>
  <si>
    <t>B-</t>
  </si>
  <si>
    <t>COM1</t>
  </si>
  <si>
    <t>C-</t>
  </si>
  <si>
    <t>B+</t>
  </si>
  <si>
    <t>COM8</t>
  </si>
  <si>
    <t>Crawlspace</t>
  </si>
  <si>
    <t>D</t>
  </si>
  <si>
    <t>Updated AE</t>
  </si>
  <si>
    <t>COM7</t>
  </si>
  <si>
    <t>COM4</t>
  </si>
  <si>
    <t>C+</t>
  </si>
  <si>
    <t>REL1</t>
  </si>
  <si>
    <t>BOARD OF EDUCATION</t>
  </si>
  <si>
    <t>EDU1</t>
  </si>
  <si>
    <t>Insurance (BRIM)</t>
  </si>
  <si>
    <t>RES4</t>
  </si>
  <si>
    <t>COM2</t>
  </si>
  <si>
    <t>GOV2</t>
  </si>
  <si>
    <t>E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</si>
  <si>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</si>
  <si>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</si>
  <si>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</si>
  <si>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</si>
  <si>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</si>
  <si>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</si>
  <si>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</si>
  <si>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X</t>
  </si>
  <si>
    <t>2008</t>
  </si>
  <si>
    <t>1999</t>
  </si>
  <si>
    <t>0</t>
  </si>
  <si>
    <t>2005</t>
  </si>
  <si>
    <t>2010</t>
  </si>
  <si>
    <t>1970</t>
  </si>
  <si>
    <t>2006</t>
  </si>
  <si>
    <t>1997</t>
  </si>
  <si>
    <t>1960</t>
  </si>
  <si>
    <t>1996</t>
  </si>
  <si>
    <t>Education</t>
  </si>
  <si>
    <t>Government</t>
  </si>
  <si>
    <t>Religious</t>
  </si>
  <si>
    <t>Industrial</t>
  </si>
  <si>
    <t>1</t>
  </si>
  <si>
    <t>2</t>
  </si>
  <si>
    <t>1.0</t>
  </si>
  <si>
    <t>4.0</t>
  </si>
  <si>
    <t>Area (RS Means)</t>
  </si>
  <si>
    <t>2017</t>
  </si>
  <si>
    <t>1990</t>
  </si>
  <si>
    <t>2001</t>
  </si>
  <si>
    <t>1975</t>
  </si>
  <si>
    <t>1994</t>
  </si>
  <si>
    <t>2012</t>
  </si>
  <si>
    <t>2007</t>
  </si>
  <si>
    <t>2009</t>
  </si>
  <si>
    <t>1972</t>
  </si>
  <si>
    <t>1900</t>
  </si>
  <si>
    <t>3.0</t>
  </si>
  <si>
    <t>1998</t>
  </si>
  <si>
    <t>Post-FIRM construction regulated to Pre-FIRM (Mapped into SFHA)</t>
  </si>
  <si>
    <t>1988</t>
  </si>
  <si>
    <t>(Higher than $200,000)</t>
  </si>
  <si>
    <t>2018</t>
  </si>
  <si>
    <t>1992</t>
  </si>
  <si>
    <t>Owner Name or Building ID</t>
  </si>
  <si>
    <t>9999</t>
  </si>
  <si>
    <t>1111</t>
  </si>
  <si>
    <t>2000</t>
  </si>
  <si>
    <t>2014</t>
  </si>
  <si>
    <t>1979</t>
  </si>
  <si>
    <t>2004</t>
  </si>
  <si>
    <t>1982</t>
  </si>
  <si>
    <t>2011</t>
  </si>
  <si>
    <t>2003</t>
  </si>
  <si>
    <t>2002</t>
  </si>
  <si>
    <t>1950</t>
  </si>
  <si>
    <t>1980</t>
  </si>
  <si>
    <t>2016</t>
  </si>
  <si>
    <t>Yes</t>
  </si>
  <si>
    <t>1967</t>
  </si>
  <si>
    <t>1969</t>
  </si>
  <si>
    <t>1974</t>
  </si>
  <si>
    <t>RES3B</t>
  </si>
  <si>
    <t>COM5</t>
  </si>
  <si>
    <t>3</t>
  </si>
  <si>
    <t>2013</t>
  </si>
  <si>
    <t>1989</t>
  </si>
  <si>
    <t>X-</t>
  </si>
  <si>
    <t>1935</t>
  </si>
  <si>
    <t>1965</t>
  </si>
  <si>
    <t>1922</t>
  </si>
  <si>
    <t>6000</t>
  </si>
  <si>
    <t>COM9</t>
  </si>
  <si>
    <t>USA</t>
  </si>
  <si>
    <t>1926</t>
  </si>
  <si>
    <t>COM6</t>
  </si>
  <si>
    <t>5</t>
  </si>
  <si>
    <t>1968</t>
  </si>
  <si>
    <t>1958</t>
  </si>
  <si>
    <t>1918</t>
  </si>
  <si>
    <t>5600</t>
  </si>
  <si>
    <t>CABELL</t>
  </si>
  <si>
    <t>06-03-0018-0061-0001_2300</t>
  </si>
  <si>
    <t>06-05-0003-0306-0000_2900</t>
  </si>
  <si>
    <t>06-05-0046-0174-0000_1130</t>
  </si>
  <si>
    <t>06-05-0046-0174-0000_1401</t>
  </si>
  <si>
    <t>06-09-0007-0034-0000_1302</t>
  </si>
  <si>
    <t>06-07-0040-0043-0000_2100</t>
  </si>
  <si>
    <t>06-09-0005-0033-0000_1201</t>
  </si>
  <si>
    <t>06-05-0013-0512-0000_607</t>
  </si>
  <si>
    <t>06-05-0046-0174-0000_1249</t>
  </si>
  <si>
    <t>06-08-0020-0021-0000_5570</t>
  </si>
  <si>
    <t>06-04-007C-0052-0000_3333</t>
  </si>
  <si>
    <t>06-06-0037-0138-0000_250</t>
  </si>
  <si>
    <t>06-03-0018-0142-0000_100</t>
  </si>
  <si>
    <t>06-05-0061-0547-0000_1601</t>
  </si>
  <si>
    <t>06-01-0016-0105-0000_6330</t>
  </si>
  <si>
    <t>06-04-004K-0033-0000_6900</t>
  </si>
  <si>
    <t>06-02-008C-0044-0001_700</t>
  </si>
  <si>
    <t>06-06-0084-0010-0001_157</t>
  </si>
  <si>
    <t>06-01-0009-0277-0000_1</t>
  </si>
  <si>
    <t>06-05-0018-0434-0000_101</t>
  </si>
  <si>
    <t>06-09-0005-0026-0000_1123</t>
  </si>
  <si>
    <t>06-03-0020-0010-0003_1</t>
  </si>
  <si>
    <t>06-07-0041-0142-0000_1111</t>
  </si>
  <si>
    <t>06-05-0049-0285-0000_1423</t>
  </si>
  <si>
    <t>06-04-003R-0082-0000_4385</t>
  </si>
  <si>
    <t>06-01-008P-0058-0000_500</t>
  </si>
  <si>
    <t>06-01-0002-0019-0001_6365</t>
  </si>
  <si>
    <t>06-05-0060-0084-0000_1338</t>
  </si>
  <si>
    <t>06-05-0003-0177-0000_2810</t>
  </si>
  <si>
    <t>06-01-0002-0089-0001_6070</t>
  </si>
  <si>
    <t>06-02-008C-0051-0000_3661</t>
  </si>
  <si>
    <t>06-01-005D-0003-0000_100</t>
  </si>
  <si>
    <t>06-05-0045-0220-0000_1127</t>
  </si>
  <si>
    <t>06-01-0009-0226-0000_5</t>
  </si>
  <si>
    <t>06-03-0020-0024-0002_1213</t>
  </si>
  <si>
    <t>06-02-008C-0044-0000_800</t>
  </si>
  <si>
    <t>06-09-0005-0306-0000_4</t>
  </si>
  <si>
    <t>06-05-0045-0532-0000_1102</t>
  </si>
  <si>
    <t>06-01-008F-0008-0001_214</t>
  </si>
  <si>
    <t>06-09-0006-0164-0000_292</t>
  </si>
  <si>
    <t>06-04-004N-0001-0000_4644</t>
  </si>
  <si>
    <t>06-03-0012-0052-0004_501</t>
  </si>
  <si>
    <t>06-05-0006-0004-0000_4002</t>
  </si>
  <si>
    <t>06-05-0045-0527-0000_1040</t>
  </si>
  <si>
    <t>06-07-0059-0122-0000_700</t>
  </si>
  <si>
    <t>06-05-0045-0529-0000_1020</t>
  </si>
  <si>
    <t>06-01-0009-0322-0000_8</t>
  </si>
  <si>
    <t>06-09-0005-0027-0000_9999</t>
  </si>
  <si>
    <t>06-05-0011-0487-0000_2850</t>
  </si>
  <si>
    <t>06-01-008P-0006-0000_6414</t>
  </si>
  <si>
    <t>06-09-0005-0221-0000_1041</t>
  </si>
  <si>
    <t>06-09-0006-0180-0000_1</t>
  </si>
  <si>
    <t>06-02-0006-0004-0000_3696</t>
  </si>
  <si>
    <t>06-07-0059-0111-0000_699</t>
  </si>
  <si>
    <t>06-09-0005-0021-0000_222</t>
  </si>
  <si>
    <t>06-05-0045-0528-0000_1030</t>
  </si>
  <si>
    <t>06-09-0005-0219-0000_9999</t>
  </si>
  <si>
    <t>06-07-0059-0113-0000_660</t>
  </si>
  <si>
    <t>06-05-0045-0552-0000_1316</t>
  </si>
  <si>
    <t>06-09-0005-0321-0000_1010</t>
  </si>
  <si>
    <t>06-05-0045-0530-0000_1006</t>
  </si>
  <si>
    <t>06-05-0050-0053-0000_3210</t>
  </si>
  <si>
    <t>06-07-0059-0029-0000_316</t>
  </si>
  <si>
    <t>06-10-0031-0028-0000_2</t>
  </si>
  <si>
    <t>06-01-0010-0021-0016_14</t>
  </si>
  <si>
    <t>06-09-0009-0002-0003_278</t>
  </si>
  <si>
    <t>06-05-0059-0081-0000_812</t>
  </si>
  <si>
    <t>06-06-0058-0236-0001_555</t>
  </si>
  <si>
    <t>06-09-0005-0259-0000_1139</t>
  </si>
  <si>
    <t>Cabell County</t>
  </si>
  <si>
    <t>City of Huntington</t>
  </si>
  <si>
    <t>City of Milton</t>
  </si>
  <si>
    <t>Village of Barboursville</t>
  </si>
  <si>
    <t>Fudges Creek</t>
  </si>
  <si>
    <t>Ohio River</t>
  </si>
  <si>
    <t>Fourpole Creek</t>
  </si>
  <si>
    <t>Mud River</t>
  </si>
  <si>
    <t>Lisle Branch</t>
  </si>
  <si>
    <t>Guyandotte River Tributary Pond</t>
  </si>
  <si>
    <t>Guyandotte River</t>
  </si>
  <si>
    <t>Davis Creek</t>
  </si>
  <si>
    <t>Cyrus Creek</t>
  </si>
  <si>
    <t>Indian Fork</t>
  </si>
  <si>
    <t>Saltwell Road Tributary</t>
  </si>
  <si>
    <t>06-03-0018-0061-0001</t>
  </si>
  <si>
    <t>06-05-0003-0306-0000</t>
  </si>
  <si>
    <t>06-05-0046-0174-0000</t>
  </si>
  <si>
    <t>06-09-0007-0034-0000</t>
  </si>
  <si>
    <t>06-07-0040-0043-0000</t>
  </si>
  <si>
    <t>06-09-0005-0033-0000</t>
  </si>
  <si>
    <t>06-05-0013-0512-0000</t>
  </si>
  <si>
    <t>06-08-0020-0021-0000</t>
  </si>
  <si>
    <t>06-04-007C-0052-0000</t>
  </si>
  <si>
    <t>06-06-0037-0138-0000</t>
  </si>
  <si>
    <t>06-03-0018-0142-0000</t>
  </si>
  <si>
    <t>06-05-0061-0547-0000</t>
  </si>
  <si>
    <t>06-01-0016-0105-0000</t>
  </si>
  <si>
    <t>06-04-004K-0033-0000</t>
  </si>
  <si>
    <t>06-02-008C-0044-0001</t>
  </si>
  <si>
    <t>06-06-0084-0010-0001</t>
  </si>
  <si>
    <t>06-01-0009-0277-0000</t>
  </si>
  <si>
    <t>06-05-0018-0434-0000</t>
  </si>
  <si>
    <t>06-09-0005-0026-0000</t>
  </si>
  <si>
    <t>06-03-0020-0010-0003</t>
  </si>
  <si>
    <t>06-07-0041-0142-0000</t>
  </si>
  <si>
    <t>06-05-0049-0285-0000</t>
  </si>
  <si>
    <t>06-04-003R-0082-0000</t>
  </si>
  <si>
    <t>06-01-008P-0058-0000</t>
  </si>
  <si>
    <t>06-01-0002-0019-0001</t>
  </si>
  <si>
    <t>06-05-0060-0084-0000</t>
  </si>
  <si>
    <t>06-05-0003-0177-0000</t>
  </si>
  <si>
    <t>06-01-0002-0089-0001</t>
  </si>
  <si>
    <t>06-02-008C-0051-0000</t>
  </si>
  <si>
    <t>06-01-005D-0003-0000</t>
  </si>
  <si>
    <t>06-05-0045-0220-0000</t>
  </si>
  <si>
    <t>06-01-0009-0226-0000</t>
  </si>
  <si>
    <t>06-03-0020-0024-0002</t>
  </si>
  <si>
    <t>06-02-008C-0044-0000</t>
  </si>
  <si>
    <t>06-09-0005-0306-0000</t>
  </si>
  <si>
    <t>06-05-0045-0532-0000</t>
  </si>
  <si>
    <t>06-01-008F-0008-0001</t>
  </si>
  <si>
    <t>06-09-0006-0164-0000</t>
  </si>
  <si>
    <t>06-04-004N-0001-0000</t>
  </si>
  <si>
    <t>06-03-0012-0052-0004</t>
  </si>
  <si>
    <t>06-05-0006-0004-0000</t>
  </si>
  <si>
    <t>06-05-0045-0527-0000</t>
  </si>
  <si>
    <t>06-07-0059-0122-0000</t>
  </si>
  <si>
    <t>06-05-0045-0529-0000</t>
  </si>
  <si>
    <t>06-01-0009-0322-0000</t>
  </si>
  <si>
    <t>06-09-0005-0027-0000</t>
  </si>
  <si>
    <t>06-05-0011-0487-0000</t>
  </si>
  <si>
    <t>06-01-008P-0006-0000</t>
  </si>
  <si>
    <t>06-09-0005-0221-0000</t>
  </si>
  <si>
    <t>06-09-0006-0180-0000</t>
  </si>
  <si>
    <t>06-02-0006-0004-0000</t>
  </si>
  <si>
    <t>06-07-0059-0111-0000</t>
  </si>
  <si>
    <t>06-09-0005-0021-0000</t>
  </si>
  <si>
    <t>06-05-0045-0528-0000</t>
  </si>
  <si>
    <t>06-09-0005-0219-0000</t>
  </si>
  <si>
    <t>06-07-0059-0113-0000</t>
  </si>
  <si>
    <t>06-05-0045-0552-0000</t>
  </si>
  <si>
    <t>06-09-0005-0321-0000</t>
  </si>
  <si>
    <t>06-05-0045-0530-0000</t>
  </si>
  <si>
    <t>06-05-0050-0053-0000</t>
  </si>
  <si>
    <t>06-07-0059-0029-0000</t>
  </si>
  <si>
    <t>06-10-0031-0028-0000</t>
  </si>
  <si>
    <t>06-01-0010-0021-0016</t>
  </si>
  <si>
    <t>06-09-0009-0002-0003</t>
  </si>
  <si>
    <t>06-05-0059-0081-0000</t>
  </si>
  <si>
    <t>06-06-0058-0236-0001</t>
  </si>
  <si>
    <t>06-09-0005-0259-0000</t>
  </si>
  <si>
    <t>2300 US 60 HWY, ONA, WV, 25545</t>
  </si>
  <si>
    <t>2900 1ST AVE, HUNTINGTON, WV, 25702</t>
  </si>
  <si>
    <t>1130 14th St, Huntington, WV, 25701</t>
  </si>
  <si>
    <t>1401 CHARLESTON AVE, HUNTINGTON, WV, 25701</t>
  </si>
  <si>
    <t>1302 W MAIN ST, MILTON, WV, 25541</t>
  </si>
  <si>
    <t>2100 WASHINGTON AVE, HUNTINGTON, WV, 25704</t>
  </si>
  <si>
    <t>1201 PIKE ST, MILTON, WV, 25541</t>
  </si>
  <si>
    <t>607 5TH AVE, HUNTINGTON, WV, 25702</t>
  </si>
  <si>
    <t>1249 15TH ST, HUNTINGTON, WV, 25701</t>
  </si>
  <si>
    <t>5570 MADISON CREEK RD, SALT ROCK, WV, 25559</t>
  </si>
  <si>
    <t>3333 MIDLAND TRAIL, HUNTINGTON, WV, 25705</t>
  </si>
  <si>
    <t>250 3RD ST, HUNTINGTON, WV, 25705</t>
  </si>
  <si>
    <t>100 WEATHERHOLT DR, ONA, WV, 25545</t>
  </si>
  <si>
    <t>1601 WASHINGTON BLVD, HUNTINGTON, WV, 25701</t>
  </si>
  <si>
    <t>6330 DAVIS CREEK RD, BARBOURSVILLE, WV, 25504</t>
  </si>
  <si>
    <t>6900 W COUNTRY CLUB DR, HUNTINGTON, WV, 25705</t>
  </si>
  <si>
    <t>700 MALL RD, BARBOURSVILLE, WV, 25504</t>
  </si>
  <si>
    <t>157 KINETIC DR, HUNTINGTON, WV, 25701</t>
  </si>
  <si>
    <t>1 CRACKER BARREL DR, BARBOURSVILLE, WV, 25504</t>
  </si>
  <si>
    <t>101 13TH ST, HUNTINGTON, WV, 25701</t>
  </si>
  <si>
    <t>1123 CHURCH ST, MILTON, WV, 25541</t>
  </si>
  <si>
    <t>1 PUMPKIN WAY, MILTON, WV, 25541</t>
  </si>
  <si>
    <t>1111 ADAMS AVE, HUNTINGTON, WV, 25704</t>
  </si>
  <si>
    <t>1423 MIDLAND TRAIL, HUNTINGTON, WV, 25705</t>
  </si>
  <si>
    <t>4385 US 60 HWY, HUNTINGTON, WV, 25705</t>
  </si>
  <si>
    <t>500 ELIZABETH LN, BARBOURSVILLE, WV, 25504</t>
  </si>
  <si>
    <t>6365 COX LANDING RD, LESAGE, WV, 25537</t>
  </si>
  <si>
    <t>1338 ENSLOW BLVD, HUNTINGTON, WV, 25701</t>
  </si>
  <si>
    <t>2810 N STAUNTON RD, HUNTINGTON, WV, 25702</t>
  </si>
  <si>
    <t>6070 OHIO RIVER RD, HUNTINGTON, WV, 25702</t>
  </si>
  <si>
    <t>3661 US 60 HWY, BARBOURSVILLE, WV, 25504</t>
  </si>
  <si>
    <t>100 INDUSTRIAL LN, HUNTINGTON, WV, 25702</t>
  </si>
  <si>
    <t>1127 13TH ST, HUNTINGTON, WV, 25701</t>
  </si>
  <si>
    <t>5 CRACKER BARREL DR, BARBOURSVILLE, WV, 25504</t>
  </si>
  <si>
    <t>1213 MIDLAND TRAIL MILTON, WV, 25541</t>
  </si>
  <si>
    <t>800 MALL RD, BARBOURSVILLE, WV, 25504</t>
  </si>
  <si>
    <t>4 PERRY MORRIS SQ, MILTON, WV, 25541</t>
  </si>
  <si>
    <t>1102 13TH AVE, HUNTINGTON, WV, 25701</t>
  </si>
  <si>
    <t>214 GARDEN LN, HUNTINGTON, WV, 25705</t>
  </si>
  <si>
    <t>292 E MAIN ST, MILTON WV, 25541</t>
  </si>
  <si>
    <t>4644 US 60 HWY, HUNTINGTON, WV, 25705</t>
  </si>
  <si>
    <t>501 SECRETARIAT WAY, ONA, WV, 25545</t>
  </si>
  <si>
    <t>4002 OHIO RIVER RD, HUNTINGTON, WV, 25702</t>
  </si>
  <si>
    <t>1040 13TH AVE, HUNTINGTON, WV, 25701</t>
  </si>
  <si>
    <t>700 NORTH BLVD, HUNTINGTON, WV, 25701</t>
  </si>
  <si>
    <t>1020 13TH AVE, HUNTINGTON, WV, 25701</t>
  </si>
  <si>
    <t>8 CARRIAGE LN, BARBOURSVILLE, WV, 25504</t>
  </si>
  <si>
    <t>9999 CHURCH ST, MILTON, WV, 25541</t>
  </si>
  <si>
    <t>2850 5TH AVE, HUNTINGTON, WV, 25702</t>
  </si>
  <si>
    <t>6414 MIDLAND TRAIL, BARBOURSVILLE, WV, 25504</t>
  </si>
  <si>
    <t>1041 CHURCH ST, MILTON, WV, 25541</t>
  </si>
  <si>
    <t>1 HARBOUR WAY, MILTON, WV, 25541</t>
  </si>
  <si>
    <t>3696 MIDLAND TRAIL, BARBOURSVILLE, WV, 25504</t>
  </si>
  <si>
    <t>699 13TH AVE, HUNTINGTON, WV, 25701</t>
  </si>
  <si>
    <t>222 ORCHARD ST, MILTON, WV, 25541</t>
  </si>
  <si>
    <t>1030 13TH AVE, HUNTINGTON, WV, 25701</t>
  </si>
  <si>
    <t>660 NORTH BLVD, HUNTINGTON, WV, 25701</t>
  </si>
  <si>
    <t>1316 12TH ST, HUNTINGTON, WV, 25701</t>
  </si>
  <si>
    <t>1010 SOUTH ST, MILTON, WV, 25541</t>
  </si>
  <si>
    <t>1006 13TH AVE, HUNTINGTON, WV, 25701</t>
  </si>
  <si>
    <t>3210 WASHINGTON BLVD, HUNTINGTON, WV, 25705</t>
  </si>
  <si>
    <t>316 NORTH BLVD, HUNTINGTON, WV, 25701</t>
  </si>
  <si>
    <t>2 FAIR SKIES DR, ONA, WV, 25545</t>
  </si>
  <si>
    <t>14 RIVERWALK DR, ONA, WV, 25545</t>
  </si>
  <si>
    <t>278 E MAIN ST, MILTON, WV, 25541</t>
  </si>
  <si>
    <t>812 13TH AVE, HUNTINGTON, WV, 25701</t>
  </si>
  <si>
    <t>555 SPRING DR, HUNTINGTON, WV, 25701</t>
  </si>
  <si>
    <t>1139 SMITH ST, MILTON, WV, 25541</t>
  </si>
  <si>
    <t>Advisory A</t>
  </si>
  <si>
    <t>ST MARYS MEDICAL CENTER INC</t>
  </si>
  <si>
    <t>MARSHALL UNIVERSITY BD OF GOV</t>
  </si>
  <si>
    <t>WAL-MART REAL EST BUSINESS TR</t>
  </si>
  <si>
    <t>HEALTH CARE REIT INC</t>
  </si>
  <si>
    <t>HEALTHSOUTH WV REAL EST LLC</t>
  </si>
  <si>
    <t>LOWE'S HOME CENTERS INC</t>
  </si>
  <si>
    <t>PLATINUM HOSPITALITY LLC</t>
  </si>
  <si>
    <t>GATEWAY HOSPITALITY BVILLE LLC</t>
  </si>
  <si>
    <t>LG OHI HUNTINGTON LLC</t>
  </si>
  <si>
    <t>MILTON BAPTIST CHURCH</t>
  </si>
  <si>
    <t>WV PUMPKIN FESTIVAL INC</t>
  </si>
  <si>
    <t>GRACE GOSPEL CHURCH</t>
  </si>
  <si>
    <t>BOLEN FAMILY TRUST</t>
  </si>
  <si>
    <t>SOULS FOR CHRIST BAPT CHURCH</t>
  </si>
  <si>
    <t>KEATON RICK L</t>
  </si>
  <si>
    <t>CABELL COUNTY PUBLIC LIBRARY</t>
  </si>
  <si>
    <t>ENSLOW PK PRESBYTERIAN CHURCH</t>
  </si>
  <si>
    <t>PALLOTINE MISSIONARY SISTERS</t>
  </si>
  <si>
    <t>SERVICE MACHINE CO</t>
  </si>
  <si>
    <t>FELLOWSHIP BAPTIST CHURCH</t>
  </si>
  <si>
    <t>ADJ CORP</t>
  </si>
  <si>
    <t>DIETZ RENTALS LLC</t>
  </si>
  <si>
    <t>R E X INC</t>
  </si>
  <si>
    <t>MILTON FLEA MARKET INC</t>
  </si>
  <si>
    <t>HTGN MALL CO</t>
  </si>
  <si>
    <t>REALCO LIMITED LIABILITY CO</t>
  </si>
  <si>
    <t>WARFIELD JONN D &amp; LAURA L</t>
  </si>
  <si>
    <t>DETEMPLE RONALD E &amp; SUSAN W</t>
  </si>
  <si>
    <t>MILTON PLAZA INC</t>
  </si>
  <si>
    <t>J&amp;D INC</t>
  </si>
  <si>
    <t>WHEELER SCOTT H &amp; TEIGH S</t>
  </si>
  <si>
    <t>WV-AMERICAN WATER CO</t>
  </si>
  <si>
    <t>HUTCHISON WINFORD S &amp; LAYA</t>
  </si>
  <si>
    <t>JANUSZKIEWICZ PATRICIA</t>
  </si>
  <si>
    <t>NORWECK JAMES &amp; MICHELLE</t>
  </si>
  <si>
    <t>WALTRUST PROPERTIES INC</t>
  </si>
  <si>
    <t>CITY NATIONAL BANK OF WV</t>
  </si>
  <si>
    <t>AYERS BETTY</t>
  </si>
  <si>
    <t>CATHY P DANIEL LLC</t>
  </si>
  <si>
    <t>STAPLETON SCOTT G &amp; GAIL</t>
  </si>
  <si>
    <t>S A JOHNSON ENTERPRISES LLC</t>
  </si>
  <si>
    <t>EARL DANIEL A</t>
  </si>
  <si>
    <t>FIRST METHODIST CHURCH</t>
  </si>
  <si>
    <t>TAYLOR KELLY N</t>
  </si>
  <si>
    <t>MILLER MATT F &amp; CAROL D</t>
  </si>
  <si>
    <t>WEC 97A-26 INVESTMENT TRUST</t>
  </si>
  <si>
    <t>LEWIS NANCY F</t>
  </si>
  <si>
    <t>ALLIED FOOD INDUSTRIES INC</t>
  </si>
  <si>
    <t>YON DANIEL T &amp; ANNE M</t>
  </si>
  <si>
    <t>ONA LAND MGMT SERVIES LLC</t>
  </si>
  <si>
    <t>JAQUINT MATTHEW D</t>
  </si>
  <si>
    <t>DAVIS CWV LLC</t>
  </si>
  <si>
    <t>GOODING KELLIE K &amp; DANIEL E</t>
  </si>
  <si>
    <t>HATFIELD REVOCABLE LIV TRUST</t>
  </si>
  <si>
    <t>TOWN OF MILTON</t>
  </si>
  <si>
    <t>2019</t>
  </si>
  <si>
    <t>1940</t>
  </si>
  <si>
    <t>1944</t>
  </si>
  <si>
    <t>1952</t>
  </si>
  <si>
    <t>A+</t>
  </si>
  <si>
    <t>1991</t>
  </si>
  <si>
    <t>1937</t>
  </si>
  <si>
    <t>X+</t>
  </si>
  <si>
    <t>1963</t>
  </si>
  <si>
    <t>1919</t>
  </si>
  <si>
    <t>S+</t>
  </si>
  <si>
    <t>1955</t>
  </si>
  <si>
    <t>1942</t>
  </si>
  <si>
    <t>1925</t>
  </si>
  <si>
    <t>1973</t>
  </si>
  <si>
    <t>2015</t>
  </si>
  <si>
    <t>EDU2</t>
  </si>
  <si>
    <t>RES6</t>
  </si>
  <si>
    <t>4</t>
  </si>
  <si>
    <t>238000</t>
  </si>
  <si>
    <t>1000000</t>
  </si>
  <si>
    <t>21615</t>
  </si>
  <si>
    <t>61357</t>
  </si>
  <si>
    <t>48000</t>
  </si>
  <si>
    <t>41500</t>
  </si>
  <si>
    <t>45552</t>
  </si>
  <si>
    <t>38900</t>
  </si>
  <si>
    <t>23000</t>
  </si>
  <si>
    <t>36712</t>
  </si>
  <si>
    <t>209559</t>
  </si>
  <si>
    <t>27300</t>
  </si>
  <si>
    <t>64020</t>
  </si>
  <si>
    <t>28872</t>
  </si>
  <si>
    <t>29484</t>
  </si>
  <si>
    <t>64220</t>
  </si>
  <si>
    <t>112317</t>
  </si>
  <si>
    <t>43044</t>
  </si>
  <si>
    <t>47400</t>
  </si>
  <si>
    <t>75478</t>
  </si>
  <si>
    <t>43616</t>
  </si>
  <si>
    <t>43544</t>
  </si>
  <si>
    <t>47832</t>
  </si>
  <si>
    <t>43840</t>
  </si>
  <si>
    <t>38727</t>
  </si>
  <si>
    <t>58520</t>
  </si>
  <si>
    <t>5500</t>
  </si>
  <si>
    <t>34201</t>
  </si>
  <si>
    <t>18024</t>
  </si>
  <si>
    <t>73302</t>
  </si>
  <si>
    <t>28554</t>
  </si>
  <si>
    <t>78900</t>
  </si>
  <si>
    <t>26952</t>
  </si>
  <si>
    <t>25000</t>
  </si>
  <si>
    <t>54318</t>
  </si>
  <si>
    <t>28740</t>
  </si>
  <si>
    <t>59906</t>
  </si>
  <si>
    <t>6058</t>
  </si>
  <si>
    <t>21888</t>
  </si>
  <si>
    <t>42300</t>
  </si>
  <si>
    <t>27585</t>
  </si>
  <si>
    <t>4875</t>
  </si>
  <si>
    <t>14000</t>
  </si>
  <si>
    <t>3504</t>
  </si>
  <si>
    <t>3722</t>
  </si>
  <si>
    <t>6655</t>
  </si>
  <si>
    <t>9460</t>
  </si>
  <si>
    <t>197220</t>
  </si>
  <si>
    <t>14677</t>
  </si>
  <si>
    <t>9928</t>
  </si>
  <si>
    <t>7740</t>
  </si>
  <si>
    <t>25564</t>
  </si>
  <si>
    <t>4945</t>
  </si>
  <si>
    <t>15008</t>
  </si>
  <si>
    <t>4305</t>
  </si>
  <si>
    <t>14465</t>
  </si>
  <si>
    <t>4021</t>
  </si>
  <si>
    <t>5454</t>
  </si>
  <si>
    <t>11397</t>
  </si>
  <si>
    <t>3838</t>
  </si>
  <si>
    <t>9800</t>
  </si>
  <si>
    <t>4733</t>
  </si>
  <si>
    <t>6091</t>
  </si>
  <si>
    <t>5357</t>
  </si>
  <si>
    <t>11986</t>
  </si>
  <si>
    <t>4104</t>
  </si>
  <si>
    <t>5133</t>
  </si>
  <si>
    <t>9208</t>
  </si>
  <si>
    <t>1.5</t>
  </si>
  <si>
    <t>(Higher than $400,000)</t>
  </si>
  <si>
    <t>LINCOLN</t>
  </si>
  <si>
    <t>22-04-0024-0018-0001_1246</t>
  </si>
  <si>
    <t>22-02-0035-0003-0000_5304</t>
  </si>
  <si>
    <t>22-09-016A-0008-0001_177</t>
  </si>
  <si>
    <t>22-10-0007-0004-0002_10A</t>
  </si>
  <si>
    <t>22-10-0007-0004-0002_10</t>
  </si>
  <si>
    <t>22-09-0010-0003-0000_267</t>
  </si>
  <si>
    <t>22-09-0009-0063-0002_200</t>
  </si>
  <si>
    <t>22-01-0020-0066-0000_8315</t>
  </si>
  <si>
    <t>22-02-0014-0040-0000_5312</t>
  </si>
  <si>
    <t>22-09-0007-0014-0000_2368</t>
  </si>
  <si>
    <t>22-02-0019-0049-0000_4989</t>
  </si>
  <si>
    <t>22-09-0007-0003-0001_2309</t>
  </si>
  <si>
    <t>22-09-0009-0063-0000_589</t>
  </si>
  <si>
    <t>22-09-0007-0080-0002_382</t>
  </si>
  <si>
    <t>22-09-0015-0038-0000_13</t>
  </si>
  <si>
    <t>22-01-0016-0048-0001_8333</t>
  </si>
  <si>
    <t>22-09-0003-0018-0003_22</t>
  </si>
  <si>
    <t>22-09-0007-0003-0001_2309A</t>
  </si>
  <si>
    <t>22-01-0019-0009-0006_7300</t>
  </si>
  <si>
    <t>22-01-0019-0041-0001_69</t>
  </si>
  <si>
    <t>22-09-0005-0032-0001_4322</t>
  </si>
  <si>
    <t>22-02-0029-0031-0000_2508</t>
  </si>
  <si>
    <t>22-04-0026-0027-0010_225</t>
  </si>
  <si>
    <t>22-03-0002-0083-0000_220</t>
  </si>
  <si>
    <t>22-08-0011-0061-0000_9999</t>
  </si>
  <si>
    <t>22-02-0006-0017-0000_1606</t>
  </si>
  <si>
    <t>22-05-0013-0039-0000_1740</t>
  </si>
  <si>
    <t>22-02-0006-0026-0001_167</t>
  </si>
  <si>
    <t>22-01-0035-0053-0002_7703</t>
  </si>
  <si>
    <t>22-04-0020-0013-0000_15</t>
  </si>
  <si>
    <t>22-03-0002-0051-0000_315</t>
  </si>
  <si>
    <t>22-09-0003-0032-0006_4862</t>
  </si>
  <si>
    <t>22-04-0033-0038-0009_331</t>
  </si>
  <si>
    <t>22-09-0003-0032-0007_4774</t>
  </si>
  <si>
    <t>22-02-0003-0032-0000_1532</t>
  </si>
  <si>
    <t>22-04-0025-0011-0022_21</t>
  </si>
  <si>
    <t>1246 MCCLELLAN HWY, Harts, WV, 25524</t>
  </si>
  <si>
    <t>5304 STRAIGHT FRK, Griffithsville, WV, 25521</t>
  </si>
  <si>
    <t>177 MCCORKLE RD, Sod, WV, 25564</t>
  </si>
  <si>
    <t>10A CLAUDIA CT, Branchland, WV, 25506</t>
  </si>
  <si>
    <t>10 CLAUDIA CT, Branchland, WV, 25506</t>
  </si>
  <si>
    <t>267 MIDWAY RD, ALUM CREEK, WV, 25003</t>
  </si>
  <si>
    <t>200 ELM ST, Alum Creek, WV, 25003</t>
  </si>
  <si>
    <t>8315 COURT AVE, Hamlin, WV, 25523</t>
  </si>
  <si>
    <t>5312 STRAIGHT FRK, Griffithsville, WV, 25521</t>
  </si>
  <si>
    <t>2368 CHILDRESS RD, Alum Creek, WV, 25003</t>
  </si>
  <si>
    <t>4989 STRAIGHT FRK, Griffithsville, WV, 25521</t>
  </si>
  <si>
    <t>2309 CHILDRESS RD, Alum Creek, WV, 25003</t>
  </si>
  <si>
    <t>589 MIDWAY RD, Alum Creek, WV, 25003</t>
  </si>
  <si>
    <t>382 MIDWAY RD, Alum Creek, WV, 25003</t>
  </si>
  <si>
    <t>13 ELY FRK, Sumerco, WV, 25567</t>
  </si>
  <si>
    <t>8333 COURT AVE, Hamlin, WV, 25523</t>
  </si>
  <si>
    <t>22 PEAR TREE DR, Tornado, WV, 25202</t>
  </si>
  <si>
    <t>2309A CHILDRESS RD, Alum Creek, WV, 25003</t>
  </si>
  <si>
    <t>7300 LYNN AVE, Hamlin, WV, 25523</t>
  </si>
  <si>
    <t>69 LIONS CLUB WAY, Hamlin, WV, 25523</t>
  </si>
  <si>
    <t>4322 COAL RIVER RD, Alum Creek, WV, 25003</t>
  </si>
  <si>
    <t>2508 STRAIGHT FRK, Alkol, WV, 25501</t>
  </si>
  <si>
    <t>225 GREENSHOALS RD, Harts, WV, 25524</t>
  </si>
  <si>
    <t>220 MAIN ST, Hamlin, WV, 25523</t>
  </si>
  <si>
    <t>9999 OLE HENRYS LN, Branchland, WV, 25506</t>
  </si>
  <si>
    <t>1606 GARRETTS BND, Sod, WV, 25564</t>
  </si>
  <si>
    <t>1740 BULGER RD, Alkol, WV, 25501</t>
  </si>
  <si>
    <t>167 JONAS FARM RD, Sod, WV, 25564</t>
  </si>
  <si>
    <t>7703 LYNN AVE, Hamlin, WV, 25523</t>
  </si>
  <si>
    <t>15 ROSEWOOD RD, Harts, WV, 25524</t>
  </si>
  <si>
    <t>315 MAPLE ST, Hamlin, WV, 25523</t>
  </si>
  <si>
    <t>4862 COAL RIVER RD, Tornado, WV, 25202</t>
  </si>
  <si>
    <t>331 HARTS CRK, Harts, WV, 25524</t>
  </si>
  <si>
    <t>4774 COAL RIVER RD, Alum Creek, WV, 25003</t>
  </si>
  <si>
    <t>1532 GARRETTS BND, Sod, WV, 25564</t>
  </si>
  <si>
    <t>21 EAST FRK, Harts, WV, 25524</t>
  </si>
  <si>
    <t>22-04-0024-0018-0001</t>
  </si>
  <si>
    <t>22-02-0035-0003-0000</t>
  </si>
  <si>
    <t>22-09-016A-0008-0001</t>
  </si>
  <si>
    <t>22-10-0007-0004-0002</t>
  </si>
  <si>
    <t>22-09-0010-0003-0000</t>
  </si>
  <si>
    <t>22-09-0009-0063-0002</t>
  </si>
  <si>
    <t>22-01-0020-0066-0000</t>
  </si>
  <si>
    <t>22-02-0014-0040-0000</t>
  </si>
  <si>
    <t>22-09-0007-0014-0000</t>
  </si>
  <si>
    <t>22-02-0019-0049-0000</t>
  </si>
  <si>
    <t>22-09-0007-0003-0001</t>
  </si>
  <si>
    <t>22-09-0009-0063-0000</t>
  </si>
  <si>
    <t>22-09-0007-0080-0002</t>
  </si>
  <si>
    <t>22-09-0015-0038-0000</t>
  </si>
  <si>
    <t>22-01-0016-0048-0001</t>
  </si>
  <si>
    <t>22-09-0003-0018-0003</t>
  </si>
  <si>
    <t>22-01-0019-0009-0006</t>
  </si>
  <si>
    <t>22-01-0019-0041-0001</t>
  </si>
  <si>
    <t>22-09-0005-0032-0001</t>
  </si>
  <si>
    <t>22-02-0029-0031-0000</t>
  </si>
  <si>
    <t>22-04-0026-0027-0010</t>
  </si>
  <si>
    <t>22-03-0002-0083-0000</t>
  </si>
  <si>
    <t>22-08-0011-0061-0000</t>
  </si>
  <si>
    <t>22-02-0006-0017-0000</t>
  </si>
  <si>
    <t>22-05-0013-0039-0000</t>
  </si>
  <si>
    <t>22-02-0006-0026-0001</t>
  </si>
  <si>
    <t>22-01-0035-0053-0002</t>
  </si>
  <si>
    <t>22-04-0020-0013-0000</t>
  </si>
  <si>
    <t>22-03-0002-0051-0000</t>
  </si>
  <si>
    <t>22-09-0003-0032-0006</t>
  </si>
  <si>
    <t>22-04-0033-0038-0009</t>
  </si>
  <si>
    <t>22-09-0003-0032-0007</t>
  </si>
  <si>
    <t>22-02-0003-0032-0000</t>
  </si>
  <si>
    <t>22-04-0025-0011-0022</t>
  </si>
  <si>
    <t>Lincoln County</t>
  </si>
  <si>
    <t>Town of Hamlin</t>
  </si>
  <si>
    <t>Straight Fork</t>
  </si>
  <si>
    <t>Cobb Creek</t>
  </si>
  <si>
    <t>Fuquay Creek</t>
  </si>
  <si>
    <t>Ely Fork</t>
  </si>
  <si>
    <t>Coal River</t>
  </si>
  <si>
    <t>Peters Cave Fork</t>
  </si>
  <si>
    <t>Green Shoals Branch</t>
  </si>
  <si>
    <t>Hayzlett Fork</t>
  </si>
  <si>
    <t xml:space="preserve">Left Fork Mud River </t>
  </si>
  <si>
    <t>Joes Creek</t>
  </si>
  <si>
    <t>Lefthand Creek</t>
  </si>
  <si>
    <t>Big Harts Creek</t>
  </si>
  <si>
    <t>Trace Fork</t>
  </si>
  <si>
    <t>LINCOLN COUNTY BOARD OF ED</t>
  </si>
  <si>
    <t>LINCOLN COUNTY BOARD OF EDUCATION</t>
  </si>
  <si>
    <t>MCCORKLE FREEWILL BAPTIST CHURCH</t>
  </si>
  <si>
    <t>CO EMERALD GARDENS LP</t>
  </si>
  <si>
    <t>CO BUCKEYE COMMUNITY THIRTY TWO, LP</t>
  </si>
  <si>
    <t>CO MK-MENLO II PROPERTY OWNER, LLC</t>
  </si>
  <si>
    <t>CO LINCOLN COUNTY BOARD OF EDUCATION</t>
  </si>
  <si>
    <t>CHURCH OF CHRIST OF ALUM CREEK</t>
  </si>
  <si>
    <t>YAWKEY M E CHURCH</t>
  </si>
  <si>
    <t>BAILEY RONNIE &amp; ETALS TRUSTEE INDEPENDENT  MISS BAPT CHURCH</t>
  </si>
  <si>
    <t>CO CGP DEVELOPMENT CO INC</t>
  </si>
  <si>
    <t>FRANKLIN BOBBY</t>
  </si>
  <si>
    <t>LINCOLN COUNTY COMMISSION</t>
  </si>
  <si>
    <t>WHITE IDA SHARON</t>
  </si>
  <si>
    <t>MEANS DAVID &amp; KIMBERLY SURV</t>
  </si>
  <si>
    <t>INDEPENDENT MISS BAP CH OF</t>
  </si>
  <si>
    <t>CO SKAFF FAMILY LIMITED FAMILY PARTNERSHIP</t>
  </si>
  <si>
    <t>HAMLIN LIONS CLUB</t>
  </si>
  <si>
    <t>SKEENES JERRY W &amp; KATHERN SURV</t>
  </si>
  <si>
    <t>MORRISVALE VOLUNTEER FIRE DEPT INC.,</t>
  </si>
  <si>
    <t>THE TRUSTEES OF THE FREEWILL BAPTIST CHURCH OF CHRIST</t>
  </si>
  <si>
    <t>TOWN OF HAMLIN</t>
  </si>
  <si>
    <t>HUDSON VICTORIA &amp; JAMES STOWERS (SURV)</t>
  </si>
  <si>
    <t>LINCOLN COUNTY PARKS &amp; RECREATION COMMISSION</t>
  </si>
  <si>
    <t>SPUDUCK DONALD G &amp; RUTH SURV</t>
  </si>
  <si>
    <t>ALFORD HOLLY M.</t>
  </si>
  <si>
    <t>STONE EMILEE WB29-268</t>
  </si>
  <si>
    <t>CO STEP BY STEP, INC</t>
  </si>
  <si>
    <t>KOONTZ JEREMY SHANE</t>
  </si>
  <si>
    <t>CURRY RANDY L &amp; ARLENE G SURV</t>
  </si>
  <si>
    <t>COLE BRANCH CHURCH</t>
  </si>
  <si>
    <t>HAYNES FRANK F &amp; RENIE SURV</t>
  </si>
  <si>
    <t>ELIZABETH MISSIONARY BAPTIST CHURCH</t>
  </si>
  <si>
    <t>CHAPMAN FREEWILL MEMORIAL CHUR CH</t>
  </si>
  <si>
    <t>S-</t>
  </si>
  <si>
    <t>1948</t>
  </si>
  <si>
    <t>1964</t>
  </si>
  <si>
    <t>RES3D</t>
  </si>
  <si>
    <t>58201</t>
  </si>
  <si>
    <t>81280</t>
  </si>
  <si>
    <t>16120</t>
  </si>
  <si>
    <t>15588</t>
  </si>
  <si>
    <t>13360</t>
  </si>
  <si>
    <t>21965</t>
  </si>
  <si>
    <t>25518</t>
  </si>
  <si>
    <t>10920</t>
  </si>
  <si>
    <t>7936</t>
  </si>
  <si>
    <t>11375</t>
  </si>
  <si>
    <t>2170</t>
  </si>
  <si>
    <t>8016</t>
  </si>
  <si>
    <t>9356</t>
  </si>
  <si>
    <t>10734</t>
  </si>
  <si>
    <t>30020</t>
  </si>
  <si>
    <t>5456</t>
  </si>
  <si>
    <t>6864</t>
  </si>
  <si>
    <t>12180</t>
  </si>
  <si>
    <t>6800</t>
  </si>
  <si>
    <t>5436</t>
  </si>
  <si>
    <t>8188</t>
  </si>
  <si>
    <t>5015</t>
  </si>
  <si>
    <t>4138</t>
  </si>
  <si>
    <t>5760</t>
  </si>
  <si>
    <t>9956</t>
  </si>
  <si>
    <t>3932</t>
  </si>
  <si>
    <t>5073</t>
  </si>
  <si>
    <t>4586</t>
  </si>
  <si>
    <t>4986</t>
  </si>
  <si>
    <t>3868</t>
  </si>
  <si>
    <t>4460</t>
  </si>
  <si>
    <t>3800</t>
  </si>
  <si>
    <t>19488</t>
  </si>
  <si>
    <t>2800</t>
  </si>
  <si>
    <t>LOGAN</t>
  </si>
  <si>
    <t>23-01-0005-0037-0000_506</t>
  </si>
  <si>
    <t>23-05-0004-0002-0000_14</t>
  </si>
  <si>
    <t>23-01-0006-0001-0000_774</t>
  </si>
  <si>
    <t>23-08-0139-0025-0000_1</t>
  </si>
  <si>
    <t>23-03-0196-0003-0000_7061</t>
  </si>
  <si>
    <t>23-03-0002-0095-0000_1034</t>
  </si>
  <si>
    <t>23-03-0056-0086-0000_1070</t>
  </si>
  <si>
    <t>23-04-0158-0001-0000_1125</t>
  </si>
  <si>
    <t>23-02-0108-0012-0000_29</t>
  </si>
  <si>
    <t>23-02-0026-0091-0000_407</t>
  </si>
  <si>
    <t>23-01-0002-0104-0000_9998</t>
  </si>
  <si>
    <t>23-03-0155-0085-0000_1690</t>
  </si>
  <si>
    <t>23-01-0002-0115-0000_647</t>
  </si>
  <si>
    <t>23-01-0007-0017-0000_47</t>
  </si>
  <si>
    <t>23-03-0165-0001-0000_230</t>
  </si>
  <si>
    <t>23-03-0050-0071-0000_4795</t>
  </si>
  <si>
    <t>23-04-0169-0003-0000_881</t>
  </si>
  <si>
    <t>23-03-0065-0001-0000_163</t>
  </si>
  <si>
    <t>23-03-0050-0071-0000_4831</t>
  </si>
  <si>
    <t>23-03-0043-0010-0000_518</t>
  </si>
  <si>
    <t>23-08-0024-0012-0000_2367</t>
  </si>
  <si>
    <t>23-08-0110-0001-0000_27</t>
  </si>
  <si>
    <t>23-08-0139-0018-0000_31</t>
  </si>
  <si>
    <t>23-02-0112-0079-0001_87</t>
  </si>
  <si>
    <t>23-08-0153-0005-0000_9999</t>
  </si>
  <si>
    <t>23-06-0004-0103-0000_9999</t>
  </si>
  <si>
    <t>23-08-0014-0039-0000_1990</t>
  </si>
  <si>
    <t>23-08-0025-0109-0001_397</t>
  </si>
  <si>
    <t>23-01-0001-0044-0000_134</t>
  </si>
  <si>
    <t>23-01-0001-0044-0000_146</t>
  </si>
  <si>
    <t>23-02-0112-0003-0006_1678</t>
  </si>
  <si>
    <t>23-02-0119-0024-0002_246</t>
  </si>
  <si>
    <t>23-02-0136-0007-0001_1175A</t>
  </si>
  <si>
    <t>23-03-166A-0005-0000_332</t>
  </si>
  <si>
    <t>23-03-0050-0049-0000_26</t>
  </si>
  <si>
    <t>23-02-0159-0012-0000_556</t>
  </si>
  <si>
    <t>23-04-0169-0002-0000_1924</t>
  </si>
  <si>
    <t>23-06-0003-0148-0000_100</t>
  </si>
  <si>
    <t>23-08-0108-0003-0000_10854</t>
  </si>
  <si>
    <t>23-03-0048-0163-0000_5914</t>
  </si>
  <si>
    <t>23-08-0139-0001-0000_260</t>
  </si>
  <si>
    <t>23-01-0002-0104-0000_9999</t>
  </si>
  <si>
    <t>23-02-0123-0037-0000_7984</t>
  </si>
  <si>
    <t>23-03-0050-0056-0000_14</t>
  </si>
  <si>
    <t>23-03-0003-0130-0000_912</t>
  </si>
  <si>
    <t>23-03-0177-0099-0000_3309</t>
  </si>
  <si>
    <t>23-03-0010-0151-0000_138</t>
  </si>
  <si>
    <t>23-04-0168-0042-0000_9999</t>
  </si>
  <si>
    <t>23-08-0139-0001-0000_308</t>
  </si>
  <si>
    <t>23-03-0019-0061-0000_3359</t>
  </si>
  <si>
    <t>23-02-0112-0098-0000_72A</t>
  </si>
  <si>
    <t>23-03-0059-0050-0000_2385</t>
  </si>
  <si>
    <t>23-03-0066-0096-0000_25</t>
  </si>
  <si>
    <t>23-07-001A-0015-0000_601</t>
  </si>
  <si>
    <t>23-04-0169-0002-0000_9999</t>
  </si>
  <si>
    <t>23-02-0136-0007-0001_1175</t>
  </si>
  <si>
    <t>23-08-0139-0025-0001_1150</t>
  </si>
  <si>
    <t>23-03-0066-0068-0001_164</t>
  </si>
  <si>
    <t>23-03-0188-0064-0000_6018</t>
  </si>
  <si>
    <t>23-02-0119-0024-0002_246A</t>
  </si>
  <si>
    <t>23-04-0128-0001-0000_9999</t>
  </si>
  <si>
    <t>23-02-129A-0007-0000_9999</t>
  </si>
  <si>
    <t>23-03-0068-0154-0000_123</t>
  </si>
  <si>
    <t>23-02-0112-0079-0003_9999</t>
  </si>
  <si>
    <t>23-03-0012-0045-0000_9999</t>
  </si>
  <si>
    <t>23-07-001A-0001-0000_602</t>
  </si>
  <si>
    <t>23-04-0080-0012-0000_25</t>
  </si>
  <si>
    <t>(Higher than $300,000)</t>
  </si>
  <si>
    <t>506 CRAWLEY CREEK RD, CHAPMANVILLE, WV, 25508</t>
  </si>
  <si>
    <t>14 WILDCAT WAY, LOGAN, WV, 25601</t>
  </si>
  <si>
    <t>774 CRAWLEY CREEK RD, CHAPMANVILLE, WV, 25508</t>
  </si>
  <si>
    <t>1 PIONEER PATH, MALLORY, WV, 25634</t>
  </si>
  <si>
    <t>7061 JERRY WEST HWY, CHAUNCEY, WV, 25612</t>
  </si>
  <si>
    <t>1034 COPPERAS FORK RD, HOLDEN, WV, 25625</t>
  </si>
  <si>
    <t>1070 MOHAWK DR, VERDUNVILLE, WV, 25649</t>
  </si>
  <si>
    <t>1125 BLAIR MOUNTAIN HWY, MELVILLE, WV, 25646</t>
  </si>
  <si>
    <t>29 HUGH DINGESS ELEMENTARY SCHOOL RD, SHIVELY, WV, 25508</t>
  </si>
  <si>
    <t>407 CIRCLE DRIVE RD, LOGAN, WV, 25601</t>
  </si>
  <si>
    <t>9998 FERRELL ST, CHAPMANVILLE, WV, 25508</t>
  </si>
  <si>
    <t>1690 HOLDEN RD, HOLDEN, WV, 25625</t>
  </si>
  <si>
    <t>647 MAIN ST, CHAPMANVILLE, WV, 25508</t>
  </si>
  <si>
    <t>47 CENTRAL AVE, CHAPMANVILLE, WV, 25508</t>
  </si>
  <si>
    <t>230 CONCORD DR, MONAVILLE, WV, 25636</t>
  </si>
  <si>
    <t>4795 JERRY WEST HWY, SWITZER, WV, 25647</t>
  </si>
  <si>
    <t>881 RUM CREEK RD, RUM CREEK, WV, 25654</t>
  </si>
  <si>
    <t>163 HOSPITAL DR, LOGAN, WV, 25601</t>
  </si>
  <si>
    <t>4831 JERRY WEST HWY, SWITZER, WV, 25647</t>
  </si>
  <si>
    <t>518 MUD FORK RD, MOUNT GAY, WV, 25637</t>
  </si>
  <si>
    <t>2367 BUFFALO CREEK RD, ACCOVILLE, WV, 25606</t>
  </si>
  <si>
    <t>27 TIN CAN ALY, LORADO, WV, 25630</t>
  </si>
  <si>
    <t>31 BIG SPRING LN, MALLORY, WV, 25617</t>
  </si>
  <si>
    <t>87 THORNHILL DRIVE, GARRETTS FORK, WV, 25508</t>
  </si>
  <si>
    <t>9999 ELK CREEK RD, VERNER WV, 25617</t>
  </si>
  <si>
    <t>9999 BALL PARK ST, MAN, WV, 25635</t>
  </si>
  <si>
    <t>1990 HUFF CREEK HWY, MALLORY, WV, 25634</t>
  </si>
  <si>
    <t>397 EVENING SHADE LN, AMHERSTDALE, WV, 25607</t>
  </si>
  <si>
    <t>134 FRANKFORT AVE, CHAPMANVILLE, WV, 25508</t>
  </si>
  <si>
    <t>146 FRANKFORT AVE, CHAPMANVILLE, WV, 25508</t>
  </si>
  <si>
    <t>1678 TRACE FORK RD, BIG CREEK, WV, 25508</t>
  </si>
  <si>
    <t>246 GARRETTS FORK RD, GARRETTS FORK, WV, 25508</t>
  </si>
  <si>
    <t>1175A MILL CREEK RD, PECKS MILL, WV, 25547</t>
  </si>
  <si>
    <t>332 WHITMAN CREEK RD, WHITMAN, WV, 25652</t>
  </si>
  <si>
    <t>26 SWITZER ST, SWITZER, WV, 25647</t>
  </si>
  <si>
    <t>556 CROOKED CREEK RD, CROOKED CREEK, WV, 25639</t>
  </si>
  <si>
    <t>1924 Industrial, RUM CREEK, WV, 25654</t>
  </si>
  <si>
    <t>100 MARKET ST, MAN, WV, 25635</t>
  </si>
  <si>
    <t>10854 BUFFALO CREEK RD TRLR, LORADO, WV, 25630</t>
  </si>
  <si>
    <t>5914 JERRY WEST HWY, MICCO, WV, 25647</t>
  </si>
  <si>
    <t>260 HUFF CREEK HWY, MAN, WV, 25635</t>
  </si>
  <si>
    <t>9999 MAIN ST, CHAPMANVILLE, WV, 25508</t>
  </si>
  <si>
    <t>7984 HARTS CREEK RD, HARTS, WV, 25524</t>
  </si>
  <si>
    <t>14 INDIAN SPRINGS RD, SWITZER, WV, 25647</t>
  </si>
  <si>
    <t>912 COPPERAS FORK RD Industrial, HOLDEN, WV, 25625</t>
  </si>
  <si>
    <t>3309 WHITMAN CREEK RD, WHITMAN, WV, 25652</t>
  </si>
  <si>
    <t>138 FIELDSTONE RD, HOLDEN, WV, 25625</t>
  </si>
  <si>
    <t>9999 RUM CREEK RD, RUM CREEK, WV, 25654</t>
  </si>
  <si>
    <t>308 HUFF CREEK HWY, MAN, WV, 25635</t>
  </si>
  <si>
    <t>3359 WHITMAN CREEK RD TRLR, WHITMAN, WV, 25652</t>
  </si>
  <si>
    <t>72A ADMIRAL RD, CHAPMANVILLE, WV, 25508</t>
  </si>
  <si>
    <t>2385 MUD FORK RD, VERDUNVILLE, WV, 25649</t>
  </si>
  <si>
    <t>25 HOLDEN RD, MOUNT GAY, WV, 25637</t>
  </si>
  <si>
    <t>601 RIVER DOWNS RD, MITCHELL HEIGHTS, WV, 25601</t>
  </si>
  <si>
    <t>9999 Kelly Mt Rd, Rum Creek WV,25076</t>
  </si>
  <si>
    <t>1175 MILL CREEK RD, PECKS MILL, WV, 25547</t>
  </si>
  <si>
    <t>1150 HUFF CREEK HWY, MALLORY, WV, 25634</t>
  </si>
  <si>
    <t>164 HOLDEN RD, MOUNT GAY, WV, 25637</t>
  </si>
  <si>
    <t>6018 JERRY WEST HWY, MICCO, WV, 25647</t>
  </si>
  <si>
    <t>246A GARRETTS FORK RD, GARRETTS FORK, WV, 25508</t>
  </si>
  <si>
    <t>9999 Blair Mountain Hwy, SHARPLES, WV, 25183</t>
  </si>
  <si>
    <t>9999 ESTATES DR, CHAPMANVILLE, WV 25508</t>
  </si>
  <si>
    <t>123 INDEPENDENCE ST, CORA, WV, 25614</t>
  </si>
  <si>
    <t>9999 TRACE FORK RD, CHAPMANVILLE, WV, 25508</t>
  </si>
  <si>
    <t>9999 HOLDEN RD, HOLDEN, WV, 25625</t>
  </si>
  <si>
    <t>602 RIVER DOWNS RD, MITCHELL HEIGHTS, WV, 25601</t>
  </si>
  <si>
    <t>25 SIGNATURE CIR, SHARPLES, WV, 25183</t>
  </si>
  <si>
    <t>Town of Chapmanville</t>
  </si>
  <si>
    <t>City of Logan</t>
  </si>
  <si>
    <t>Logan County</t>
  </si>
  <si>
    <t>Town of Man</t>
  </si>
  <si>
    <t>Town of Mitchell Heights</t>
  </si>
  <si>
    <t>Huff Creek</t>
  </si>
  <si>
    <t>Island Creek</t>
  </si>
  <si>
    <t>Copperas Mine Fork</t>
  </si>
  <si>
    <t>Mud Fork</t>
  </si>
  <si>
    <t>Dingess Run</t>
  </si>
  <si>
    <t>Smokehouse Fork</t>
  </si>
  <si>
    <t>Rum Creek</t>
  </si>
  <si>
    <t>Buffalo Creek</t>
  </si>
  <si>
    <t>Toney Fork</t>
  </si>
  <si>
    <t>Elk Creek</t>
  </si>
  <si>
    <t>Big Creek</t>
  </si>
  <si>
    <t>Mill Creek</t>
  </si>
  <si>
    <t>Whitman Creek</t>
  </si>
  <si>
    <t>Crooked Creek</t>
  </si>
  <si>
    <t>Spruce Fork</t>
  </si>
  <si>
    <t>Barker Fork</t>
  </si>
  <si>
    <t>23-01-0005-0037-0000</t>
  </si>
  <si>
    <t>23-05-0004-0002-0000</t>
  </si>
  <si>
    <t>23-01-0006-0001-0000</t>
  </si>
  <si>
    <t>23-08-0139-0025-0000</t>
  </si>
  <si>
    <t>23-03-0196-0003-0000</t>
  </si>
  <si>
    <t>23-03-0002-0095-0000</t>
  </si>
  <si>
    <t>23-03-0056-0086-0000</t>
  </si>
  <si>
    <t>23-04-0158-0001-0000</t>
  </si>
  <si>
    <t>23-02-0108-0012-0000</t>
  </si>
  <si>
    <t>23-02-0026-0091-0000</t>
  </si>
  <si>
    <t>23-01-0002-0104-0000</t>
  </si>
  <si>
    <t>23-03-0155-0085-0000</t>
  </si>
  <si>
    <t>23-01-0002-0115-0000</t>
  </si>
  <si>
    <t>23-01-0007-0017-0000</t>
  </si>
  <si>
    <t>23-03-0165-0001-0000</t>
  </si>
  <si>
    <t>23-03-0050-0071-0000</t>
  </si>
  <si>
    <t>23-04-0169-0003-0000</t>
  </si>
  <si>
    <t>23-03-0065-0001-0000</t>
  </si>
  <si>
    <t>23-03-0043-0010-0000</t>
  </si>
  <si>
    <t>23-08-0024-0012-0000</t>
  </si>
  <si>
    <t>23-08-0110-0001-0000</t>
  </si>
  <si>
    <t>23-08-0139-0018-0000</t>
  </si>
  <si>
    <t>23-02-0112-0079-0001</t>
  </si>
  <si>
    <t>23-08-0153-0005-0000</t>
  </si>
  <si>
    <t>23-06-0004-0103-0000</t>
  </si>
  <si>
    <t>23-08-0014-0039-0000</t>
  </si>
  <si>
    <t>23-08-0025-0109-0001</t>
  </si>
  <si>
    <t>23-01-0001-0044-0000</t>
  </si>
  <si>
    <t>23-02-0112-0003-0006</t>
  </si>
  <si>
    <t>23-02-0119-0024-0002</t>
  </si>
  <si>
    <t>23-02-0136-0007-0001</t>
  </si>
  <si>
    <t>23-03-166A-0005-0000</t>
  </si>
  <si>
    <t>23-03-0050-0049-0000</t>
  </si>
  <si>
    <t>23-02-0159-0012-0000</t>
  </si>
  <si>
    <t>23-04-0169-0002-0000</t>
  </si>
  <si>
    <t>23-06-0003-0148-0000</t>
  </si>
  <si>
    <t>23-08-0108-0003-0000</t>
  </si>
  <si>
    <t>23-03-0048-0163-0000</t>
  </si>
  <si>
    <t>23-08-0139-0001-0000</t>
  </si>
  <si>
    <t>23-02-0123-0037-0000</t>
  </si>
  <si>
    <t>23-03-0050-0056-0000</t>
  </si>
  <si>
    <t>23-03-0003-0130-0000</t>
  </si>
  <si>
    <t>23-03-0177-0099-0000</t>
  </si>
  <si>
    <t>23-03-0010-0151-0000</t>
  </si>
  <si>
    <t>23-04-0168-0042-0000</t>
  </si>
  <si>
    <t>23-03-0019-0061-0000</t>
  </si>
  <si>
    <t>23-02-0112-0098-0000</t>
  </si>
  <si>
    <t>23-03-0059-0050-0000</t>
  </si>
  <si>
    <t>23-03-0066-0096-0000</t>
  </si>
  <si>
    <t>23-07-001A-0015-0000</t>
  </si>
  <si>
    <t>23-08-0139-0025-0001</t>
  </si>
  <si>
    <t>23-03-0066-0068-0001</t>
  </si>
  <si>
    <t>23-03-0188-0064-0000</t>
  </si>
  <si>
    <t>23-04-0128-0001-0000</t>
  </si>
  <si>
    <t>23-02-129A-0007-0000</t>
  </si>
  <si>
    <t>23-03-0068-0154-0000</t>
  </si>
  <si>
    <t>23-02-0112-0079-0003</t>
  </si>
  <si>
    <t>23-03-0012-0045-0000</t>
  </si>
  <si>
    <t>23-07-001A-0001-0000</t>
  </si>
  <si>
    <t>23-04-0080-0012-0000</t>
  </si>
  <si>
    <t>BOARD OF EDUCATION OF THE COUNTY OF LOGAN</t>
  </si>
  <si>
    <t>LOGAN COUNTY COURT</t>
  </si>
  <si>
    <t>LOGAN COUNTY BOARD OF EDUCATION</t>
  </si>
  <si>
    <t>THE BOARD OF EDUCATION OF THE COUNTY OF LOGAN</t>
  </si>
  <si>
    <t>SWVCTC BOARD OF GOVERNORS</t>
  </si>
  <si>
    <t>WPP LLC</t>
  </si>
  <si>
    <t>DIGNITY HOSPICE OF SOUTHERN WV INC (WV NONPROFIT CORP)</t>
  </si>
  <si>
    <t>LOGAN HEALTHCARE PARTNER, LLC</t>
  </si>
  <si>
    <t>CHAPMANVILLE TOWERS</t>
  </si>
  <si>
    <t>LAKE NORMAN HOSPITALITY LLC</t>
  </si>
  <si>
    <t>LYME MOUNTAINEER TIMBER- LANDS I LLC</t>
  </si>
  <si>
    <t>HOUSING AUTHORITY OF MINGO COUNTY</t>
  </si>
  <si>
    <t>LOGAN GENERAL HOSPITAL LLC C/O PROPERTY VALUATION SVC</t>
  </si>
  <si>
    <t>WORD OF LIFE CLAYCOMB EARL &amp; ETALS TRUSTEES</t>
  </si>
  <si>
    <t>PLC TIMBERLANDS LLC</t>
  </si>
  <si>
    <t>WALLY THORNHILL RENTALS LLC</t>
  </si>
  <si>
    <t>CHRISTIAN FORK LAND CO INC</t>
  </si>
  <si>
    <t>COUNTY COURT OF LOGAN CO</t>
  </si>
  <si>
    <t>CHURCH OF GOD TRS</t>
  </si>
  <si>
    <t>BECCO UNITED BAPTIST CHURCH</t>
  </si>
  <si>
    <t>AJBSA LLC</t>
  </si>
  <si>
    <t>CHURCH OF GOD IN NAME OF CHRIST JESUS</t>
  </si>
  <si>
    <t>UNITED CENTRAL INDUSTRIAL SUPPLY COLLC</t>
  </si>
  <si>
    <t>MARCUM VIVIE &amp; TAMMIE M</t>
  </si>
  <si>
    <t>COCA COLA BOTTLING CO OF WEST VIRGINIA INC</t>
  </si>
  <si>
    <t>LOGAN CONGREGATION OF JEHOVAH'S WITNESSES</t>
  </si>
  <si>
    <t>CROOKED CREEK CHURCH OF CHRIST</t>
  </si>
  <si>
    <t>FIRST COMMUNITY BANK</t>
  </si>
  <si>
    <t>ANPA LIMITED LIABILITY CO</t>
  </si>
  <si>
    <t>LOGAN COUNTY EMERGENCY AMBULANCE AUTHORITY</t>
  </si>
  <si>
    <t>MCDONALD W W LAND CO</t>
  </si>
  <si>
    <t>MAIN HARTS CREEK VOLUNTEER FIRE DEPT. INC</t>
  </si>
  <si>
    <t>SWITZER CHURCH OF GOD PREECE JOHN &amp; ETALS TRUSTEES</t>
  </si>
  <si>
    <t>BARNETTE RONALD &amp; DIANA</t>
  </si>
  <si>
    <t>WHITMAN COMMUNITY CHURCH</t>
  </si>
  <si>
    <t>CORA VOLUNTEER FIRE DEPARTMENT INC</t>
  </si>
  <si>
    <t>BROWNING TONYA</t>
  </si>
  <si>
    <t>MRF CORP</t>
  </si>
  <si>
    <t>CHURCH OF GOD</t>
  </si>
  <si>
    <t>KROGER LIMITED PARTNERSHIP 1</t>
  </si>
  <si>
    <t>NISBET GEORGE R JR &amp; ALYSE</t>
  </si>
  <si>
    <t>WHITE JOHN II</t>
  </si>
  <si>
    <t>RITE AID OF WEST VIRGINIA INC STORE # 1992</t>
  </si>
  <si>
    <t>UNITED AFFILIATES CORPORATION</t>
  </si>
  <si>
    <t>MILLER KEVIN G &amp; RACHEL L</t>
  </si>
  <si>
    <t>SHAMROCK FREEWILL BAPTIST CH</t>
  </si>
  <si>
    <t>TURTLE CREEK PROPERTIES</t>
  </si>
  <si>
    <t>MARCUM JOHN D &amp; CAROL</t>
  </si>
  <si>
    <t>BROWNING REX E (DEC)</t>
  </si>
  <si>
    <t>1993</t>
  </si>
  <si>
    <t>1966</t>
  </si>
  <si>
    <t>1985</t>
  </si>
  <si>
    <t>1981</t>
  </si>
  <si>
    <t>1957</t>
  </si>
  <si>
    <t>1978</t>
  </si>
  <si>
    <t>S</t>
  </si>
  <si>
    <t>1984</t>
  </si>
  <si>
    <t>RES3F</t>
  </si>
  <si>
    <t>RES3C</t>
  </si>
  <si>
    <t>IND4</t>
  </si>
  <si>
    <t>COM3</t>
  </si>
  <si>
    <t>IND1</t>
  </si>
  <si>
    <t>8</t>
  </si>
  <si>
    <t>217000</t>
  </si>
  <si>
    <t>107668</t>
  </si>
  <si>
    <t>177580</t>
  </si>
  <si>
    <t>81000</t>
  </si>
  <si>
    <t>46844</t>
  </si>
  <si>
    <t>20600</t>
  </si>
  <si>
    <t>53000</t>
  </si>
  <si>
    <t>33210</t>
  </si>
  <si>
    <t>26417</t>
  </si>
  <si>
    <t>32500</t>
  </si>
  <si>
    <t>8082</t>
  </si>
  <si>
    <t>25408</t>
  </si>
  <si>
    <t>67512</t>
  </si>
  <si>
    <t>32248</t>
  </si>
  <si>
    <t>36000</t>
  </si>
  <si>
    <t>11960</t>
  </si>
  <si>
    <t>32000</t>
  </si>
  <si>
    <t>30000</t>
  </si>
  <si>
    <t>10486</t>
  </si>
  <si>
    <t>19880</t>
  </si>
  <si>
    <t>24814</t>
  </si>
  <si>
    <t>27000</t>
  </si>
  <si>
    <t>20931</t>
  </si>
  <si>
    <t>25953</t>
  </si>
  <si>
    <t>8246</t>
  </si>
  <si>
    <t>13000</t>
  </si>
  <si>
    <t>13452</t>
  </si>
  <si>
    <t>21500</t>
  </si>
  <si>
    <t>4200</t>
  </si>
  <si>
    <t>4100</t>
  </si>
  <si>
    <t>41816</t>
  </si>
  <si>
    <t>4900</t>
  </si>
  <si>
    <t>25500</t>
  </si>
  <si>
    <t>8000</t>
  </si>
  <si>
    <t>10000</t>
  </si>
  <si>
    <t>12873</t>
  </si>
  <si>
    <t>11708</t>
  </si>
  <si>
    <t>8640</t>
  </si>
  <si>
    <t>2748</t>
  </si>
  <si>
    <t>11865</t>
  </si>
  <si>
    <t>7200</t>
  </si>
  <si>
    <t>12640</t>
  </si>
  <si>
    <t>2400</t>
  </si>
  <si>
    <t>20000</t>
  </si>
  <si>
    <t>8370</t>
  </si>
  <si>
    <t>8832</t>
  </si>
  <si>
    <t>9000</t>
  </si>
  <si>
    <t>22050</t>
  </si>
  <si>
    <t>15561</t>
  </si>
  <si>
    <t>5328</t>
  </si>
  <si>
    <t>8068</t>
  </si>
  <si>
    <t>2497</t>
  </si>
  <si>
    <t>32988</t>
  </si>
  <si>
    <t>7076</t>
  </si>
  <si>
    <t>7000</t>
  </si>
  <si>
    <t>6500</t>
  </si>
  <si>
    <t>3167</t>
  </si>
  <si>
    <t>5335</t>
  </si>
  <si>
    <t>6787</t>
  </si>
  <si>
    <t>3957</t>
  </si>
  <si>
    <t>MASON</t>
  </si>
  <si>
    <t>26-13-0004-0101-0000_525</t>
  </si>
  <si>
    <t>26-05-0167-0027-0000_3567</t>
  </si>
  <si>
    <t>26-13-0001-0015-0000_1</t>
  </si>
  <si>
    <t>26-04-345A-0001-0000_983</t>
  </si>
  <si>
    <t>26-06-0501-0019-0008_33221</t>
  </si>
  <si>
    <t>26-14-0183-0035-0000_2226</t>
  </si>
  <si>
    <t>26-06-0521-0004-0000_35050</t>
  </si>
  <si>
    <t>26-07-0008-0032-0053_107</t>
  </si>
  <si>
    <t>26-01-0386-0004-0005_21131</t>
  </si>
  <si>
    <t>26-02-0320-0029-0000_8202</t>
  </si>
  <si>
    <t>26-16-0105-0056-0000_1661</t>
  </si>
  <si>
    <t>26-13-0007-0036-0000_205</t>
  </si>
  <si>
    <t>26-02-0381-0011-0010_500</t>
  </si>
  <si>
    <t>26-07-0008-0032-0053_108</t>
  </si>
  <si>
    <t>26-16-0105-0087-0022_198</t>
  </si>
  <si>
    <t>26-01-0426-0030-0000_28197</t>
  </si>
  <si>
    <t>26-07-0008-0032-0053_57</t>
  </si>
  <si>
    <t>26-13-0004-0168-0000_400A</t>
  </si>
  <si>
    <t>26-16-0105-0087-0020_59</t>
  </si>
  <si>
    <t>26-02-0320-0028-0001_235</t>
  </si>
  <si>
    <t>26-01-0466-0006-0000_33785A</t>
  </si>
  <si>
    <t>26-07-0008-0032-0053_58</t>
  </si>
  <si>
    <t>26-11-0003-0118-0000_853</t>
  </si>
  <si>
    <t>26-02-0340-0059-0000_8388</t>
  </si>
  <si>
    <t>26-02-0320-0021-0000_380</t>
  </si>
  <si>
    <t>26-01-0426-0006-0001_2104</t>
  </si>
  <si>
    <t>26-16-0005-0216-0000_20868</t>
  </si>
  <si>
    <t>26-05-0166-0007-0002_2732</t>
  </si>
  <si>
    <t>26-02-0320-0029-0002_309</t>
  </si>
  <si>
    <t>26-02-0320-0021-0001_420</t>
  </si>
  <si>
    <t>26-06-0501-0019-0004_33088</t>
  </si>
  <si>
    <t>26-14-0183-0002-0000_10273</t>
  </si>
  <si>
    <t>26-13-0007-0047-0002_1717</t>
  </si>
  <si>
    <t>26-01-0486-0002-0004_35130</t>
  </si>
  <si>
    <t>26-16-0105-0087-0023_34</t>
  </si>
  <si>
    <t>26-15-0467-0001-0000_30482</t>
  </si>
  <si>
    <t>26-12-0002-0004-0003_124</t>
  </si>
  <si>
    <t>26-13-0004-0170-0000_400</t>
  </si>
  <si>
    <t>26-13-0001-0007-0000_622</t>
  </si>
  <si>
    <t>26-02-0321-0001-0002_6136</t>
  </si>
  <si>
    <t>26-12-0004-0108-0000_101</t>
  </si>
  <si>
    <t>City of Point Pleasant</t>
  </si>
  <si>
    <t>Mason County</t>
  </si>
  <si>
    <t>Town of Hartford</t>
  </si>
  <si>
    <t>Town of Mason</t>
  </si>
  <si>
    <t>Town of New Haven</t>
  </si>
  <si>
    <t>Kanawha River</t>
  </si>
  <si>
    <t>Broad Run</t>
  </si>
  <si>
    <t>26-13-0004-0101-0000</t>
  </si>
  <si>
    <t>26-05-0167-0027-0000</t>
  </si>
  <si>
    <t>26-13-0001-0015-0000</t>
  </si>
  <si>
    <t>26-04-345A-0001-0000</t>
  </si>
  <si>
    <t>26-06-0501-0019-0008</t>
  </si>
  <si>
    <t>26-14-0183-0035-0000</t>
  </si>
  <si>
    <t>26-06-0521-0004-0000</t>
  </si>
  <si>
    <t>26-07-0008-0032-0053</t>
  </si>
  <si>
    <t>26-01-0386-0004-0005</t>
  </si>
  <si>
    <t>26-02-0320-0029-0000</t>
  </si>
  <si>
    <t>26-16-0105-0056-0000</t>
  </si>
  <si>
    <t>26-13-0007-0036-0000</t>
  </si>
  <si>
    <t>26-02-0381-0011-0010</t>
  </si>
  <si>
    <t>26-16-0105-0087-0022</t>
  </si>
  <si>
    <t>26-01-0426-0030-0000</t>
  </si>
  <si>
    <t>26-13-0004-0168-0000</t>
  </si>
  <si>
    <t>26-16-0105-0087-0020</t>
  </si>
  <si>
    <t>26-02-0320-0028-0001</t>
  </si>
  <si>
    <t>26-01-0466-0006-0000</t>
  </si>
  <si>
    <t>26-11-0003-0118-0000</t>
  </si>
  <si>
    <t>26-02-0340-0059-0000</t>
  </si>
  <si>
    <t>26-02-0320-0021-0000</t>
  </si>
  <si>
    <t>26-01-0426-0006-0001</t>
  </si>
  <si>
    <t>26-16-0005-0216-0000</t>
  </si>
  <si>
    <t>26-05-0166-0007-0002</t>
  </si>
  <si>
    <t>26-02-0320-0029-0002</t>
  </si>
  <si>
    <t>26-02-0320-0021-0001</t>
  </si>
  <si>
    <t>26-06-0501-0019-0004</t>
  </si>
  <si>
    <t>26-14-0183-0002-0000</t>
  </si>
  <si>
    <t>26-13-0007-0047-0002</t>
  </si>
  <si>
    <t>26-01-0486-0002-0004</t>
  </si>
  <si>
    <t>26-16-0105-0087-0023</t>
  </si>
  <si>
    <t>26-15-0467-0001-0000</t>
  </si>
  <si>
    <t>26-12-0002-0004-0003</t>
  </si>
  <si>
    <t>26-13-0004-0170-0000</t>
  </si>
  <si>
    <t>26-13-0001-0007-0000</t>
  </si>
  <si>
    <t>26-02-0321-0001-0002</t>
  </si>
  <si>
    <t>26-12-0004-0108-0000</t>
  </si>
  <si>
    <t>525 VIAND ST, POINT PLEASANT, WV, 25550</t>
  </si>
  <si>
    <t>3567 GRAHAM STATION RD, LETART, WV, 25253</t>
  </si>
  <si>
    <t>1 EDUCATION LN, POINT PLEASANT, WV, 25550</t>
  </si>
  <si>
    <t>983 KITTY HAWK LN, POINT PLEASANT, WV, 25550</t>
  </si>
  <si>
    <t>33221 HUNTINGTON RD, ASHTON, WV, 25503</t>
  </si>
  <si>
    <t>2226 TUG DR, WEST COLUMBIA, WV, 25287</t>
  </si>
  <si>
    <t>35050 HUNTINGTON RD, GLENWOOD, WV, 25520</t>
  </si>
  <si>
    <t>107 CIERRA DR, HARTFORD, WV, 25247</t>
  </si>
  <si>
    <t>21131 KANAWHA VALLEY RD, SOUTHSIDE, WV, 25187</t>
  </si>
  <si>
    <t>8202 HUNTINGTON RD, GALLIPOLIS FERRY, WV, 25515</t>
  </si>
  <si>
    <t>1661 ADAMSVILLE RD, MASON, WV, 25260</t>
  </si>
  <si>
    <t>205 CAMDEN AVE, POINT PLEASANT, WV, 25550</t>
  </si>
  <si>
    <t>500 PEPPER LN, GALLIPOLIS FERRY, WV, 25515</t>
  </si>
  <si>
    <t>108 CIERRA DR, HARTFORD, WV, 25247</t>
  </si>
  <si>
    <t>198 GARY CT, MASON, WV, 25260</t>
  </si>
  <si>
    <t>28197 KANAWHA VALLEY RD, SOUTHSIDE, WV, 25187</t>
  </si>
  <si>
    <t>57 CIERRA DR, HARTFORD, WV, 25247</t>
  </si>
  <si>
    <t>400A VIAND ST, POINT PLEASANT, WV, 25550</t>
  </si>
  <si>
    <t>59 GARY CT, MASON, WV, 25260</t>
  </si>
  <si>
    <t>235 EVERETT GILLS LN, POINT PLEASANT, WV, 25550</t>
  </si>
  <si>
    <t>33785A KANAWHA VALLEY RD,  _x000D_
FRAZIERS BOTTOM, WV, 25082</t>
  </si>
  <si>
    <t>58 CIERRA DR, HARTFORD, WV, 25247</t>
  </si>
  <si>
    <t>853 3RD ST, MASON, WV, 25260</t>
  </si>
  <si>
    <t>8388 HUNTINGTON RD, GALLIPOLIS FERRY, WV, 25515</t>
  </si>
  <si>
    <t>380 BEECHWOOD DR, GALLIPOLIS FERRY, WV, 25082</t>
  </si>
  <si>
    <t>2104 SOUTHSIDE LN, SOUTHSIDE, WV, 25187</t>
  </si>
  <si>
    <t>20868 OHIO RIVER RD, MASON, WV, 25260</t>
  </si>
  <si>
    <t>2732 GUN CLUB RD, LETART, WV, 25253</t>
  </si>
  <si>
    <t>309 IVY LN, GALLIPOLIS FERRY, WV, 25515</t>
  </si>
  <si>
    <t>420 BEECHWOOD DR, GALLIPOLIS FERRY, WV, 25082</t>
  </si>
  <si>
    <t>33088 HUNTINGTON RD, ASHTON, WV, 25503</t>
  </si>
  <si>
    <t>10273 OHIO RIVER RD, WEST COLUMBIA, WV, 25287</t>
  </si>
  <si>
    <t>1717 JEFFERSON BLVD, POINT PLEASANT, WV, 25550</t>
  </si>
  <si>
    <t>35130 KANAWHA VALLEY RD, FRAZIERS BOTTOM, WV, 25082</t>
  </si>
  <si>
    <t>34 GARY CT, MASON, WV, 25260</t>
  </si>
  <si>
    <t>30482 CHARLESTON RD, LEON, WV, 25123</t>
  </si>
  <si>
    <t>124 LAYNE ST, NEW HAVEN, WV, 25265</t>
  </si>
  <si>
    <t>400 VIAND ST, POINT PLEASANT, WV, 25550</t>
  </si>
  <si>
    <t>622 KRODEL PARK RD, POINT PLEASANT, WV, 25550</t>
  </si>
  <si>
    <t>6136 HUNTINGTON RD, GALLIPOLIS FERRY, WV, 25515</t>
  </si>
  <si>
    <t>101 MILL ST, NEW HAVEN, WV, 25265</t>
  </si>
  <si>
    <t>MASON COUNTY COURT</t>
  </si>
  <si>
    <t>MINGO JUNCTION STEELWORKS LLC</t>
  </si>
  <si>
    <t>BOARD OF EDUCATION OF MASON COUNTY</t>
  </si>
  <si>
    <t>PECK GARRY J</t>
  </si>
  <si>
    <t>JPI LLC</t>
  </si>
  <si>
    <t>INDIANA &amp; MICHIGAN ELECTRIC CO</t>
  </si>
  <si>
    <t>HARDMAN BENJAMIN &amp; ERIKA</t>
  </si>
  <si>
    <t>ELLM VIEW LIMITED PARTNERSHIP</t>
  </si>
  <si>
    <t>ROY RAYMOND YAUGER &amp; MOLLIE L YAUGER TRUST</t>
  </si>
  <si>
    <t>ETA OSCAR A JR &amp; FRI MOFOR</t>
  </si>
  <si>
    <t>RIVERSIDE GOLF CLUB INC</t>
  </si>
  <si>
    <t>CITY OF POINT PLEASANT</t>
  </si>
  <si>
    <t>ZIMMERMAN DENNIS C &amp; ANGELA M</t>
  </si>
  <si>
    <t>WOLFE MICHAEL P II &amp;  ANNA M</t>
  </si>
  <si>
    <t>BURDETTE SCOTT C &amp; SONJA M</t>
  </si>
  <si>
    <t>HUSSELL JOSEPH SCOTT &amp; KRISTEN MICHELLE</t>
  </si>
  <si>
    <t>CARR DAVID L &amp; AMEY S</t>
  </si>
  <si>
    <t>RIVER VALLEY FARMS LLC</t>
  </si>
  <si>
    <t>RPG WV PROPERTIES</t>
  </si>
  <si>
    <t>NIBERT JOHN W JR &amp; MARCIA K</t>
  </si>
  <si>
    <t>TATTERSON R CRAIG &amp; JILL R</t>
  </si>
  <si>
    <t>GRANT EDWARD L &amp; BRENDA S</t>
  </si>
  <si>
    <t>LAYNE BRADLEY H</t>
  </si>
  <si>
    <t>ARRINGTON JAY R</t>
  </si>
  <si>
    <t>TATTERSON LINDA R</t>
  </si>
  <si>
    <t>TRUSTEES ASHTON BAPTIST CHURCH</t>
  </si>
  <si>
    <t>TIM ROCK FARM</t>
  </si>
  <si>
    <t>PAYNE JACKIE C</t>
  </si>
  <si>
    <t>MCCAUSLAND KYLE</t>
  </si>
  <si>
    <t>HOFFMAN PHILLIP W JR &amp; TAMMY I</t>
  </si>
  <si>
    <t>PACK CURTIS B &amp; KATHY A</t>
  </si>
  <si>
    <t>ORD CHARLES R II</t>
  </si>
  <si>
    <t>R L R INVESTMENTS LLC</t>
  </si>
  <si>
    <t>SMITH CAPEHART POST CLUB INC</t>
  </si>
  <si>
    <t>1954</t>
  </si>
  <si>
    <t>A-</t>
  </si>
  <si>
    <t>1875</t>
  </si>
  <si>
    <t>1884</t>
  </si>
  <si>
    <t>1917</t>
  </si>
  <si>
    <t>1885</t>
  </si>
  <si>
    <t>RES2</t>
  </si>
  <si>
    <t>41542</t>
  </si>
  <si>
    <t>44000</t>
  </si>
  <si>
    <t>28208</t>
  </si>
  <si>
    <t>2072</t>
  </si>
  <si>
    <t>9301</t>
  </si>
  <si>
    <t>17966</t>
  </si>
  <si>
    <t>7507</t>
  </si>
  <si>
    <t>16160</t>
  </si>
  <si>
    <t>27060</t>
  </si>
  <si>
    <t>6673</t>
  </si>
  <si>
    <t>11260</t>
  </si>
  <si>
    <t>5597</t>
  </si>
  <si>
    <t>3661</t>
  </si>
  <si>
    <t>9364</t>
  </si>
  <si>
    <t>3828</t>
  </si>
  <si>
    <t>2927</t>
  </si>
  <si>
    <t>9072</t>
  </si>
  <si>
    <t>3395</t>
  </si>
  <si>
    <t>3397</t>
  </si>
  <si>
    <t>4042</t>
  </si>
  <si>
    <t>8080</t>
  </si>
  <si>
    <t>2318</t>
  </si>
  <si>
    <t>2656</t>
  </si>
  <si>
    <t>2894</t>
  </si>
  <si>
    <t>4948</t>
  </si>
  <si>
    <t>5255</t>
  </si>
  <si>
    <t>2872</t>
  </si>
  <si>
    <t>2410</t>
  </si>
  <si>
    <t>2654</t>
  </si>
  <si>
    <t>7748</t>
  </si>
  <si>
    <t>2840</t>
  </si>
  <si>
    <t>5605</t>
  </si>
  <si>
    <t>2430</t>
  </si>
  <si>
    <t>2480</t>
  </si>
  <si>
    <t>3425</t>
  </si>
  <si>
    <t>6660</t>
  </si>
  <si>
    <t>3188</t>
  </si>
  <si>
    <t>12960</t>
  </si>
  <si>
    <t>6120</t>
  </si>
  <si>
    <t>Utility changes applied manually on 2/2/2022</t>
  </si>
  <si>
    <t>26-11-0001-0089-0001_136</t>
  </si>
  <si>
    <t>136 ANDERSON ST, MASON, WV, 25260</t>
  </si>
  <si>
    <t>26-11-0001-0089-0001</t>
  </si>
  <si>
    <t>TOWN OF MASON</t>
  </si>
  <si>
    <t>26-12-0001-0020-0000_164</t>
  </si>
  <si>
    <t>26-12-0001-0020-0000</t>
  </si>
  <si>
    <t xml:space="preserve">	164 LAYNE ST, NEW HAVEN, WV, 25265</t>
  </si>
  <si>
    <t>TOWN OF NEW HAVEN</t>
  </si>
  <si>
    <t>MINGO</t>
  </si>
  <si>
    <t>30-06-0406-0078-0001_275</t>
  </si>
  <si>
    <t>30-11-0006-0575-0000_75</t>
  </si>
  <si>
    <t>30-09-0473-0006-0034_1</t>
  </si>
  <si>
    <t>30-03-0282-0089-0001_50</t>
  </si>
  <si>
    <t>30-07-0467-0030-0000_100</t>
  </si>
  <si>
    <t>30-06-0406-0081-0000_165</t>
  </si>
  <si>
    <t>30-11-0424-0008-0000_998</t>
  </si>
  <si>
    <t>30-05-0260-0011-0001_300</t>
  </si>
  <si>
    <t>30-04-0227-0022-0000_495</t>
  </si>
  <si>
    <t>30-10-0404-0004-0000_110</t>
  </si>
  <si>
    <t>30-02-0494-0042-0000_621</t>
  </si>
  <si>
    <t>30-01-0001-0044-0000_1891</t>
  </si>
  <si>
    <t>30-03-0262-0001-0000_1582</t>
  </si>
  <si>
    <t>30-02-0002-0099-0000_44</t>
  </si>
  <si>
    <t>30-07-0019-0152-0000_2603</t>
  </si>
  <si>
    <t>30-03-0304-0014-0000_722</t>
  </si>
  <si>
    <t>30-03-0304-0053-0000_911</t>
  </si>
  <si>
    <t>30-11-0007-0233-0000_317</t>
  </si>
  <si>
    <t>30-05-0240-0008-0002_15</t>
  </si>
  <si>
    <t>30-11-0006-0174-0000_145</t>
  </si>
  <si>
    <t>30-03-0006-0013-0000_474</t>
  </si>
  <si>
    <t>30-02-0494-0052-0000_1500</t>
  </si>
  <si>
    <t>30-03-0282-0015-0001_27</t>
  </si>
  <si>
    <t>30-03-323E-0011-0000_5022</t>
  </si>
  <si>
    <t>30-07-0023-0119-0000_1089</t>
  </si>
  <si>
    <t>30-05-0260-0014-0000_334</t>
  </si>
  <si>
    <t>30-07-0468-0015-0000_3457</t>
  </si>
  <si>
    <t>30-07-0469-0001-0000_3489</t>
  </si>
  <si>
    <t>30-03-0264-0002-0000_11</t>
  </si>
  <si>
    <t>30-11-0010-0098-0000_9999</t>
  </si>
  <si>
    <t>30-07-0449-0004-0002_1520</t>
  </si>
  <si>
    <t>30-06-0386-0148-0000_893</t>
  </si>
  <si>
    <t>30-09-0512-0012-0000_766</t>
  </si>
  <si>
    <t>30-09-0008-0003-0000_2</t>
  </si>
  <si>
    <t>30-03-0010-0041-0000_230</t>
  </si>
  <si>
    <t>30-04-0206-0031-0000_99</t>
  </si>
  <si>
    <t>30-06-0345-0141-0000_1395B</t>
  </si>
  <si>
    <t>30-10-0015-0141-0000_30</t>
  </si>
  <si>
    <t>30-06-0406-0062-0001_133</t>
  </si>
  <si>
    <t>30-09-0473-0006-0043_40</t>
  </si>
  <si>
    <t>30-10-0002-0088-0000_1401</t>
  </si>
  <si>
    <t>30-05-0260-0011-0008_332</t>
  </si>
  <si>
    <t>30-10-0010-0089-0000_15</t>
  </si>
  <si>
    <t>30-09-0493-0008-0003_40</t>
  </si>
  <si>
    <t>30-01-0386-0115-0000_881</t>
  </si>
  <si>
    <t>30-03-0008-0033-0000_130</t>
  </si>
  <si>
    <t>30-02-0002-0185-0000_1061</t>
  </si>
  <si>
    <t>30-03-0283-0027-0001_390</t>
  </si>
  <si>
    <t>30-01-0003-0167-0000_2021</t>
  </si>
  <si>
    <t>30-08-0001-0123-0000_306</t>
  </si>
  <si>
    <t>30-07-0019-0127-0000_9997</t>
  </si>
  <si>
    <t>30-07-0019-0127-0000_9998</t>
  </si>
  <si>
    <t>30-07-0019-0127-0000_9999</t>
  </si>
  <si>
    <t>30-05-0221-0008-0001_2524</t>
  </si>
  <si>
    <t>30-07-0449-0004-0000_53</t>
  </si>
  <si>
    <t>30-09-0473-0006-0034_2132</t>
  </si>
  <si>
    <t>30-02-0001-0187-0000_2476</t>
  </si>
  <si>
    <t>30-06-0406-0086-0003_990</t>
  </si>
  <si>
    <t>30-03-0010-0043-0001_226</t>
  </si>
  <si>
    <t>30-03-0306-0071-0000_176</t>
  </si>
  <si>
    <t>30-09-0494-0045-0000_1441</t>
  </si>
  <si>
    <t>30-09-0473-0006-0039_104</t>
  </si>
  <si>
    <t>30-10-0005-0058-0000_2661</t>
  </si>
  <si>
    <t>30-10-0003-9999-9999_8</t>
  </si>
  <si>
    <t>30-06-0406-0087-0007_964</t>
  </si>
  <si>
    <t>30-12-0001-0247-0001_37</t>
  </si>
  <si>
    <t>30-03-0326-0014-0038_206</t>
  </si>
  <si>
    <t>30-10-0008-0068-0000_31</t>
  </si>
  <si>
    <t>30-03-0304-0022-0001_127</t>
  </si>
  <si>
    <t>30-10-0384-0043-0005_3696</t>
  </si>
  <si>
    <t>30-07-0015-0019-0000_245</t>
  </si>
  <si>
    <t>30-01-0002-0108-0000_423</t>
  </si>
  <si>
    <t>30-03-0282-0017-0001_59</t>
  </si>
  <si>
    <t>30-07-0430-0006-0000_1768</t>
  </si>
  <si>
    <t>30-06-0325-0061-0001_1085</t>
  </si>
  <si>
    <t>30-05-0221-0028-0000_144</t>
  </si>
  <si>
    <t>Mingo County</t>
  </si>
  <si>
    <t>City of Williamson</t>
  </si>
  <si>
    <t>Town of Matewan</t>
  </si>
  <si>
    <t>Town of Gilbert</t>
  </si>
  <si>
    <t>Town of Delbarton</t>
  </si>
  <si>
    <t>Town of Kermit</t>
  </si>
  <si>
    <t>Pigeon Creek</t>
  </si>
  <si>
    <t>Tug Fork River</t>
  </si>
  <si>
    <t>Horsepen Creek</t>
  </si>
  <si>
    <t>Den Branch</t>
  </si>
  <si>
    <t>Mate Creek</t>
  </si>
  <si>
    <t>Messenger Branch</t>
  </si>
  <si>
    <t>Sycamore Creek</t>
  </si>
  <si>
    <t>Big Branch</t>
  </si>
  <si>
    <t>Gilbert Creek</t>
  </si>
  <si>
    <t>Lower Burning Creek</t>
  </si>
  <si>
    <t>Laurel Fork</t>
  </si>
  <si>
    <t>Ben Creek</t>
  </si>
  <si>
    <t>West Fork Twelvepole Creek</t>
  </si>
  <si>
    <t>Dans Branch</t>
  </si>
  <si>
    <t>Marrowbone Creek</t>
  </si>
  <si>
    <t>Ooten Fork</t>
  </si>
  <si>
    <t>Hensley Big Branch</t>
  </si>
  <si>
    <t>Left Fork Marrowbone Creek</t>
  </si>
  <si>
    <t>30-06-0406-0078-0001</t>
  </si>
  <si>
    <t>30-11-0006-0575-0000</t>
  </si>
  <si>
    <t>30-09-0473-0006-0034</t>
  </si>
  <si>
    <t>30-03-0282-0089-0001</t>
  </si>
  <si>
    <t>30-07-0467-0030-0000</t>
  </si>
  <si>
    <t>30-06-0406-0081-0000</t>
  </si>
  <si>
    <t>30-11-0424-0008-0000</t>
  </si>
  <si>
    <t>30-05-0260-0011-0001</t>
  </si>
  <si>
    <t>30-04-0227-0022-0000</t>
  </si>
  <si>
    <t>30-10-0404-0004-0000</t>
  </si>
  <si>
    <t>30-02-0494-0042-0000</t>
  </si>
  <si>
    <t>30-01-0001-0044-0000</t>
  </si>
  <si>
    <t>30-03-0262-0001-0000</t>
  </si>
  <si>
    <t>30-02-0002-0099-0000</t>
  </si>
  <si>
    <t>30-07-0019-0152-0000</t>
  </si>
  <si>
    <t>30-03-0304-0014-0000</t>
  </si>
  <si>
    <t>30-03-0304-0053-0000</t>
  </si>
  <si>
    <t>30-11-0007-0233-0000</t>
  </si>
  <si>
    <t>30-05-0240-0008-0002</t>
  </si>
  <si>
    <t>30-11-0006-0174-0000</t>
  </si>
  <si>
    <t>30-03-0006-0013-0000</t>
  </si>
  <si>
    <t>30-02-0494-0052-0000</t>
  </si>
  <si>
    <t>30-03-0282-0015-0001</t>
  </si>
  <si>
    <t>30-03-323E-0011-0000</t>
  </si>
  <si>
    <t>30-07-0023-0119-0000</t>
  </si>
  <si>
    <t>30-05-0260-0014-0000</t>
  </si>
  <si>
    <t>30-07-0468-0015-0000</t>
  </si>
  <si>
    <t>30-07-0469-0001-0000</t>
  </si>
  <si>
    <t>30-03-0264-0002-0000</t>
  </si>
  <si>
    <t>30-11-0010-0098-0000</t>
  </si>
  <si>
    <t>30-07-0449-0004-0002</t>
  </si>
  <si>
    <t>30-06-0386-0148-0000</t>
  </si>
  <si>
    <t>30-09-0512-0012-0000</t>
  </si>
  <si>
    <t>30-09-0008-0003-0000</t>
  </si>
  <si>
    <t>30-03-0010-0041-0000</t>
  </si>
  <si>
    <t>30-04-0206-0031-0000</t>
  </si>
  <si>
    <t>30-06-0345-0141-0000</t>
  </si>
  <si>
    <t>30-10-0015-0141-0000</t>
  </si>
  <si>
    <t>30-06-0406-0062-0001</t>
  </si>
  <si>
    <t>30-09-0473-0006-0043</t>
  </si>
  <si>
    <t>30-10-0002-0088-0000</t>
  </si>
  <si>
    <t>30-05-0260-0011-0008</t>
  </si>
  <si>
    <t>30-10-0010-0089-0000</t>
  </si>
  <si>
    <t>30-09-0493-0008-0003</t>
  </si>
  <si>
    <t>30-01-0386-0115-0000</t>
  </si>
  <si>
    <t>30-03-0008-0033-0000</t>
  </si>
  <si>
    <t>30-02-0002-0185-0000</t>
  </si>
  <si>
    <t>30-03-0283-0027-0001</t>
  </si>
  <si>
    <t>30-01-0003-0167-0000</t>
  </si>
  <si>
    <t>30-08-0001-0123-0000</t>
  </si>
  <si>
    <t>30-07-0019-0127-0000</t>
  </si>
  <si>
    <t>30-05-0221-0008-0001</t>
  </si>
  <si>
    <t>30-07-0449-0004-0000</t>
  </si>
  <si>
    <t>30-02-0001-0187-0000</t>
  </si>
  <si>
    <t>30-06-0406-0086-0003</t>
  </si>
  <si>
    <t>30-03-0010-0043-0001</t>
  </si>
  <si>
    <t>30-03-0306-0071-0000</t>
  </si>
  <si>
    <t>30-09-0494-0045-0000</t>
  </si>
  <si>
    <t>30-09-0473-0006-0039</t>
  </si>
  <si>
    <t>30-10-0005-0058-0000</t>
  </si>
  <si>
    <t>30-10-0003-9999-9999</t>
  </si>
  <si>
    <t>30-06-0406-0087-0007</t>
  </si>
  <si>
    <t>30-12-0001-0247-0001</t>
  </si>
  <si>
    <t>30-03-0326-0014-0038</t>
  </si>
  <si>
    <t>30-10-0008-0068-0000</t>
  </si>
  <si>
    <t>30-03-0304-0022-0001</t>
  </si>
  <si>
    <t>30-10-0384-0043-0005</t>
  </si>
  <si>
    <t>30-07-0015-0019-0000</t>
  </si>
  <si>
    <t>30-01-0002-0108-0000</t>
  </si>
  <si>
    <t>30-03-0282-0017-0001</t>
  </si>
  <si>
    <t>30-07-0430-0006-0000</t>
  </si>
  <si>
    <t>30-06-0325-0061-0001</t>
  </si>
  <si>
    <t>30-05-0221-0028-0000</t>
  </si>
  <si>
    <t>275 BULLDOG BLVD, DELBARTON, WV, 25670</t>
  </si>
  <si>
    <t>75 E SECOND AVE, WILLIAMSON, WV, 25661</t>
  </si>
  <si>
    <t>1 LION COUNTRY WAY, GILBERT, WV 25621</t>
  </si>
  <si>
    <t>50 PANTHER BLVD, NAUGATUCK, WV, 25685</t>
  </si>
  <si>
    <t>100 CHAMBERS ST, MATEWAN, WV, 25678</t>
  </si>
  <si>
    <t>165 BULLDOG BLVD, DELBARTON, WV, 25670</t>
  </si>
  <si>
    <t>998 E FOURTH AVE, EAST WILLIAMSON, WV, 25661</t>
  </si>
  <si>
    <t>300 BLUE DEVIL LN, KERMIT, WV, 25674</t>
  </si>
  <si>
    <t>495 MESSENGER BR, DINGESS, WV, 25671</t>
  </si>
  <si>
    <t>110 CINDERELLA RD, WILLIAMSON, WV, 25661</t>
  </si>
  <si>
    <t>621 LARRY JOE HARLESS DR, GILBERT, WV, 25621</t>
  </si>
  <si>
    <t>1891 SR 65, DELBARTON, WV, 25670</t>
  </si>
  <si>
    <t>1582 BIG BRANCH RD, NAUGATUCK, WV, 25676</t>
  </si>
  <si>
    <t>44 US-52, GILBERT, WV 25621</t>
  </si>
  <si>
    <t>2603 SR 65, RED JACKET, WV, 25678</t>
  </si>
  <si>
    <t>722 SR 65, LENORE, WV, 25661</t>
  </si>
  <si>
    <t>911 SR 65, BELO, WV, 25670</t>
  </si>
  <si>
    <t>317 E FOURTH AVE, WILLIAMSON, WV, 25661</t>
  </si>
  <si>
    <t>15 LOWER BURNING CREEK RD, KERMIT, WV, 25674</t>
  </si>
  <si>
    <t>145 FOURTH AVE, WILLIAMSON, WV, 25661</t>
  </si>
  <si>
    <t>474 SR 65, LENORE, WV, 25661</t>
  </si>
  <si>
    <t>1500 LARRY JOE HARLESS DR, GILBERT, WV, 25608</t>
  </si>
  <si>
    <t>27 SR 65, NAUGATUCK, WV, 25674</t>
  </si>
  <si>
    <t>5022 US 52, MAHER, WV, 25685</t>
  </si>
  <si>
    <t>1089 R A WEST HWY, VARNEY, WV, 25696</t>
  </si>
  <si>
    <t>334 US 52, EAST KERMIT, WV, 25674</t>
  </si>
  <si>
    <t>3457 MATE CRK, MATEWAN, WV, 25678</t>
  </si>
  <si>
    <t>3489 MATE CRK, NEWTOWN, WV, 25686</t>
  </si>
  <si>
    <t>11 SIDNEY LN, LAUREL CREEK, WV, 25671</t>
  </si>
  <si>
    <t>9999 PETER ST, EAST WILLIAMSON, WV, 25661</t>
  </si>
  <si>
    <t>1520 R A WEST HWY, DELBARTON, WV, 25696</t>
  </si>
  <si>
    <t>893 US 52, LINCOLN CITY, WV, 25670</t>
  </si>
  <si>
    <t>766 BENS CRK, BEN CREEK, WV, 25621</t>
  </si>
  <si>
    <t>2 DESTINY DR, VERNER, WV, 25650</t>
  </si>
  <si>
    <t>230 LAUREL CRK, LENORE, WV, 25676</t>
  </si>
  <si>
    <t>99 MOUNT HOPE DR, DINGESS, WV, 25671</t>
  </si>
  <si>
    <t>1395B SR 65, BIAS, WV, 25670</t>
  </si>
  <si>
    <t>30 Nolan St, Williamson, WV, 25661</t>
  </si>
  <si>
    <t>133 AIRPORT BTM, SPLIT PINE, WV, 25670</t>
  </si>
  <si>
    <t>40 ESTATE DR, HAMPDEN, WV, 25621</t>
  </si>
  <si>
    <t>1401 BUFFALO CREEK RD, CHATTAROY, WV, 25667</t>
  </si>
  <si>
    <t>332 US 52, EAST KERMIT, WV, 25674</t>
  </si>
  <si>
    <t>15 JOSH DRIVE, BORDERLAND, WV, 25661</t>
  </si>
  <si>
    <t>40 GILBERT CREEK RD, GILBERT CREEK, WV, 25621</t>
  </si>
  <si>
    <t>881 US 52, DELBARTON, WV, 25670</t>
  </si>
  <si>
    <t>130 INSPIRATION DR, NAUGATUCK, WV, 25661</t>
  </si>
  <si>
    <t>1061 LARRY JOE HARLESS DR, GILBERT, WV, 25621</t>
  </si>
  <si>
    <t>390 SR 65, LENORE, WV, 25676</t>
  </si>
  <si>
    <t>2021 SR 65, DELBARTON, WV, 25670</t>
  </si>
  <si>
    <t>306 MCCOY ALLEY, MATEWAN, WV, 25678</t>
  </si>
  <si>
    <t>9997 VARNEY RD, NORTH MATEWAN, WV, 25678</t>
  </si>
  <si>
    <t>9998 VARNEY RD, NORTH MATEWAN, WV, 25678</t>
  </si>
  <si>
    <t>9999 VARNEY RD, NORTH MATEWAN, WV, 25678</t>
  </si>
  <si>
    <t>2524 MARROWBONE CREEK RD, MARROWBONE CREEK, WV, 25674</t>
  </si>
  <si>
    <t>53 HANNAH LANE, MUSICK, WV, 25696</t>
  </si>
  <si>
    <t>2132 US 52, HAMPDEN, WV, 25621</t>
  </si>
  <si>
    <t>2476 US 52, GILBERT, WV, 25621</t>
  </si>
  <si>
    <t>990 US 52, SPLIT PINE, WV, 25670</t>
  </si>
  <si>
    <t>226 LAUREL CRK, LENORE, WV, 25676</t>
  </si>
  <si>
    <t>176 ACADEMY DR, MYRTLE, WV, 25670</t>
  </si>
  <si>
    <t>1441 LARRY JOE HARLESS DR, GILBERT, WV, 25608</t>
  </si>
  <si>
    <t>104 ESTATE DR, HAMPDEN, WV, 25621</t>
  </si>
  <si>
    <t>2661 BUFFALO CREEK RD, CHATTAROY, WV, 25661</t>
  </si>
  <si>
    <t>8 EDITH ST, CHATTAROY, WV, 25667</t>
  </si>
  <si>
    <t>964 US 52, SPLIT PINE, WV, 25670</t>
  </si>
  <si>
    <t>37 BEECH ST, KERMIT, WV, 25674</t>
  </si>
  <si>
    <t>206 OOTEN BR, MYRTLE, WV, 25670</t>
  </si>
  <si>
    <t>31 AMERICA DR, RAWL, WV, 25691</t>
  </si>
  <si>
    <t>127 HENSLEY BIG BR, LENORE, WV, 25676</t>
  </si>
  <si>
    <t>3696 BUFFALO CREEK RD, WILLIAMSON, WV, 25661</t>
  </si>
  <si>
    <t>245 MATE CRK, MATEWAN, WV, 25678</t>
  </si>
  <si>
    <t>423 RIVERSIDE DR, DELBARTON, WV, 25670</t>
  </si>
  <si>
    <t>59 SR 65, NAUGATUCK, WV, 25685</t>
  </si>
  <si>
    <t>1768 R A WEST HWY, VARNEY, WV, 25696</t>
  </si>
  <si>
    <t>1085 SR 65, CANEY, WV, 25670</t>
  </si>
  <si>
    <t>144 MARROWBONE CREEK RD, MARROWBONE CREEK, WV, 25674</t>
  </si>
  <si>
    <t>MINGO COUNTY WV</t>
  </si>
  <si>
    <t>BOARD OF EDUCATION OF MINGO CO</t>
  </si>
  <si>
    <t>BOARD OF EUDCATION OF MINGO CO</t>
  </si>
  <si>
    <t>MINGO COUNTY BOARD OF EDUCATION</t>
  </si>
  <si>
    <t>LYME MOUNTAINEER TIMBERLANDS</t>
  </si>
  <si>
    <t>MUNICIPAL BUILDING COMMISSION OF TOWN OF GILBERT (R.C.)</t>
  </si>
  <si>
    <t>NIGHBERT LAND CO</t>
  </si>
  <si>
    <t>TOWN OF GILBERT</t>
  </si>
  <si>
    <t>QUALITY HOLDING INC</t>
  </si>
  <si>
    <t>CHURCH LITTLE DOVE BAPTIST</t>
  </si>
  <si>
    <t>MINGO CO REDE AUTH</t>
  </si>
  <si>
    <t>VICTORY CHRISTIAN CENTER</t>
  </si>
  <si>
    <t>BURGESS BRUCE ET UX</t>
  </si>
  <si>
    <t>BANK OF MINGO</t>
  </si>
  <si>
    <t>MINGO CO RED AUTH</t>
  </si>
  <si>
    <t>FORREST PLACE LTD PARTNERSHIP</t>
  </si>
  <si>
    <t>POCAHONTAS SURFACE</t>
  </si>
  <si>
    <t>THOMPSON SIDNEY ET AL</t>
  </si>
  <si>
    <t>CHURCH EAST WMSON BAPTIST TRS</t>
  </si>
  <si>
    <t>WOOLUM JODY ET UX</t>
  </si>
  <si>
    <t>MURPHY THEODORE JR ET UX</t>
  </si>
  <si>
    <t>HAWKS JOSEPHINE</t>
  </si>
  <si>
    <t>FREEDOM UNITRED BAPTIST CHURCH VIRGIL H HANNAH JR ET AL TRST</t>
  </si>
  <si>
    <t>CHURCH OF GOD TRACE (TRUSTEES RICHARD WORKMAN ETC)</t>
  </si>
  <si>
    <t>WV DEPT OF HIGHWAYS</t>
  </si>
  <si>
    <t>CHURCH NOLAN FREEWILL BAPTIST (RAY TAYLOR ET AL TRUSTEES)</t>
  </si>
  <si>
    <t>FARLEY MEAGAN</t>
  </si>
  <si>
    <t>DOTSON STEPHANIE HOPE CLINE ET VIR</t>
  </si>
  <si>
    <t>CHURCH CHATTAROY MISSIONARY BAPTIST</t>
  </si>
  <si>
    <t>CLINE ERIC N</t>
  </si>
  <si>
    <t>CHURCH DELBARTON OF GOD</t>
  </si>
  <si>
    <t>MINGO PSD</t>
  </si>
  <si>
    <t>GILBERT DEVELOPMENT CO</t>
  </si>
  <si>
    <t>CHURCH KINGDOM HARVEST TRS THOMAS CANTERBURY ET AL</t>
  </si>
  <si>
    <t>CHURCH CONNOLLY MEMORIAL BAPTIST (TOM CURRY ET AL TRS)</t>
  </si>
  <si>
    <t>HOUSING AUTHORITY OF MINGO CO</t>
  </si>
  <si>
    <t>BLAKE WILLIAM E ET UX</t>
  </si>
  <si>
    <t>HANNAH EVERETT E ET UX</t>
  </si>
  <si>
    <t>CRIGGER PAUL ET UX</t>
  </si>
  <si>
    <t>TRACE CREEK LEASING, LLC</t>
  </si>
  <si>
    <t>HOUCK DAVID ET UX</t>
  </si>
  <si>
    <t>CLINE ANTHONY P ET UX</t>
  </si>
  <si>
    <t>W VA DEPT OF MENTAL HEALTH</t>
  </si>
  <si>
    <t>CHURCH FREEWILL BAPTIST (ROBERT A ROUSE TRS ET AL)</t>
  </si>
  <si>
    <t>OOTEN BOBBY JOE ET AL</t>
  </si>
  <si>
    <t>HALL GAIL</t>
  </si>
  <si>
    <t>BARKER EULES</t>
  </si>
  <si>
    <t>KIWANIS CLUB OF RED JACKET</t>
  </si>
  <si>
    <t>COOK STEPHEN A</t>
  </si>
  <si>
    <t>COLLINSWORTH GLORIA ET AL</t>
  </si>
  <si>
    <t>WOLFORD JAMMY</t>
  </si>
  <si>
    <t>TOWNSEND BRANDON E ET UX</t>
  </si>
  <si>
    <t>CHURCH MARROWBONE BAPTIST</t>
  </si>
  <si>
    <t>1987</t>
  </si>
  <si>
    <t>1995</t>
  </si>
  <si>
    <t>1920</t>
  </si>
  <si>
    <t>1977</t>
  </si>
  <si>
    <t>1986</t>
  </si>
  <si>
    <t>1938</t>
  </si>
  <si>
    <t>1976</t>
  </si>
  <si>
    <t>1949</t>
  </si>
  <si>
    <t>127954</t>
  </si>
  <si>
    <t>73224</t>
  </si>
  <si>
    <t>96945</t>
  </si>
  <si>
    <t>66418</t>
  </si>
  <si>
    <t>51138</t>
  </si>
  <si>
    <t>45859</t>
  </si>
  <si>
    <t>102072</t>
  </si>
  <si>
    <t>65000</t>
  </si>
  <si>
    <t>35400</t>
  </si>
  <si>
    <t>28441</t>
  </si>
  <si>
    <t>55111</t>
  </si>
  <si>
    <t>43128</t>
  </si>
  <si>
    <t>31499</t>
  </si>
  <si>
    <t>29853</t>
  </si>
  <si>
    <t>8520</t>
  </si>
  <si>
    <t>34065</t>
  </si>
  <si>
    <t>5000</t>
  </si>
  <si>
    <t>33960</t>
  </si>
  <si>
    <t>12010</t>
  </si>
  <si>
    <t>21028</t>
  </si>
  <si>
    <t>9532</t>
  </si>
  <si>
    <t>8210</t>
  </si>
  <si>
    <t>11344</t>
  </si>
  <si>
    <t>45360</t>
  </si>
  <si>
    <t>9100</t>
  </si>
  <si>
    <t>16720</t>
  </si>
  <si>
    <t>8147</t>
  </si>
  <si>
    <t>8029</t>
  </si>
  <si>
    <t>6590</t>
  </si>
  <si>
    <t>13144</t>
  </si>
  <si>
    <t>5248</t>
  </si>
  <si>
    <t>3696</t>
  </si>
  <si>
    <t>6642</t>
  </si>
  <si>
    <t>6600</t>
  </si>
  <si>
    <t>4128</t>
  </si>
  <si>
    <t>5880</t>
  </si>
  <si>
    <t>6236</t>
  </si>
  <si>
    <t>5700</t>
  </si>
  <si>
    <t>4593</t>
  </si>
  <si>
    <t>5225</t>
  </si>
  <si>
    <t>11880</t>
  </si>
  <si>
    <t>5252</t>
  </si>
  <si>
    <t>5628</t>
  </si>
  <si>
    <t>7026</t>
  </si>
  <si>
    <t>7048</t>
  </si>
  <si>
    <t>5630</t>
  </si>
  <si>
    <t>7880</t>
  </si>
  <si>
    <t>11368</t>
  </si>
  <si>
    <t>5412</t>
  </si>
  <si>
    <t>5111</t>
  </si>
  <si>
    <t>7632</t>
  </si>
  <si>
    <t>4066</t>
  </si>
  <si>
    <t>13797</t>
  </si>
  <si>
    <t>4897</t>
  </si>
  <si>
    <t>5052</t>
  </si>
  <si>
    <t>13050</t>
  </si>
  <si>
    <t>3710</t>
  </si>
  <si>
    <t>5492</t>
  </si>
  <si>
    <t>4525</t>
  </si>
  <si>
    <t>4516</t>
  </si>
  <si>
    <t>4074</t>
  </si>
  <si>
    <t>4500</t>
  </si>
  <si>
    <t>17024</t>
  </si>
  <si>
    <t>6020</t>
  </si>
  <si>
    <t>2670</t>
  </si>
  <si>
    <t>21538</t>
  </si>
  <si>
    <t>3160</t>
  </si>
  <si>
    <t>9600</t>
  </si>
  <si>
    <t>4300</t>
  </si>
  <si>
    <t>3665</t>
  </si>
  <si>
    <t>4164</t>
  </si>
  <si>
    <t>Assessment (IAS) Neighbor</t>
  </si>
  <si>
    <t>30-03-0008-0029-0000_82</t>
  </si>
  <si>
    <t>30-03-0008-0029-0000</t>
  </si>
  <si>
    <t>82 INSPIRATION DR, NAUGATUCK, WV, 25685</t>
  </si>
  <si>
    <t>MINGO COUNTY PSD</t>
  </si>
  <si>
    <t>30-07-0446-0003-0001_29</t>
  </si>
  <si>
    <t>30-07-0446-0003-0001</t>
  </si>
  <si>
    <t>29 WATER DR, RAWL, WV, 25678</t>
  </si>
  <si>
    <t>HOUSING AUTHORITY MINGO</t>
  </si>
  <si>
    <t>30-12-0002-0206-0000_85</t>
  </si>
  <si>
    <t>30-12-0002-0206-0000</t>
  </si>
  <si>
    <t>85 MINGO AVE, KERMIT, WV, 25674</t>
  </si>
  <si>
    <t>TOWN OF KERMIT</t>
  </si>
  <si>
    <t>30-06-0366-0001-0000_99</t>
  </si>
  <si>
    <t>30-06-0366-0001-0000</t>
  </si>
  <si>
    <t>99 PLANT DR, MILLSTONE, WV, 25670</t>
  </si>
  <si>
    <t>MAYNARD RALPH</t>
  </si>
  <si>
    <t>WAYNE</t>
  </si>
  <si>
    <t>50-05-0003-0028-0000_1</t>
  </si>
  <si>
    <t>50-11-0008-0022-0000_100</t>
  </si>
  <si>
    <t>50-07-0010-0011-0001_1</t>
  </si>
  <si>
    <t>50-11-0008-0022-0000_200</t>
  </si>
  <si>
    <t>50-10-0021-0038-0009_80</t>
  </si>
  <si>
    <t>50-06-0006-0140-0000_4415</t>
  </si>
  <si>
    <t>50-06-0001-0228-0000_5010</t>
  </si>
  <si>
    <t>50-08-037B-0002-0000_150A</t>
  </si>
  <si>
    <t>50-06-0006-0176-0000_3851</t>
  </si>
  <si>
    <t>50-03-0006-0296-0000_484</t>
  </si>
  <si>
    <t>50-10-0021-0038-0003_42</t>
  </si>
  <si>
    <t>50-09-0016-0074-0000_19594</t>
  </si>
  <si>
    <t>50-08-037B-0002-0000_150</t>
  </si>
  <si>
    <t>50-08-0016-0045-0000_32800</t>
  </si>
  <si>
    <t>50-08-0025-0001-0000_4279</t>
  </si>
  <si>
    <t>50-08-0002-0017-0001_21269</t>
  </si>
  <si>
    <t>50-10-0021-0025-0000_6999</t>
  </si>
  <si>
    <t>50-11-0007-0078-0001_1607</t>
  </si>
  <si>
    <t>50-11-0004-0023-0000_9999</t>
  </si>
  <si>
    <t>50-10-0004-0121-0002_4611</t>
  </si>
  <si>
    <t>50-02-0012-0014-0000_2625</t>
  </si>
  <si>
    <t>50-10-004B-0003-0000_4623</t>
  </si>
  <si>
    <t>50-12-0001-0010-0000_5000</t>
  </si>
  <si>
    <t>50-11-001A-0001-0000_370</t>
  </si>
  <si>
    <t>50-06-0005-0105-0000_4637</t>
  </si>
  <si>
    <t>50-12-002A-0178-0000_1129</t>
  </si>
  <si>
    <t>50-02-010E-0168-0000_2884</t>
  </si>
  <si>
    <t>50-10-0015-0003-0007_5630</t>
  </si>
  <si>
    <t>50-10-0021-0026-0000_7045</t>
  </si>
  <si>
    <t>50-10-0004-0121-0004_4541</t>
  </si>
  <si>
    <t>50-10-0001-0004-0000_4350</t>
  </si>
  <si>
    <t>50-10-004R-0037-0000_1224</t>
  </si>
  <si>
    <t>50-05-0004-0002-0000_44</t>
  </si>
  <si>
    <t>50-09-0008-0021-0000_6430</t>
  </si>
  <si>
    <t>50-10-0010-0500-0000_5601</t>
  </si>
  <si>
    <t>50-03-0007-0047-0000_9999</t>
  </si>
  <si>
    <t>50-11-0007-0015-0000_40</t>
  </si>
  <si>
    <t>50-06-0006-0081-0000_4430</t>
  </si>
  <si>
    <t>50-02-0006-0011-0000_3300</t>
  </si>
  <si>
    <t>50-03-0008-0080-0000_139</t>
  </si>
  <si>
    <t>50-10-004B-0019-0000_4676</t>
  </si>
  <si>
    <t>50-10-0021-0089-0000_5896</t>
  </si>
  <si>
    <t>50-09-0017-0014-0001_790</t>
  </si>
  <si>
    <t>50-03-0006-0079-0001_768</t>
  </si>
  <si>
    <t>50-10-0004-0121-0001_4554</t>
  </si>
  <si>
    <t>50-11-0005-0030-0000_100</t>
  </si>
  <si>
    <t>50-02-010A-0079-0001_2373</t>
  </si>
  <si>
    <t>50-10-0004-0089-0002_5797</t>
  </si>
  <si>
    <t>50-08-043A-0056-0001_48646</t>
  </si>
  <si>
    <t>50-05-0002-9999-9999_610</t>
  </si>
  <si>
    <t>50-01-0019-0060-0005_19520</t>
  </si>
  <si>
    <t>50-10-0004-0121-0001_4550</t>
  </si>
  <si>
    <t>50-01-0020-0001-0000_40</t>
  </si>
  <si>
    <t>50-11-0001-0033-0000_10195</t>
  </si>
  <si>
    <t>50-06-0006-0082-0000_4426</t>
  </si>
  <si>
    <t>Town of Fort Gay</t>
  </si>
  <si>
    <t>Wayne County</t>
  </si>
  <si>
    <t>City of Kenova</t>
  </si>
  <si>
    <t>Town of Ceredo</t>
  </si>
  <si>
    <t>Town of Wayne</t>
  </si>
  <si>
    <t>Twelvepole Creek</t>
  </si>
  <si>
    <t>East Fork Twelvepole Creek</t>
  </si>
  <si>
    <t>Krout Creek</t>
  </si>
  <si>
    <t>Bloss Branch</t>
  </si>
  <si>
    <t>Camp Creek</t>
  </si>
  <si>
    <t>Beech Fork</t>
  </si>
  <si>
    <t>Medley Fork</t>
  </si>
  <si>
    <t>Little Lynn Creek</t>
  </si>
  <si>
    <t>Right Fork Camp Creek</t>
  </si>
  <si>
    <t>Tabor Creek</t>
  </si>
  <si>
    <t>Hurricane Creek</t>
  </si>
  <si>
    <t>50-05-0003-0028-0000</t>
  </si>
  <si>
    <t>50-11-0008-0022-0000</t>
  </si>
  <si>
    <t>50-07-0010-0011-0001</t>
  </si>
  <si>
    <t>50-10-0021-0038-0009</t>
  </si>
  <si>
    <t>50-06-0006-0140-0000</t>
  </si>
  <si>
    <t>50-06-0001-0228-0000</t>
  </si>
  <si>
    <t>50-08-037B-0002-0000</t>
  </si>
  <si>
    <t>50-06-0006-0176-0000</t>
  </si>
  <si>
    <t>50-03-0006-0296-0000</t>
  </si>
  <si>
    <t>50-10-0021-0038-0003</t>
  </si>
  <si>
    <t>50-09-0016-0074-0000</t>
  </si>
  <si>
    <t>50-08-0016-0045-0000</t>
  </si>
  <si>
    <t>50-08-0025-0001-0000</t>
  </si>
  <si>
    <t>50-08-0002-0017-0001</t>
  </si>
  <si>
    <t>50-10-0021-0025-0000</t>
  </si>
  <si>
    <t>50-11-0007-0078-0001</t>
  </si>
  <si>
    <t>50-11-0004-0023-0000</t>
  </si>
  <si>
    <t>50-10-0004-0121-0002</t>
  </si>
  <si>
    <t>50-02-0012-0014-0000</t>
  </si>
  <si>
    <t>50-10-004B-0003-0000</t>
  </si>
  <si>
    <t>50-12-0001-0010-0000</t>
  </si>
  <si>
    <t>50-11-001A-0001-0000</t>
  </si>
  <si>
    <t>50-06-0005-0105-0000</t>
  </si>
  <si>
    <t>50-12-002A-0178-0000</t>
  </si>
  <si>
    <t>50-02-010E-0168-0000</t>
  </si>
  <si>
    <t>50-10-0015-0003-0007</t>
  </si>
  <si>
    <t>50-10-0021-0026-0000</t>
  </si>
  <si>
    <t>50-10-0004-0121-0004</t>
  </si>
  <si>
    <t>50-10-0001-0004-0000</t>
  </si>
  <si>
    <t>50-10-004R-0037-0000</t>
  </si>
  <si>
    <t>50-05-0004-0002-0000</t>
  </si>
  <si>
    <t>50-09-0008-0021-0000</t>
  </si>
  <si>
    <t>50-10-0010-0500-0000</t>
  </si>
  <si>
    <t>50-03-0007-0047-0000</t>
  </si>
  <si>
    <t>50-11-0007-0015-0000</t>
  </si>
  <si>
    <t>50-06-0006-0081-0000</t>
  </si>
  <si>
    <t>50-02-0006-0011-0000</t>
  </si>
  <si>
    <t>50-03-0008-0080-0000</t>
  </si>
  <si>
    <t>50-10-004B-0019-0000</t>
  </si>
  <si>
    <t>50-10-0021-0089-0000</t>
  </si>
  <si>
    <t>50-09-0017-0014-0001</t>
  </si>
  <si>
    <t>50-03-0006-0079-0001</t>
  </si>
  <si>
    <t>50-10-0004-0121-0001</t>
  </si>
  <si>
    <t>50-11-0005-0030-0000</t>
  </si>
  <si>
    <t>50-02-010A-0079-0001</t>
  </si>
  <si>
    <t>50-10-0004-0089-0002</t>
  </si>
  <si>
    <t>50-08-043A-0056-0001</t>
  </si>
  <si>
    <t>50-05-0002-9999-9999</t>
  </si>
  <si>
    <t>50-01-0019-0060-0005</t>
  </si>
  <si>
    <t>50-01-0020-0001-0000</t>
  </si>
  <si>
    <t>50-11-0001-0033-0000</t>
  </si>
  <si>
    <t>50-06-0006-0082-0000</t>
  </si>
  <si>
    <t>1 VIKING DR, FORT GAY, WV, 25514</t>
  </si>
  <si>
    <t>100 PIONEER RD, WAYNE, WV, 25570</t>
  </si>
  <si>
    <t>1 WONDER LN, KENOVA, WV, 25530</t>
  </si>
  <si>
    <t>200 PIONEER RD, WAYNE, WV, 25570</t>
  </si>
  <si>
    <t>80 MCGINNIS DR, WAYNE, WV, 25570</t>
  </si>
  <si>
    <t>4415 PIEDMONT RD, HUNTINGTON, WV, 25704</t>
  </si>
  <si>
    <t>5010 SUNSET DR, HUNTINGTON, WV, 25704</t>
  </si>
  <si>
    <t>150A CRUM RD, CRUM, WV, 25669</t>
  </si>
  <si>
    <t>3851 PIEDMONT RD, HUNTINGTON, WV, 25704</t>
  </si>
  <si>
    <t>484 MAIN ST, CEREDO, WV, 25704</t>
  </si>
  <si>
    <t>42 MCGINNIS DR, WAYNE, WV, 25570</t>
  </si>
  <si>
    <t>19594 EAST LYNN RD, EAST LYNN, WV, 25512</t>
  </si>
  <si>
    <t>150 CRUM RD, CRUM, WV, 25669</t>
  </si>
  <si>
    <t>32800 ROUTE 152, DUNLOW, WV, 25511</t>
  </si>
  <si>
    <t>4279 CABWAYLINGO PARK RD, DUNLOW, WV, 25511</t>
  </si>
  <si>
    <t>21269 ROUTE 152, GENOA, WV, 25517</t>
  </si>
  <si>
    <t>6999 ROUTE 152, WAYNE, WV, 25570</t>
  </si>
  <si>
    <t>1607 MOSE ASBURY RD, WAYNE, WV, 25570</t>
  </si>
  <si>
    <t>9999 KENOVA AVE, WAYNE, WV, 25570</t>
  </si>
  <si>
    <t>4611 ROUTE 152, LAVALETTE, WV, 25535</t>
  </si>
  <si>
    <t>2625 ROUTE 52, KENOVA, WV, 25530</t>
  </si>
  <si>
    <t>4623 ROUTE 152, LAVALETTE, WV, 25535</t>
  </si>
  <si>
    <t>5000 WAVERLY RD, HUNTINGTON, WV, 25704</t>
  </si>
  <si>
    <t>370 MCGINNIS DR, WAYNE, WV, 25570</t>
  </si>
  <si>
    <t>4637 PIEDMONT RD, HUNTINGTON, WV, 25704</t>
  </si>
  <si>
    <t>1129 SPRING VALLEY DR, HUNTINGTON, WV, 25701</t>
  </si>
  <si>
    <t>2884 ROUTE 75, HUNTINGTON, WV, 25704</t>
  </si>
  <si>
    <t>5630 ROUTE 152, LAVALETTE, WV, 25535</t>
  </si>
  <si>
    <t>7045 ROUTE 152, WAYNE, WV, 25570</t>
  </si>
  <si>
    <t>4541 5TH STREET RD, HUNTINGTON, WV, 25701</t>
  </si>
  <si>
    <t>4350 5TH STREET RD, HUNTINGTON, WV, 25701</t>
  </si>
  <si>
    <t>1224 BEECH FORK RD, LAVALETTE, WV, 25535</t>
  </si>
  <si>
    <t>44 CEDAR HTS, FORT GAY, WV, 25514</t>
  </si>
  <si>
    <t>6430 BEECH FORK RD, EAST LYNN, WV, 25512</t>
  </si>
  <si>
    <t>5601 LONG BRANCH RD, BARBOURSVILLE, WV, 25504</t>
  </si>
  <si>
    <t>9999 MAIN ST, CEREDO, WV, 25507</t>
  </si>
  <si>
    <t>40 BRIDGE ST, WAYNE, WV, 25570</t>
  </si>
  <si>
    <t>4430 PIEDMONT RD, HUNTINGTON, WV, 25704</t>
  </si>
  <si>
    <t>3300 HARVEY RD, HUNTINGTON, WV, 25704</t>
  </si>
  <si>
    <t>139 HIGH ST, HUNTINGTON, WV, 25704</t>
  </si>
  <si>
    <t>4676 ROUTE 152, LAVALETTE, WV, 25535</t>
  </si>
  <si>
    <t>5896 ROUTE 152, LAVALETTE, WV, 25535</t>
  </si>
  <si>
    <t>790 LITTLE LYNN CREEK RD, WAYNE, WV, 25570</t>
  </si>
  <si>
    <t>768 B ST, CEREDO, WV, 25507</t>
  </si>
  <si>
    <t>4554 ROUTE 152, LAVALETTE, WV, 25535</t>
  </si>
  <si>
    <t>100 PALO ALTO ST, WAYNE, WV, 25570</t>
  </si>
  <si>
    <t>2373 SPRING VALLEY DR, HUNTINGTON, WV, 25704</t>
  </si>
  <si>
    <t>5797 CAMP CREEK RD, HUNTINGTON, WV, 25701</t>
  </si>
  <si>
    <t>48646 ROUTE 52, KERMIT, WV, 25674</t>
  </si>
  <si>
    <t>610 HIGH ST, FORT GAY, WV, 25514</t>
  </si>
  <si>
    <t>19520 ROUTE 52, FORT GAY, WV, 25514</t>
  </si>
  <si>
    <t>4550 ROUTE 152, LAVALETTE, WV, 25535</t>
  </si>
  <si>
    <t>40 SPRUCE CREEK RD, FORT GAY, WV, 25514</t>
  </si>
  <si>
    <t>10195 ROUTE 152, WAYNE, WV, 25570</t>
  </si>
  <si>
    <t>4426 PIEDMONT RD, HUNTINGTON, WV, 25704</t>
  </si>
  <si>
    <t>WAYNE COUNTY BOARD OF EDUCATION</t>
  </si>
  <si>
    <t>SCHOOL-WAYNE HIGH SCHOOL</t>
  </si>
  <si>
    <t>SCHOOL - KELLOGG SCHOOL</t>
  </si>
  <si>
    <t>CITY OF HUNTINGTON</t>
  </si>
  <si>
    <t>SCHOOL - CRUM ELEMENTARY</t>
  </si>
  <si>
    <t>SCHOOL - VINSON HIGH SCHOOL</t>
  </si>
  <si>
    <t>TOWN OF CEREDO</t>
  </si>
  <si>
    <t>VALLEY HEALTH SYSTEMS INC</t>
  </si>
  <si>
    <t>SCHOOL-EAST LYNN</t>
  </si>
  <si>
    <t>SCHOOL - DUNLOW</t>
  </si>
  <si>
    <t>CABWAYLINGO STATE PARK</t>
  </si>
  <si>
    <t>SCHOOL - GENOA</t>
  </si>
  <si>
    <t>WATERCREST HOLDINGS LLC</t>
  </si>
  <si>
    <t>CHARTER HOUSE INVESTMENT I LIMITED PARTNERSHIP</t>
  </si>
  <si>
    <t>VALLEY HEALTH SYSTEMS INC DBA WAYNE HEALTH SERVICES</t>
  </si>
  <si>
    <t>LAVALETTE DEVELOPMENT LIMITED LIABILITY COMPANY</t>
  </si>
  <si>
    <t>MOUNTAIN STATE FUELS LLC</t>
  </si>
  <si>
    <t>CHURCH-METHODIST CHURCH</t>
  </si>
  <si>
    <t>CAMDEN PARK A CORPORATION</t>
  </si>
  <si>
    <t>PIONEER PLAZA LLC</t>
  </si>
  <si>
    <t>CHURCH-PRINCE OF PEACE FWB &amp; HUTCHINSON HOBERT ETALS TRS</t>
  </si>
  <si>
    <t>CHURCH-PRESBYTERIAN CHURCH</t>
  </si>
  <si>
    <t>CHURCH-LOCUST GROVE BAPTIST CHURCH</t>
  </si>
  <si>
    <t>NELSON DONALD A &amp; HOPE F</t>
  </si>
  <si>
    <t>CHURCH-HARMONY FREE WILL BAPTIST CHURCH</t>
  </si>
  <si>
    <t>FORTH'S FOODS INC</t>
  </si>
  <si>
    <t>KSM ENTERPRISES LLC</t>
  </si>
  <si>
    <t>CHURCH-PHILIDELPHIA CHURCH OF JESUS CHRIST-CALLES UNITED BAP</t>
  </si>
  <si>
    <t>CHURCH-NEW LIFE OUTREACH &amp; MOORE RAY ETALS</t>
  </si>
  <si>
    <t>ADKINS ASBURY &amp; LOELLA (LE) &amp; ADKINS KERRY E &amp; GARY D ETALS</t>
  </si>
  <si>
    <t>UNITED STATES OF AMERICA</t>
  </si>
  <si>
    <t>ANR CEREDO LLC</t>
  </si>
  <si>
    <t>CHURCH-CATHOLIC CHURCH HODGES JOSEPH M (BISHOP)</t>
  </si>
  <si>
    <t>CHURCH-KELLOGG INDP HOLINESS CH OF GOD (CM BAILEY TR ET AL)</t>
  </si>
  <si>
    <t>A MICHAEL PERRY REVOCABLE TRUST</t>
  </si>
  <si>
    <t>EVANS STELLA S</t>
  </si>
  <si>
    <t>WHITE-LIGHT LLC</t>
  </si>
  <si>
    <t>HUNTINGTON POLICE RECREATION CENTER</t>
  </si>
  <si>
    <t>CHURCH-EAST LYNN CHURCH OF GOD TRUSTEES</t>
  </si>
  <si>
    <t>CEREDO MUNICIPAL BUILDINGS COMMISSION M BASH ETALS</t>
  </si>
  <si>
    <t>RAMEY JAMES JR III</t>
  </si>
  <si>
    <t>TWELVEPOLE VALLEY APARTMENTS LLC</t>
  </si>
  <si>
    <t>CHURCH-CAMP CREEK FREEWILL BAPTIST G TOOLEY ETAL TRUSTEE</t>
  </si>
  <si>
    <t>STEPP WILLARD T JR EST</t>
  </si>
  <si>
    <t>RAINES TERRY &amp; CRISSA</t>
  </si>
  <si>
    <t>CRUM MARSHA</t>
  </si>
  <si>
    <t>C &amp; P TELEPHONE CO</t>
  </si>
  <si>
    <t>1983</t>
  </si>
  <si>
    <t>34500</t>
  </si>
  <si>
    <t>156462</t>
  </si>
  <si>
    <t>50000</t>
  </si>
  <si>
    <t>67546</t>
  </si>
  <si>
    <t>50998</t>
  </si>
  <si>
    <t>55330</t>
  </si>
  <si>
    <t>35000</t>
  </si>
  <si>
    <t>39066</t>
  </si>
  <si>
    <t>42086</t>
  </si>
  <si>
    <t>32443</t>
  </si>
  <si>
    <t>15848</t>
  </si>
  <si>
    <t>29870</t>
  </si>
  <si>
    <t>17114</t>
  </si>
  <si>
    <t>17810</t>
  </si>
  <si>
    <t>29095</t>
  </si>
  <si>
    <t>19426</t>
  </si>
  <si>
    <t>45960</t>
  </si>
  <si>
    <t>6957</t>
  </si>
  <si>
    <t>21600</t>
  </si>
  <si>
    <t>21300</t>
  </si>
  <si>
    <t>9398</t>
  </si>
  <si>
    <t>30250</t>
  </si>
  <si>
    <t>18200</t>
  </si>
  <si>
    <t>11774</t>
  </si>
  <si>
    <t>10100</t>
  </si>
  <si>
    <t>14035</t>
  </si>
  <si>
    <t>38460</t>
  </si>
  <si>
    <t>10176</t>
  </si>
  <si>
    <t>21432</t>
  </si>
  <si>
    <t>51922</t>
  </si>
  <si>
    <t>4979</t>
  </si>
  <si>
    <t>9148</t>
  </si>
  <si>
    <t>2569</t>
  </si>
  <si>
    <t>10600</t>
  </si>
  <si>
    <t>35020</t>
  </si>
  <si>
    <t>5388</t>
  </si>
  <si>
    <t>10530</t>
  </si>
  <si>
    <t>7840</t>
  </si>
  <si>
    <t>17250</t>
  </si>
  <si>
    <t>11772</t>
  </si>
  <si>
    <t>16444</t>
  </si>
  <si>
    <t>7232</t>
  </si>
  <si>
    <t>7700</t>
  </si>
  <si>
    <t>5642</t>
  </si>
  <si>
    <t>14132</t>
  </si>
  <si>
    <t>7980</t>
  </si>
  <si>
    <t>3124</t>
  </si>
  <si>
    <t>2892</t>
  </si>
  <si>
    <t>11200</t>
  </si>
  <si>
    <t>4423</t>
  </si>
  <si>
    <t>10560</t>
  </si>
  <si>
    <t>8500</t>
  </si>
  <si>
    <t>50-11-0006-0178-0000_305</t>
  </si>
  <si>
    <t>50-11-0006-0178-0000</t>
  </si>
  <si>
    <t>305 BLUEFIELD ST, WAYNE, WV, 25570</t>
  </si>
  <si>
    <t>TOWN OF WAYNE</t>
  </si>
  <si>
    <t>Cabell County*</t>
  </si>
  <si>
    <t>Huntington**</t>
  </si>
  <si>
    <t>Milton</t>
  </si>
  <si>
    <t>Barboursville</t>
  </si>
  <si>
    <t>(Higher than $1,000,000)</t>
  </si>
  <si>
    <t>Logan</t>
  </si>
  <si>
    <t>Logan County*</t>
  </si>
  <si>
    <t>Chapmanville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</si>
</sst>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5" fillId="5" borderId="0" xfId="0" applyFont="1" applyFill="1"/>
    <xf numFmtId="0" fontId="0" fillId="6" borderId="0" xfId="0" applyFill="1"/>
    <xf numFmtId="0" fontId="0" fillId="0" borderId="0" xfId="0" applyAlignment="1">
      <alignment horizontal="center"/>
    </xf>
    <xf numFmtId="164" fontId="0" fillId="4" borderId="0" xfId="2" applyNumberFormat="1" applyFont="1" applyFill="1"/>
    <xf numFmtId="165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64" fontId="0" fillId="4" borderId="0" xfId="2" applyNumberFormat="1" applyFont="1" applyFill="1" applyBorder="1"/>
    <xf numFmtId="0" fontId="0" fillId="0" borderId="0" xfId="0" applyFont="1"/>
    <xf numFmtId="0" fontId="14" fillId="0" borderId="1" xfId="1" applyFont="1" applyBorder="1" applyAlignment="1">
      <alignment horizontal="center"/>
    </xf>
    <xf numFmtId="0" fontId="10" fillId="3" borderId="1" xfId="0" applyFont="1" applyFill="1" applyBorder="1"/>
    <xf numFmtId="164" fontId="11" fillId="4" borderId="1" xfId="2" applyNumberFormat="1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/>
    <xf numFmtId="0" fontId="9" fillId="0" borderId="1" xfId="0" applyFont="1" applyFill="1" applyBorder="1"/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0" fillId="0" borderId="0" xfId="0" applyNumberFormat="1"/>
    <xf numFmtId="0" fontId="10" fillId="0" borderId="1" xfId="0" applyFont="1" applyBorder="1"/>
    <xf numFmtId="0" fontId="0" fillId="4" borderId="0" xfId="0" applyFill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75EB3-8FF9-4772-B0E7-4F990B2B38FF}">
  <dimension ref="A1:Z75"/>
  <sheetViews>
    <sheetView tabSelected="1" workbookViewId="0">
      <pane ySplit="6" topLeftCell="A7" activePane="bottomLeft" state="frozen"/>
      <selection pane="bottomLeft" activeCell="F8" sqref="F8"/>
    </sheetView>
  </sheetViews>
  <sheetFormatPr defaultRowHeight="14.4" x14ac:dyDescent="0.3"/>
  <cols>
    <col min="1" max="1" width="33.88671875" bestFit="1" customWidth="1"/>
    <col min="2" max="2" width="11.77734375" customWidth="1"/>
    <col min="7" max="7" width="11.44140625" customWidth="1"/>
    <col min="13" max="13" width="10.44140625" customWidth="1"/>
    <col min="14" max="14" width="10.88671875" customWidth="1"/>
    <col min="17" max="17" width="10.77734375" customWidth="1"/>
    <col min="19" max="19" width="21.77734375" bestFit="1" customWidth="1"/>
    <col min="24" max="24" width="11" bestFit="1" customWidth="1"/>
  </cols>
  <sheetData>
    <row r="1" spans="1:26" ht="14.25" customHeight="1" x14ac:dyDescent="0.3">
      <c r="A1" s="4" t="s">
        <v>63</v>
      </c>
      <c r="B1" s="4"/>
      <c r="C1" s="4"/>
      <c r="D1" s="4"/>
      <c r="F1" s="17" t="s">
        <v>64</v>
      </c>
      <c r="G1" s="6"/>
      <c r="H1" s="6"/>
      <c r="J1" s="6"/>
      <c r="K1" s="6"/>
      <c r="L1" s="6"/>
      <c r="N1" s="5" t="s">
        <v>65</v>
      </c>
      <c r="O1" s="6"/>
      <c r="P1" s="6"/>
      <c r="R1" s="6"/>
      <c r="S1" s="7" t="s">
        <v>66</v>
      </c>
      <c r="U1" s="8"/>
      <c r="V1" s="8"/>
      <c r="W1" s="9"/>
      <c r="X1" s="10"/>
    </row>
    <row r="2" spans="1:26" x14ac:dyDescent="0.3">
      <c r="A2" s="11">
        <v>44593</v>
      </c>
      <c r="B2" s="12" t="s">
        <v>67</v>
      </c>
      <c r="F2" s="6"/>
      <c r="G2" s="6"/>
      <c r="H2" s="6"/>
      <c r="J2" s="6"/>
      <c r="K2" s="6"/>
      <c r="L2" s="6"/>
      <c r="N2" s="13" t="s">
        <v>40</v>
      </c>
      <c r="O2" s="6"/>
      <c r="P2" s="6"/>
      <c r="R2" s="6"/>
      <c r="S2" s="38"/>
      <c r="U2" s="8"/>
      <c r="V2" s="8"/>
      <c r="W2" s="9"/>
      <c r="X2" s="10"/>
    </row>
    <row r="3" spans="1:26" x14ac:dyDescent="0.3">
      <c r="A3" t="s">
        <v>69</v>
      </c>
      <c r="B3" s="39"/>
      <c r="F3" s="6"/>
      <c r="G3" s="6"/>
      <c r="H3" s="6"/>
      <c r="J3" s="16" t="s">
        <v>68</v>
      </c>
      <c r="K3" s="6"/>
      <c r="L3" s="6"/>
      <c r="M3" s="14" t="s">
        <v>68</v>
      </c>
      <c r="N3" s="5"/>
      <c r="O3" s="6"/>
      <c r="P3" s="6"/>
      <c r="Q3" s="14" t="s">
        <v>68</v>
      </c>
      <c r="R3" s="15"/>
      <c r="S3" s="38"/>
      <c r="U3" s="8"/>
      <c r="V3" s="8"/>
      <c r="W3" s="9"/>
      <c r="X3" s="10"/>
    </row>
    <row r="4" spans="1:26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38"/>
      <c r="U4" s="8"/>
      <c r="V4" s="8"/>
      <c r="W4" s="9"/>
      <c r="X4" s="10"/>
    </row>
    <row r="5" spans="1:26" x14ac:dyDescent="0.3">
      <c r="A5" s="1" t="s">
        <v>144</v>
      </c>
      <c r="F5" s="6"/>
      <c r="G5" s="6"/>
      <c r="H5" s="6"/>
      <c r="J5" s="6"/>
      <c r="K5" s="6"/>
      <c r="L5" s="6"/>
      <c r="O5" s="6"/>
      <c r="P5" s="6"/>
      <c r="R5" s="6"/>
      <c r="S5" s="33" t="s">
        <v>508</v>
      </c>
      <c r="U5" s="6"/>
      <c r="V5" s="6"/>
      <c r="W5" s="9"/>
      <c r="X5" s="10"/>
    </row>
    <row r="6" spans="1:26" ht="43.2" x14ac:dyDescent="0.3">
      <c r="A6" s="24" t="s">
        <v>0</v>
      </c>
      <c r="B6" s="18" t="s">
        <v>1</v>
      </c>
      <c r="C6" s="18" t="s">
        <v>2</v>
      </c>
      <c r="D6" s="25" t="s">
        <v>3</v>
      </c>
      <c r="E6" s="25" t="s">
        <v>4</v>
      </c>
      <c r="F6" s="18" t="s">
        <v>5</v>
      </c>
      <c r="G6" s="18" t="s">
        <v>6</v>
      </c>
      <c r="H6" s="24" t="s">
        <v>7</v>
      </c>
      <c r="I6" s="18" t="s">
        <v>8</v>
      </c>
      <c r="J6" s="24" t="s">
        <v>9</v>
      </c>
      <c r="K6" s="25" t="s">
        <v>10</v>
      </c>
      <c r="L6" s="18" t="s">
        <v>11</v>
      </c>
      <c r="M6" s="25" t="s">
        <v>12</v>
      </c>
      <c r="N6" s="19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20" t="s">
        <v>18</v>
      </c>
      <c r="T6" s="18" t="s">
        <v>19</v>
      </c>
      <c r="U6" s="26" t="s">
        <v>20</v>
      </c>
      <c r="V6" s="26" t="s">
        <v>21</v>
      </c>
      <c r="W6" s="27" t="s">
        <v>22</v>
      </c>
      <c r="X6" s="21" t="s">
        <v>23</v>
      </c>
    </row>
    <row r="7" spans="1:26" x14ac:dyDescent="0.3">
      <c r="A7" s="22" t="s">
        <v>145</v>
      </c>
      <c r="B7" s="2" t="s">
        <v>214</v>
      </c>
      <c r="C7" s="43" t="s">
        <v>218</v>
      </c>
      <c r="D7" s="43" t="s">
        <v>229</v>
      </c>
      <c r="E7" s="43" t="s">
        <v>296</v>
      </c>
      <c r="F7" s="23" t="str">
        <f>HYPERLINK("https://mapwv.gov/flood/map/?wkid=102100&amp;x=-9151277.775995426&amp;y=4640175.848220188&amp;l=13&amp;v=2","FT")</f>
        <v>FT</v>
      </c>
      <c r="G7" s="28" t="s">
        <v>31</v>
      </c>
      <c r="H7" s="28" t="s">
        <v>24</v>
      </c>
      <c r="I7" s="2" t="s">
        <v>56</v>
      </c>
      <c r="J7" s="22" t="s">
        <v>25</v>
      </c>
      <c r="K7" s="44" t="s">
        <v>108</v>
      </c>
      <c r="L7" s="44"/>
      <c r="M7" s="43" t="s">
        <v>57</v>
      </c>
      <c r="N7" s="3" t="s">
        <v>81</v>
      </c>
      <c r="O7" s="44" t="s">
        <v>85</v>
      </c>
      <c r="P7" s="43" t="s">
        <v>439</v>
      </c>
      <c r="Q7" s="43" t="s">
        <v>29</v>
      </c>
      <c r="R7" s="28" t="s">
        <v>87</v>
      </c>
      <c r="S7" s="29">
        <v>60947644</v>
      </c>
      <c r="T7" s="43" t="s">
        <v>58</v>
      </c>
      <c r="U7" s="30">
        <v>0</v>
      </c>
      <c r="V7" s="30">
        <v>-1</v>
      </c>
      <c r="W7" s="31">
        <v>0</v>
      </c>
      <c r="X7" s="32">
        <v>0</v>
      </c>
    </row>
    <row r="8" spans="1:26" x14ac:dyDescent="0.3">
      <c r="A8" s="22" t="s">
        <v>146</v>
      </c>
      <c r="B8" s="2" t="s">
        <v>215</v>
      </c>
      <c r="C8" s="43" t="s">
        <v>219</v>
      </c>
      <c r="D8" s="43" t="s">
        <v>230</v>
      </c>
      <c r="E8" s="43" t="s">
        <v>297</v>
      </c>
      <c r="F8" s="23" t="str">
        <f>HYPERLINK("https://mapwv.gov/flood/map/?wkid=102100&amp;x=-9172784.338492513&amp;y=4640493.822500558&amp;l=13&amp;v=2","FT")</f>
        <v>FT</v>
      </c>
      <c r="G8" s="28" t="s">
        <v>70</v>
      </c>
      <c r="H8" s="28" t="s">
        <v>24</v>
      </c>
      <c r="I8" s="2" t="s">
        <v>365</v>
      </c>
      <c r="J8" s="22" t="s">
        <v>35</v>
      </c>
      <c r="K8" s="44" t="s">
        <v>73</v>
      </c>
      <c r="L8" s="44"/>
      <c r="M8" s="43" t="s">
        <v>138</v>
      </c>
      <c r="N8" s="3" t="s">
        <v>34</v>
      </c>
      <c r="O8" s="44" t="s">
        <v>85</v>
      </c>
      <c r="P8" s="43" t="s">
        <v>440</v>
      </c>
      <c r="Q8" s="43" t="s">
        <v>29</v>
      </c>
      <c r="R8" s="28" t="s">
        <v>87</v>
      </c>
      <c r="S8" s="29">
        <v>30000000</v>
      </c>
      <c r="T8" s="43" t="s">
        <v>42</v>
      </c>
      <c r="U8" s="30">
        <v>0</v>
      </c>
      <c r="V8" s="30">
        <v>-1</v>
      </c>
      <c r="W8" s="31">
        <v>0</v>
      </c>
      <c r="X8" s="32">
        <v>0</v>
      </c>
    </row>
    <row r="9" spans="1:26" x14ac:dyDescent="0.3">
      <c r="A9" s="22" t="s">
        <v>148</v>
      </c>
      <c r="B9" s="2" t="s">
        <v>215</v>
      </c>
      <c r="C9" s="43" t="s">
        <v>220</v>
      </c>
      <c r="D9" s="43" t="s">
        <v>231</v>
      </c>
      <c r="E9" s="43" t="s">
        <v>299</v>
      </c>
      <c r="F9" s="23" t="str">
        <f>HYPERLINK("https://mapwv.gov/flood/map/?wkid=102100&amp;x=-9176243.811858865&amp;y=4637771.315458343&amp;l=13&amp;v=2","FT")</f>
        <v>FT</v>
      </c>
      <c r="G9" s="28" t="s">
        <v>51</v>
      </c>
      <c r="H9" s="28" t="s">
        <v>24</v>
      </c>
      <c r="I9" s="2" t="s">
        <v>366</v>
      </c>
      <c r="J9" s="22" t="s">
        <v>102</v>
      </c>
      <c r="K9" s="44" t="s">
        <v>108</v>
      </c>
      <c r="L9" s="44"/>
      <c r="M9" s="43" t="s">
        <v>436</v>
      </c>
      <c r="N9" s="3" t="s">
        <v>81</v>
      </c>
      <c r="O9" s="44" t="s">
        <v>127</v>
      </c>
      <c r="P9" s="43" t="s">
        <v>442</v>
      </c>
      <c r="Q9" s="43" t="s">
        <v>29</v>
      </c>
      <c r="R9" s="28" t="s">
        <v>87</v>
      </c>
      <c r="S9" s="29">
        <v>13252075</v>
      </c>
      <c r="T9" s="43" t="s">
        <v>30</v>
      </c>
      <c r="U9" s="30">
        <v>8.3862304999999998E-2</v>
      </c>
      <c r="V9" s="30">
        <v>-0.9161376953125</v>
      </c>
      <c r="W9" s="31">
        <v>0</v>
      </c>
      <c r="X9" s="32">
        <v>0</v>
      </c>
    </row>
    <row r="10" spans="1:26" x14ac:dyDescent="0.3">
      <c r="A10" s="22" t="s">
        <v>149</v>
      </c>
      <c r="B10" s="2" t="s">
        <v>216</v>
      </c>
      <c r="C10" s="43" t="s">
        <v>221</v>
      </c>
      <c r="D10" s="43" t="s">
        <v>232</v>
      </c>
      <c r="E10" s="43" t="s">
        <v>300</v>
      </c>
      <c r="F10" s="23" t="str">
        <f>HYPERLINK("https://mapwv.gov/flood/map/?wkid=102100&amp;x=-9143798.260485923&amp;y=4640755.6171744745&amp;l=13&amp;v=2","FT")</f>
        <v>FT</v>
      </c>
      <c r="G10" s="28" t="s">
        <v>31</v>
      </c>
      <c r="H10" s="28" t="s">
        <v>24</v>
      </c>
      <c r="I10" s="2" t="s">
        <v>56</v>
      </c>
      <c r="J10" s="22" t="s">
        <v>38</v>
      </c>
      <c r="K10" s="44" t="s">
        <v>109</v>
      </c>
      <c r="L10" s="44"/>
      <c r="M10" s="43" t="s">
        <v>27</v>
      </c>
      <c r="N10" s="3" t="s">
        <v>82</v>
      </c>
      <c r="O10" s="44" t="s">
        <v>85</v>
      </c>
      <c r="P10" s="43" t="s">
        <v>443</v>
      </c>
      <c r="Q10" s="43" t="s">
        <v>29</v>
      </c>
      <c r="R10" s="28" t="s">
        <v>87</v>
      </c>
      <c r="S10" s="29">
        <v>12957516</v>
      </c>
      <c r="T10" s="43" t="s">
        <v>58</v>
      </c>
      <c r="U10" s="30">
        <v>3.7001343000000002</v>
      </c>
      <c r="V10" s="30">
        <v>2.70013427734375</v>
      </c>
      <c r="W10" s="31">
        <v>8.4002685546874997E-2</v>
      </c>
      <c r="X10" s="32">
        <v>1088466.1420165999</v>
      </c>
      <c r="Z10" s="52"/>
    </row>
    <row r="11" spans="1:26" x14ac:dyDescent="0.3">
      <c r="A11" s="22" t="s">
        <v>150</v>
      </c>
      <c r="B11" s="2" t="s">
        <v>215</v>
      </c>
      <c r="C11" s="43" t="s">
        <v>219</v>
      </c>
      <c r="D11" s="43" t="s">
        <v>233</v>
      </c>
      <c r="E11" s="43" t="s">
        <v>301</v>
      </c>
      <c r="F11" s="23" t="str">
        <f>HYPERLINK("https://mapwv.gov/flood/map/?wkid=102100&amp;x=-9182838.487809198&amp;y=4637564.221496771&amp;l=13&amp;v=2","FT")</f>
        <v>FT</v>
      </c>
      <c r="G11" s="28" t="s">
        <v>70</v>
      </c>
      <c r="H11" s="28" t="s">
        <v>24</v>
      </c>
      <c r="I11" s="2" t="s">
        <v>56</v>
      </c>
      <c r="J11" s="22" t="s">
        <v>25</v>
      </c>
      <c r="K11" s="44" t="s">
        <v>74</v>
      </c>
      <c r="L11" s="44"/>
      <c r="M11" s="43" t="s">
        <v>57</v>
      </c>
      <c r="N11" s="3" t="s">
        <v>81</v>
      </c>
      <c r="O11" s="44" t="s">
        <v>85</v>
      </c>
      <c r="P11" s="43" t="s">
        <v>444</v>
      </c>
      <c r="Q11" s="43" t="s">
        <v>29</v>
      </c>
      <c r="R11" s="28" t="s">
        <v>87</v>
      </c>
      <c r="S11" s="29">
        <v>12921762</v>
      </c>
      <c r="T11" s="43" t="s">
        <v>58</v>
      </c>
      <c r="U11" s="30">
        <v>0</v>
      </c>
      <c r="V11" s="30">
        <v>-1</v>
      </c>
      <c r="W11" s="31">
        <v>0</v>
      </c>
      <c r="X11" s="32">
        <v>0</v>
      </c>
    </row>
    <row r="12" spans="1:26" x14ac:dyDescent="0.3">
      <c r="A12" s="22" t="s">
        <v>147</v>
      </c>
      <c r="B12" s="2" t="s">
        <v>215</v>
      </c>
      <c r="C12" s="43" t="s">
        <v>220</v>
      </c>
      <c r="D12" s="43" t="s">
        <v>231</v>
      </c>
      <c r="E12" s="43" t="s">
        <v>298</v>
      </c>
      <c r="F12" s="23" t="str">
        <f>HYPERLINK("https://mapwv.gov/flood/map/?wkid=102100&amp;x=-9176101.139233489&amp;y=4637711.9204161195&amp;l=13&amp;v=2","FT")</f>
        <v>FT</v>
      </c>
      <c r="G12" s="28" t="s">
        <v>51</v>
      </c>
      <c r="H12" s="28" t="s">
        <v>24</v>
      </c>
      <c r="I12" s="2" t="s">
        <v>366</v>
      </c>
      <c r="J12" s="22" t="s">
        <v>102</v>
      </c>
      <c r="K12" s="44" t="s">
        <v>420</v>
      </c>
      <c r="L12" s="44"/>
      <c r="M12" s="43" t="s">
        <v>138</v>
      </c>
      <c r="N12" s="3" t="s">
        <v>34</v>
      </c>
      <c r="O12" s="44" t="s">
        <v>438</v>
      </c>
      <c r="P12" s="43" t="s">
        <v>441</v>
      </c>
      <c r="Q12" s="43" t="s">
        <v>29</v>
      </c>
      <c r="R12" s="28" t="s">
        <v>87</v>
      </c>
      <c r="S12" s="29">
        <v>9868760</v>
      </c>
      <c r="T12" s="43" t="s">
        <v>30</v>
      </c>
      <c r="U12" s="30">
        <v>9.3000000000000007</v>
      </c>
      <c r="V12" s="30">
        <v>8.61566162109375</v>
      </c>
      <c r="W12" s="31">
        <v>0.16231323242187501</v>
      </c>
      <c r="X12" s="32">
        <v>1601830</v>
      </c>
    </row>
    <row r="13" spans="1:26" x14ac:dyDescent="0.3">
      <c r="A13" s="22" t="s">
        <v>151</v>
      </c>
      <c r="B13" s="2" t="s">
        <v>216</v>
      </c>
      <c r="C13" s="43" t="s">
        <v>221</v>
      </c>
      <c r="D13" s="43" t="s">
        <v>234</v>
      </c>
      <c r="E13" s="43" t="s">
        <v>302</v>
      </c>
      <c r="F13" s="23" t="str">
        <f>HYPERLINK("https://mapwv.gov/flood/map/?wkid=102100&amp;x=-9143365.861297278&amp;y=4641408.782675063&amp;l=13&amp;v=2","FT")</f>
        <v>FT</v>
      </c>
      <c r="G13" s="28" t="s">
        <v>31</v>
      </c>
      <c r="H13" s="28" t="s">
        <v>24</v>
      </c>
      <c r="I13" s="2" t="s">
        <v>56</v>
      </c>
      <c r="J13" s="22" t="s">
        <v>38</v>
      </c>
      <c r="K13" s="44" t="s">
        <v>118</v>
      </c>
      <c r="L13" s="44"/>
      <c r="M13" s="43" t="s">
        <v>57</v>
      </c>
      <c r="N13" s="3" t="s">
        <v>81</v>
      </c>
      <c r="O13" s="44" t="s">
        <v>86</v>
      </c>
      <c r="P13" s="43" t="s">
        <v>445</v>
      </c>
      <c r="Q13" s="43" t="s">
        <v>29</v>
      </c>
      <c r="R13" s="28" t="s">
        <v>87</v>
      </c>
      <c r="S13" s="29">
        <v>9164113</v>
      </c>
      <c r="T13" s="43" t="s">
        <v>58</v>
      </c>
      <c r="U13" s="30">
        <v>7.1112060000000001</v>
      </c>
      <c r="V13" s="30">
        <v>6.1112060546875</v>
      </c>
      <c r="W13" s="31">
        <v>0.11222412109375</v>
      </c>
      <c r="X13" s="32">
        <v>1028434.5270288</v>
      </c>
    </row>
    <row r="14" spans="1:26" x14ac:dyDescent="0.3">
      <c r="A14" s="22" t="s">
        <v>152</v>
      </c>
      <c r="B14" s="2" t="s">
        <v>215</v>
      </c>
      <c r="C14" s="43" t="s">
        <v>219</v>
      </c>
      <c r="D14" s="43" t="s">
        <v>235</v>
      </c>
      <c r="E14" s="43" t="s">
        <v>303</v>
      </c>
      <c r="F14" s="23" t="str">
        <f>HYPERLINK("https://mapwv.gov/flood/map/?wkid=102100&amp;x=-9171019.73854857&amp;y=4639860.911024421&amp;l=13&amp;v=2","FT")</f>
        <v>FT</v>
      </c>
      <c r="G14" s="28" t="s">
        <v>70</v>
      </c>
      <c r="H14" s="28" t="s">
        <v>24</v>
      </c>
      <c r="I14" s="2" t="s">
        <v>56</v>
      </c>
      <c r="J14" s="22" t="s">
        <v>25</v>
      </c>
      <c r="K14" s="44" t="s">
        <v>72</v>
      </c>
      <c r="L14" s="44"/>
      <c r="M14" s="43" t="s">
        <v>57</v>
      </c>
      <c r="N14" s="3" t="s">
        <v>81</v>
      </c>
      <c r="O14" s="44" t="s">
        <v>85</v>
      </c>
      <c r="P14" s="43" t="s">
        <v>446</v>
      </c>
      <c r="Q14" s="43" t="s">
        <v>29</v>
      </c>
      <c r="R14" s="28" t="s">
        <v>87</v>
      </c>
      <c r="S14" s="29">
        <v>8776460</v>
      </c>
      <c r="T14" s="43" t="s">
        <v>58</v>
      </c>
      <c r="U14" s="30">
        <v>0</v>
      </c>
      <c r="V14" s="30">
        <v>-1</v>
      </c>
      <c r="W14" s="31">
        <v>0</v>
      </c>
      <c r="X14" s="32">
        <v>0</v>
      </c>
    </row>
    <row r="15" spans="1:26" x14ac:dyDescent="0.3">
      <c r="A15" s="22" t="s">
        <v>153</v>
      </c>
      <c r="B15" s="2" t="s">
        <v>215</v>
      </c>
      <c r="C15" s="43" t="s">
        <v>220</v>
      </c>
      <c r="D15" s="43" t="s">
        <v>231</v>
      </c>
      <c r="E15" s="43" t="s">
        <v>304</v>
      </c>
      <c r="F15" s="23" t="str">
        <f>HYPERLINK("https://mapwv.gov/flood/map/?wkid=102100&amp;x=-9176127.083465334&amp;y=4637600.577587312&amp;l=13&amp;v=2","FT")</f>
        <v>FT</v>
      </c>
      <c r="G15" s="28" t="s">
        <v>51</v>
      </c>
      <c r="H15" s="28" t="s">
        <v>24</v>
      </c>
      <c r="I15" s="2" t="s">
        <v>366</v>
      </c>
      <c r="J15" s="22" t="s">
        <v>102</v>
      </c>
      <c r="K15" s="44" t="s">
        <v>108</v>
      </c>
      <c r="L15" s="44"/>
      <c r="M15" s="43" t="s">
        <v>138</v>
      </c>
      <c r="N15" s="3" t="s">
        <v>34</v>
      </c>
      <c r="O15" s="44" t="s">
        <v>438</v>
      </c>
      <c r="P15" s="43" t="s">
        <v>447</v>
      </c>
      <c r="Q15" s="43" t="s">
        <v>29</v>
      </c>
      <c r="R15" s="28" t="s">
        <v>87</v>
      </c>
      <c r="S15" s="29">
        <v>8612117</v>
      </c>
      <c r="T15" s="43" t="s">
        <v>30</v>
      </c>
      <c r="U15" s="30">
        <v>8.3000000000000007</v>
      </c>
      <c r="V15" s="30">
        <v>7.2496337890625</v>
      </c>
      <c r="W15" s="31">
        <v>0.13499267578124999</v>
      </c>
      <c r="X15" s="32">
        <v>1079941.40625</v>
      </c>
    </row>
    <row r="16" spans="1:26" x14ac:dyDescent="0.3">
      <c r="A16" s="22" t="s">
        <v>154</v>
      </c>
      <c r="B16" s="2" t="s">
        <v>214</v>
      </c>
      <c r="C16" s="43" t="s">
        <v>222</v>
      </c>
      <c r="D16" s="43" t="s">
        <v>236</v>
      </c>
      <c r="E16" s="43" t="s">
        <v>305</v>
      </c>
      <c r="F16" s="23" t="str">
        <f>HYPERLINK("https://mapwv.gov/flood/map/?wkid=102100&amp;x=-9152838.392879924&amp;y=4624767.411436048&amp;l=13&amp;v=2","FT")</f>
        <v>FT</v>
      </c>
      <c r="G16" s="28" t="s">
        <v>70</v>
      </c>
      <c r="H16" s="28" t="s">
        <v>24</v>
      </c>
      <c r="I16" s="2" t="s">
        <v>56</v>
      </c>
      <c r="J16" s="22" t="s">
        <v>38</v>
      </c>
      <c r="K16" s="44" t="s">
        <v>99</v>
      </c>
      <c r="L16" s="44"/>
      <c r="M16" s="43" t="s">
        <v>57</v>
      </c>
      <c r="N16" s="3" t="s">
        <v>81</v>
      </c>
      <c r="O16" s="44" t="s">
        <v>85</v>
      </c>
      <c r="P16" s="43" t="s">
        <v>448</v>
      </c>
      <c r="Q16" s="43" t="s">
        <v>29</v>
      </c>
      <c r="R16" s="28" t="s">
        <v>87</v>
      </c>
      <c r="S16" s="29">
        <v>8493474</v>
      </c>
      <c r="T16" s="43" t="s">
        <v>58</v>
      </c>
      <c r="U16" s="30">
        <v>0</v>
      </c>
      <c r="V16" s="30">
        <v>-1</v>
      </c>
      <c r="W16" s="31">
        <v>0</v>
      </c>
      <c r="X16" s="32">
        <v>0</v>
      </c>
    </row>
    <row r="17" spans="1:24" x14ac:dyDescent="0.3">
      <c r="A17" s="22" t="s">
        <v>155</v>
      </c>
      <c r="B17" s="2" t="s">
        <v>214</v>
      </c>
      <c r="C17" s="43" t="s">
        <v>223</v>
      </c>
      <c r="D17" s="43" t="s">
        <v>237</v>
      </c>
      <c r="E17" s="43" t="s">
        <v>306</v>
      </c>
      <c r="F17" s="23" t="str">
        <f>HYPERLINK("https://mapwv.gov/flood/map/?wkid=102100&amp;x=-9169849.583015667&amp;y=4637138.60351309&amp;l=13&amp;v=2","FT")</f>
        <v>FT</v>
      </c>
      <c r="G17" s="28" t="s">
        <v>37</v>
      </c>
      <c r="H17" s="28" t="s">
        <v>24</v>
      </c>
      <c r="I17" s="2" t="s">
        <v>367</v>
      </c>
      <c r="J17" s="22" t="s">
        <v>25</v>
      </c>
      <c r="K17" s="44" t="s">
        <v>113</v>
      </c>
      <c r="L17" s="44" t="s">
        <v>43</v>
      </c>
      <c r="M17" s="43" t="s">
        <v>45</v>
      </c>
      <c r="N17" s="3" t="s">
        <v>34</v>
      </c>
      <c r="O17" s="44" t="s">
        <v>85</v>
      </c>
      <c r="P17" s="43" t="s">
        <v>449</v>
      </c>
      <c r="Q17" s="43" t="s">
        <v>29</v>
      </c>
      <c r="R17" s="28" t="s">
        <v>87</v>
      </c>
      <c r="S17" s="29">
        <v>6774400</v>
      </c>
      <c r="T17" s="43" t="s">
        <v>42</v>
      </c>
      <c r="U17" s="30">
        <v>0</v>
      </c>
      <c r="V17" s="30">
        <v>-1</v>
      </c>
      <c r="W17" s="31">
        <v>0</v>
      </c>
      <c r="X17" s="32">
        <v>0</v>
      </c>
    </row>
    <row r="18" spans="1:24" x14ac:dyDescent="0.3">
      <c r="A18" s="22" t="s">
        <v>156</v>
      </c>
      <c r="B18" s="2" t="s">
        <v>215</v>
      </c>
      <c r="C18" s="43" t="s">
        <v>224</v>
      </c>
      <c r="D18" s="43" t="s">
        <v>238</v>
      </c>
      <c r="E18" s="43" t="s">
        <v>307</v>
      </c>
      <c r="F18" s="23" t="str">
        <f>HYPERLINK("https://mapwv.gov/flood/map/?wkid=102100&amp;x=-9168727.914245458&amp;y=4638286.509228793&amp;l=13&amp;v=2","FT")</f>
        <v>FT</v>
      </c>
      <c r="G18" s="28" t="s">
        <v>70</v>
      </c>
      <c r="H18" s="28" t="s">
        <v>24</v>
      </c>
      <c r="I18" s="2" t="s">
        <v>56</v>
      </c>
      <c r="J18" s="22" t="s">
        <v>38</v>
      </c>
      <c r="K18" s="44" t="s">
        <v>421</v>
      </c>
      <c r="L18" s="44"/>
      <c r="M18" s="43" t="s">
        <v>57</v>
      </c>
      <c r="N18" s="3" t="s">
        <v>81</v>
      </c>
      <c r="O18" s="44" t="s">
        <v>85</v>
      </c>
      <c r="P18" s="43" t="s">
        <v>450</v>
      </c>
      <c r="Q18" s="43" t="s">
        <v>29</v>
      </c>
      <c r="R18" s="28" t="s">
        <v>87</v>
      </c>
      <c r="S18" s="29">
        <v>6329510</v>
      </c>
      <c r="T18" s="43" t="s">
        <v>58</v>
      </c>
      <c r="U18" s="30">
        <v>0</v>
      </c>
      <c r="V18" s="30">
        <v>-1</v>
      </c>
      <c r="W18" s="31">
        <v>0</v>
      </c>
      <c r="X18" s="32">
        <v>0</v>
      </c>
    </row>
    <row r="19" spans="1:24" x14ac:dyDescent="0.3">
      <c r="A19" s="22" t="s">
        <v>157</v>
      </c>
      <c r="B19" s="2" t="s">
        <v>214</v>
      </c>
      <c r="C19" s="43" t="s">
        <v>218</v>
      </c>
      <c r="D19" s="43" t="s">
        <v>239</v>
      </c>
      <c r="E19" s="43" t="s">
        <v>308</v>
      </c>
      <c r="F19" s="23" t="str">
        <f>HYPERLINK("https://mapwv.gov/flood/map/?wkid=102100&amp;x=-9150702.028694741&amp;y=4639582.84790826&amp;l=13&amp;v=2","FT")</f>
        <v>FT</v>
      </c>
      <c r="G19" s="28" t="s">
        <v>37</v>
      </c>
      <c r="H19" s="28" t="s">
        <v>24</v>
      </c>
      <c r="I19" s="2" t="s">
        <v>368</v>
      </c>
      <c r="J19" s="22" t="s">
        <v>25</v>
      </c>
      <c r="K19" s="44" t="s">
        <v>128</v>
      </c>
      <c r="L19" s="44" t="s">
        <v>130</v>
      </c>
      <c r="M19" s="43" t="s">
        <v>437</v>
      </c>
      <c r="N19" s="3" t="s">
        <v>40</v>
      </c>
      <c r="O19" s="44" t="s">
        <v>85</v>
      </c>
      <c r="P19" s="43" t="s">
        <v>451</v>
      </c>
      <c r="Q19" s="43" t="s">
        <v>29</v>
      </c>
      <c r="R19" s="28" t="s">
        <v>87</v>
      </c>
      <c r="S19" s="29">
        <v>5272400</v>
      </c>
      <c r="T19" s="43" t="s">
        <v>42</v>
      </c>
      <c r="U19" s="30">
        <v>0</v>
      </c>
      <c r="V19" s="30">
        <v>-1</v>
      </c>
      <c r="W19" s="31">
        <v>0</v>
      </c>
      <c r="X19" s="32">
        <v>0</v>
      </c>
    </row>
    <row r="20" spans="1:24" x14ac:dyDescent="0.3">
      <c r="A20" s="22" t="s">
        <v>158</v>
      </c>
      <c r="B20" s="2" t="s">
        <v>215</v>
      </c>
      <c r="C20" s="43" t="s">
        <v>220</v>
      </c>
      <c r="D20" s="43" t="s">
        <v>240</v>
      </c>
      <c r="E20" s="43" t="s">
        <v>309</v>
      </c>
      <c r="F20" s="23" t="str">
        <f>HYPERLINK("https://mapwv.gov/flood/map/?wkid=102100&amp;x=-9175799.34329971&amp;y=4636632.127980359&amp;l=13&amp;v=2","FT")</f>
        <v>FT</v>
      </c>
      <c r="G20" s="28" t="s">
        <v>70</v>
      </c>
      <c r="H20" s="28" t="s">
        <v>24</v>
      </c>
      <c r="I20" s="2" t="s">
        <v>56</v>
      </c>
      <c r="J20" s="22" t="s">
        <v>38</v>
      </c>
      <c r="K20" s="44" t="s">
        <v>422</v>
      </c>
      <c r="L20" s="44" t="s">
        <v>47</v>
      </c>
      <c r="M20" s="43" t="s">
        <v>57</v>
      </c>
      <c r="N20" s="3" t="s">
        <v>81</v>
      </c>
      <c r="O20" s="44" t="s">
        <v>85</v>
      </c>
      <c r="P20" s="43" t="s">
        <v>452</v>
      </c>
      <c r="Q20" s="43" t="s">
        <v>29</v>
      </c>
      <c r="R20" s="28" t="s">
        <v>87</v>
      </c>
      <c r="S20" s="29">
        <v>5013428</v>
      </c>
      <c r="T20" s="43" t="s">
        <v>58</v>
      </c>
      <c r="U20" s="30">
        <v>0</v>
      </c>
      <c r="V20" s="30">
        <v>-1</v>
      </c>
      <c r="W20" s="31">
        <v>0</v>
      </c>
      <c r="X20" s="32">
        <v>0</v>
      </c>
    </row>
    <row r="21" spans="1:24" x14ac:dyDescent="0.3">
      <c r="A21" s="22" t="s">
        <v>159</v>
      </c>
      <c r="B21" s="2" t="s">
        <v>214</v>
      </c>
      <c r="C21" s="43" t="s">
        <v>225</v>
      </c>
      <c r="D21" s="43" t="s">
        <v>241</v>
      </c>
      <c r="E21" s="43" t="s">
        <v>310</v>
      </c>
      <c r="F21" s="23" t="str">
        <f>HYPERLINK("https://mapwv.gov/flood/map/?wkid=102100&amp;x=-9165194.302320877&amp;y=4634039.747806358&amp;l=13&amp;v=2","FT")</f>
        <v>FT</v>
      </c>
      <c r="G21" s="28" t="s">
        <v>364</v>
      </c>
      <c r="H21" s="28" t="s">
        <v>24</v>
      </c>
      <c r="I21" s="2" t="s">
        <v>56</v>
      </c>
      <c r="J21" s="22" t="s">
        <v>38</v>
      </c>
      <c r="K21" s="44" t="s">
        <v>141</v>
      </c>
      <c r="L21" s="44" t="s">
        <v>26</v>
      </c>
      <c r="M21" s="43" t="s">
        <v>57</v>
      </c>
      <c r="N21" s="3" t="s">
        <v>81</v>
      </c>
      <c r="O21" s="44" t="s">
        <v>85</v>
      </c>
      <c r="P21" s="43" t="s">
        <v>453</v>
      </c>
      <c r="Q21" s="43" t="s">
        <v>29</v>
      </c>
      <c r="R21" s="28" t="s">
        <v>87</v>
      </c>
      <c r="S21" s="29">
        <v>4967771</v>
      </c>
      <c r="T21" s="43" t="s">
        <v>58</v>
      </c>
      <c r="U21" s="30">
        <v>2.6544403999999999</v>
      </c>
      <c r="V21" s="30">
        <v>1.65444040298461</v>
      </c>
      <c r="W21" s="31">
        <v>6.3088808059692303E-2</v>
      </c>
      <c r="X21" s="32">
        <v>313410.75110350602</v>
      </c>
    </row>
    <row r="22" spans="1:24" x14ac:dyDescent="0.3">
      <c r="A22" s="22" t="s">
        <v>160</v>
      </c>
      <c r="B22" s="2" t="s">
        <v>214</v>
      </c>
      <c r="C22" s="43" t="s">
        <v>224</v>
      </c>
      <c r="D22" s="43" t="s">
        <v>242</v>
      </c>
      <c r="E22" s="43" t="s">
        <v>311</v>
      </c>
      <c r="F22" s="23" t="str">
        <f>HYPERLINK("https://mapwv.gov/flood/map/?wkid=102100&amp;x=-9165921.449806336&amp;y=4638714.357174464&amp;l=13&amp;v=2","FT")</f>
        <v>FT</v>
      </c>
      <c r="G22" s="28" t="s">
        <v>51</v>
      </c>
      <c r="H22" s="28" t="s">
        <v>24</v>
      </c>
      <c r="I22" s="2" t="s">
        <v>369</v>
      </c>
      <c r="J22" s="22" t="s">
        <v>25</v>
      </c>
      <c r="K22" s="44" t="s">
        <v>129</v>
      </c>
      <c r="L22" s="44" t="s">
        <v>54</v>
      </c>
      <c r="M22" s="43" t="s">
        <v>138</v>
      </c>
      <c r="N22" s="3" t="s">
        <v>34</v>
      </c>
      <c r="O22" s="44" t="s">
        <v>85</v>
      </c>
      <c r="P22" s="43" t="s">
        <v>454</v>
      </c>
      <c r="Q22" s="43" t="s">
        <v>29</v>
      </c>
      <c r="R22" s="28" t="s">
        <v>87</v>
      </c>
      <c r="S22" s="29">
        <v>3829300</v>
      </c>
      <c r="T22" s="43" t="s">
        <v>42</v>
      </c>
      <c r="U22" s="30">
        <v>4.5409546000000001</v>
      </c>
      <c r="V22" s="30">
        <v>3.54095458984375</v>
      </c>
      <c r="W22" s="31">
        <v>0.22704772949218699</v>
      </c>
      <c r="X22" s="32">
        <v>869433.87054443301</v>
      </c>
    </row>
    <row r="23" spans="1:24" x14ac:dyDescent="0.3">
      <c r="A23" s="22" t="s">
        <v>161</v>
      </c>
      <c r="B23" s="2" t="s">
        <v>217</v>
      </c>
      <c r="C23" s="43" t="s">
        <v>221</v>
      </c>
      <c r="D23" s="43" t="s">
        <v>243</v>
      </c>
      <c r="E23" s="43" t="s">
        <v>312</v>
      </c>
      <c r="F23" s="23" t="str">
        <f>HYPERLINK("https://mapwv.gov/flood/map/?wkid=102100&amp;x=-9157945.5653628&amp;y=4638544.108280696&amp;l=13&amp;v=2","FT")</f>
        <v>FT</v>
      </c>
      <c r="G23" s="28" t="s">
        <v>31</v>
      </c>
      <c r="H23" s="28" t="s">
        <v>24</v>
      </c>
      <c r="I23" s="2" t="s">
        <v>370</v>
      </c>
      <c r="J23" s="22" t="s">
        <v>25</v>
      </c>
      <c r="K23" s="44" t="s">
        <v>94</v>
      </c>
      <c r="L23" s="44" t="s">
        <v>26</v>
      </c>
      <c r="M23" s="43" t="s">
        <v>45</v>
      </c>
      <c r="N23" s="3" t="s">
        <v>34</v>
      </c>
      <c r="O23" s="44" t="s">
        <v>85</v>
      </c>
      <c r="P23" s="43" t="s">
        <v>455</v>
      </c>
      <c r="Q23" s="43" t="s">
        <v>29</v>
      </c>
      <c r="R23" s="28" t="s">
        <v>87</v>
      </c>
      <c r="S23" s="29">
        <v>2865800</v>
      </c>
      <c r="T23" s="43" t="s">
        <v>42</v>
      </c>
      <c r="U23" s="30">
        <v>0</v>
      </c>
      <c r="V23" s="30">
        <v>-1</v>
      </c>
      <c r="W23" s="31">
        <v>0</v>
      </c>
      <c r="X23" s="32">
        <v>0</v>
      </c>
    </row>
    <row r="24" spans="1:24" x14ac:dyDescent="0.3">
      <c r="A24" s="22" t="s">
        <v>162</v>
      </c>
      <c r="B24" s="2" t="s">
        <v>215</v>
      </c>
      <c r="C24" s="43" t="s">
        <v>220</v>
      </c>
      <c r="D24" s="43" t="s">
        <v>244</v>
      </c>
      <c r="E24" s="43" t="s">
        <v>313</v>
      </c>
      <c r="F24" s="23" t="str">
        <f>HYPERLINK("https://mapwv.gov/flood/map/?wkid=102100&amp;x=-9174495.689982545&amp;y=4635312.107347755&amp;l=13&amp;v=2","FT")</f>
        <v>FT</v>
      </c>
      <c r="G24" s="28" t="s">
        <v>31</v>
      </c>
      <c r="H24" s="28" t="s">
        <v>121</v>
      </c>
      <c r="I24" s="2" t="s">
        <v>371</v>
      </c>
      <c r="J24" s="22" t="s">
        <v>25</v>
      </c>
      <c r="K24" s="44" t="s">
        <v>97</v>
      </c>
      <c r="L24" s="44" t="s">
        <v>43</v>
      </c>
      <c r="M24" s="43" t="s">
        <v>59</v>
      </c>
      <c r="N24" s="3" t="s">
        <v>40</v>
      </c>
      <c r="O24" s="44" t="s">
        <v>127</v>
      </c>
      <c r="P24" s="43" t="s">
        <v>456</v>
      </c>
      <c r="Q24" s="43" t="s">
        <v>29</v>
      </c>
      <c r="R24" s="28" t="s">
        <v>87</v>
      </c>
      <c r="S24" s="29">
        <v>1762100</v>
      </c>
      <c r="T24" s="43" t="s">
        <v>42</v>
      </c>
      <c r="U24" s="30">
        <v>1</v>
      </c>
      <c r="V24" s="30">
        <v>0</v>
      </c>
      <c r="W24" s="31">
        <v>0</v>
      </c>
      <c r="X24" s="32">
        <v>0</v>
      </c>
    </row>
    <row r="25" spans="1:24" x14ac:dyDescent="0.3">
      <c r="A25" s="22" t="s">
        <v>163</v>
      </c>
      <c r="B25" s="2" t="s">
        <v>214</v>
      </c>
      <c r="C25" s="43" t="s">
        <v>226</v>
      </c>
      <c r="D25" s="43" t="s">
        <v>245</v>
      </c>
      <c r="E25" s="43" t="s">
        <v>314</v>
      </c>
      <c r="F25" s="23" t="str">
        <f>HYPERLINK("https://mapwv.gov/flood/map/?wkid=102100&amp;x=-9156867.356501032&amp;y=4638237.750870614&amp;l=13&amp;v=2","FT")</f>
        <v>FT</v>
      </c>
      <c r="G25" s="28" t="s">
        <v>37</v>
      </c>
      <c r="H25" s="28" t="s">
        <v>24</v>
      </c>
      <c r="I25" s="2" t="s">
        <v>372</v>
      </c>
      <c r="J25" s="22" t="s">
        <v>25</v>
      </c>
      <c r="K25" s="44" t="s">
        <v>101</v>
      </c>
      <c r="L25" s="44" t="s">
        <v>43</v>
      </c>
      <c r="M25" s="43" t="s">
        <v>59</v>
      </c>
      <c r="N25" s="3" t="s">
        <v>40</v>
      </c>
      <c r="O25" s="44" t="s">
        <v>139</v>
      </c>
      <c r="P25" s="43" t="s">
        <v>457</v>
      </c>
      <c r="Q25" s="43" t="s">
        <v>29</v>
      </c>
      <c r="R25" s="28" t="s">
        <v>87</v>
      </c>
      <c r="S25" s="29">
        <v>1577200</v>
      </c>
      <c r="T25" s="43" t="s">
        <v>42</v>
      </c>
      <c r="U25" s="30">
        <v>0</v>
      </c>
      <c r="V25" s="30">
        <v>-1</v>
      </c>
      <c r="W25" s="31">
        <v>0</v>
      </c>
      <c r="X25" s="32">
        <v>0</v>
      </c>
    </row>
    <row r="26" spans="1:24" x14ac:dyDescent="0.3">
      <c r="A26" s="22" t="s">
        <v>164</v>
      </c>
      <c r="B26" s="2" t="s">
        <v>215</v>
      </c>
      <c r="C26" s="43" t="s">
        <v>219</v>
      </c>
      <c r="D26" s="43" t="s">
        <v>246</v>
      </c>
      <c r="E26" s="43" t="s">
        <v>315</v>
      </c>
      <c r="F26" s="23" t="str">
        <f>HYPERLINK("https://mapwv.gov/flood/map/?wkid=102100&amp;x=-9177113.310256377&amp;y=4639545.994292412&amp;l=13&amp;v=2","FT")</f>
        <v>FT</v>
      </c>
      <c r="G26" s="28" t="s">
        <v>70</v>
      </c>
      <c r="H26" s="28" t="s">
        <v>24</v>
      </c>
      <c r="I26" s="2" t="s">
        <v>373</v>
      </c>
      <c r="J26" s="22" t="s">
        <v>38</v>
      </c>
      <c r="K26" s="44" t="s">
        <v>76</v>
      </c>
      <c r="L26" s="44" t="s">
        <v>26</v>
      </c>
      <c r="M26" s="43" t="s">
        <v>437</v>
      </c>
      <c r="N26" s="3" t="s">
        <v>40</v>
      </c>
      <c r="O26" s="44" t="s">
        <v>127</v>
      </c>
      <c r="P26" s="43" t="s">
        <v>458</v>
      </c>
      <c r="Q26" s="43" t="s">
        <v>29</v>
      </c>
      <c r="R26" s="28" t="s">
        <v>87</v>
      </c>
      <c r="S26" s="29">
        <v>1525200</v>
      </c>
      <c r="T26" s="43" t="s">
        <v>42</v>
      </c>
      <c r="U26" s="30">
        <v>0</v>
      </c>
      <c r="V26" s="30">
        <v>-1</v>
      </c>
      <c r="W26" s="31">
        <v>0</v>
      </c>
      <c r="X26" s="32">
        <v>0</v>
      </c>
    </row>
    <row r="27" spans="1:24" x14ac:dyDescent="0.3">
      <c r="A27" s="22" t="s">
        <v>165</v>
      </c>
      <c r="B27" s="2" t="s">
        <v>216</v>
      </c>
      <c r="C27" s="43" t="s">
        <v>221</v>
      </c>
      <c r="D27" s="43" t="s">
        <v>247</v>
      </c>
      <c r="E27" s="43" t="s">
        <v>316</v>
      </c>
      <c r="F27" s="23" t="str">
        <f>HYPERLINK("https://mapwv.gov/flood/map/?wkid=102100&amp;x=-9143230.870607324&amp;y=4641166.363617899&amp;l=13&amp;v=2","FT")</f>
        <v>FT</v>
      </c>
      <c r="G27" s="28" t="s">
        <v>31</v>
      </c>
      <c r="H27" s="28" t="s">
        <v>24</v>
      </c>
      <c r="I27" s="2" t="s">
        <v>374</v>
      </c>
      <c r="J27" s="22" t="s">
        <v>38</v>
      </c>
      <c r="K27" s="44" t="s">
        <v>79</v>
      </c>
      <c r="L27" s="44" t="s">
        <v>43</v>
      </c>
      <c r="M27" s="43" t="s">
        <v>55</v>
      </c>
      <c r="N27" s="3" t="s">
        <v>83</v>
      </c>
      <c r="O27" s="44" t="s">
        <v>86</v>
      </c>
      <c r="P27" s="43" t="s">
        <v>459</v>
      </c>
      <c r="Q27" s="43" t="s">
        <v>29</v>
      </c>
      <c r="R27" s="28" t="s">
        <v>87</v>
      </c>
      <c r="S27" s="29">
        <v>1263000</v>
      </c>
      <c r="T27" s="43" t="s">
        <v>42</v>
      </c>
      <c r="U27" s="30">
        <v>1.2705078000000001</v>
      </c>
      <c r="V27" s="30">
        <v>0.2705078125</v>
      </c>
      <c r="W27" s="31">
        <v>2.7050781249999999E-2</v>
      </c>
      <c r="X27" s="32">
        <v>34165.13671875</v>
      </c>
    </row>
    <row r="28" spans="1:24" x14ac:dyDescent="0.3">
      <c r="A28" s="22" t="s">
        <v>166</v>
      </c>
      <c r="B28" s="2" t="s">
        <v>214</v>
      </c>
      <c r="C28" s="43" t="s">
        <v>221</v>
      </c>
      <c r="D28" s="43" t="s">
        <v>248</v>
      </c>
      <c r="E28" s="43" t="s">
        <v>317</v>
      </c>
      <c r="F28" s="23" t="str">
        <f>HYPERLINK("https://mapwv.gov/flood/map/?wkid=102100&amp;x=-9142813.749239553&amp;y=4640357.245504857&amp;l=13&amp;v=2","FT")</f>
        <v>FT</v>
      </c>
      <c r="G28" s="28" t="s">
        <v>31</v>
      </c>
      <c r="H28" s="28" t="s">
        <v>24</v>
      </c>
      <c r="I28" s="2" t="s">
        <v>375</v>
      </c>
      <c r="J28" s="22" t="s">
        <v>25</v>
      </c>
      <c r="K28" s="44" t="s">
        <v>95</v>
      </c>
      <c r="L28" s="44" t="s">
        <v>54</v>
      </c>
      <c r="M28" s="43" t="s">
        <v>135</v>
      </c>
      <c r="N28" s="3" t="s">
        <v>34</v>
      </c>
      <c r="O28" s="44" t="s">
        <v>86</v>
      </c>
      <c r="P28" s="43" t="s">
        <v>460</v>
      </c>
      <c r="Q28" s="43" t="s">
        <v>29</v>
      </c>
      <c r="R28" s="28" t="s">
        <v>87</v>
      </c>
      <c r="S28" s="29">
        <v>1241900</v>
      </c>
      <c r="T28" s="43" t="s">
        <v>42</v>
      </c>
      <c r="U28" s="30">
        <v>0.75500489999999998</v>
      </c>
      <c r="V28" s="30">
        <v>-0.2449951171875</v>
      </c>
      <c r="W28" s="31">
        <v>0</v>
      </c>
      <c r="X28" s="32">
        <v>0</v>
      </c>
    </row>
    <row r="29" spans="1:24" x14ac:dyDescent="0.3">
      <c r="A29" s="22" t="s">
        <v>167</v>
      </c>
      <c r="B29" s="2" t="s">
        <v>215</v>
      </c>
      <c r="C29" s="43" t="s">
        <v>219</v>
      </c>
      <c r="D29" s="43" t="s">
        <v>249</v>
      </c>
      <c r="E29" s="43" t="s">
        <v>318</v>
      </c>
      <c r="F29" s="23" t="str">
        <f>HYPERLINK("https://mapwv.gov/flood/map/?wkid=102100&amp;x=-9181189.481913174&amp;y=4637891.803311441&amp;l=13&amp;v=2","FT")</f>
        <v>FT</v>
      </c>
      <c r="G29" s="28" t="s">
        <v>70</v>
      </c>
      <c r="H29" s="28" t="s">
        <v>24</v>
      </c>
      <c r="I29" s="2" t="s">
        <v>376</v>
      </c>
      <c r="J29" s="22" t="s">
        <v>38</v>
      </c>
      <c r="K29" s="44" t="s">
        <v>118</v>
      </c>
      <c r="L29" s="44" t="s">
        <v>26</v>
      </c>
      <c r="M29" s="43" t="s">
        <v>57</v>
      </c>
      <c r="N29" s="3" t="s">
        <v>81</v>
      </c>
      <c r="O29" s="44" t="s">
        <v>86</v>
      </c>
      <c r="P29" s="43" t="s">
        <v>461</v>
      </c>
      <c r="Q29" s="43" t="s">
        <v>29</v>
      </c>
      <c r="R29" s="28" t="s">
        <v>87</v>
      </c>
      <c r="S29" s="29">
        <v>1114400</v>
      </c>
      <c r="T29" s="43" t="s">
        <v>42</v>
      </c>
      <c r="U29" s="30">
        <v>0</v>
      </c>
      <c r="V29" s="30">
        <v>-1</v>
      </c>
      <c r="W29" s="31">
        <v>0</v>
      </c>
      <c r="X29" s="32">
        <v>0</v>
      </c>
    </row>
    <row r="30" spans="1:24" x14ac:dyDescent="0.3">
      <c r="A30" s="22" t="s">
        <v>168</v>
      </c>
      <c r="B30" s="2" t="s">
        <v>215</v>
      </c>
      <c r="C30" s="43" t="s">
        <v>224</v>
      </c>
      <c r="D30" s="43" t="s">
        <v>250</v>
      </c>
      <c r="E30" s="43" t="s">
        <v>319</v>
      </c>
      <c r="F30" s="23" t="str">
        <f>HYPERLINK("https://mapwv.gov/flood/map/?wkid=102100&amp;x=-9171480.98896624&amp;y=4637896.606261239&amp;l=13&amp;v=2","FT")</f>
        <v>FT</v>
      </c>
      <c r="G30" s="28" t="s">
        <v>31</v>
      </c>
      <c r="H30" s="28" t="s">
        <v>24</v>
      </c>
      <c r="I30" s="2" t="s">
        <v>377</v>
      </c>
      <c r="J30" s="22" t="s">
        <v>25</v>
      </c>
      <c r="K30" s="44" t="s">
        <v>72</v>
      </c>
      <c r="L30" s="44" t="s">
        <v>54</v>
      </c>
      <c r="M30" s="43" t="s">
        <v>45</v>
      </c>
      <c r="N30" s="3" t="s">
        <v>34</v>
      </c>
      <c r="O30" s="44" t="s">
        <v>85</v>
      </c>
      <c r="P30" s="43" t="s">
        <v>462</v>
      </c>
      <c r="Q30" s="43" t="s">
        <v>29</v>
      </c>
      <c r="R30" s="28" t="s">
        <v>87</v>
      </c>
      <c r="S30" s="29">
        <v>1082600</v>
      </c>
      <c r="T30" s="43" t="s">
        <v>42</v>
      </c>
      <c r="U30" s="30">
        <v>0.28680420000000001</v>
      </c>
      <c r="V30" s="30">
        <v>-0.71319580078125</v>
      </c>
      <c r="W30" s="31">
        <v>2.8680419921875001E-3</v>
      </c>
      <c r="X30" s="32">
        <v>3104.9422607421802</v>
      </c>
    </row>
    <row r="31" spans="1:24" x14ac:dyDescent="0.3">
      <c r="A31" s="22" t="s">
        <v>169</v>
      </c>
      <c r="B31" s="2" t="s">
        <v>214</v>
      </c>
      <c r="C31" s="43" t="s">
        <v>224</v>
      </c>
      <c r="D31" s="43" t="s">
        <v>251</v>
      </c>
      <c r="E31" s="43" t="s">
        <v>320</v>
      </c>
      <c r="F31" s="23" t="str">
        <f>HYPERLINK("https://mapwv.gov/flood/map/?wkid=102100&amp;x=-9168649.336377257&amp;y=4637748.407163715&amp;l=13&amp;v=2","FT")</f>
        <v>FT</v>
      </c>
      <c r="G31" s="28" t="s">
        <v>31</v>
      </c>
      <c r="H31" s="28" t="s">
        <v>24</v>
      </c>
      <c r="I31" s="2" t="s">
        <v>378</v>
      </c>
      <c r="J31" s="22" t="s">
        <v>38</v>
      </c>
      <c r="K31" s="44" t="s">
        <v>98</v>
      </c>
      <c r="L31" s="44" t="s">
        <v>26</v>
      </c>
      <c r="M31" s="43" t="s">
        <v>55</v>
      </c>
      <c r="N31" s="3" t="s">
        <v>83</v>
      </c>
      <c r="O31" s="44" t="s">
        <v>86</v>
      </c>
      <c r="P31" s="43" t="s">
        <v>463</v>
      </c>
      <c r="Q31" s="43" t="s">
        <v>29</v>
      </c>
      <c r="R31" s="28" t="s">
        <v>87</v>
      </c>
      <c r="S31" s="29">
        <v>1075900</v>
      </c>
      <c r="T31" s="43" t="s">
        <v>42</v>
      </c>
      <c r="U31" s="30">
        <v>0</v>
      </c>
      <c r="V31" s="30">
        <v>-1</v>
      </c>
      <c r="W31" s="31">
        <v>0</v>
      </c>
      <c r="X31" s="32">
        <v>0</v>
      </c>
    </row>
    <row r="32" spans="1:24" x14ac:dyDescent="0.3">
      <c r="A32" s="22" t="s">
        <v>170</v>
      </c>
      <c r="B32" s="2" t="s">
        <v>214</v>
      </c>
      <c r="C32" s="43" t="s">
        <v>224</v>
      </c>
      <c r="D32" s="43" t="s">
        <v>252</v>
      </c>
      <c r="E32" s="43" t="s">
        <v>321</v>
      </c>
      <c r="F32" s="23" t="str">
        <f>HYPERLINK("https://mapwv.gov/flood/map/?wkid=102100&amp;x=-9161567.46789248&amp;y=4637724.8208327815&amp;l=13&amp;v=2","FT")</f>
        <v>FT</v>
      </c>
      <c r="G32" s="28" t="s">
        <v>31</v>
      </c>
      <c r="H32" s="28" t="s">
        <v>24</v>
      </c>
      <c r="I32" s="2" t="s">
        <v>379</v>
      </c>
      <c r="J32" s="22" t="s">
        <v>25</v>
      </c>
      <c r="K32" s="44" t="s">
        <v>77</v>
      </c>
      <c r="L32" s="44" t="s">
        <v>36</v>
      </c>
      <c r="M32" s="43" t="s">
        <v>60</v>
      </c>
      <c r="N32" s="3" t="s">
        <v>34</v>
      </c>
      <c r="O32" s="44" t="s">
        <v>86</v>
      </c>
      <c r="P32" s="43" t="s">
        <v>464</v>
      </c>
      <c r="Q32" s="43" t="s">
        <v>29</v>
      </c>
      <c r="R32" s="28" t="s">
        <v>87</v>
      </c>
      <c r="S32" s="29">
        <v>1020100</v>
      </c>
      <c r="T32" s="43" t="s">
        <v>30</v>
      </c>
      <c r="U32" s="30">
        <v>3.3752440000000002E-2</v>
      </c>
      <c r="V32" s="30">
        <v>-0.96624755859375</v>
      </c>
      <c r="W32" s="31">
        <v>0</v>
      </c>
      <c r="X32" s="32">
        <v>0</v>
      </c>
    </row>
    <row r="33" spans="1:24" x14ac:dyDescent="0.3">
      <c r="A33" s="22" t="s">
        <v>171</v>
      </c>
      <c r="B33" s="2" t="s">
        <v>214</v>
      </c>
      <c r="C33" s="43" t="s">
        <v>219</v>
      </c>
      <c r="D33" s="43" t="s">
        <v>253</v>
      </c>
      <c r="E33" s="43" t="s">
        <v>322</v>
      </c>
      <c r="F33" s="23" t="str">
        <f>HYPERLINK("https://mapwv.gov/flood/map/?wkid=102100&amp;x=-9162198.001748478&amp;y=4646658.738567549&amp;l=13&amp;v=2","FT")</f>
        <v>FT</v>
      </c>
      <c r="G33" s="28" t="s">
        <v>51</v>
      </c>
      <c r="H33" s="28" t="s">
        <v>24</v>
      </c>
      <c r="I33" s="2" t="s">
        <v>380</v>
      </c>
      <c r="J33" s="22" t="s">
        <v>102</v>
      </c>
      <c r="K33" s="44" t="s">
        <v>120</v>
      </c>
      <c r="L33" s="44"/>
      <c r="M33" s="43" t="s">
        <v>57</v>
      </c>
      <c r="N33" s="3" t="s">
        <v>81</v>
      </c>
      <c r="O33" s="44" t="s">
        <v>85</v>
      </c>
      <c r="P33" s="43" t="s">
        <v>465</v>
      </c>
      <c r="Q33" s="43" t="s">
        <v>29</v>
      </c>
      <c r="R33" s="28" t="s">
        <v>87</v>
      </c>
      <c r="S33" s="29">
        <v>1000000</v>
      </c>
      <c r="T33" s="43" t="s">
        <v>42</v>
      </c>
      <c r="U33" s="30">
        <v>1.5988770000000001</v>
      </c>
      <c r="V33" s="30">
        <v>0.598876953125</v>
      </c>
      <c r="W33" s="31">
        <v>2.9943847656250001E-2</v>
      </c>
      <c r="X33" s="32">
        <v>29943.84765625</v>
      </c>
    </row>
    <row r="34" spans="1:24" x14ac:dyDescent="0.3">
      <c r="A34" s="22" t="s">
        <v>172</v>
      </c>
      <c r="B34" s="2" t="s">
        <v>215</v>
      </c>
      <c r="C34" s="43" t="s">
        <v>220</v>
      </c>
      <c r="D34" s="43" t="s">
        <v>254</v>
      </c>
      <c r="E34" s="43" t="s">
        <v>323</v>
      </c>
      <c r="F34" s="23" t="str">
        <f>HYPERLINK("https://mapwv.gov/flood/map/?wkid=102100&amp;x=-9176209.76312281&amp;y=4636766.973782173&amp;l=13&amp;v=2","FT")</f>
        <v>FT</v>
      </c>
      <c r="G34" s="28" t="s">
        <v>31</v>
      </c>
      <c r="H34" s="28" t="s">
        <v>121</v>
      </c>
      <c r="I34" s="2" t="s">
        <v>381</v>
      </c>
      <c r="J34" s="22" t="s">
        <v>38</v>
      </c>
      <c r="K34" s="44" t="s">
        <v>423</v>
      </c>
      <c r="L34" s="44" t="s">
        <v>44</v>
      </c>
      <c r="M34" s="43" t="s">
        <v>55</v>
      </c>
      <c r="N34" s="3" t="s">
        <v>83</v>
      </c>
      <c r="O34" s="44" t="s">
        <v>127</v>
      </c>
      <c r="P34" s="43" t="s">
        <v>466</v>
      </c>
      <c r="Q34" s="43" t="s">
        <v>29</v>
      </c>
      <c r="R34" s="28" t="s">
        <v>87</v>
      </c>
      <c r="S34" s="29">
        <v>991000</v>
      </c>
      <c r="T34" s="43" t="s">
        <v>42</v>
      </c>
      <c r="U34" s="30">
        <v>0.61413574000000004</v>
      </c>
      <c r="V34" s="30">
        <v>-0.3858642578125</v>
      </c>
      <c r="W34" s="31">
        <v>0</v>
      </c>
      <c r="X34" s="32">
        <v>0</v>
      </c>
    </row>
    <row r="35" spans="1:24" x14ac:dyDescent="0.3">
      <c r="A35" s="22" t="s">
        <v>173</v>
      </c>
      <c r="B35" s="2" t="s">
        <v>215</v>
      </c>
      <c r="C35" s="43" t="s">
        <v>219</v>
      </c>
      <c r="D35" s="43" t="s">
        <v>255</v>
      </c>
      <c r="E35" s="43" t="s">
        <v>324</v>
      </c>
      <c r="F35" s="23" t="str">
        <f>HYPERLINK("https://mapwv.gov/flood/map/?wkid=102100&amp;x=-9172827.44106539&amp;y=4641053.611627246&amp;l=13&amp;v=2","FT")</f>
        <v>FT</v>
      </c>
      <c r="G35" s="28" t="s">
        <v>31</v>
      </c>
      <c r="H35" s="28" t="s">
        <v>24</v>
      </c>
      <c r="I35" s="2" t="s">
        <v>382</v>
      </c>
      <c r="J35" s="22" t="s">
        <v>25</v>
      </c>
      <c r="K35" s="44" t="s">
        <v>110</v>
      </c>
      <c r="L35" s="44" t="s">
        <v>424</v>
      </c>
      <c r="M35" s="43" t="s">
        <v>55</v>
      </c>
      <c r="N35" s="3" t="s">
        <v>83</v>
      </c>
      <c r="O35" s="44" t="s">
        <v>86</v>
      </c>
      <c r="P35" s="43" t="s">
        <v>467</v>
      </c>
      <c r="Q35" s="43" t="s">
        <v>29</v>
      </c>
      <c r="R35" s="28" t="s">
        <v>87</v>
      </c>
      <c r="S35" s="29">
        <v>985000</v>
      </c>
      <c r="T35" s="43" t="s">
        <v>42</v>
      </c>
      <c r="U35" s="30">
        <v>0</v>
      </c>
      <c r="V35" s="30">
        <v>-1</v>
      </c>
      <c r="W35" s="31">
        <v>0</v>
      </c>
      <c r="X35" s="32">
        <v>0</v>
      </c>
    </row>
    <row r="36" spans="1:24" x14ac:dyDescent="0.3">
      <c r="A36" s="22" t="s">
        <v>174</v>
      </c>
      <c r="B36" s="2" t="s">
        <v>214</v>
      </c>
      <c r="C36" s="43" t="s">
        <v>219</v>
      </c>
      <c r="D36" s="43" t="s">
        <v>256</v>
      </c>
      <c r="E36" s="43" t="s">
        <v>325</v>
      </c>
      <c r="F36" s="23" t="str">
        <f>HYPERLINK("https://mapwv.gov/flood/map/?wkid=102100&amp;x=-9161937.95140298&amp;y=4644779.570532979&amp;l=13&amp;v=2","FT")</f>
        <v>FT</v>
      </c>
      <c r="G36" s="28" t="s">
        <v>31</v>
      </c>
      <c r="H36" s="28" t="s">
        <v>24</v>
      </c>
      <c r="I36" s="2" t="s">
        <v>383</v>
      </c>
      <c r="J36" s="22" t="s">
        <v>25</v>
      </c>
      <c r="K36" s="44" t="s">
        <v>103</v>
      </c>
      <c r="L36" s="44" t="s">
        <v>46</v>
      </c>
      <c r="M36" s="43" t="s">
        <v>33</v>
      </c>
      <c r="N36" s="3" t="s">
        <v>84</v>
      </c>
      <c r="O36" s="44" t="s">
        <v>86</v>
      </c>
      <c r="P36" s="43" t="s">
        <v>468</v>
      </c>
      <c r="Q36" s="43" t="s">
        <v>29</v>
      </c>
      <c r="R36" s="28" t="s">
        <v>87</v>
      </c>
      <c r="S36" s="29">
        <v>970900</v>
      </c>
      <c r="T36" s="43" t="s">
        <v>42</v>
      </c>
      <c r="U36" s="30">
        <v>0</v>
      </c>
      <c r="V36" s="30">
        <v>-1</v>
      </c>
      <c r="W36" s="31">
        <v>0</v>
      </c>
      <c r="X36" s="32">
        <v>0</v>
      </c>
    </row>
    <row r="37" spans="1:24" x14ac:dyDescent="0.3">
      <c r="A37" s="22" t="s">
        <v>175</v>
      </c>
      <c r="B37" s="2" t="s">
        <v>217</v>
      </c>
      <c r="C37" s="43" t="s">
        <v>221</v>
      </c>
      <c r="D37" s="43" t="s">
        <v>257</v>
      </c>
      <c r="E37" s="43" t="s">
        <v>326</v>
      </c>
      <c r="F37" s="23" t="str">
        <f>HYPERLINK("https://mapwv.gov/flood/map/?wkid=102100&amp;x=-9157746.998107905&amp;y=4637669.1402472695&amp;l=13&amp;v=2","FT")</f>
        <v>FT</v>
      </c>
      <c r="G37" s="28" t="s">
        <v>31</v>
      </c>
      <c r="H37" s="28" t="s">
        <v>24</v>
      </c>
      <c r="I37" s="2" t="s">
        <v>384</v>
      </c>
      <c r="J37" s="22" t="s">
        <v>38</v>
      </c>
      <c r="K37" s="44" t="s">
        <v>119</v>
      </c>
      <c r="L37" s="44" t="s">
        <v>54</v>
      </c>
      <c r="M37" s="43" t="s">
        <v>55</v>
      </c>
      <c r="N37" s="3" t="s">
        <v>83</v>
      </c>
      <c r="O37" s="44" t="s">
        <v>85</v>
      </c>
      <c r="P37" s="43" t="s">
        <v>469</v>
      </c>
      <c r="Q37" s="43" t="s">
        <v>29</v>
      </c>
      <c r="R37" s="28" t="s">
        <v>87</v>
      </c>
      <c r="S37" s="29">
        <v>935100</v>
      </c>
      <c r="T37" s="43" t="s">
        <v>42</v>
      </c>
      <c r="U37" s="30">
        <v>3.6621703999999999</v>
      </c>
      <c r="V37" s="30">
        <v>2.66217041015625</v>
      </c>
      <c r="W37" s="31">
        <v>0.11</v>
      </c>
      <c r="X37" s="32">
        <v>102861</v>
      </c>
    </row>
    <row r="38" spans="1:24" x14ac:dyDescent="0.3">
      <c r="A38" s="22" t="s">
        <v>176</v>
      </c>
      <c r="B38" s="2" t="s">
        <v>214</v>
      </c>
      <c r="C38" s="43" t="s">
        <v>219</v>
      </c>
      <c r="D38" s="43" t="s">
        <v>258</v>
      </c>
      <c r="E38" s="43" t="s">
        <v>327</v>
      </c>
      <c r="F38" s="23" t="str">
        <f>HYPERLINK("https://mapwv.gov/flood/map/?wkid=102100&amp;x=-9162886.359066818&amp;y=4643957.15164385&amp;l=13&amp;v=2","FT")</f>
        <v>FT</v>
      </c>
      <c r="G38" s="28" t="s">
        <v>31</v>
      </c>
      <c r="H38" s="28" t="s">
        <v>24</v>
      </c>
      <c r="I38" s="2" t="s">
        <v>385</v>
      </c>
      <c r="J38" s="22" t="s">
        <v>38</v>
      </c>
      <c r="K38" s="44" t="s">
        <v>112</v>
      </c>
      <c r="L38" s="44" t="s">
        <v>46</v>
      </c>
      <c r="M38" s="43" t="s">
        <v>33</v>
      </c>
      <c r="N38" s="3" t="s">
        <v>84</v>
      </c>
      <c r="O38" s="44" t="s">
        <v>85</v>
      </c>
      <c r="P38" s="43" t="s">
        <v>470</v>
      </c>
      <c r="Q38" s="43" t="s">
        <v>29</v>
      </c>
      <c r="R38" s="28" t="s">
        <v>87</v>
      </c>
      <c r="S38" s="29">
        <v>916800</v>
      </c>
      <c r="T38" s="43" t="s">
        <v>42</v>
      </c>
      <c r="U38" s="30">
        <v>0.92419434</v>
      </c>
      <c r="V38" s="30">
        <v>-7.58056640625E-2</v>
      </c>
      <c r="W38" s="31">
        <v>9.2419433593749906E-3</v>
      </c>
      <c r="X38" s="32">
        <v>8473.013671875</v>
      </c>
    </row>
    <row r="39" spans="1:24" x14ac:dyDescent="0.3">
      <c r="A39" s="22" t="s">
        <v>177</v>
      </c>
      <c r="B39" s="2" t="s">
        <v>215</v>
      </c>
      <c r="C39" s="43" t="s">
        <v>220</v>
      </c>
      <c r="D39" s="43" t="s">
        <v>259</v>
      </c>
      <c r="E39" s="43" t="s">
        <v>328</v>
      </c>
      <c r="F39" s="23" t="str">
        <f>HYPERLINK("https://mapwv.gov/flood/map/?wkid=102100&amp;x=-9176536.631434184&amp;y=4637750.789070477&amp;l=13&amp;v=2","FT")</f>
        <v>FT</v>
      </c>
      <c r="G39" s="28" t="s">
        <v>51</v>
      </c>
      <c r="H39" s="28" t="s">
        <v>24</v>
      </c>
      <c r="I39" s="2" t="s">
        <v>386</v>
      </c>
      <c r="J39" s="22" t="s">
        <v>38</v>
      </c>
      <c r="K39" s="44" t="s">
        <v>124</v>
      </c>
      <c r="L39" s="44" t="s">
        <v>43</v>
      </c>
      <c r="M39" s="43" t="s">
        <v>125</v>
      </c>
      <c r="N39" s="3" t="s">
        <v>40</v>
      </c>
      <c r="O39" s="44" t="s">
        <v>438</v>
      </c>
      <c r="P39" s="43" t="s">
        <v>471</v>
      </c>
      <c r="Q39" s="43" t="s">
        <v>41</v>
      </c>
      <c r="R39" s="28" t="s">
        <v>88</v>
      </c>
      <c r="S39" s="29">
        <v>886900</v>
      </c>
      <c r="T39" s="43" t="s">
        <v>42</v>
      </c>
      <c r="U39" s="30">
        <v>0.58184813999999996</v>
      </c>
      <c r="V39" s="30">
        <v>-3.41815185546875</v>
      </c>
      <c r="W39" s="31">
        <v>0</v>
      </c>
      <c r="X39" s="32">
        <v>0</v>
      </c>
    </row>
    <row r="40" spans="1:24" x14ac:dyDescent="0.3">
      <c r="A40" s="22" t="s">
        <v>178</v>
      </c>
      <c r="B40" s="2" t="s">
        <v>214</v>
      </c>
      <c r="C40" s="43" t="s">
        <v>226</v>
      </c>
      <c r="D40" s="43" t="s">
        <v>260</v>
      </c>
      <c r="E40" s="43" t="s">
        <v>329</v>
      </c>
      <c r="F40" s="23" t="str">
        <f>HYPERLINK("https://mapwv.gov/flood/map/?wkid=102100&amp;x=-9156586.888268491&amp;y=4638290.782707016&amp;l=13&amp;v=2","FT")</f>
        <v>FT</v>
      </c>
      <c r="G40" s="28" t="s">
        <v>37</v>
      </c>
      <c r="H40" s="28" t="s">
        <v>24</v>
      </c>
      <c r="I40" s="2" t="s">
        <v>387</v>
      </c>
      <c r="J40" s="22" t="s">
        <v>25</v>
      </c>
      <c r="K40" s="44" t="s">
        <v>117</v>
      </c>
      <c r="L40" s="44" t="s">
        <v>46</v>
      </c>
      <c r="M40" s="43" t="s">
        <v>48</v>
      </c>
      <c r="N40" s="3" t="s">
        <v>34</v>
      </c>
      <c r="O40" s="44" t="s">
        <v>85</v>
      </c>
      <c r="P40" s="43" t="s">
        <v>472</v>
      </c>
      <c r="Q40" s="43" t="s">
        <v>29</v>
      </c>
      <c r="R40" s="28" t="s">
        <v>87</v>
      </c>
      <c r="S40" s="29">
        <v>838300</v>
      </c>
      <c r="T40" s="43" t="s">
        <v>42</v>
      </c>
      <c r="U40" s="30">
        <v>0</v>
      </c>
      <c r="V40" s="30">
        <v>-1</v>
      </c>
      <c r="W40" s="31">
        <v>0</v>
      </c>
      <c r="X40" s="32">
        <v>0</v>
      </c>
    </row>
    <row r="41" spans="1:24" x14ac:dyDescent="0.3">
      <c r="A41" s="22" t="s">
        <v>179</v>
      </c>
      <c r="B41" s="2" t="s">
        <v>214</v>
      </c>
      <c r="C41" s="43" t="s">
        <v>227</v>
      </c>
      <c r="D41" s="43" t="s">
        <v>261</v>
      </c>
      <c r="E41" s="43" t="s">
        <v>330</v>
      </c>
      <c r="F41" s="23" t="str">
        <f>HYPERLINK("https://mapwv.gov/flood/map/?wkid=102100&amp;x=-9140933.434800003&amp;y=4640719.630899835&amp;l=13&amp;v=2","FT")</f>
        <v>FT</v>
      </c>
      <c r="G41" s="28" t="s">
        <v>31</v>
      </c>
      <c r="H41" s="28" t="s">
        <v>24</v>
      </c>
      <c r="I41" s="2" t="s">
        <v>388</v>
      </c>
      <c r="J41" s="22" t="s">
        <v>25</v>
      </c>
      <c r="K41" s="44" t="s">
        <v>97</v>
      </c>
      <c r="L41" s="44" t="s">
        <v>32</v>
      </c>
      <c r="M41" s="43" t="s">
        <v>60</v>
      </c>
      <c r="N41" s="3" t="s">
        <v>34</v>
      </c>
      <c r="O41" s="44" t="s">
        <v>86</v>
      </c>
      <c r="P41" s="43" t="s">
        <v>473</v>
      </c>
      <c r="Q41" s="43" t="s">
        <v>29</v>
      </c>
      <c r="R41" s="28" t="s">
        <v>87</v>
      </c>
      <c r="S41" s="29">
        <v>831800</v>
      </c>
      <c r="T41" s="43" t="s">
        <v>42</v>
      </c>
      <c r="U41" s="30">
        <v>0.18566895</v>
      </c>
      <c r="V41" s="30">
        <v>-0.8143310546875</v>
      </c>
      <c r="W41" s="31">
        <v>0</v>
      </c>
      <c r="X41" s="32">
        <v>0</v>
      </c>
    </row>
    <row r="42" spans="1:24" x14ac:dyDescent="0.3">
      <c r="A42" s="22" t="s">
        <v>180</v>
      </c>
      <c r="B42" s="2" t="s">
        <v>217</v>
      </c>
      <c r="C42" s="43" t="s">
        <v>221</v>
      </c>
      <c r="D42" s="43" t="s">
        <v>262</v>
      </c>
      <c r="E42" s="43" t="s">
        <v>331</v>
      </c>
      <c r="F42" s="23" t="str">
        <f>HYPERLINK("https://mapwv.gov/flood/map/?wkid=102100&amp;x=-9157681.381724609&amp;y=4638756.30654382&amp;l=13&amp;v=2","FT")</f>
        <v>FT</v>
      </c>
      <c r="G42" s="28" t="s">
        <v>31</v>
      </c>
      <c r="H42" s="28" t="s">
        <v>24</v>
      </c>
      <c r="I42" s="2" t="s">
        <v>389</v>
      </c>
      <c r="J42" s="22" t="s">
        <v>25</v>
      </c>
      <c r="K42" s="44" t="s">
        <v>80</v>
      </c>
      <c r="L42" s="44" t="s">
        <v>54</v>
      </c>
      <c r="M42" s="43" t="s">
        <v>45</v>
      </c>
      <c r="N42" s="3" t="s">
        <v>34</v>
      </c>
      <c r="O42" s="44" t="s">
        <v>85</v>
      </c>
      <c r="P42" s="43" t="s">
        <v>474</v>
      </c>
      <c r="Q42" s="43" t="s">
        <v>29</v>
      </c>
      <c r="R42" s="28" t="s">
        <v>87</v>
      </c>
      <c r="S42" s="29">
        <v>778500</v>
      </c>
      <c r="T42" s="43" t="s">
        <v>42</v>
      </c>
      <c r="U42" s="30">
        <v>0</v>
      </c>
      <c r="V42" s="30">
        <v>-1</v>
      </c>
      <c r="W42" s="31">
        <v>0</v>
      </c>
      <c r="X42" s="32">
        <v>0</v>
      </c>
    </row>
    <row r="43" spans="1:24" x14ac:dyDescent="0.3">
      <c r="A43" s="22" t="s">
        <v>181</v>
      </c>
      <c r="B43" s="2" t="s">
        <v>216</v>
      </c>
      <c r="C43" s="43" t="s">
        <v>221</v>
      </c>
      <c r="D43" s="43" t="s">
        <v>263</v>
      </c>
      <c r="E43" s="43" t="s">
        <v>332</v>
      </c>
      <c r="F43" s="23" t="str">
        <f>HYPERLINK("https://mapwv.gov/flood/map/?wkid=102100&amp;x=-9142860.934232116&amp;y=4641136.490806716&amp;l=13&amp;v=2","FT")</f>
        <v>FT</v>
      </c>
      <c r="G43" s="28" t="s">
        <v>31</v>
      </c>
      <c r="H43" s="28" t="s">
        <v>24</v>
      </c>
      <c r="I43" s="2" t="s">
        <v>390</v>
      </c>
      <c r="J43" s="22" t="s">
        <v>25</v>
      </c>
      <c r="K43" s="44" t="s">
        <v>425</v>
      </c>
      <c r="L43" s="44" t="s">
        <v>36</v>
      </c>
      <c r="M43" s="43" t="s">
        <v>45</v>
      </c>
      <c r="N43" s="3" t="s">
        <v>34</v>
      </c>
      <c r="O43" s="44" t="s">
        <v>85</v>
      </c>
      <c r="P43" s="43" t="s">
        <v>475</v>
      </c>
      <c r="Q43" s="43" t="s">
        <v>29</v>
      </c>
      <c r="R43" s="28" t="s">
        <v>87</v>
      </c>
      <c r="S43" s="29">
        <v>765800</v>
      </c>
      <c r="T43" s="43" t="s">
        <v>42</v>
      </c>
      <c r="U43" s="30">
        <v>1</v>
      </c>
      <c r="V43" s="30">
        <v>0</v>
      </c>
      <c r="W43" s="31">
        <v>0.01</v>
      </c>
      <c r="X43" s="32">
        <v>7658</v>
      </c>
    </row>
    <row r="44" spans="1:24" x14ac:dyDescent="0.3">
      <c r="A44" s="22" t="s">
        <v>182</v>
      </c>
      <c r="B44" s="2" t="s">
        <v>215</v>
      </c>
      <c r="C44" s="43" t="s">
        <v>220</v>
      </c>
      <c r="D44" s="43" t="s">
        <v>264</v>
      </c>
      <c r="E44" s="43" t="s">
        <v>333</v>
      </c>
      <c r="F44" s="23" t="str">
        <f>HYPERLINK("https://mapwv.gov/flood/map/?wkid=102100&amp;x=-9176822.939487211&amp;y=4637449.518904138&amp;l=13&amp;v=2","FT")</f>
        <v>FT</v>
      </c>
      <c r="G44" s="28" t="s">
        <v>51</v>
      </c>
      <c r="H44" s="28" t="s">
        <v>24</v>
      </c>
      <c r="I44" s="2" t="s">
        <v>391</v>
      </c>
      <c r="J44" s="22" t="s">
        <v>38</v>
      </c>
      <c r="K44" s="44" t="s">
        <v>426</v>
      </c>
      <c r="L44" s="44" t="s">
        <v>427</v>
      </c>
      <c r="M44" s="43" t="s">
        <v>39</v>
      </c>
      <c r="N44" s="3" t="s">
        <v>40</v>
      </c>
      <c r="O44" s="44" t="s">
        <v>86</v>
      </c>
      <c r="P44" s="43" t="s">
        <v>476</v>
      </c>
      <c r="Q44" s="43" t="s">
        <v>41</v>
      </c>
      <c r="R44" s="28" t="s">
        <v>88</v>
      </c>
      <c r="S44" s="29">
        <v>765300</v>
      </c>
      <c r="T44" s="43" t="s">
        <v>42</v>
      </c>
      <c r="U44" s="30">
        <v>0.117370605</v>
      </c>
      <c r="V44" s="30">
        <v>-3.88262939453125</v>
      </c>
      <c r="W44" s="31">
        <v>0.04</v>
      </c>
      <c r="X44" s="32">
        <v>30612</v>
      </c>
    </row>
    <row r="45" spans="1:24" x14ac:dyDescent="0.3">
      <c r="A45" s="22" t="s">
        <v>183</v>
      </c>
      <c r="B45" s="2" t="s">
        <v>214</v>
      </c>
      <c r="C45" s="43" t="s">
        <v>224</v>
      </c>
      <c r="D45" s="43" t="s">
        <v>265</v>
      </c>
      <c r="E45" s="43" t="s">
        <v>334</v>
      </c>
      <c r="F45" s="23" t="str">
        <f>HYPERLINK("https://mapwv.gov/flood/map/?wkid=102100&amp;x=-9161841.447200581&amp;y=4639207.039820245&amp;l=13&amp;v=2","FT")</f>
        <v>FT</v>
      </c>
      <c r="G45" s="28" t="s">
        <v>31</v>
      </c>
      <c r="H45" s="28" t="s">
        <v>24</v>
      </c>
      <c r="I45" s="2" t="s">
        <v>392</v>
      </c>
      <c r="J45" s="22" t="s">
        <v>25</v>
      </c>
      <c r="K45" s="44" t="s">
        <v>116</v>
      </c>
      <c r="L45" s="44" t="s">
        <v>43</v>
      </c>
      <c r="M45" s="43" t="s">
        <v>125</v>
      </c>
      <c r="N45" s="3" t="s">
        <v>40</v>
      </c>
      <c r="O45" s="44" t="s">
        <v>86</v>
      </c>
      <c r="P45" s="43" t="s">
        <v>477</v>
      </c>
      <c r="Q45" s="43" t="s">
        <v>41</v>
      </c>
      <c r="R45" s="28" t="s">
        <v>88</v>
      </c>
      <c r="S45" s="29">
        <v>753400</v>
      </c>
      <c r="T45" s="43" t="s">
        <v>30</v>
      </c>
      <c r="U45" s="30">
        <v>0</v>
      </c>
      <c r="V45" s="30">
        <v>-4</v>
      </c>
      <c r="W45" s="31">
        <v>0</v>
      </c>
      <c r="X45" s="32">
        <v>0</v>
      </c>
    </row>
    <row r="46" spans="1:24" x14ac:dyDescent="0.3">
      <c r="A46" s="22" t="s">
        <v>184</v>
      </c>
      <c r="B46" s="2" t="s">
        <v>216</v>
      </c>
      <c r="C46" s="43" t="s">
        <v>221</v>
      </c>
      <c r="D46" s="43" t="s">
        <v>266</v>
      </c>
      <c r="E46" s="43" t="s">
        <v>335</v>
      </c>
      <c r="F46" s="23" t="str">
        <f>HYPERLINK("https://mapwv.gov/flood/map/?wkid=102100&amp;x=-9142249.060528396&amp;y=4640932.93828434&amp;l=13&amp;v=2","FT")</f>
        <v>FT</v>
      </c>
      <c r="G46" s="28" t="s">
        <v>31</v>
      </c>
      <c r="H46" s="28" t="s">
        <v>24</v>
      </c>
      <c r="I46" s="2" t="s">
        <v>393</v>
      </c>
      <c r="J46" s="22" t="s">
        <v>38</v>
      </c>
      <c r="K46" s="44" t="s">
        <v>119</v>
      </c>
      <c r="L46" s="44" t="s">
        <v>50</v>
      </c>
      <c r="M46" s="43" t="s">
        <v>45</v>
      </c>
      <c r="N46" s="3" t="s">
        <v>34</v>
      </c>
      <c r="O46" s="44" t="s">
        <v>86</v>
      </c>
      <c r="P46" s="43" t="s">
        <v>478</v>
      </c>
      <c r="Q46" s="43" t="s">
        <v>29</v>
      </c>
      <c r="R46" s="28" t="s">
        <v>87</v>
      </c>
      <c r="S46" s="29">
        <v>698500</v>
      </c>
      <c r="T46" s="43" t="s">
        <v>42</v>
      </c>
      <c r="U46" s="30">
        <v>0.12121582</v>
      </c>
      <c r="V46" s="30">
        <v>-0.8787841796875</v>
      </c>
      <c r="W46" s="31">
        <v>1.212158203125E-3</v>
      </c>
      <c r="X46" s="32">
        <v>846.69250488281205</v>
      </c>
    </row>
    <row r="47" spans="1:24" x14ac:dyDescent="0.3">
      <c r="A47" s="22" t="s">
        <v>185</v>
      </c>
      <c r="B47" s="2" t="s">
        <v>214</v>
      </c>
      <c r="C47" s="43" t="s">
        <v>224</v>
      </c>
      <c r="D47" s="43" t="s">
        <v>267</v>
      </c>
      <c r="E47" s="43" t="s">
        <v>336</v>
      </c>
      <c r="F47" s="23" t="str">
        <f>HYPERLINK("https://mapwv.gov/flood/map/?wkid=102100&amp;x=-9167923.259340016&amp;y=4637986.202066782&amp;l=13&amp;v=2","FT")</f>
        <v>FT</v>
      </c>
      <c r="G47" s="28" t="s">
        <v>31</v>
      </c>
      <c r="H47" s="28" t="s">
        <v>24</v>
      </c>
      <c r="I47" s="2" t="s">
        <v>394</v>
      </c>
      <c r="J47" s="22" t="s">
        <v>38</v>
      </c>
      <c r="K47" s="44" t="s">
        <v>428</v>
      </c>
      <c r="L47" s="44" t="s">
        <v>26</v>
      </c>
      <c r="M47" s="43" t="s">
        <v>59</v>
      </c>
      <c r="N47" s="3" t="s">
        <v>40</v>
      </c>
      <c r="O47" s="44" t="s">
        <v>86</v>
      </c>
      <c r="P47" s="43" t="s">
        <v>479</v>
      </c>
      <c r="Q47" s="43" t="s">
        <v>29</v>
      </c>
      <c r="R47" s="28" t="s">
        <v>87</v>
      </c>
      <c r="S47" s="29">
        <v>677300</v>
      </c>
      <c r="T47" s="43" t="s">
        <v>42</v>
      </c>
      <c r="U47" s="30">
        <v>4.9230957000000002</v>
      </c>
      <c r="V47" s="30">
        <v>3.923095703125</v>
      </c>
      <c r="W47" s="31">
        <v>6.9230957031249998E-2</v>
      </c>
      <c r="X47" s="32">
        <v>46890.127197265603</v>
      </c>
    </row>
    <row r="48" spans="1:24" x14ac:dyDescent="0.3">
      <c r="A48" s="22" t="s">
        <v>186</v>
      </c>
      <c r="B48" s="2" t="s">
        <v>214</v>
      </c>
      <c r="C48" s="43" t="s">
        <v>221</v>
      </c>
      <c r="D48" s="43" t="s">
        <v>268</v>
      </c>
      <c r="E48" s="43" t="s">
        <v>337</v>
      </c>
      <c r="F48" s="23" t="str">
        <f>HYPERLINK("https://mapwv.gov/flood/map/?wkid=102100&amp;x=-9149861.707247088&amp;y=4641532.406626131&amp;l=13&amp;v=2","FT")</f>
        <v>FT</v>
      </c>
      <c r="G48" s="28" t="s">
        <v>31</v>
      </c>
      <c r="H48" s="28" t="s">
        <v>24</v>
      </c>
      <c r="I48" s="2" t="s">
        <v>395</v>
      </c>
      <c r="J48" s="22" t="s">
        <v>25</v>
      </c>
      <c r="K48" s="44" t="s">
        <v>77</v>
      </c>
      <c r="L48" s="44" t="s">
        <v>427</v>
      </c>
      <c r="M48" s="43" t="s">
        <v>39</v>
      </c>
      <c r="N48" s="3" t="s">
        <v>40</v>
      </c>
      <c r="O48" s="44" t="s">
        <v>86</v>
      </c>
      <c r="P48" s="43" t="s">
        <v>480</v>
      </c>
      <c r="Q48" s="43" t="s">
        <v>49</v>
      </c>
      <c r="R48" s="28" t="s">
        <v>88</v>
      </c>
      <c r="S48" s="29">
        <v>672000</v>
      </c>
      <c r="T48" s="43" t="s">
        <v>42</v>
      </c>
      <c r="U48" s="30">
        <v>0</v>
      </c>
      <c r="V48" s="30">
        <v>-4</v>
      </c>
      <c r="W48" s="31">
        <v>0</v>
      </c>
      <c r="X48" s="32">
        <v>0</v>
      </c>
    </row>
    <row r="49" spans="1:24" x14ac:dyDescent="0.3">
      <c r="A49" s="22" t="s">
        <v>187</v>
      </c>
      <c r="B49" s="2" t="s">
        <v>215</v>
      </c>
      <c r="C49" s="43" t="s">
        <v>219</v>
      </c>
      <c r="D49" s="43" t="s">
        <v>269</v>
      </c>
      <c r="E49" s="43" t="s">
        <v>338</v>
      </c>
      <c r="F49" s="23" t="str">
        <f>HYPERLINK("https://mapwv.gov/flood/map/?wkid=102100&amp;x=-9169722.085908558&amp;y=4640573.096882895&amp;l=13&amp;v=2","FT")</f>
        <v>FT</v>
      </c>
      <c r="G49" s="28" t="s">
        <v>31</v>
      </c>
      <c r="H49" s="28" t="s">
        <v>24</v>
      </c>
      <c r="I49" s="2" t="s">
        <v>396</v>
      </c>
      <c r="J49" s="22" t="s">
        <v>25</v>
      </c>
      <c r="K49" s="44" t="s">
        <v>108</v>
      </c>
      <c r="L49" s="44"/>
      <c r="M49" s="43" t="s">
        <v>53</v>
      </c>
      <c r="N49" s="3" t="s">
        <v>34</v>
      </c>
      <c r="O49" s="44" t="s">
        <v>85</v>
      </c>
      <c r="P49" s="43" t="s">
        <v>481</v>
      </c>
      <c r="Q49" s="43" t="s">
        <v>29</v>
      </c>
      <c r="R49" s="28" t="s">
        <v>87</v>
      </c>
      <c r="S49" s="29">
        <v>655455</v>
      </c>
      <c r="T49" s="43" t="s">
        <v>89</v>
      </c>
      <c r="U49" s="30">
        <v>0.77502439999999995</v>
      </c>
      <c r="V49" s="30">
        <v>-0.2249755859375</v>
      </c>
      <c r="W49" s="31">
        <v>1.550048828125E-2</v>
      </c>
      <c r="X49" s="32">
        <v>10159.872546386699</v>
      </c>
    </row>
    <row r="50" spans="1:24" x14ac:dyDescent="0.3">
      <c r="A50" s="22" t="s">
        <v>188</v>
      </c>
      <c r="B50" s="2" t="s">
        <v>215</v>
      </c>
      <c r="C50" s="43" t="s">
        <v>220</v>
      </c>
      <c r="D50" s="43" t="s">
        <v>270</v>
      </c>
      <c r="E50" s="43" t="s">
        <v>339</v>
      </c>
      <c r="F50" s="23" t="str">
        <f>HYPERLINK("https://mapwv.gov/flood/map/?wkid=102100&amp;x=-9176879.438692888&amp;y=4637399.34914913&amp;l=13&amp;v=2","FT")</f>
        <v>FT</v>
      </c>
      <c r="G50" s="28" t="s">
        <v>51</v>
      </c>
      <c r="H50" s="28" t="s">
        <v>24</v>
      </c>
      <c r="I50" s="2" t="s">
        <v>366</v>
      </c>
      <c r="J50" s="22" t="s">
        <v>38</v>
      </c>
      <c r="K50" s="44" t="s">
        <v>99</v>
      </c>
      <c r="L50" s="44" t="s">
        <v>70</v>
      </c>
      <c r="M50" s="43" t="s">
        <v>39</v>
      </c>
      <c r="N50" s="3" t="s">
        <v>40</v>
      </c>
      <c r="O50" s="44" t="s">
        <v>85</v>
      </c>
      <c r="P50" s="43" t="s">
        <v>482</v>
      </c>
      <c r="Q50" s="43" t="s">
        <v>41</v>
      </c>
      <c r="R50" s="28" t="s">
        <v>507</v>
      </c>
      <c r="S50" s="29">
        <v>639700</v>
      </c>
      <c r="T50" s="43" t="s">
        <v>42</v>
      </c>
      <c r="U50" s="30">
        <v>1</v>
      </c>
      <c r="V50" s="30">
        <v>-0.5</v>
      </c>
      <c r="W50" s="31">
        <v>0.22500000000000001</v>
      </c>
      <c r="X50" s="32">
        <v>143932.5</v>
      </c>
    </row>
    <row r="51" spans="1:24" x14ac:dyDescent="0.3">
      <c r="A51" s="22" t="s">
        <v>189</v>
      </c>
      <c r="B51" s="2" t="s">
        <v>215</v>
      </c>
      <c r="C51" s="43" t="s">
        <v>220</v>
      </c>
      <c r="D51" s="43" t="s">
        <v>271</v>
      </c>
      <c r="E51" s="43" t="s">
        <v>340</v>
      </c>
      <c r="F51" s="23" t="str">
        <f>HYPERLINK("https://mapwv.gov/flood/map/?wkid=102100&amp;x=-9177541.673222922&amp;y=4637088.251737811&amp;l=13&amp;v=2","FT")</f>
        <v>FT</v>
      </c>
      <c r="G51" s="28" t="s">
        <v>31</v>
      </c>
      <c r="H51" s="28" t="s">
        <v>24</v>
      </c>
      <c r="I51" s="2" t="s">
        <v>397</v>
      </c>
      <c r="J51" s="22" t="s">
        <v>38</v>
      </c>
      <c r="K51" s="44" t="s">
        <v>429</v>
      </c>
      <c r="L51" s="44" t="s">
        <v>430</v>
      </c>
      <c r="M51" s="43" t="s">
        <v>39</v>
      </c>
      <c r="N51" s="3" t="s">
        <v>40</v>
      </c>
      <c r="O51" s="44" t="s">
        <v>86</v>
      </c>
      <c r="P51" s="43" t="s">
        <v>483</v>
      </c>
      <c r="Q51" s="43" t="s">
        <v>49</v>
      </c>
      <c r="R51" s="28" t="s">
        <v>100</v>
      </c>
      <c r="S51" s="29">
        <v>599400</v>
      </c>
      <c r="T51" s="43" t="s">
        <v>30</v>
      </c>
      <c r="U51" s="30">
        <v>0.40875243999999999</v>
      </c>
      <c r="V51" s="30">
        <v>-2.59124755859375</v>
      </c>
      <c r="W51" s="31">
        <v>0</v>
      </c>
      <c r="X51" s="32">
        <v>0</v>
      </c>
    </row>
    <row r="52" spans="1:24" x14ac:dyDescent="0.3">
      <c r="A52" s="22" t="s">
        <v>190</v>
      </c>
      <c r="B52" s="2" t="s">
        <v>215</v>
      </c>
      <c r="C52" s="43" t="s">
        <v>220</v>
      </c>
      <c r="D52" s="43" t="s">
        <v>272</v>
      </c>
      <c r="E52" s="43" t="s">
        <v>341</v>
      </c>
      <c r="F52" s="23" t="str">
        <f>HYPERLINK("https://mapwv.gov/flood/map/?wkid=102100&amp;x=-9176950.211394994&amp;y=4637377.885608071&amp;l=13&amp;v=2","FT")</f>
        <v>FT</v>
      </c>
      <c r="G52" s="28" t="s">
        <v>51</v>
      </c>
      <c r="H52" s="28" t="s">
        <v>24</v>
      </c>
      <c r="I52" s="2" t="s">
        <v>398</v>
      </c>
      <c r="J52" s="22" t="s">
        <v>38</v>
      </c>
      <c r="K52" s="44" t="s">
        <v>133</v>
      </c>
      <c r="L52" s="44" t="s">
        <v>70</v>
      </c>
      <c r="M52" s="43" t="s">
        <v>39</v>
      </c>
      <c r="N52" s="3" t="s">
        <v>40</v>
      </c>
      <c r="O52" s="44" t="s">
        <v>86</v>
      </c>
      <c r="P52" s="43" t="s">
        <v>484</v>
      </c>
      <c r="Q52" s="43" t="s">
        <v>41</v>
      </c>
      <c r="R52" s="28" t="s">
        <v>88</v>
      </c>
      <c r="S52" s="29">
        <v>590100</v>
      </c>
      <c r="T52" s="43" t="s">
        <v>30</v>
      </c>
      <c r="U52" s="30">
        <v>1</v>
      </c>
      <c r="V52" s="30">
        <v>-3</v>
      </c>
      <c r="W52" s="31">
        <v>0.04</v>
      </c>
      <c r="X52" s="32">
        <v>23604</v>
      </c>
    </row>
    <row r="53" spans="1:24" x14ac:dyDescent="0.3">
      <c r="A53" s="22" t="s">
        <v>191</v>
      </c>
      <c r="B53" s="2" t="s">
        <v>214</v>
      </c>
      <c r="C53" s="43" t="s">
        <v>221</v>
      </c>
      <c r="D53" s="43" t="s">
        <v>273</v>
      </c>
      <c r="E53" s="43" t="s">
        <v>342</v>
      </c>
      <c r="F53" s="23" t="str">
        <f>HYPERLINK("https://mapwv.gov/flood/map/?wkid=102100&amp;x=-9156171.84879784&amp;y=4639939.64423963&amp;l=13&amp;v=2","FT")</f>
        <v>FT</v>
      </c>
      <c r="G53" s="28" t="s">
        <v>31</v>
      </c>
      <c r="H53" s="28" t="s">
        <v>24</v>
      </c>
      <c r="I53" s="2" t="s">
        <v>399</v>
      </c>
      <c r="J53" s="22" t="s">
        <v>25</v>
      </c>
      <c r="K53" s="44" t="s">
        <v>95</v>
      </c>
      <c r="L53" s="44" t="s">
        <v>427</v>
      </c>
      <c r="M53" s="43" t="s">
        <v>39</v>
      </c>
      <c r="N53" s="3" t="s">
        <v>40</v>
      </c>
      <c r="O53" s="44" t="s">
        <v>85</v>
      </c>
      <c r="P53" s="43" t="s">
        <v>134</v>
      </c>
      <c r="Q53" s="43" t="s">
        <v>41</v>
      </c>
      <c r="R53" s="28" t="s">
        <v>88</v>
      </c>
      <c r="S53" s="29">
        <v>582100</v>
      </c>
      <c r="T53" s="43" t="s">
        <v>30</v>
      </c>
      <c r="U53" s="30">
        <v>0</v>
      </c>
      <c r="V53" s="30">
        <v>-4</v>
      </c>
      <c r="W53" s="31">
        <v>0</v>
      </c>
      <c r="X53" s="32">
        <v>0</v>
      </c>
    </row>
    <row r="54" spans="1:24" x14ac:dyDescent="0.3">
      <c r="A54" s="22" t="s">
        <v>192</v>
      </c>
      <c r="B54" s="2" t="s">
        <v>216</v>
      </c>
      <c r="C54" s="43" t="s">
        <v>221</v>
      </c>
      <c r="D54" s="43" t="s">
        <v>274</v>
      </c>
      <c r="E54" s="43" t="s">
        <v>343</v>
      </c>
      <c r="F54" s="23" t="str">
        <f>HYPERLINK("https://mapwv.gov/flood/map/?wkid=102100&amp;x=-9143240.149532156&amp;y=4641227.059403335&amp;l=13&amp;v=2","FT")</f>
        <v>FT</v>
      </c>
      <c r="G54" s="28" t="s">
        <v>31</v>
      </c>
      <c r="H54" s="28" t="s">
        <v>24</v>
      </c>
      <c r="I54" s="2" t="s">
        <v>374</v>
      </c>
      <c r="J54" s="22" t="s">
        <v>25</v>
      </c>
      <c r="K54" s="44" t="s">
        <v>77</v>
      </c>
      <c r="L54" s="44" t="s">
        <v>47</v>
      </c>
      <c r="M54" s="43" t="s">
        <v>55</v>
      </c>
      <c r="N54" s="3" t="s">
        <v>83</v>
      </c>
      <c r="O54" s="44" t="s">
        <v>85</v>
      </c>
      <c r="P54" s="43" t="s">
        <v>485</v>
      </c>
      <c r="Q54" s="43" t="s">
        <v>29</v>
      </c>
      <c r="R54" s="28" t="s">
        <v>87</v>
      </c>
      <c r="S54" s="29">
        <v>558900</v>
      </c>
      <c r="T54" s="43" t="s">
        <v>42</v>
      </c>
      <c r="U54" s="30">
        <v>3.0643919999999998</v>
      </c>
      <c r="V54" s="30">
        <v>2.06439208984375</v>
      </c>
      <c r="W54" s="31">
        <v>0.11</v>
      </c>
      <c r="X54" s="32">
        <v>61479</v>
      </c>
    </row>
    <row r="55" spans="1:24" x14ac:dyDescent="0.3">
      <c r="A55" s="22" t="s">
        <v>193</v>
      </c>
      <c r="B55" s="2" t="s">
        <v>215</v>
      </c>
      <c r="C55" s="43" t="s">
        <v>219</v>
      </c>
      <c r="D55" s="43" t="s">
        <v>275</v>
      </c>
      <c r="E55" s="43" t="s">
        <v>344</v>
      </c>
      <c r="F55" s="23" t="str">
        <f>HYPERLINK("https://mapwv.gov/flood/map/?wkid=102100&amp;x=-9172847.736946266&amp;y=4639954.684187066&amp;l=13&amp;v=2","FT")</f>
        <v>FT</v>
      </c>
      <c r="G55" s="28" t="s">
        <v>70</v>
      </c>
      <c r="H55" s="28" t="s">
        <v>24</v>
      </c>
      <c r="I55" s="2" t="s">
        <v>56</v>
      </c>
      <c r="J55" s="22" t="s">
        <v>38</v>
      </c>
      <c r="K55" s="44" t="s">
        <v>431</v>
      </c>
      <c r="L55" s="44" t="s">
        <v>26</v>
      </c>
      <c r="M55" s="43" t="s">
        <v>57</v>
      </c>
      <c r="N55" s="3" t="s">
        <v>81</v>
      </c>
      <c r="O55" s="44" t="s">
        <v>127</v>
      </c>
      <c r="P55" s="43" t="s">
        <v>486</v>
      </c>
      <c r="Q55" s="43" t="s">
        <v>29</v>
      </c>
      <c r="R55" s="28" t="s">
        <v>87</v>
      </c>
      <c r="S55" s="29">
        <v>533100</v>
      </c>
      <c r="T55" s="43" t="s">
        <v>42</v>
      </c>
      <c r="U55" s="30">
        <v>0</v>
      </c>
      <c r="V55" s="30">
        <v>-1</v>
      </c>
      <c r="W55" s="31">
        <v>0</v>
      </c>
      <c r="X55" s="32">
        <v>0</v>
      </c>
    </row>
    <row r="56" spans="1:24" x14ac:dyDescent="0.3">
      <c r="A56" s="22" t="s">
        <v>194</v>
      </c>
      <c r="B56" s="2" t="s">
        <v>214</v>
      </c>
      <c r="C56" s="43" t="s">
        <v>224</v>
      </c>
      <c r="D56" s="43" t="s">
        <v>276</v>
      </c>
      <c r="E56" s="43" t="s">
        <v>345</v>
      </c>
      <c r="F56" s="23" t="str">
        <f>HYPERLINK("https://mapwv.gov/flood/map/?wkid=102100&amp;x=-9161498.039039267&amp;y=4638301.469322899&amp;l=13&amp;v=2","FT")</f>
        <v>FT</v>
      </c>
      <c r="G56" s="28" t="s">
        <v>31</v>
      </c>
      <c r="H56" s="28" t="s">
        <v>24</v>
      </c>
      <c r="I56" s="2" t="s">
        <v>400</v>
      </c>
      <c r="J56" s="22" t="s">
        <v>25</v>
      </c>
      <c r="K56" s="44" t="s">
        <v>75</v>
      </c>
      <c r="L56" s="44" t="s">
        <v>44</v>
      </c>
      <c r="M56" s="43" t="s">
        <v>45</v>
      </c>
      <c r="N56" s="3" t="s">
        <v>34</v>
      </c>
      <c r="O56" s="44" t="s">
        <v>85</v>
      </c>
      <c r="P56" s="43" t="s">
        <v>487</v>
      </c>
      <c r="Q56" s="43" t="s">
        <v>29</v>
      </c>
      <c r="R56" s="28" t="s">
        <v>87</v>
      </c>
      <c r="S56" s="29">
        <v>527000</v>
      </c>
      <c r="T56" s="43" t="s">
        <v>42</v>
      </c>
      <c r="U56" s="30">
        <v>0.10021973000000001</v>
      </c>
      <c r="V56" s="30">
        <v>-0.8997802734375</v>
      </c>
      <c r="W56" s="31">
        <v>1.0021972656250001E-3</v>
      </c>
      <c r="X56" s="32">
        <v>528.157958984375</v>
      </c>
    </row>
    <row r="57" spans="1:24" x14ac:dyDescent="0.3">
      <c r="A57" s="22" t="s">
        <v>195</v>
      </c>
      <c r="B57" s="2" t="s">
        <v>216</v>
      </c>
      <c r="C57" s="43" t="s">
        <v>221</v>
      </c>
      <c r="D57" s="43" t="s">
        <v>277</v>
      </c>
      <c r="E57" s="43" t="s">
        <v>346</v>
      </c>
      <c r="F57" s="23" t="str">
        <f>HYPERLINK("https://mapwv.gov/flood/map/?wkid=102100&amp;x=-9143119.680024501&amp;y=4641166.932077863&amp;l=13&amp;v=2","FT")</f>
        <v>FT</v>
      </c>
      <c r="G57" s="28" t="s">
        <v>31</v>
      </c>
      <c r="H57" s="28" t="s">
        <v>24</v>
      </c>
      <c r="I57" s="2" t="s">
        <v>401</v>
      </c>
      <c r="J57" s="22" t="s">
        <v>38</v>
      </c>
      <c r="K57" s="44" t="s">
        <v>132</v>
      </c>
      <c r="L57" s="44" t="s">
        <v>43</v>
      </c>
      <c r="M57" s="43" t="s">
        <v>126</v>
      </c>
      <c r="N57" s="3" t="s">
        <v>34</v>
      </c>
      <c r="O57" s="44" t="s">
        <v>85</v>
      </c>
      <c r="P57" s="43" t="s">
        <v>488</v>
      </c>
      <c r="Q57" s="43" t="s">
        <v>29</v>
      </c>
      <c r="R57" s="28" t="s">
        <v>87</v>
      </c>
      <c r="S57" s="29">
        <v>523600</v>
      </c>
      <c r="T57" s="43" t="s">
        <v>42</v>
      </c>
      <c r="U57" s="30">
        <v>1</v>
      </c>
      <c r="V57" s="30">
        <v>0</v>
      </c>
      <c r="W57" s="31">
        <v>0</v>
      </c>
      <c r="X57" s="32">
        <v>0</v>
      </c>
    </row>
    <row r="58" spans="1:24" x14ac:dyDescent="0.3">
      <c r="A58" s="22" t="s">
        <v>196</v>
      </c>
      <c r="B58" s="2" t="s">
        <v>216</v>
      </c>
      <c r="C58" s="43" t="s">
        <v>221</v>
      </c>
      <c r="D58" s="43" t="s">
        <v>278</v>
      </c>
      <c r="E58" s="43" t="s">
        <v>347</v>
      </c>
      <c r="F58" s="23" t="str">
        <f>HYPERLINK("https://mapwv.gov/flood/map/?wkid=102100&amp;x=-9142118.46462062&amp;y=4641091.519174665&amp;l=13&amp;v=2","FT")</f>
        <v>FT</v>
      </c>
      <c r="G58" s="28" t="s">
        <v>31</v>
      </c>
      <c r="H58" s="28" t="s">
        <v>24</v>
      </c>
      <c r="I58" s="2" t="s">
        <v>402</v>
      </c>
      <c r="J58" s="22" t="s">
        <v>25</v>
      </c>
      <c r="K58" s="44" t="s">
        <v>92</v>
      </c>
      <c r="L58" s="44" t="s">
        <v>47</v>
      </c>
      <c r="M58" s="43" t="s">
        <v>52</v>
      </c>
      <c r="N58" s="3" t="s">
        <v>34</v>
      </c>
      <c r="O58" s="44" t="s">
        <v>85</v>
      </c>
      <c r="P58" s="43" t="s">
        <v>489</v>
      </c>
      <c r="Q58" s="43" t="s">
        <v>29</v>
      </c>
      <c r="R58" s="28" t="s">
        <v>87</v>
      </c>
      <c r="S58" s="29">
        <v>519700</v>
      </c>
      <c r="T58" s="43" t="s">
        <v>42</v>
      </c>
      <c r="U58" s="30">
        <v>0</v>
      </c>
      <c r="V58" s="30">
        <v>-1</v>
      </c>
      <c r="W58" s="31">
        <v>0</v>
      </c>
      <c r="X58" s="32">
        <v>0</v>
      </c>
    </row>
    <row r="59" spans="1:24" x14ac:dyDescent="0.3">
      <c r="A59" s="22" t="s">
        <v>197</v>
      </c>
      <c r="B59" s="2" t="s">
        <v>217</v>
      </c>
      <c r="C59" s="43" t="s">
        <v>221</v>
      </c>
      <c r="D59" s="43" t="s">
        <v>279</v>
      </c>
      <c r="E59" s="43" t="s">
        <v>348</v>
      </c>
      <c r="F59" s="23" t="str">
        <f>HYPERLINK("https://mapwv.gov/flood/map/?wkid=102100&amp;x=-9159005.138228618&amp;y=4637707.498434616&amp;l=13&amp;v=2","FT")</f>
        <v>FT</v>
      </c>
      <c r="G59" s="28" t="s">
        <v>31</v>
      </c>
      <c r="H59" s="28" t="s">
        <v>24</v>
      </c>
      <c r="I59" s="2" t="s">
        <v>403</v>
      </c>
      <c r="J59" s="22" t="s">
        <v>25</v>
      </c>
      <c r="K59" s="44" t="s">
        <v>115</v>
      </c>
      <c r="L59" s="44" t="s">
        <v>62</v>
      </c>
      <c r="M59" s="43" t="s">
        <v>33</v>
      </c>
      <c r="N59" s="3" t="s">
        <v>84</v>
      </c>
      <c r="O59" s="44" t="s">
        <v>86</v>
      </c>
      <c r="P59" s="43" t="s">
        <v>490</v>
      </c>
      <c r="Q59" s="43" t="s">
        <v>29</v>
      </c>
      <c r="R59" s="28" t="s">
        <v>87</v>
      </c>
      <c r="S59" s="29">
        <v>510900</v>
      </c>
      <c r="T59" s="43" t="s">
        <v>30</v>
      </c>
      <c r="U59" s="30">
        <v>1</v>
      </c>
      <c r="V59" s="30">
        <v>0</v>
      </c>
      <c r="W59" s="31">
        <v>0.01</v>
      </c>
      <c r="X59" s="32">
        <v>5109</v>
      </c>
    </row>
    <row r="60" spans="1:24" x14ac:dyDescent="0.3">
      <c r="A60" s="22" t="s">
        <v>198</v>
      </c>
      <c r="B60" s="2" t="s">
        <v>215</v>
      </c>
      <c r="C60" s="43" t="s">
        <v>220</v>
      </c>
      <c r="D60" s="43" t="s">
        <v>280</v>
      </c>
      <c r="E60" s="43" t="s">
        <v>349</v>
      </c>
      <c r="F60" s="23" t="str">
        <f>HYPERLINK("https://mapwv.gov/flood/map/?wkid=102100&amp;x=-9177624.465201767&amp;y=4637133.04388467&amp;l=13&amp;v=2","FT")</f>
        <v>FT</v>
      </c>
      <c r="G60" s="28" t="s">
        <v>51</v>
      </c>
      <c r="H60" s="28" t="s">
        <v>24</v>
      </c>
      <c r="I60" s="2" t="s">
        <v>404</v>
      </c>
      <c r="J60" s="22" t="s">
        <v>38</v>
      </c>
      <c r="K60" s="44" t="s">
        <v>137</v>
      </c>
      <c r="L60" s="44" t="s">
        <v>427</v>
      </c>
      <c r="M60" s="43" t="s">
        <v>39</v>
      </c>
      <c r="N60" s="3" t="s">
        <v>40</v>
      </c>
      <c r="O60" s="44" t="s">
        <v>86</v>
      </c>
      <c r="P60" s="43" t="s">
        <v>491</v>
      </c>
      <c r="Q60" s="43" t="s">
        <v>41</v>
      </c>
      <c r="R60" s="28" t="s">
        <v>88</v>
      </c>
      <c r="S60" s="29">
        <v>508400</v>
      </c>
      <c r="T60" s="43" t="s">
        <v>42</v>
      </c>
      <c r="U60" s="30">
        <v>9.4970700000000005E-2</v>
      </c>
      <c r="V60" s="30">
        <v>-3.905029296875</v>
      </c>
      <c r="W60" s="31">
        <v>0.04</v>
      </c>
      <c r="X60" s="32">
        <v>20336</v>
      </c>
    </row>
    <row r="61" spans="1:24" x14ac:dyDescent="0.3">
      <c r="A61" s="22" t="s">
        <v>199</v>
      </c>
      <c r="B61" s="2" t="s">
        <v>216</v>
      </c>
      <c r="C61" s="43" t="s">
        <v>221</v>
      </c>
      <c r="D61" s="43" t="s">
        <v>281</v>
      </c>
      <c r="E61" s="43" t="s">
        <v>350</v>
      </c>
      <c r="F61" s="23" t="str">
        <f>HYPERLINK("https://mapwv.gov/flood/map/?wkid=102100&amp;x=-9143432.15338988&amp;y=4641240.453686803&amp;l=13&amp;v=2","FT")</f>
        <v>FT</v>
      </c>
      <c r="G61" s="28" t="s">
        <v>31</v>
      </c>
      <c r="H61" s="28" t="s">
        <v>24</v>
      </c>
      <c r="I61" s="2" t="s">
        <v>405</v>
      </c>
      <c r="J61" s="22" t="s">
        <v>25</v>
      </c>
      <c r="K61" s="44" t="s">
        <v>111</v>
      </c>
      <c r="L61" s="44" t="s">
        <v>44</v>
      </c>
      <c r="M61" s="43" t="s">
        <v>125</v>
      </c>
      <c r="N61" s="3" t="s">
        <v>40</v>
      </c>
      <c r="O61" s="44" t="s">
        <v>86</v>
      </c>
      <c r="P61" s="43" t="s">
        <v>492</v>
      </c>
      <c r="Q61" s="43" t="s">
        <v>41</v>
      </c>
      <c r="R61" s="28" t="s">
        <v>88</v>
      </c>
      <c r="S61" s="29">
        <v>501500</v>
      </c>
      <c r="T61" s="43" t="s">
        <v>30</v>
      </c>
      <c r="U61" s="30">
        <v>5.9996340000000004</v>
      </c>
      <c r="V61" s="30">
        <v>1.9996337890625</v>
      </c>
      <c r="W61" s="31">
        <v>0.199981689453125</v>
      </c>
      <c r="X61" s="32">
        <v>100290.817260742</v>
      </c>
    </row>
    <row r="62" spans="1:24" x14ac:dyDescent="0.3">
      <c r="A62" s="22" t="s">
        <v>200</v>
      </c>
      <c r="B62" s="2" t="s">
        <v>215</v>
      </c>
      <c r="C62" s="43" t="s">
        <v>220</v>
      </c>
      <c r="D62" s="43" t="s">
        <v>282</v>
      </c>
      <c r="E62" s="43" t="s">
        <v>351</v>
      </c>
      <c r="F62" s="23" t="str">
        <f>HYPERLINK("https://mapwv.gov/flood/map/?wkid=102100&amp;x=-9176910.696537985&amp;y=4637383.828085775&amp;l=13&amp;v=2","FT")</f>
        <v>FT</v>
      </c>
      <c r="G62" s="28" t="s">
        <v>51</v>
      </c>
      <c r="H62" s="28" t="s">
        <v>24</v>
      </c>
      <c r="I62" s="2" t="s">
        <v>406</v>
      </c>
      <c r="J62" s="22" t="s">
        <v>38</v>
      </c>
      <c r="K62" s="44" t="s">
        <v>133</v>
      </c>
      <c r="L62" s="44" t="s">
        <v>70</v>
      </c>
      <c r="M62" s="43" t="s">
        <v>39</v>
      </c>
      <c r="N62" s="3" t="s">
        <v>40</v>
      </c>
      <c r="O62" s="44" t="s">
        <v>86</v>
      </c>
      <c r="P62" s="43" t="s">
        <v>493</v>
      </c>
      <c r="Q62" s="43" t="s">
        <v>49</v>
      </c>
      <c r="R62" s="28" t="s">
        <v>100</v>
      </c>
      <c r="S62" s="29">
        <v>496300</v>
      </c>
      <c r="T62" s="43" t="s">
        <v>42</v>
      </c>
      <c r="U62" s="30">
        <v>1</v>
      </c>
      <c r="V62" s="30">
        <v>-2</v>
      </c>
      <c r="W62" s="31">
        <v>0</v>
      </c>
      <c r="X62" s="32">
        <v>0</v>
      </c>
    </row>
    <row r="63" spans="1:24" x14ac:dyDescent="0.3">
      <c r="A63" s="22" t="s">
        <v>201</v>
      </c>
      <c r="B63" s="2" t="s">
        <v>216</v>
      </c>
      <c r="C63" s="43" t="s">
        <v>221</v>
      </c>
      <c r="D63" s="43" t="s">
        <v>283</v>
      </c>
      <c r="E63" s="43" t="s">
        <v>343</v>
      </c>
      <c r="F63" s="23" t="str">
        <f>HYPERLINK("https://mapwv.gov/flood/map/?wkid=102100&amp;x=-9143028.096922826&amp;y=4641197.527918784&amp;l=13&amp;v=2","FT")</f>
        <v>FT</v>
      </c>
      <c r="G63" s="28" t="s">
        <v>31</v>
      </c>
      <c r="H63" s="28" t="s">
        <v>24</v>
      </c>
      <c r="I63" s="2" t="s">
        <v>407</v>
      </c>
      <c r="J63" s="22" t="s">
        <v>38</v>
      </c>
      <c r="K63" s="44" t="s">
        <v>118</v>
      </c>
      <c r="L63" s="44" t="s">
        <v>43</v>
      </c>
      <c r="M63" s="43" t="s">
        <v>55</v>
      </c>
      <c r="N63" s="3" t="s">
        <v>83</v>
      </c>
      <c r="O63" s="44" t="s">
        <v>86</v>
      </c>
      <c r="P63" s="43" t="s">
        <v>494</v>
      </c>
      <c r="Q63" s="43" t="s">
        <v>29</v>
      </c>
      <c r="R63" s="28" t="s">
        <v>87</v>
      </c>
      <c r="S63" s="29">
        <v>489600</v>
      </c>
      <c r="T63" s="43" t="s">
        <v>42</v>
      </c>
      <c r="U63" s="30">
        <v>0.9172363</v>
      </c>
      <c r="V63" s="30">
        <v>-8.2763671875E-2</v>
      </c>
      <c r="W63" s="31">
        <v>0</v>
      </c>
      <c r="X63" s="32">
        <v>0</v>
      </c>
    </row>
    <row r="64" spans="1:24" x14ac:dyDescent="0.3">
      <c r="A64" s="22" t="s">
        <v>202</v>
      </c>
      <c r="B64" s="2" t="s">
        <v>215</v>
      </c>
      <c r="C64" s="43" t="s">
        <v>220</v>
      </c>
      <c r="D64" s="43" t="s">
        <v>284</v>
      </c>
      <c r="E64" s="43" t="s">
        <v>352</v>
      </c>
      <c r="F64" s="23" t="str">
        <f>HYPERLINK("https://mapwv.gov/flood/map/?wkid=102100&amp;x=-9177627.735879723&amp;y=4637070.7144851135&amp;l=13&amp;v=2","FT")</f>
        <v>FT</v>
      </c>
      <c r="G64" s="28" t="s">
        <v>51</v>
      </c>
      <c r="H64" s="28" t="s">
        <v>24</v>
      </c>
      <c r="I64" s="2" t="s">
        <v>408</v>
      </c>
      <c r="J64" s="22" t="s">
        <v>38</v>
      </c>
      <c r="K64" s="44" t="s">
        <v>432</v>
      </c>
      <c r="L64" s="44" t="s">
        <v>427</v>
      </c>
      <c r="M64" s="43" t="s">
        <v>39</v>
      </c>
      <c r="N64" s="3" t="s">
        <v>40</v>
      </c>
      <c r="O64" s="44" t="s">
        <v>86</v>
      </c>
      <c r="P64" s="43" t="s">
        <v>495</v>
      </c>
      <c r="Q64" s="43" t="s">
        <v>41</v>
      </c>
      <c r="R64" s="28" t="s">
        <v>88</v>
      </c>
      <c r="S64" s="29">
        <v>486900</v>
      </c>
      <c r="T64" s="43" t="s">
        <v>42</v>
      </c>
      <c r="U64" s="30">
        <v>1</v>
      </c>
      <c r="V64" s="30">
        <v>-3</v>
      </c>
      <c r="W64" s="31">
        <v>0.04</v>
      </c>
      <c r="X64" s="32">
        <v>19476</v>
      </c>
    </row>
    <row r="65" spans="1:24" x14ac:dyDescent="0.3">
      <c r="A65" s="22" t="s">
        <v>203</v>
      </c>
      <c r="B65" s="2" t="s">
        <v>215</v>
      </c>
      <c r="C65" s="43" t="s">
        <v>220</v>
      </c>
      <c r="D65" s="43" t="s">
        <v>285</v>
      </c>
      <c r="E65" s="43" t="s">
        <v>353</v>
      </c>
      <c r="F65" s="23" t="str">
        <f>HYPERLINK("https://mapwv.gov/flood/map/?wkid=102100&amp;x=-9176545.311682798&amp;y=4637316.022104949&amp;l=13&amp;v=2","FT")</f>
        <v>FT</v>
      </c>
      <c r="G65" s="28" t="s">
        <v>51</v>
      </c>
      <c r="H65" s="28" t="s">
        <v>24</v>
      </c>
      <c r="I65" s="2" t="s">
        <v>409</v>
      </c>
      <c r="J65" s="22" t="s">
        <v>38</v>
      </c>
      <c r="K65" s="44" t="s">
        <v>142</v>
      </c>
      <c r="L65" s="44" t="s">
        <v>70</v>
      </c>
      <c r="M65" s="43" t="s">
        <v>39</v>
      </c>
      <c r="N65" s="3" t="s">
        <v>40</v>
      </c>
      <c r="O65" s="44" t="s">
        <v>86</v>
      </c>
      <c r="P65" s="43" t="s">
        <v>496</v>
      </c>
      <c r="Q65" s="43" t="s">
        <v>41</v>
      </c>
      <c r="R65" s="28" t="s">
        <v>88</v>
      </c>
      <c r="S65" s="29">
        <v>482700</v>
      </c>
      <c r="T65" s="43" t="s">
        <v>42</v>
      </c>
      <c r="U65" s="30">
        <v>1.8803099999999999</v>
      </c>
      <c r="V65" s="30">
        <v>-2.11968994140625</v>
      </c>
      <c r="W65" s="31">
        <v>7.5212402343749998E-2</v>
      </c>
      <c r="X65" s="32">
        <v>36305.026611328103</v>
      </c>
    </row>
    <row r="66" spans="1:24" x14ac:dyDescent="0.3">
      <c r="A66" s="22" t="s">
        <v>204</v>
      </c>
      <c r="B66" s="2" t="s">
        <v>216</v>
      </c>
      <c r="C66" s="43" t="s">
        <v>221</v>
      </c>
      <c r="D66" s="43" t="s">
        <v>286</v>
      </c>
      <c r="E66" s="43" t="s">
        <v>354</v>
      </c>
      <c r="F66" s="23" t="str">
        <f>HYPERLINK("https://mapwv.gov/flood/map/?wkid=102100&amp;x=-9143017.717493502&amp;y=4640899.458799119&amp;l=13&amp;v=2","FT")</f>
        <v>FT</v>
      </c>
      <c r="G66" s="28" t="s">
        <v>31</v>
      </c>
      <c r="H66" s="28" t="s">
        <v>24</v>
      </c>
      <c r="I66" s="2" t="s">
        <v>410</v>
      </c>
      <c r="J66" s="22" t="s">
        <v>25</v>
      </c>
      <c r="K66" s="44" t="s">
        <v>80</v>
      </c>
      <c r="L66" s="44" t="s">
        <v>47</v>
      </c>
      <c r="M66" s="43" t="s">
        <v>45</v>
      </c>
      <c r="N66" s="3" t="s">
        <v>34</v>
      </c>
      <c r="O66" s="44" t="s">
        <v>85</v>
      </c>
      <c r="P66" s="43" t="s">
        <v>497</v>
      </c>
      <c r="Q66" s="43" t="s">
        <v>29</v>
      </c>
      <c r="R66" s="28" t="s">
        <v>87</v>
      </c>
      <c r="S66" s="29">
        <v>469900</v>
      </c>
      <c r="T66" s="43" t="s">
        <v>42</v>
      </c>
      <c r="U66" s="30">
        <v>1</v>
      </c>
      <c r="V66" s="30">
        <v>0</v>
      </c>
      <c r="W66" s="31">
        <v>0.01</v>
      </c>
      <c r="X66" s="32">
        <v>4699</v>
      </c>
    </row>
    <row r="67" spans="1:24" x14ac:dyDescent="0.3">
      <c r="A67" s="22" t="s">
        <v>205</v>
      </c>
      <c r="B67" s="2" t="s">
        <v>215</v>
      </c>
      <c r="C67" s="43" t="s">
        <v>220</v>
      </c>
      <c r="D67" s="43" t="s">
        <v>287</v>
      </c>
      <c r="E67" s="43" t="s">
        <v>355</v>
      </c>
      <c r="F67" s="23" t="str">
        <f>HYPERLINK("https://mapwv.gov/flood/map/?wkid=102100&amp;x=-9176985.643943634&amp;y=4637370.128144026&amp;l=13&amp;v=2","FT")</f>
        <v>FT</v>
      </c>
      <c r="G67" s="28" t="s">
        <v>51</v>
      </c>
      <c r="H67" s="28" t="s">
        <v>24</v>
      </c>
      <c r="I67" s="2" t="s">
        <v>411</v>
      </c>
      <c r="J67" s="22" t="s">
        <v>38</v>
      </c>
      <c r="K67" s="44" t="s">
        <v>433</v>
      </c>
      <c r="L67" s="44" t="s">
        <v>130</v>
      </c>
      <c r="M67" s="43" t="s">
        <v>39</v>
      </c>
      <c r="N67" s="3" t="s">
        <v>40</v>
      </c>
      <c r="O67" s="44" t="s">
        <v>86</v>
      </c>
      <c r="P67" s="43" t="s">
        <v>498</v>
      </c>
      <c r="Q67" s="43" t="s">
        <v>49</v>
      </c>
      <c r="R67" s="28" t="s">
        <v>100</v>
      </c>
      <c r="S67" s="29">
        <v>460800</v>
      </c>
      <c r="T67" s="43" t="s">
        <v>42</v>
      </c>
      <c r="U67" s="30">
        <v>1</v>
      </c>
      <c r="V67" s="30">
        <v>-2</v>
      </c>
      <c r="W67" s="31">
        <v>0</v>
      </c>
      <c r="X67" s="32">
        <v>0</v>
      </c>
    </row>
    <row r="68" spans="1:24" x14ac:dyDescent="0.3">
      <c r="A68" s="22" t="s">
        <v>206</v>
      </c>
      <c r="B68" s="2" t="s">
        <v>215</v>
      </c>
      <c r="C68" s="43" t="s">
        <v>228</v>
      </c>
      <c r="D68" s="43" t="s">
        <v>288</v>
      </c>
      <c r="E68" s="43" t="s">
        <v>356</v>
      </c>
      <c r="F68" s="23" t="str">
        <f>HYPERLINK("https://mapwv.gov/flood/map/?wkid=102100&amp;x=-9171362.089174721&amp;y=4637718.823319728&amp;l=13&amp;v=2","FT")</f>
        <v>FT</v>
      </c>
      <c r="G68" s="28" t="s">
        <v>31</v>
      </c>
      <c r="H68" s="28" t="s">
        <v>24</v>
      </c>
      <c r="I68" s="2" t="s">
        <v>412</v>
      </c>
      <c r="J68" s="22" t="s">
        <v>38</v>
      </c>
      <c r="K68" s="44" t="s">
        <v>112</v>
      </c>
      <c r="L68" s="44" t="s">
        <v>47</v>
      </c>
      <c r="M68" s="43" t="s">
        <v>48</v>
      </c>
      <c r="N68" s="3" t="s">
        <v>34</v>
      </c>
      <c r="O68" s="44" t="s">
        <v>86</v>
      </c>
      <c r="P68" s="43" t="s">
        <v>499</v>
      </c>
      <c r="Q68" s="43" t="s">
        <v>29</v>
      </c>
      <c r="R68" s="28" t="s">
        <v>87</v>
      </c>
      <c r="S68" s="29">
        <v>459900</v>
      </c>
      <c r="T68" s="43" t="s">
        <v>42</v>
      </c>
      <c r="U68" s="30">
        <v>1</v>
      </c>
      <c r="V68" s="30">
        <v>0</v>
      </c>
      <c r="W68" s="31">
        <v>0.01</v>
      </c>
      <c r="X68" s="32">
        <v>4599</v>
      </c>
    </row>
    <row r="69" spans="1:24" x14ac:dyDescent="0.3">
      <c r="A69" s="22" t="s">
        <v>207</v>
      </c>
      <c r="B69" s="2" t="s">
        <v>215</v>
      </c>
      <c r="C69" s="43" t="s">
        <v>220</v>
      </c>
      <c r="D69" s="43" t="s">
        <v>289</v>
      </c>
      <c r="E69" s="43" t="s">
        <v>357</v>
      </c>
      <c r="F69" s="23" t="str">
        <f>HYPERLINK("https://mapwv.gov/flood/map/?wkid=102100&amp;x=-9178306.081568342&amp;y=4637113.891061686&amp;l=13&amp;v=2","FT")</f>
        <v>FT</v>
      </c>
      <c r="G69" s="28" t="s">
        <v>31</v>
      </c>
      <c r="H69" s="28" t="s">
        <v>24</v>
      </c>
      <c r="I69" s="2" t="s">
        <v>413</v>
      </c>
      <c r="J69" s="22" t="s">
        <v>38</v>
      </c>
      <c r="K69" s="44" t="s">
        <v>434</v>
      </c>
      <c r="L69" s="44" t="s">
        <v>427</v>
      </c>
      <c r="M69" s="43" t="s">
        <v>39</v>
      </c>
      <c r="N69" s="3" t="s">
        <v>40</v>
      </c>
      <c r="O69" s="44" t="s">
        <v>86</v>
      </c>
      <c r="P69" s="43" t="s">
        <v>500</v>
      </c>
      <c r="Q69" s="43" t="s">
        <v>41</v>
      </c>
      <c r="R69" s="28" t="s">
        <v>88</v>
      </c>
      <c r="S69" s="29">
        <v>457400</v>
      </c>
      <c r="T69" s="43" t="s">
        <v>42</v>
      </c>
      <c r="U69" s="30">
        <v>1.8915405000000001</v>
      </c>
      <c r="V69" s="30">
        <v>-2.10845947265625</v>
      </c>
      <c r="W69" s="31">
        <v>7.5661621093750006E-2</v>
      </c>
      <c r="X69" s="32">
        <v>34607.625488281199</v>
      </c>
    </row>
    <row r="70" spans="1:24" x14ac:dyDescent="0.3">
      <c r="A70" s="22" t="s">
        <v>208</v>
      </c>
      <c r="B70" s="2" t="s">
        <v>214</v>
      </c>
      <c r="C70" s="43" t="s">
        <v>221</v>
      </c>
      <c r="D70" s="43" t="s">
        <v>290</v>
      </c>
      <c r="E70" s="43" t="s">
        <v>358</v>
      </c>
      <c r="F70" s="23" t="str">
        <f>HYPERLINK("https://mapwv.gov/flood/map/?wkid=102100&amp;x=-9150728.814167973&amp;y=4642045.244750724&amp;l=13&amp;v=2","FT")</f>
        <v>FT</v>
      </c>
      <c r="G70" s="28" t="s">
        <v>31</v>
      </c>
      <c r="H70" s="28" t="s">
        <v>24</v>
      </c>
      <c r="I70" s="2" t="s">
        <v>414</v>
      </c>
      <c r="J70" s="22" t="s">
        <v>25</v>
      </c>
      <c r="K70" s="44" t="s">
        <v>103</v>
      </c>
      <c r="L70" s="44" t="s">
        <v>50</v>
      </c>
      <c r="M70" s="43" t="s">
        <v>60</v>
      </c>
      <c r="N70" s="3" t="s">
        <v>34</v>
      </c>
      <c r="O70" s="44" t="s">
        <v>85</v>
      </c>
      <c r="P70" s="43" t="s">
        <v>501</v>
      </c>
      <c r="Q70" s="43" t="s">
        <v>29</v>
      </c>
      <c r="R70" s="28" t="s">
        <v>87</v>
      </c>
      <c r="S70" s="29">
        <v>456720</v>
      </c>
      <c r="T70" s="43" t="s">
        <v>30</v>
      </c>
      <c r="U70" s="30">
        <v>0.19146729000000001</v>
      </c>
      <c r="V70" s="30">
        <v>-0.80853271484375</v>
      </c>
      <c r="W70" s="31">
        <v>0</v>
      </c>
      <c r="X70" s="32">
        <v>0</v>
      </c>
    </row>
    <row r="71" spans="1:24" x14ac:dyDescent="0.3">
      <c r="A71" s="22" t="s">
        <v>209</v>
      </c>
      <c r="B71" s="2" t="s">
        <v>214</v>
      </c>
      <c r="C71" s="43" t="s">
        <v>221</v>
      </c>
      <c r="D71" s="43" t="s">
        <v>291</v>
      </c>
      <c r="E71" s="43" t="s">
        <v>359</v>
      </c>
      <c r="F71" s="23" t="str">
        <f>HYPERLINK("https://mapwv.gov/flood/map/?wkid=102100&amp;x=-9153628.53595391&amp;y=4639241.312036647&amp;l=13&amp;v=2","FT")</f>
        <v>FT</v>
      </c>
      <c r="G71" s="28" t="s">
        <v>51</v>
      </c>
      <c r="H71" s="28" t="s">
        <v>24</v>
      </c>
      <c r="I71" s="2" t="s">
        <v>415</v>
      </c>
      <c r="J71" s="22" t="s">
        <v>102</v>
      </c>
      <c r="K71" s="44" t="s">
        <v>111</v>
      </c>
      <c r="L71" s="44" t="s">
        <v>70</v>
      </c>
      <c r="M71" s="43" t="s">
        <v>39</v>
      </c>
      <c r="N71" s="3" t="s">
        <v>40</v>
      </c>
      <c r="O71" s="44" t="s">
        <v>86</v>
      </c>
      <c r="P71" s="43" t="s">
        <v>502</v>
      </c>
      <c r="Q71" s="43" t="s">
        <v>41</v>
      </c>
      <c r="R71" s="28" t="s">
        <v>88</v>
      </c>
      <c r="S71" s="29">
        <v>453500</v>
      </c>
      <c r="T71" s="43" t="s">
        <v>42</v>
      </c>
      <c r="U71" s="30">
        <v>1.6286620999999999</v>
      </c>
      <c r="V71" s="30">
        <v>-2.371337890625</v>
      </c>
      <c r="W71" s="31">
        <v>6.5146484374999897E-2</v>
      </c>
      <c r="X71" s="32">
        <v>29543.930664062402</v>
      </c>
    </row>
    <row r="72" spans="1:24" x14ac:dyDescent="0.3">
      <c r="A72" s="22" t="s">
        <v>210</v>
      </c>
      <c r="B72" s="2" t="s">
        <v>216</v>
      </c>
      <c r="C72" s="43" t="s">
        <v>221</v>
      </c>
      <c r="D72" s="43" t="s">
        <v>292</v>
      </c>
      <c r="E72" s="43" t="s">
        <v>360</v>
      </c>
      <c r="F72" s="23" t="str">
        <f>HYPERLINK("https://mapwv.gov/flood/map/?wkid=102100&amp;x=-9142026.35030234&amp;y=4640860.973854677&amp;l=13&amp;v=2","FT")</f>
        <v>FT</v>
      </c>
      <c r="G72" s="28" t="s">
        <v>31</v>
      </c>
      <c r="H72" s="28" t="s">
        <v>24</v>
      </c>
      <c r="I72" s="2" t="s">
        <v>416</v>
      </c>
      <c r="J72" s="22" t="s">
        <v>25</v>
      </c>
      <c r="K72" s="44" t="s">
        <v>435</v>
      </c>
      <c r="L72" s="44" t="s">
        <v>54</v>
      </c>
      <c r="M72" s="43" t="s">
        <v>45</v>
      </c>
      <c r="N72" s="3" t="s">
        <v>34</v>
      </c>
      <c r="O72" s="44" t="s">
        <v>85</v>
      </c>
      <c r="P72" s="43" t="s">
        <v>503</v>
      </c>
      <c r="Q72" s="43" t="s">
        <v>29</v>
      </c>
      <c r="R72" s="28" t="s">
        <v>87</v>
      </c>
      <c r="S72" s="29">
        <v>453000</v>
      </c>
      <c r="T72" s="43" t="s">
        <v>42</v>
      </c>
      <c r="U72" s="30">
        <v>0</v>
      </c>
      <c r="V72" s="30">
        <v>-1</v>
      </c>
      <c r="W72" s="31">
        <v>0</v>
      </c>
      <c r="X72" s="32">
        <v>0</v>
      </c>
    </row>
    <row r="73" spans="1:24" x14ac:dyDescent="0.3">
      <c r="A73" s="22" t="s">
        <v>211</v>
      </c>
      <c r="B73" s="2" t="s">
        <v>215</v>
      </c>
      <c r="C73" s="43" t="s">
        <v>220</v>
      </c>
      <c r="D73" s="43" t="s">
        <v>293</v>
      </c>
      <c r="E73" s="43" t="s">
        <v>361</v>
      </c>
      <c r="F73" s="23" t="str">
        <f>HYPERLINK("https://mapwv.gov/flood/map/?wkid=102100&amp;x=-9177345.447684834&amp;y=4637285.158398464&amp;l=13&amp;v=2","FT")</f>
        <v>FT</v>
      </c>
      <c r="G73" s="28" t="s">
        <v>51</v>
      </c>
      <c r="H73" s="28" t="s">
        <v>24</v>
      </c>
      <c r="I73" s="2" t="s">
        <v>417</v>
      </c>
      <c r="J73" s="22" t="s">
        <v>38</v>
      </c>
      <c r="K73" s="44" t="s">
        <v>131</v>
      </c>
      <c r="L73" s="44" t="s">
        <v>54</v>
      </c>
      <c r="M73" s="43" t="s">
        <v>39</v>
      </c>
      <c r="N73" s="3" t="s">
        <v>40</v>
      </c>
      <c r="O73" s="44" t="s">
        <v>86</v>
      </c>
      <c r="P73" s="43" t="s">
        <v>504</v>
      </c>
      <c r="Q73" s="43" t="s">
        <v>29</v>
      </c>
      <c r="R73" s="28" t="s">
        <v>87</v>
      </c>
      <c r="S73" s="29">
        <v>442300</v>
      </c>
      <c r="T73" s="43" t="s">
        <v>30</v>
      </c>
      <c r="U73" s="30">
        <v>0.60028075999999997</v>
      </c>
      <c r="V73" s="30">
        <v>-0.39971923828125</v>
      </c>
      <c r="W73" s="31">
        <v>6.6030883789062397E-2</v>
      </c>
      <c r="X73" s="32">
        <v>29205.4598999023</v>
      </c>
    </row>
    <row r="74" spans="1:24" x14ac:dyDescent="0.3">
      <c r="A74" s="22" t="s">
        <v>212</v>
      </c>
      <c r="B74" s="2" t="s">
        <v>215</v>
      </c>
      <c r="C74" s="43" t="s">
        <v>220</v>
      </c>
      <c r="D74" s="43" t="s">
        <v>294</v>
      </c>
      <c r="E74" s="43" t="s">
        <v>362</v>
      </c>
      <c r="F74" s="23" t="str">
        <f>HYPERLINK("https://mapwv.gov/flood/map/?wkid=102100&amp;x=-9179493.134843346&amp;y=4636907.230705013&amp;l=13&amp;v=2","FT")</f>
        <v>FT</v>
      </c>
      <c r="G74" s="28" t="s">
        <v>31</v>
      </c>
      <c r="H74" s="28" t="s">
        <v>24</v>
      </c>
      <c r="I74" s="2" t="s">
        <v>418</v>
      </c>
      <c r="J74" s="22" t="s">
        <v>38</v>
      </c>
      <c r="K74" s="44" t="s">
        <v>112</v>
      </c>
      <c r="L74" s="44" t="s">
        <v>130</v>
      </c>
      <c r="M74" s="43" t="s">
        <v>39</v>
      </c>
      <c r="N74" s="3" t="s">
        <v>40</v>
      </c>
      <c r="O74" s="44" t="s">
        <v>86</v>
      </c>
      <c r="P74" s="43" t="s">
        <v>505</v>
      </c>
      <c r="Q74" s="43" t="s">
        <v>49</v>
      </c>
      <c r="R74" s="28" t="s">
        <v>100</v>
      </c>
      <c r="S74" s="29">
        <v>407300</v>
      </c>
      <c r="T74" s="43" t="s">
        <v>42</v>
      </c>
      <c r="U74" s="30">
        <v>0.79394529999999996</v>
      </c>
      <c r="V74" s="30">
        <v>-2.2060546875</v>
      </c>
      <c r="W74" s="31">
        <v>0</v>
      </c>
      <c r="X74" s="32">
        <v>0</v>
      </c>
    </row>
    <row r="75" spans="1:24" x14ac:dyDescent="0.3">
      <c r="A75" s="22" t="s">
        <v>213</v>
      </c>
      <c r="B75" s="2" t="s">
        <v>216</v>
      </c>
      <c r="C75" s="43" t="s">
        <v>221</v>
      </c>
      <c r="D75" s="43" t="s">
        <v>295</v>
      </c>
      <c r="E75" s="43" t="s">
        <v>363</v>
      </c>
      <c r="F75" s="23" t="str">
        <f>HYPERLINK("https://mapwv.gov/flood/map/?wkid=102100&amp;x=-9142942.286849948&amp;y=4641265.973491182&amp;l=13&amp;v=2","FT")</f>
        <v>FT</v>
      </c>
      <c r="G75" s="28" t="s">
        <v>31</v>
      </c>
      <c r="H75" s="28" t="s">
        <v>24</v>
      </c>
      <c r="I75" s="2" t="s">
        <v>419</v>
      </c>
      <c r="J75" s="22" t="s">
        <v>38</v>
      </c>
      <c r="K75" s="44" t="s">
        <v>140</v>
      </c>
      <c r="L75" s="44" t="s">
        <v>26</v>
      </c>
      <c r="M75" s="43" t="s">
        <v>61</v>
      </c>
      <c r="N75" s="3" t="s">
        <v>82</v>
      </c>
      <c r="O75" s="44" t="s">
        <v>86</v>
      </c>
      <c r="P75" s="43" t="s">
        <v>506</v>
      </c>
      <c r="Q75" s="43" t="s">
        <v>29</v>
      </c>
      <c r="R75" s="28" t="s">
        <v>87</v>
      </c>
      <c r="S75" s="29">
        <v>400200</v>
      </c>
      <c r="T75" s="43" t="s">
        <v>42</v>
      </c>
      <c r="U75" s="30">
        <v>1.6896973</v>
      </c>
      <c r="V75" s="30">
        <v>0.689697265625</v>
      </c>
      <c r="W75" s="31">
        <v>4.827880859375E-2</v>
      </c>
      <c r="X75" s="32">
        <v>19321.179199218699</v>
      </c>
    </row>
  </sheetData>
  <hyperlinks>
    <hyperlink ref="J3" r:id="rId1" xr:uid="{A0CD289A-89A7-437B-802B-1325DB7BBF2D}"/>
    <hyperlink ref="M3" r:id="rId2" xr:uid="{06D7ABD8-8C49-401A-ABED-4CB5EB9424DB}"/>
    <hyperlink ref="Q3" r:id="rId3" xr:uid="{1FA8F208-B197-48A4-9E63-41EA24F9C2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3151-294B-47AB-B32E-AF05DBA1FE32}">
  <dimension ref="A1:X42"/>
  <sheetViews>
    <sheetView workbookViewId="0">
      <pane ySplit="6" topLeftCell="A7" activePane="bottomLeft" state="frozen"/>
      <selection pane="bottomLeft" activeCell="E4" sqref="E4"/>
    </sheetView>
  </sheetViews>
  <sheetFormatPr defaultRowHeight="14.4" x14ac:dyDescent="0.3"/>
  <cols>
    <col min="1" max="1" width="33.88671875" bestFit="1" customWidth="1"/>
    <col min="2" max="2" width="11.33203125" customWidth="1"/>
    <col min="7" max="7" width="11.109375" customWidth="1"/>
    <col min="13" max="13" width="10.88671875" customWidth="1"/>
    <col min="14" max="14" width="10.5546875" customWidth="1"/>
    <col min="17" max="17" width="11.8867187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63</v>
      </c>
      <c r="B1" s="4"/>
      <c r="C1" s="4"/>
      <c r="D1" s="4"/>
      <c r="F1" s="17" t="s">
        <v>64</v>
      </c>
      <c r="G1" s="6"/>
      <c r="H1" s="6"/>
      <c r="J1" s="6"/>
      <c r="K1" s="6"/>
      <c r="L1" s="6"/>
      <c r="N1" s="5" t="s">
        <v>65</v>
      </c>
      <c r="O1" s="6"/>
      <c r="P1" s="6"/>
      <c r="R1" s="6"/>
      <c r="S1" s="7" t="s">
        <v>66</v>
      </c>
      <c r="U1" s="8"/>
      <c r="V1" s="8"/>
      <c r="W1" s="9"/>
      <c r="X1" s="10"/>
    </row>
    <row r="2" spans="1:24" x14ac:dyDescent="0.3">
      <c r="A2" s="11">
        <v>44593</v>
      </c>
      <c r="B2" s="12" t="s">
        <v>67</v>
      </c>
      <c r="F2" s="6"/>
      <c r="G2" s="6"/>
      <c r="H2" s="6"/>
      <c r="J2" s="6"/>
      <c r="K2" s="6"/>
      <c r="L2" s="6"/>
      <c r="N2" s="13" t="s">
        <v>40</v>
      </c>
      <c r="O2" s="6"/>
      <c r="P2" s="6"/>
      <c r="R2" s="6"/>
      <c r="S2" s="38"/>
      <c r="U2" s="8"/>
      <c r="V2" s="8"/>
      <c r="W2" s="9"/>
      <c r="X2" s="10"/>
    </row>
    <row r="3" spans="1:24" x14ac:dyDescent="0.3">
      <c r="A3" t="s">
        <v>69</v>
      </c>
      <c r="B3" s="39"/>
      <c r="F3" s="6"/>
      <c r="G3" s="6"/>
      <c r="H3" s="6"/>
      <c r="J3" s="16" t="s">
        <v>68</v>
      </c>
      <c r="K3" s="6"/>
      <c r="L3" s="6"/>
      <c r="M3" s="14" t="s">
        <v>68</v>
      </c>
      <c r="N3" s="5"/>
      <c r="O3" s="6"/>
      <c r="P3" s="6"/>
      <c r="Q3" s="14" t="s">
        <v>68</v>
      </c>
      <c r="R3" s="15"/>
      <c r="S3" s="38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38"/>
      <c r="U4" s="8"/>
      <c r="V4" s="8"/>
      <c r="W4" s="9"/>
      <c r="X4" s="10"/>
    </row>
    <row r="5" spans="1:24" x14ac:dyDescent="0.3">
      <c r="A5" s="1" t="s">
        <v>509</v>
      </c>
      <c r="F5" s="6"/>
      <c r="G5" s="6"/>
      <c r="H5" s="6"/>
      <c r="J5" s="6"/>
      <c r="K5" s="6"/>
      <c r="L5" s="6"/>
      <c r="O5" s="6"/>
      <c r="P5" s="6"/>
      <c r="R5" s="6"/>
      <c r="S5" s="33" t="s">
        <v>104</v>
      </c>
      <c r="U5" s="6"/>
      <c r="V5" s="6"/>
      <c r="W5" s="9"/>
      <c r="X5" s="10"/>
    </row>
    <row r="6" spans="1:24" ht="43.2" x14ac:dyDescent="0.3">
      <c r="A6" s="24" t="s">
        <v>0</v>
      </c>
      <c r="B6" s="18" t="s">
        <v>1</v>
      </c>
      <c r="C6" s="18" t="s">
        <v>2</v>
      </c>
      <c r="D6" s="25" t="s">
        <v>3</v>
      </c>
      <c r="E6" s="25" t="s">
        <v>4</v>
      </c>
      <c r="F6" s="18" t="s">
        <v>5</v>
      </c>
      <c r="G6" s="18" t="s">
        <v>6</v>
      </c>
      <c r="H6" s="24" t="s">
        <v>7</v>
      </c>
      <c r="I6" s="18" t="s">
        <v>8</v>
      </c>
      <c r="J6" s="24" t="s">
        <v>9</v>
      </c>
      <c r="K6" s="25" t="s">
        <v>10</v>
      </c>
      <c r="L6" s="18" t="s">
        <v>11</v>
      </c>
      <c r="M6" s="25" t="s">
        <v>12</v>
      </c>
      <c r="N6" s="19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20" t="s">
        <v>18</v>
      </c>
      <c r="T6" s="18" t="s">
        <v>19</v>
      </c>
      <c r="U6" s="26" t="s">
        <v>20</v>
      </c>
      <c r="V6" s="26" t="s">
        <v>21</v>
      </c>
      <c r="W6" s="27" t="s">
        <v>22</v>
      </c>
      <c r="X6" s="21" t="s">
        <v>23</v>
      </c>
    </row>
    <row r="7" spans="1:24" x14ac:dyDescent="0.3">
      <c r="A7" s="22" t="s">
        <v>510</v>
      </c>
      <c r="B7" s="43" t="s">
        <v>616</v>
      </c>
      <c r="C7" s="2" t="s">
        <v>224</v>
      </c>
      <c r="D7" s="43" t="s">
        <v>582</v>
      </c>
      <c r="E7" s="43" t="s">
        <v>546</v>
      </c>
      <c r="F7" s="23" t="str">
        <f>HYPERLINK("https://mapwv.gov/flood/map/?wkid=102100&amp;x=-9143266.866655229&amp;y=4584764.67367722&amp;l=13&amp;v=2","FT")</f>
        <v>FT</v>
      </c>
      <c r="G7" s="28" t="s">
        <v>31</v>
      </c>
      <c r="H7" s="28" t="s">
        <v>24</v>
      </c>
      <c r="I7" s="43" t="s">
        <v>631</v>
      </c>
      <c r="J7" s="47" t="s">
        <v>25</v>
      </c>
      <c r="K7" s="44" t="s">
        <v>71</v>
      </c>
      <c r="L7" s="44"/>
      <c r="M7" s="43" t="s">
        <v>57</v>
      </c>
      <c r="N7" s="3" t="s">
        <v>81</v>
      </c>
      <c r="O7" s="44" t="s">
        <v>85</v>
      </c>
      <c r="P7" s="43" t="s">
        <v>669</v>
      </c>
      <c r="Q7" s="43" t="s">
        <v>29</v>
      </c>
      <c r="R7" s="28" t="s">
        <v>87</v>
      </c>
      <c r="S7" s="29">
        <v>10000000</v>
      </c>
      <c r="T7" s="2" t="s">
        <v>58</v>
      </c>
      <c r="U7" s="30">
        <v>0</v>
      </c>
      <c r="V7" s="30">
        <v>-1</v>
      </c>
      <c r="W7" s="31">
        <v>0</v>
      </c>
      <c r="X7" s="32">
        <v>0</v>
      </c>
    </row>
    <row r="8" spans="1:24" x14ac:dyDescent="0.3">
      <c r="A8" s="22" t="s">
        <v>511</v>
      </c>
      <c r="B8" s="43" t="s">
        <v>616</v>
      </c>
      <c r="C8" s="2" t="s">
        <v>618</v>
      </c>
      <c r="D8" s="43" t="s">
        <v>583</v>
      </c>
      <c r="E8" s="43" t="s">
        <v>547</v>
      </c>
      <c r="F8" s="23" t="str">
        <f>HYPERLINK("https://mapwv.gov/flood/map/?wkid=102100&amp;x=-9127420.67539961&amp;y=4613156.320626311&amp;l=13&amp;v=2","FT")</f>
        <v>FT</v>
      </c>
      <c r="G8" s="28" t="s">
        <v>51</v>
      </c>
      <c r="H8" s="28" t="s">
        <v>24</v>
      </c>
      <c r="I8" s="43" t="s">
        <v>632</v>
      </c>
      <c r="J8" s="47" t="s">
        <v>38</v>
      </c>
      <c r="K8" s="44" t="s">
        <v>118</v>
      </c>
      <c r="L8" s="44"/>
      <c r="M8" s="43" t="s">
        <v>57</v>
      </c>
      <c r="N8" s="3" t="s">
        <v>81</v>
      </c>
      <c r="O8" s="44" t="s">
        <v>85</v>
      </c>
      <c r="P8" s="43" t="s">
        <v>670</v>
      </c>
      <c r="Q8" s="43" t="s">
        <v>29</v>
      </c>
      <c r="R8" s="28" t="s">
        <v>87</v>
      </c>
      <c r="S8" s="29">
        <v>9346000</v>
      </c>
      <c r="T8" s="2" t="s">
        <v>58</v>
      </c>
      <c r="U8" s="30">
        <v>0.74731444999999996</v>
      </c>
      <c r="V8" s="30">
        <v>-0.252685546875</v>
      </c>
      <c r="W8" s="31">
        <v>0</v>
      </c>
      <c r="X8" s="32">
        <v>0</v>
      </c>
    </row>
    <row r="9" spans="1:24" x14ac:dyDescent="0.3">
      <c r="A9" s="22" t="s">
        <v>512</v>
      </c>
      <c r="B9" s="43" t="s">
        <v>616</v>
      </c>
      <c r="C9" s="2" t="s">
        <v>619</v>
      </c>
      <c r="D9" s="43" t="s">
        <v>584</v>
      </c>
      <c r="E9" s="43" t="s">
        <v>548</v>
      </c>
      <c r="F9" s="23" t="str">
        <f>HYPERLINK("https://mapwv.gov/flood/map/?wkid=102100&amp;x=-9110407.655505398&amp;y=4610102.876130963&amp;l=13&amp;v=2","FT")</f>
        <v>FT</v>
      </c>
      <c r="G9" s="28" t="s">
        <v>37</v>
      </c>
      <c r="H9" s="28" t="s">
        <v>24</v>
      </c>
      <c r="I9" s="43" t="s">
        <v>633</v>
      </c>
      <c r="J9" s="47" t="s">
        <v>25</v>
      </c>
      <c r="K9" s="44" t="s">
        <v>120</v>
      </c>
      <c r="L9" s="44" t="s">
        <v>43</v>
      </c>
      <c r="M9" s="43" t="s">
        <v>55</v>
      </c>
      <c r="N9" s="3" t="s">
        <v>83</v>
      </c>
      <c r="O9" s="44" t="s">
        <v>85</v>
      </c>
      <c r="P9" s="43" t="s">
        <v>671</v>
      </c>
      <c r="Q9" s="43" t="s">
        <v>29</v>
      </c>
      <c r="R9" s="28" t="s">
        <v>87</v>
      </c>
      <c r="S9" s="29">
        <v>1856300</v>
      </c>
      <c r="T9" s="2" t="s">
        <v>42</v>
      </c>
      <c r="U9" s="30">
        <v>4</v>
      </c>
      <c r="V9" s="30">
        <v>3</v>
      </c>
      <c r="W9" s="31">
        <v>0.11</v>
      </c>
      <c r="X9" s="32">
        <v>204193</v>
      </c>
    </row>
    <row r="10" spans="1:24" x14ac:dyDescent="0.3">
      <c r="A10" s="22" t="s">
        <v>513</v>
      </c>
      <c r="B10" s="43" t="s">
        <v>616</v>
      </c>
      <c r="C10" s="2" t="s">
        <v>224</v>
      </c>
      <c r="D10" s="43" t="s">
        <v>585</v>
      </c>
      <c r="E10" s="43" t="s">
        <v>549</v>
      </c>
      <c r="F10" s="23" t="str">
        <f>HYPERLINK("https://mapwv.gov/flood/map/?wkid=102100&amp;x=-9150157.045871165&amp;y=4618117.627391888&amp;l=13&amp;v=2","FT")</f>
        <v>FT</v>
      </c>
      <c r="G10" s="28" t="s">
        <v>31</v>
      </c>
      <c r="H10" s="28" t="s">
        <v>121</v>
      </c>
      <c r="I10" s="43" t="s">
        <v>634</v>
      </c>
      <c r="J10" s="47" t="s">
        <v>25</v>
      </c>
      <c r="K10" s="44" t="s">
        <v>90</v>
      </c>
      <c r="L10" s="44" t="s">
        <v>665</v>
      </c>
      <c r="M10" s="43" t="s">
        <v>668</v>
      </c>
      <c r="N10" s="3" t="s">
        <v>40</v>
      </c>
      <c r="O10" s="44" t="s">
        <v>86</v>
      </c>
      <c r="P10" s="43" t="s">
        <v>672</v>
      </c>
      <c r="Q10" s="43" t="s">
        <v>29</v>
      </c>
      <c r="R10" s="28" t="s">
        <v>87</v>
      </c>
      <c r="S10" s="29">
        <v>1453800</v>
      </c>
      <c r="T10" s="2" t="s">
        <v>30</v>
      </c>
      <c r="U10" s="30">
        <v>1</v>
      </c>
      <c r="V10" s="30">
        <v>0</v>
      </c>
      <c r="W10" s="31">
        <v>0.15</v>
      </c>
      <c r="X10" s="32">
        <v>218070</v>
      </c>
    </row>
    <row r="11" spans="1:24" x14ac:dyDescent="0.3">
      <c r="A11" s="22" t="s">
        <v>514</v>
      </c>
      <c r="B11" s="43" t="s">
        <v>616</v>
      </c>
      <c r="C11" s="2" t="s">
        <v>224</v>
      </c>
      <c r="D11" s="43" t="s">
        <v>585</v>
      </c>
      <c r="E11" s="43" t="s">
        <v>550</v>
      </c>
      <c r="F11" s="23" t="str">
        <f>HYPERLINK("https://mapwv.gov/flood/map/?wkid=102100&amp;x=-9150170.300905574&amp;y=4618067.146768191&amp;l=13&amp;v=2","FT")</f>
        <v>FT</v>
      </c>
      <c r="G11" s="28" t="s">
        <v>31</v>
      </c>
      <c r="H11" s="28" t="s">
        <v>121</v>
      </c>
      <c r="I11" s="43" t="s">
        <v>634</v>
      </c>
      <c r="J11" s="47" t="s">
        <v>25</v>
      </c>
      <c r="K11" s="44" t="s">
        <v>90</v>
      </c>
      <c r="L11" s="44" t="s">
        <v>665</v>
      </c>
      <c r="M11" s="43" t="s">
        <v>668</v>
      </c>
      <c r="N11" s="3" t="s">
        <v>40</v>
      </c>
      <c r="O11" s="44" t="s">
        <v>86</v>
      </c>
      <c r="P11" s="43" t="s">
        <v>673</v>
      </c>
      <c r="Q11" s="43" t="s">
        <v>29</v>
      </c>
      <c r="R11" s="28" t="s">
        <v>87</v>
      </c>
      <c r="S11" s="29">
        <v>1286100</v>
      </c>
      <c r="T11" s="2" t="s">
        <v>30</v>
      </c>
      <c r="U11" s="30">
        <v>1</v>
      </c>
      <c r="V11" s="30">
        <v>0</v>
      </c>
      <c r="W11" s="31">
        <v>0.15</v>
      </c>
      <c r="X11" s="32">
        <v>192915</v>
      </c>
    </row>
    <row r="12" spans="1:24" x14ac:dyDescent="0.3">
      <c r="A12" s="22" t="s">
        <v>515</v>
      </c>
      <c r="B12" s="43" t="s">
        <v>616</v>
      </c>
      <c r="C12" s="2" t="s">
        <v>620</v>
      </c>
      <c r="D12" s="43" t="s">
        <v>586</v>
      </c>
      <c r="E12" s="43" t="s">
        <v>551</v>
      </c>
      <c r="F12" s="23" t="str">
        <f>HYPERLINK("https://mapwv.gov/flood/map/?wkid=102100&amp;x=-9109994.387350483&amp;y=4616170.574431472&amp;l=13&amp;v=2","FT")</f>
        <v>FT</v>
      </c>
      <c r="G12" s="28" t="s">
        <v>37</v>
      </c>
      <c r="H12" s="28" t="s">
        <v>24</v>
      </c>
      <c r="I12" s="43" t="s">
        <v>631</v>
      </c>
      <c r="J12" s="47" t="s">
        <v>38</v>
      </c>
      <c r="K12" s="44" t="s">
        <v>666</v>
      </c>
      <c r="L12" s="44"/>
      <c r="M12" s="43" t="s">
        <v>57</v>
      </c>
      <c r="N12" s="3" t="s">
        <v>81</v>
      </c>
      <c r="O12" s="44" t="s">
        <v>85</v>
      </c>
      <c r="P12" s="43" t="s">
        <v>674</v>
      </c>
      <c r="Q12" s="43" t="s">
        <v>29</v>
      </c>
      <c r="R12" s="28" t="s">
        <v>87</v>
      </c>
      <c r="S12" s="29">
        <v>1107030</v>
      </c>
      <c r="T12" s="2" t="s">
        <v>30</v>
      </c>
      <c r="U12" s="30">
        <v>0</v>
      </c>
      <c r="V12" s="30">
        <v>-1</v>
      </c>
      <c r="W12" s="31">
        <v>0</v>
      </c>
      <c r="X12" s="32">
        <v>0</v>
      </c>
    </row>
    <row r="13" spans="1:24" x14ac:dyDescent="0.3">
      <c r="A13" s="22" t="s">
        <v>516</v>
      </c>
      <c r="B13" s="43" t="s">
        <v>616</v>
      </c>
      <c r="C13" s="2" t="s">
        <v>620</v>
      </c>
      <c r="D13" s="43" t="s">
        <v>587</v>
      </c>
      <c r="E13" s="43" t="s">
        <v>552</v>
      </c>
      <c r="F13" s="23" t="str">
        <f>HYPERLINK("https://mapwv.gov/flood/map/?wkid=102100&amp;x=-9111485.6081097&amp;y=4615454.2896793885&amp;l=13&amp;v=2","FT")</f>
        <v>FT</v>
      </c>
      <c r="G13" s="28" t="s">
        <v>37</v>
      </c>
      <c r="H13" s="28" t="s">
        <v>24</v>
      </c>
      <c r="I13" s="43" t="s">
        <v>635</v>
      </c>
      <c r="J13" s="47" t="s">
        <v>25</v>
      </c>
      <c r="K13" s="44" t="s">
        <v>91</v>
      </c>
      <c r="L13" s="44" t="s">
        <v>54</v>
      </c>
      <c r="M13" s="43" t="s">
        <v>125</v>
      </c>
      <c r="N13" s="3" t="s">
        <v>40</v>
      </c>
      <c r="O13" s="44" t="s">
        <v>86</v>
      </c>
      <c r="P13" s="43" t="s">
        <v>675</v>
      </c>
      <c r="Q13" s="43" t="s">
        <v>29</v>
      </c>
      <c r="R13" s="28" t="s">
        <v>87</v>
      </c>
      <c r="S13" s="29">
        <v>814100</v>
      </c>
      <c r="T13" s="2" t="s">
        <v>30</v>
      </c>
      <c r="U13" s="30">
        <v>0</v>
      </c>
      <c r="V13" s="30">
        <v>-1</v>
      </c>
      <c r="W13" s="31">
        <v>0</v>
      </c>
      <c r="X13" s="32">
        <v>0</v>
      </c>
    </row>
    <row r="14" spans="1:24" x14ac:dyDescent="0.3">
      <c r="A14" s="22" t="s">
        <v>517</v>
      </c>
      <c r="B14" s="43" t="s">
        <v>616</v>
      </c>
      <c r="C14" s="2" t="s">
        <v>221</v>
      </c>
      <c r="D14" s="43" t="s">
        <v>588</v>
      </c>
      <c r="E14" s="43" t="s">
        <v>553</v>
      </c>
      <c r="F14" s="23" t="str">
        <f>HYPERLINK("https://mapwv.gov/flood/map/?wkid=102100&amp;x=-9138575.893258141&amp;y=4619085.638758322&amp;l=13&amp;v=2","FT")</f>
        <v>FT</v>
      </c>
      <c r="G14" s="28" t="s">
        <v>31</v>
      </c>
      <c r="H14" s="28" t="s">
        <v>24</v>
      </c>
      <c r="I14" s="43" t="s">
        <v>636</v>
      </c>
      <c r="J14" s="47" t="s">
        <v>25</v>
      </c>
      <c r="K14" s="44" t="s">
        <v>78</v>
      </c>
      <c r="L14" s="44" t="s">
        <v>424</v>
      </c>
      <c r="M14" s="43" t="s">
        <v>45</v>
      </c>
      <c r="N14" s="3" t="s">
        <v>34</v>
      </c>
      <c r="O14" s="44" t="s">
        <v>85</v>
      </c>
      <c r="P14" s="43" t="s">
        <v>676</v>
      </c>
      <c r="Q14" s="43" t="s">
        <v>29</v>
      </c>
      <c r="R14" s="28" t="s">
        <v>87</v>
      </c>
      <c r="S14" s="29">
        <v>730400</v>
      </c>
      <c r="T14" s="2" t="s">
        <v>42</v>
      </c>
      <c r="U14" s="30">
        <v>1</v>
      </c>
      <c r="V14" s="30">
        <v>0</v>
      </c>
      <c r="W14" s="31">
        <v>0.01</v>
      </c>
      <c r="X14" s="32">
        <v>7304</v>
      </c>
    </row>
    <row r="15" spans="1:24" x14ac:dyDescent="0.3">
      <c r="A15" s="22" t="s">
        <v>518</v>
      </c>
      <c r="B15" s="43" t="s">
        <v>616</v>
      </c>
      <c r="C15" s="2" t="s">
        <v>618</v>
      </c>
      <c r="D15" s="43" t="s">
        <v>589</v>
      </c>
      <c r="E15" s="43" t="s">
        <v>554</v>
      </c>
      <c r="F15" s="23" t="str">
        <f>HYPERLINK("https://mapwv.gov/flood/map/?wkid=102100&amp;x=-9127477.630013322&amp;y=4613144.951606437&amp;l=13&amp;v=2","FT")</f>
        <v>FT</v>
      </c>
      <c r="G15" s="28" t="s">
        <v>51</v>
      </c>
      <c r="H15" s="28" t="s">
        <v>24</v>
      </c>
      <c r="I15" s="43" t="s">
        <v>637</v>
      </c>
      <c r="J15" s="47" t="s">
        <v>25</v>
      </c>
      <c r="K15" s="44" t="s">
        <v>77</v>
      </c>
      <c r="L15" s="44" t="s">
        <v>43</v>
      </c>
      <c r="M15" s="43" t="s">
        <v>57</v>
      </c>
      <c r="N15" s="3" t="s">
        <v>81</v>
      </c>
      <c r="O15" s="44" t="s">
        <v>85</v>
      </c>
      <c r="P15" s="43" t="s">
        <v>677</v>
      </c>
      <c r="Q15" s="43" t="s">
        <v>29</v>
      </c>
      <c r="R15" s="28" t="s">
        <v>87</v>
      </c>
      <c r="S15" s="29">
        <v>609000</v>
      </c>
      <c r="T15" s="2" t="s">
        <v>42</v>
      </c>
      <c r="U15" s="30">
        <v>1.4801636</v>
      </c>
      <c r="V15" s="30">
        <v>0.48016357421875</v>
      </c>
      <c r="W15" s="31">
        <v>2.4008178710937501E-2</v>
      </c>
      <c r="X15" s="32">
        <v>14620.980834960899</v>
      </c>
    </row>
    <row r="16" spans="1:24" x14ac:dyDescent="0.3">
      <c r="A16" s="22" t="s">
        <v>519</v>
      </c>
      <c r="B16" s="43" t="s">
        <v>616</v>
      </c>
      <c r="C16" s="2" t="s">
        <v>620</v>
      </c>
      <c r="D16" s="43" t="s">
        <v>590</v>
      </c>
      <c r="E16" s="43" t="s">
        <v>555</v>
      </c>
      <c r="F16" s="23" t="str">
        <f>HYPERLINK("https://mapwv.gov/flood/map/?wkid=102100&amp;x=-9108867.55625021&amp;y=4618688.993057876&amp;l=13&amp;v=2","FT")</f>
        <v>FT</v>
      </c>
      <c r="G16" s="28" t="s">
        <v>37</v>
      </c>
      <c r="H16" s="28" t="s">
        <v>24</v>
      </c>
      <c r="I16" s="43" t="s">
        <v>638</v>
      </c>
      <c r="J16" s="47" t="s">
        <v>38</v>
      </c>
      <c r="K16" s="44" t="s">
        <v>123</v>
      </c>
      <c r="L16" s="44" t="s">
        <v>50</v>
      </c>
      <c r="M16" s="43" t="s">
        <v>55</v>
      </c>
      <c r="N16" s="3" t="s">
        <v>83</v>
      </c>
      <c r="O16" s="44" t="s">
        <v>85</v>
      </c>
      <c r="P16" s="43" t="s">
        <v>678</v>
      </c>
      <c r="Q16" s="43" t="s">
        <v>29</v>
      </c>
      <c r="R16" s="28" t="s">
        <v>87</v>
      </c>
      <c r="S16" s="29">
        <v>589870</v>
      </c>
      <c r="T16" s="2" t="s">
        <v>30</v>
      </c>
      <c r="U16" s="30">
        <v>0</v>
      </c>
      <c r="V16" s="30">
        <v>-1</v>
      </c>
      <c r="W16" s="31">
        <v>0</v>
      </c>
      <c r="X16" s="32">
        <v>0</v>
      </c>
    </row>
    <row r="17" spans="1:24" x14ac:dyDescent="0.3">
      <c r="A17" s="22" t="s">
        <v>520</v>
      </c>
      <c r="B17" s="43" t="s">
        <v>616</v>
      </c>
      <c r="C17" s="2" t="s">
        <v>618</v>
      </c>
      <c r="D17" s="43" t="s">
        <v>591</v>
      </c>
      <c r="E17" s="43" t="s">
        <v>556</v>
      </c>
      <c r="F17" s="23" t="str">
        <f>HYPERLINK("https://mapwv.gov/flood/map/?wkid=102100&amp;x=-9125060.470872894&amp;y=4612397.162051137&amp;l=13&amp;v=2","FT")</f>
        <v>FT</v>
      </c>
      <c r="G17" s="28" t="s">
        <v>31</v>
      </c>
      <c r="H17" s="28" t="s">
        <v>24</v>
      </c>
      <c r="I17" s="43" t="s">
        <v>639</v>
      </c>
      <c r="J17" s="47" t="s">
        <v>38</v>
      </c>
      <c r="K17" s="44" t="s">
        <v>421</v>
      </c>
      <c r="L17" s="44" t="s">
        <v>50</v>
      </c>
      <c r="M17" s="43" t="s">
        <v>55</v>
      </c>
      <c r="N17" s="3" t="s">
        <v>83</v>
      </c>
      <c r="O17" s="44" t="s">
        <v>85</v>
      </c>
      <c r="P17" s="43" t="s">
        <v>679</v>
      </c>
      <c r="Q17" s="43" t="s">
        <v>29</v>
      </c>
      <c r="R17" s="28" t="s">
        <v>87</v>
      </c>
      <c r="S17" s="29">
        <v>568790</v>
      </c>
      <c r="T17" s="2" t="s">
        <v>30</v>
      </c>
      <c r="U17" s="30">
        <v>0</v>
      </c>
      <c r="V17" s="30">
        <v>-1</v>
      </c>
      <c r="W17" s="31">
        <v>0</v>
      </c>
      <c r="X17" s="32">
        <v>0</v>
      </c>
    </row>
    <row r="18" spans="1:24" x14ac:dyDescent="0.3">
      <c r="A18" s="22" t="s">
        <v>521</v>
      </c>
      <c r="B18" s="43" t="s">
        <v>616</v>
      </c>
      <c r="C18" s="2" t="s">
        <v>620</v>
      </c>
      <c r="D18" s="43" t="s">
        <v>592</v>
      </c>
      <c r="E18" s="43" t="s">
        <v>557</v>
      </c>
      <c r="F18" s="23" t="str">
        <f>HYPERLINK("https://mapwv.gov/flood/map/?wkid=102100&amp;x=-9108610.014155475&amp;y=4619158.982583124&amp;l=13&amp;v=2","FT")</f>
        <v>FT</v>
      </c>
      <c r="G18" s="28" t="s">
        <v>37</v>
      </c>
      <c r="H18" s="28" t="s">
        <v>24</v>
      </c>
      <c r="I18" s="43" t="s">
        <v>640</v>
      </c>
      <c r="J18" s="47" t="s">
        <v>38</v>
      </c>
      <c r="K18" s="44" t="s">
        <v>431</v>
      </c>
      <c r="L18" s="44"/>
      <c r="M18" s="43" t="s">
        <v>55</v>
      </c>
      <c r="N18" s="3" t="s">
        <v>83</v>
      </c>
      <c r="O18" s="44" t="s">
        <v>85</v>
      </c>
      <c r="P18" s="43" t="s">
        <v>481</v>
      </c>
      <c r="Q18" s="43" t="s">
        <v>29</v>
      </c>
      <c r="R18" s="28" t="s">
        <v>87</v>
      </c>
      <c r="S18" s="29">
        <v>566280</v>
      </c>
      <c r="T18" s="2" t="s">
        <v>30</v>
      </c>
      <c r="U18" s="30">
        <v>0</v>
      </c>
      <c r="V18" s="30">
        <v>-1</v>
      </c>
      <c r="W18" s="31">
        <v>0</v>
      </c>
      <c r="X18" s="32">
        <v>0</v>
      </c>
    </row>
    <row r="19" spans="1:24" x14ac:dyDescent="0.3">
      <c r="A19" s="22" t="s">
        <v>522</v>
      </c>
      <c r="B19" s="43" t="s">
        <v>616</v>
      </c>
      <c r="C19" s="2" t="s">
        <v>620</v>
      </c>
      <c r="D19" s="43" t="s">
        <v>593</v>
      </c>
      <c r="E19" s="43" t="s">
        <v>558</v>
      </c>
      <c r="F19" s="23" t="str">
        <f>HYPERLINK("https://mapwv.gov/flood/map/?wkid=102100&amp;x=-9111287.529992646&amp;y=4615520.482457041&amp;l=13&amp;v=2","FT")</f>
        <v>FT</v>
      </c>
      <c r="G19" s="28" t="s">
        <v>37</v>
      </c>
      <c r="H19" s="28" t="s">
        <v>24</v>
      </c>
      <c r="I19" s="43" t="s">
        <v>641</v>
      </c>
      <c r="J19" s="47" t="s">
        <v>25</v>
      </c>
      <c r="K19" s="44" t="s">
        <v>120</v>
      </c>
      <c r="L19" s="44" t="s">
        <v>43</v>
      </c>
      <c r="M19" s="43" t="s">
        <v>53</v>
      </c>
      <c r="N19" s="3" t="s">
        <v>34</v>
      </c>
      <c r="O19" s="44" t="s">
        <v>85</v>
      </c>
      <c r="P19" s="43" t="s">
        <v>680</v>
      </c>
      <c r="Q19" s="43" t="s">
        <v>29</v>
      </c>
      <c r="R19" s="28" t="s">
        <v>87</v>
      </c>
      <c r="S19" s="29">
        <v>492500</v>
      </c>
      <c r="T19" s="2" t="s">
        <v>42</v>
      </c>
      <c r="U19" s="30">
        <v>0</v>
      </c>
      <c r="V19" s="30">
        <v>-1</v>
      </c>
      <c r="W19" s="31">
        <v>0</v>
      </c>
      <c r="X19" s="32">
        <v>0</v>
      </c>
    </row>
    <row r="20" spans="1:24" x14ac:dyDescent="0.3">
      <c r="A20" s="22" t="s">
        <v>523</v>
      </c>
      <c r="B20" s="43" t="s">
        <v>616</v>
      </c>
      <c r="C20" s="2" t="s">
        <v>620</v>
      </c>
      <c r="D20" s="43" t="s">
        <v>594</v>
      </c>
      <c r="E20" s="43" t="s">
        <v>559</v>
      </c>
      <c r="F20" s="23" t="str">
        <f>HYPERLINK("https://mapwv.gov/flood/map/?wkid=102100&amp;x=-9110400.404821685&amp;y=4616327.558386564&amp;l=13&amp;v=2","FT")</f>
        <v>FT</v>
      </c>
      <c r="G20" s="28" t="s">
        <v>37</v>
      </c>
      <c r="H20" s="28" t="s">
        <v>24</v>
      </c>
      <c r="I20" s="43" t="s">
        <v>642</v>
      </c>
      <c r="J20" s="47" t="s">
        <v>25</v>
      </c>
      <c r="K20" s="44" t="s">
        <v>105</v>
      </c>
      <c r="L20" s="44" t="s">
        <v>54</v>
      </c>
      <c r="M20" s="43" t="s">
        <v>45</v>
      </c>
      <c r="N20" s="3" t="s">
        <v>34</v>
      </c>
      <c r="O20" s="44" t="s">
        <v>85</v>
      </c>
      <c r="P20" s="43" t="s">
        <v>681</v>
      </c>
      <c r="Q20" s="43" t="s">
        <v>29</v>
      </c>
      <c r="R20" s="28" t="s">
        <v>87</v>
      </c>
      <c r="S20" s="29">
        <v>453700</v>
      </c>
      <c r="T20" s="2" t="s">
        <v>42</v>
      </c>
      <c r="U20" s="30">
        <v>0</v>
      </c>
      <c r="V20" s="30">
        <v>-1</v>
      </c>
      <c r="W20" s="31">
        <v>0</v>
      </c>
      <c r="X20" s="32">
        <v>0</v>
      </c>
    </row>
    <row r="21" spans="1:24" x14ac:dyDescent="0.3">
      <c r="A21" s="22" t="s">
        <v>524</v>
      </c>
      <c r="B21" s="43" t="s">
        <v>616</v>
      </c>
      <c r="C21" s="2" t="s">
        <v>621</v>
      </c>
      <c r="D21" s="43" t="s">
        <v>595</v>
      </c>
      <c r="E21" s="43" t="s">
        <v>560</v>
      </c>
      <c r="F21" s="23" t="str">
        <f>HYPERLINK("https://mapwv.gov/flood/map/?wkid=102100&amp;x=-9111327.951658223&amp;y=4609841.0358863715&amp;l=13&amp;v=2","FT")</f>
        <v>FT</v>
      </c>
      <c r="G21" s="28" t="s">
        <v>37</v>
      </c>
      <c r="H21" s="28" t="s">
        <v>24</v>
      </c>
      <c r="I21" s="43" t="s">
        <v>643</v>
      </c>
      <c r="J21" s="47" t="s">
        <v>38</v>
      </c>
      <c r="K21" s="44" t="s">
        <v>141</v>
      </c>
      <c r="L21" s="44"/>
      <c r="M21" s="43" t="s">
        <v>27</v>
      </c>
      <c r="N21" s="3" t="s">
        <v>82</v>
      </c>
      <c r="O21" s="44" t="s">
        <v>85</v>
      </c>
      <c r="P21" s="43" t="s">
        <v>682</v>
      </c>
      <c r="Q21" s="43" t="s">
        <v>29</v>
      </c>
      <c r="R21" s="28" t="s">
        <v>87</v>
      </c>
      <c r="S21" s="29">
        <v>432730</v>
      </c>
      <c r="T21" s="2" t="s">
        <v>30</v>
      </c>
      <c r="U21" s="30">
        <v>0</v>
      </c>
      <c r="V21" s="30">
        <v>-1</v>
      </c>
      <c r="W21" s="31">
        <v>0</v>
      </c>
      <c r="X21" s="32">
        <v>0</v>
      </c>
    </row>
    <row r="22" spans="1:24" x14ac:dyDescent="0.3">
      <c r="A22" s="22" t="s">
        <v>525</v>
      </c>
      <c r="B22" s="43" t="s">
        <v>616</v>
      </c>
      <c r="C22" s="2" t="s">
        <v>221</v>
      </c>
      <c r="D22" s="43" t="s">
        <v>596</v>
      </c>
      <c r="E22" s="43" t="s">
        <v>561</v>
      </c>
      <c r="F22" s="23" t="str">
        <f>HYPERLINK("https://mapwv.gov/flood/map/?wkid=102100&amp;x=-9138440.479220161&amp;y=4619169.644932895&amp;l=13&amp;v=2","FT")</f>
        <v>FT</v>
      </c>
      <c r="G22" s="28" t="s">
        <v>31</v>
      </c>
      <c r="H22" s="28" t="s">
        <v>121</v>
      </c>
      <c r="I22" s="43" t="s">
        <v>644</v>
      </c>
      <c r="J22" s="47" t="s">
        <v>38</v>
      </c>
      <c r="K22" s="44" t="s">
        <v>93</v>
      </c>
      <c r="L22" s="44" t="s">
        <v>50</v>
      </c>
      <c r="M22" s="43" t="s">
        <v>45</v>
      </c>
      <c r="N22" s="3" t="s">
        <v>34</v>
      </c>
      <c r="O22" s="44" t="s">
        <v>85</v>
      </c>
      <c r="P22" s="43" t="s">
        <v>683</v>
      </c>
      <c r="Q22" s="43" t="s">
        <v>29</v>
      </c>
      <c r="R22" s="28" t="s">
        <v>87</v>
      </c>
      <c r="S22" s="29">
        <v>427600</v>
      </c>
      <c r="T22" s="2" t="s">
        <v>42</v>
      </c>
      <c r="U22" s="30">
        <v>4.2849120000000003</v>
      </c>
      <c r="V22" s="30">
        <v>3.284912109375</v>
      </c>
      <c r="W22" s="31">
        <v>0.16569824218750001</v>
      </c>
      <c r="X22" s="32">
        <v>70852.568359375</v>
      </c>
    </row>
    <row r="23" spans="1:24" x14ac:dyDescent="0.3">
      <c r="A23" s="22" t="s">
        <v>526</v>
      </c>
      <c r="B23" s="43" t="s">
        <v>616</v>
      </c>
      <c r="C23" s="2" t="s">
        <v>622</v>
      </c>
      <c r="D23" s="43" t="s">
        <v>597</v>
      </c>
      <c r="E23" s="43" t="s">
        <v>562</v>
      </c>
      <c r="F23" s="23" t="str">
        <f>HYPERLINK("https://mapwv.gov/flood/map/?wkid=102100&amp;x=-9110046.889852483&amp;y=4624681.016571633&amp;l=13&amp;v=2","FT")</f>
        <v>FT</v>
      </c>
      <c r="G23" s="28" t="s">
        <v>31</v>
      </c>
      <c r="H23" s="28" t="s">
        <v>24</v>
      </c>
      <c r="I23" s="43" t="s">
        <v>645</v>
      </c>
      <c r="J23" s="47" t="s">
        <v>25</v>
      </c>
      <c r="K23" s="44" t="s">
        <v>94</v>
      </c>
      <c r="L23" s="44" t="s">
        <v>47</v>
      </c>
      <c r="M23" s="43" t="s">
        <v>39</v>
      </c>
      <c r="N23" s="3" t="s">
        <v>40</v>
      </c>
      <c r="O23" s="44" t="s">
        <v>86</v>
      </c>
      <c r="P23" s="43" t="s">
        <v>684</v>
      </c>
      <c r="Q23" s="43" t="s">
        <v>49</v>
      </c>
      <c r="R23" s="28" t="s">
        <v>88</v>
      </c>
      <c r="S23" s="29">
        <v>365100</v>
      </c>
      <c r="T23" s="2" t="s">
        <v>42</v>
      </c>
      <c r="U23" s="30">
        <v>1</v>
      </c>
      <c r="V23" s="30">
        <v>-3</v>
      </c>
      <c r="W23" s="31">
        <v>0</v>
      </c>
      <c r="X23" s="32">
        <v>0</v>
      </c>
    </row>
    <row r="24" spans="1:24" x14ac:dyDescent="0.3">
      <c r="A24" s="22" t="s">
        <v>527</v>
      </c>
      <c r="B24" s="43" t="s">
        <v>616</v>
      </c>
      <c r="C24" s="2" t="s">
        <v>620</v>
      </c>
      <c r="D24" s="43" t="s">
        <v>592</v>
      </c>
      <c r="E24" s="43" t="s">
        <v>563</v>
      </c>
      <c r="F24" s="23" t="str">
        <f>HYPERLINK("https://mapwv.gov/flood/map/?wkid=102100&amp;x=-9108653.391464856&amp;y=4619094.675178959&amp;l=13&amp;v=2","FT")</f>
        <v>FT</v>
      </c>
      <c r="G24" s="28" t="s">
        <v>37</v>
      </c>
      <c r="H24" s="28" t="s">
        <v>24</v>
      </c>
      <c r="I24" s="43" t="s">
        <v>646</v>
      </c>
      <c r="J24" s="47" t="s">
        <v>38</v>
      </c>
      <c r="K24" s="44" t="s">
        <v>122</v>
      </c>
      <c r="L24" s="44" t="s">
        <v>26</v>
      </c>
      <c r="M24" s="43" t="s">
        <v>55</v>
      </c>
      <c r="N24" s="3" t="s">
        <v>83</v>
      </c>
      <c r="O24" s="44" t="s">
        <v>85</v>
      </c>
      <c r="P24" s="43" t="s">
        <v>685</v>
      </c>
      <c r="Q24" s="43" t="s">
        <v>29</v>
      </c>
      <c r="R24" s="28" t="s">
        <v>87</v>
      </c>
      <c r="S24" s="29">
        <v>355950</v>
      </c>
      <c r="T24" s="2" t="s">
        <v>30</v>
      </c>
      <c r="U24" s="30">
        <v>0</v>
      </c>
      <c r="V24" s="30">
        <v>-1</v>
      </c>
      <c r="W24" s="31">
        <v>0</v>
      </c>
      <c r="X24" s="32">
        <v>0</v>
      </c>
    </row>
    <row r="25" spans="1:24" x14ac:dyDescent="0.3">
      <c r="A25" s="22" t="s">
        <v>528</v>
      </c>
      <c r="B25" s="43" t="s">
        <v>616</v>
      </c>
      <c r="C25" s="2" t="s">
        <v>221</v>
      </c>
      <c r="D25" s="43" t="s">
        <v>598</v>
      </c>
      <c r="E25" s="43" t="s">
        <v>564</v>
      </c>
      <c r="F25" s="23" t="str">
        <f>HYPERLINK("https://mapwv.gov/flood/map/?wkid=102100&amp;x=-9141991.09018759&amp;y=4618818.673412357&amp;l=13&amp;v=2","FT")</f>
        <v>FT</v>
      </c>
      <c r="G25" s="28" t="s">
        <v>31</v>
      </c>
      <c r="H25" s="28" t="s">
        <v>24</v>
      </c>
      <c r="I25" s="43" t="s">
        <v>647</v>
      </c>
      <c r="J25" s="47" t="s">
        <v>25</v>
      </c>
      <c r="K25" s="44" t="s">
        <v>97</v>
      </c>
      <c r="L25" s="44" t="s">
        <v>54</v>
      </c>
      <c r="M25" s="43" t="s">
        <v>48</v>
      </c>
      <c r="N25" s="3" t="s">
        <v>34</v>
      </c>
      <c r="O25" s="44" t="s">
        <v>85</v>
      </c>
      <c r="P25" s="43" t="s">
        <v>686</v>
      </c>
      <c r="Q25" s="43" t="s">
        <v>29</v>
      </c>
      <c r="R25" s="28" t="s">
        <v>87</v>
      </c>
      <c r="S25" s="29">
        <v>345500</v>
      </c>
      <c r="T25" s="2" t="s">
        <v>30</v>
      </c>
      <c r="U25" s="30">
        <v>0</v>
      </c>
      <c r="V25" s="30">
        <v>-1</v>
      </c>
      <c r="W25" s="31">
        <v>0</v>
      </c>
      <c r="X25" s="32">
        <v>0</v>
      </c>
    </row>
    <row r="26" spans="1:24" x14ac:dyDescent="0.3">
      <c r="A26" s="22" t="s">
        <v>529</v>
      </c>
      <c r="B26" s="43" t="s">
        <v>616</v>
      </c>
      <c r="C26" s="2" t="s">
        <v>221</v>
      </c>
      <c r="D26" s="43" t="s">
        <v>599</v>
      </c>
      <c r="E26" s="43" t="s">
        <v>565</v>
      </c>
      <c r="F26" s="23" t="str">
        <f>HYPERLINK("https://mapwv.gov/flood/map/?wkid=102100&amp;x=-9140161.537881115&amp;y=4619084.704514108&amp;l=13&amp;v=2","FT")</f>
        <v>FT</v>
      </c>
      <c r="G26" s="28" t="s">
        <v>31</v>
      </c>
      <c r="H26" s="28" t="s">
        <v>24</v>
      </c>
      <c r="I26" s="43" t="s">
        <v>648</v>
      </c>
      <c r="J26" s="47" t="s">
        <v>25</v>
      </c>
      <c r="K26" s="44" t="s">
        <v>108</v>
      </c>
      <c r="L26" s="44"/>
      <c r="M26" s="43" t="s">
        <v>57</v>
      </c>
      <c r="N26" s="3" t="s">
        <v>81</v>
      </c>
      <c r="O26" s="44" t="s">
        <v>85</v>
      </c>
      <c r="P26" s="43" t="s">
        <v>687</v>
      </c>
      <c r="Q26" s="43" t="s">
        <v>29</v>
      </c>
      <c r="R26" s="28" t="s">
        <v>87</v>
      </c>
      <c r="S26" s="29">
        <v>318359</v>
      </c>
      <c r="T26" s="2" t="s">
        <v>89</v>
      </c>
      <c r="U26" s="30">
        <v>4.5487060000000001</v>
      </c>
      <c r="V26" s="30">
        <v>3.5487060546875</v>
      </c>
      <c r="W26" s="31">
        <v>0.09</v>
      </c>
      <c r="X26" s="32">
        <v>28652.309999999899</v>
      </c>
    </row>
    <row r="27" spans="1:24" x14ac:dyDescent="0.3">
      <c r="A27" s="22" t="s">
        <v>530</v>
      </c>
      <c r="B27" s="43" t="s">
        <v>616</v>
      </c>
      <c r="C27" s="2" t="s">
        <v>622</v>
      </c>
      <c r="D27" s="43" t="s">
        <v>600</v>
      </c>
      <c r="E27" s="43" t="s">
        <v>566</v>
      </c>
      <c r="F27" s="23" t="str">
        <f>HYPERLINK("https://mapwv.gov/flood/map/?wkid=102100&amp;x=-9106941.236804694&amp;y=4621320.05804208&amp;l=13&amp;v=2","FT")</f>
        <v>FT</v>
      </c>
      <c r="G27" s="28" t="s">
        <v>31</v>
      </c>
      <c r="H27" s="28" t="s">
        <v>24</v>
      </c>
      <c r="I27" s="43" t="s">
        <v>649</v>
      </c>
      <c r="J27" s="47" t="s">
        <v>25</v>
      </c>
      <c r="K27" s="44" t="s">
        <v>106</v>
      </c>
      <c r="L27" s="44" t="s">
        <v>43</v>
      </c>
      <c r="M27" s="43" t="s">
        <v>39</v>
      </c>
      <c r="N27" s="3" t="s">
        <v>40</v>
      </c>
      <c r="O27" s="44" t="s">
        <v>85</v>
      </c>
      <c r="P27" s="43" t="s">
        <v>688</v>
      </c>
      <c r="Q27" s="43" t="s">
        <v>49</v>
      </c>
      <c r="R27" s="28" t="s">
        <v>88</v>
      </c>
      <c r="S27" s="29">
        <v>309700</v>
      </c>
      <c r="T27" s="2" t="s">
        <v>42</v>
      </c>
      <c r="U27" s="30">
        <v>1.5368042</v>
      </c>
      <c r="V27" s="30">
        <v>-2.46319580078125</v>
      </c>
      <c r="W27" s="31">
        <v>0</v>
      </c>
      <c r="X27" s="32">
        <v>0</v>
      </c>
    </row>
    <row r="28" spans="1:24" x14ac:dyDescent="0.3">
      <c r="A28" s="22" t="s">
        <v>531</v>
      </c>
      <c r="B28" s="43" t="s">
        <v>616</v>
      </c>
      <c r="C28" s="2" t="s">
        <v>623</v>
      </c>
      <c r="D28" s="43" t="s">
        <v>601</v>
      </c>
      <c r="E28" s="43" t="s">
        <v>567</v>
      </c>
      <c r="F28" s="23" t="str">
        <f>HYPERLINK("https://mapwv.gov/flood/map/?wkid=102100&amp;x=-9118910.16841487&amp;y=4602662.073329499&amp;l=13&amp;v=2","FT")</f>
        <v>FT</v>
      </c>
      <c r="G28" s="28" t="s">
        <v>37</v>
      </c>
      <c r="H28" s="28" t="s">
        <v>24</v>
      </c>
      <c r="I28" s="43" t="s">
        <v>650</v>
      </c>
      <c r="J28" s="47" t="s">
        <v>25</v>
      </c>
      <c r="K28" s="44" t="s">
        <v>91</v>
      </c>
      <c r="L28" s="44"/>
      <c r="M28" s="43" t="s">
        <v>27</v>
      </c>
      <c r="N28" s="3" t="s">
        <v>82</v>
      </c>
      <c r="O28" s="44" t="s">
        <v>85</v>
      </c>
      <c r="P28" s="43" t="s">
        <v>689</v>
      </c>
      <c r="Q28" s="43" t="s">
        <v>29</v>
      </c>
      <c r="R28" s="28" t="s">
        <v>87</v>
      </c>
      <c r="S28" s="29">
        <v>302600</v>
      </c>
      <c r="T28" s="2" t="s">
        <v>42</v>
      </c>
      <c r="U28" s="30">
        <v>0</v>
      </c>
      <c r="V28" s="30">
        <v>-1</v>
      </c>
      <c r="W28" s="31">
        <v>0</v>
      </c>
      <c r="X28" s="32">
        <v>0</v>
      </c>
    </row>
    <row r="29" spans="1:24" x14ac:dyDescent="0.3">
      <c r="A29" s="22" t="s">
        <v>532</v>
      </c>
      <c r="B29" s="43" t="s">
        <v>616</v>
      </c>
      <c r="C29" s="2" t="s">
        <v>624</v>
      </c>
      <c r="D29" s="43" t="s">
        <v>602</v>
      </c>
      <c r="E29" s="43" t="s">
        <v>568</v>
      </c>
      <c r="F29" s="23" t="str">
        <f>HYPERLINK("https://mapwv.gov/flood/map/?wkid=102100&amp;x=-9136825.94897044&amp;y=4582287.973789158&amp;l=13&amp;v=2","FT")</f>
        <v>FT</v>
      </c>
      <c r="G29" s="28" t="s">
        <v>37</v>
      </c>
      <c r="H29" s="28" t="s">
        <v>24</v>
      </c>
      <c r="I29" s="43" t="s">
        <v>651</v>
      </c>
      <c r="J29" s="47" t="s">
        <v>25</v>
      </c>
      <c r="K29" s="44" t="s">
        <v>75</v>
      </c>
      <c r="L29" s="44" t="s">
        <v>50</v>
      </c>
      <c r="M29" s="43" t="s">
        <v>55</v>
      </c>
      <c r="N29" s="3" t="s">
        <v>83</v>
      </c>
      <c r="O29" s="44" t="s">
        <v>85</v>
      </c>
      <c r="P29" s="43" t="s">
        <v>690</v>
      </c>
      <c r="Q29" s="43" t="s">
        <v>29</v>
      </c>
      <c r="R29" s="28" t="s">
        <v>87</v>
      </c>
      <c r="S29" s="29">
        <v>292840</v>
      </c>
      <c r="T29" s="2" t="s">
        <v>30</v>
      </c>
      <c r="U29" s="30">
        <v>0</v>
      </c>
      <c r="V29" s="30">
        <v>-1</v>
      </c>
      <c r="W29" s="31">
        <v>0</v>
      </c>
      <c r="X29" s="32">
        <v>0</v>
      </c>
    </row>
    <row r="30" spans="1:24" x14ac:dyDescent="0.3">
      <c r="A30" s="22" t="s">
        <v>533</v>
      </c>
      <c r="B30" s="43" t="s">
        <v>617</v>
      </c>
      <c r="C30" s="2" t="s">
        <v>221</v>
      </c>
      <c r="D30" s="43" t="s">
        <v>603</v>
      </c>
      <c r="E30" s="43" t="s">
        <v>569</v>
      </c>
      <c r="F30" s="23" t="str">
        <f>HYPERLINK("https://mapwv.gov/flood/map/?wkid=102100&amp;x=-9139969.357025405&amp;y=4618531.211764549&amp;l=13&amp;v=2","FT")</f>
        <v>FT</v>
      </c>
      <c r="G30" s="28" t="s">
        <v>70</v>
      </c>
      <c r="H30" s="28" t="s">
        <v>24</v>
      </c>
      <c r="I30" s="43" t="s">
        <v>652</v>
      </c>
      <c r="J30" s="47" t="s">
        <v>38</v>
      </c>
      <c r="K30" s="44" t="s">
        <v>114</v>
      </c>
      <c r="L30" s="44"/>
      <c r="M30" s="43" t="s">
        <v>61</v>
      </c>
      <c r="N30" s="3" t="s">
        <v>82</v>
      </c>
      <c r="O30" s="44" t="s">
        <v>85</v>
      </c>
      <c r="P30" s="43" t="s">
        <v>691</v>
      </c>
      <c r="Q30" s="43" t="s">
        <v>29</v>
      </c>
      <c r="R30" s="28" t="s">
        <v>87</v>
      </c>
      <c r="S30" s="29">
        <v>284500</v>
      </c>
      <c r="T30" s="2" t="s">
        <v>42</v>
      </c>
      <c r="U30" s="30">
        <v>0</v>
      </c>
      <c r="V30" s="30">
        <v>-1</v>
      </c>
      <c r="W30" s="31">
        <v>0</v>
      </c>
      <c r="X30" s="32">
        <v>0</v>
      </c>
    </row>
    <row r="31" spans="1:24" x14ac:dyDescent="0.3">
      <c r="A31" s="22" t="s">
        <v>534</v>
      </c>
      <c r="B31" s="43" t="s">
        <v>616</v>
      </c>
      <c r="C31" s="2" t="s">
        <v>221</v>
      </c>
      <c r="D31" s="43" t="s">
        <v>604</v>
      </c>
      <c r="E31" s="43" t="s">
        <v>570</v>
      </c>
      <c r="F31" s="23" t="str">
        <f>HYPERLINK("https://mapwv.gov/flood/map/?wkid=102100&amp;x=-9136417.160311831&amp;y=4604102.43210221&amp;l=13&amp;v=2","FT")</f>
        <v>FT</v>
      </c>
      <c r="G31" s="28" t="s">
        <v>31</v>
      </c>
      <c r="H31" s="28" t="s">
        <v>24</v>
      </c>
      <c r="I31" s="43" t="s">
        <v>653</v>
      </c>
      <c r="J31" s="47" t="s">
        <v>25</v>
      </c>
      <c r="K31" s="44" t="s">
        <v>95</v>
      </c>
      <c r="L31" s="44"/>
      <c r="M31" s="43" t="s">
        <v>59</v>
      </c>
      <c r="N31" s="3" t="s">
        <v>40</v>
      </c>
      <c r="O31" s="44" t="s">
        <v>85</v>
      </c>
      <c r="P31" s="43" t="s">
        <v>692</v>
      </c>
      <c r="Q31" s="43" t="s">
        <v>29</v>
      </c>
      <c r="R31" s="28" t="s">
        <v>87</v>
      </c>
      <c r="S31" s="29">
        <v>269669</v>
      </c>
      <c r="T31" s="2" t="s">
        <v>89</v>
      </c>
      <c r="U31" s="30">
        <v>3.9004517000000001</v>
      </c>
      <c r="V31" s="30">
        <v>2.90045166015625</v>
      </c>
      <c r="W31" s="31">
        <v>5.9004516601562501E-2</v>
      </c>
      <c r="X31" s="32">
        <v>15911.6889874267</v>
      </c>
    </row>
    <row r="32" spans="1:24" x14ac:dyDescent="0.3">
      <c r="A32" s="22" t="s">
        <v>535</v>
      </c>
      <c r="B32" s="43" t="s">
        <v>616</v>
      </c>
      <c r="C32" s="2" t="s">
        <v>625</v>
      </c>
      <c r="D32" s="43" t="s">
        <v>605</v>
      </c>
      <c r="E32" s="43" t="s">
        <v>571</v>
      </c>
      <c r="F32" s="23" t="str">
        <f>HYPERLINK("https://mapwv.gov/flood/map/?wkid=102100&amp;x=-9117826.03579772&amp;y=4622165.408793986&amp;l=13&amp;v=2","FT")</f>
        <v>FT</v>
      </c>
      <c r="G32" s="28" t="s">
        <v>37</v>
      </c>
      <c r="H32" s="28" t="s">
        <v>24</v>
      </c>
      <c r="I32" s="43" t="s">
        <v>654</v>
      </c>
      <c r="J32" s="47" t="s">
        <v>25</v>
      </c>
      <c r="K32" s="44" t="s">
        <v>106</v>
      </c>
      <c r="L32" s="44"/>
      <c r="M32" s="43" t="s">
        <v>27</v>
      </c>
      <c r="N32" s="3" t="s">
        <v>82</v>
      </c>
      <c r="O32" s="44" t="s">
        <v>85</v>
      </c>
      <c r="P32" s="43" t="s">
        <v>693</v>
      </c>
      <c r="Q32" s="43" t="s">
        <v>29</v>
      </c>
      <c r="R32" s="28" t="s">
        <v>87</v>
      </c>
      <c r="S32" s="29">
        <v>265000</v>
      </c>
      <c r="T32" s="2" t="s">
        <v>42</v>
      </c>
      <c r="U32" s="30">
        <v>5</v>
      </c>
      <c r="V32" s="30">
        <v>4</v>
      </c>
      <c r="W32" s="31">
        <v>0.14000000000000001</v>
      </c>
      <c r="X32" s="32">
        <v>37100</v>
      </c>
    </row>
    <row r="33" spans="1:24" x14ac:dyDescent="0.3">
      <c r="A33" s="22" t="s">
        <v>536</v>
      </c>
      <c r="B33" s="43" t="s">
        <v>616</v>
      </c>
      <c r="C33" s="2" t="s">
        <v>626</v>
      </c>
      <c r="D33" s="43" t="s">
        <v>606</v>
      </c>
      <c r="E33" s="43" t="s">
        <v>572</v>
      </c>
      <c r="F33" s="23" t="str">
        <f>HYPERLINK("https://mapwv.gov/flood/map/?wkid=102100&amp;x=-9124868.687873045&amp;y=4598725.383413313&amp;l=13&amp;v=2","FT")</f>
        <v>FT</v>
      </c>
      <c r="G33" s="28" t="s">
        <v>37</v>
      </c>
      <c r="H33" s="28" t="s">
        <v>24</v>
      </c>
      <c r="I33" s="43" t="s">
        <v>655</v>
      </c>
      <c r="J33" s="47" t="s">
        <v>38</v>
      </c>
      <c r="K33" s="44" t="s">
        <v>109</v>
      </c>
      <c r="L33" s="44" t="s">
        <v>26</v>
      </c>
      <c r="M33" s="43" t="s">
        <v>53</v>
      </c>
      <c r="N33" s="3" t="s">
        <v>34</v>
      </c>
      <c r="O33" s="44" t="s">
        <v>85</v>
      </c>
      <c r="P33" s="43" t="s">
        <v>143</v>
      </c>
      <c r="Q33" s="43" t="s">
        <v>29</v>
      </c>
      <c r="R33" s="28" t="s">
        <v>87</v>
      </c>
      <c r="S33" s="29">
        <v>262178</v>
      </c>
      <c r="T33" s="2" t="s">
        <v>89</v>
      </c>
      <c r="U33" s="30">
        <v>0</v>
      </c>
      <c r="V33" s="30">
        <v>-1</v>
      </c>
      <c r="W33" s="31">
        <v>0</v>
      </c>
      <c r="X33" s="32">
        <v>0</v>
      </c>
    </row>
    <row r="34" spans="1:24" x14ac:dyDescent="0.3">
      <c r="A34" s="22" t="s">
        <v>537</v>
      </c>
      <c r="B34" s="43" t="s">
        <v>616</v>
      </c>
      <c r="C34" s="2" t="s">
        <v>627</v>
      </c>
      <c r="D34" s="43" t="s">
        <v>607</v>
      </c>
      <c r="E34" s="43" t="s">
        <v>573</v>
      </c>
      <c r="F34" s="23" t="str">
        <f>HYPERLINK("https://mapwv.gov/flood/map/?wkid=102100&amp;x=-9118625.806894455&amp;y=4620575.085296594&amp;l=13&amp;v=2","FT")</f>
        <v>FT</v>
      </c>
      <c r="G34" s="28" t="s">
        <v>37</v>
      </c>
      <c r="H34" s="28" t="s">
        <v>24</v>
      </c>
      <c r="I34" s="43" t="s">
        <v>656</v>
      </c>
      <c r="J34" s="47" t="s">
        <v>25</v>
      </c>
      <c r="K34" s="44" t="s">
        <v>96</v>
      </c>
      <c r="L34" s="44" t="s">
        <v>44</v>
      </c>
      <c r="M34" s="43" t="s">
        <v>39</v>
      </c>
      <c r="N34" s="3" t="s">
        <v>40</v>
      </c>
      <c r="O34" s="44" t="s">
        <v>86</v>
      </c>
      <c r="P34" s="43" t="s">
        <v>694</v>
      </c>
      <c r="Q34" s="43" t="s">
        <v>49</v>
      </c>
      <c r="R34" s="28" t="s">
        <v>88</v>
      </c>
      <c r="S34" s="29">
        <v>246800</v>
      </c>
      <c r="T34" s="2" t="s">
        <v>42</v>
      </c>
      <c r="U34" s="30">
        <v>0</v>
      </c>
      <c r="V34" s="30">
        <v>-4</v>
      </c>
      <c r="W34" s="31">
        <v>0</v>
      </c>
      <c r="X34" s="32">
        <v>0</v>
      </c>
    </row>
    <row r="35" spans="1:24" x14ac:dyDescent="0.3">
      <c r="A35" s="22" t="s">
        <v>538</v>
      </c>
      <c r="B35" s="43" t="s">
        <v>616</v>
      </c>
      <c r="C35" s="2" t="s">
        <v>221</v>
      </c>
      <c r="D35" s="43" t="s">
        <v>608</v>
      </c>
      <c r="E35" s="43" t="s">
        <v>574</v>
      </c>
      <c r="F35" s="23" t="str">
        <f>HYPERLINK("https://mapwv.gov/flood/map/?wkid=102100&amp;x=-9141351.705541512&amp;y=4618801.3832658185&amp;l=13&amp;v=2","FT")</f>
        <v>FT</v>
      </c>
      <c r="G35" s="28" t="s">
        <v>31</v>
      </c>
      <c r="H35" s="28" t="s">
        <v>24</v>
      </c>
      <c r="I35" s="43" t="s">
        <v>657</v>
      </c>
      <c r="J35" s="47" t="s">
        <v>35</v>
      </c>
      <c r="K35" s="44" t="s">
        <v>73</v>
      </c>
      <c r="L35" s="44"/>
      <c r="M35" s="43" t="s">
        <v>45</v>
      </c>
      <c r="N35" s="3" t="s">
        <v>34</v>
      </c>
      <c r="O35" s="44" t="s">
        <v>85</v>
      </c>
      <c r="P35" s="43" t="s">
        <v>695</v>
      </c>
      <c r="Q35" s="43" t="s">
        <v>29</v>
      </c>
      <c r="R35" s="28" t="s">
        <v>87</v>
      </c>
      <c r="S35" s="29">
        <v>237505</v>
      </c>
      <c r="T35" s="2" t="s">
        <v>89</v>
      </c>
      <c r="U35" s="30">
        <v>0.41015625</v>
      </c>
      <c r="V35" s="30">
        <v>-0.58984375</v>
      </c>
      <c r="W35" s="31">
        <v>4.1015625000000002E-3</v>
      </c>
      <c r="X35" s="32">
        <v>974.1416015625</v>
      </c>
    </row>
    <row r="36" spans="1:24" x14ac:dyDescent="0.3">
      <c r="A36" s="22" t="s">
        <v>539</v>
      </c>
      <c r="B36" s="43" t="s">
        <v>616</v>
      </c>
      <c r="C36" s="2" t="s">
        <v>628</v>
      </c>
      <c r="D36" s="43" t="s">
        <v>609</v>
      </c>
      <c r="E36" s="43" t="s">
        <v>575</v>
      </c>
      <c r="F36" s="23" t="str">
        <f>HYPERLINK("https://mapwv.gov/flood/map/?wkid=102100&amp;x=-9130132.753934918&amp;y=4586531.881686576&amp;l=13&amp;v=2","FT")</f>
        <v>FT</v>
      </c>
      <c r="G36" s="28" t="s">
        <v>37</v>
      </c>
      <c r="H36" s="28" t="s">
        <v>24</v>
      </c>
      <c r="I36" s="43" t="s">
        <v>658</v>
      </c>
      <c r="J36" s="47" t="s">
        <v>38</v>
      </c>
      <c r="K36" s="44" t="s">
        <v>667</v>
      </c>
      <c r="L36" s="44"/>
      <c r="M36" s="43" t="s">
        <v>57</v>
      </c>
      <c r="N36" s="3" t="s">
        <v>81</v>
      </c>
      <c r="O36" s="44" t="s">
        <v>85</v>
      </c>
      <c r="P36" s="43" t="s">
        <v>696</v>
      </c>
      <c r="Q36" s="43" t="s">
        <v>29</v>
      </c>
      <c r="R36" s="28" t="s">
        <v>87</v>
      </c>
      <c r="S36" s="29">
        <v>231130</v>
      </c>
      <c r="T36" s="2" t="s">
        <v>30</v>
      </c>
      <c r="U36" s="30">
        <v>0</v>
      </c>
      <c r="V36" s="30">
        <v>-1</v>
      </c>
      <c r="W36" s="31">
        <v>0</v>
      </c>
      <c r="X36" s="32">
        <v>0</v>
      </c>
    </row>
    <row r="37" spans="1:24" x14ac:dyDescent="0.3">
      <c r="A37" s="22" t="s">
        <v>540</v>
      </c>
      <c r="B37" s="43" t="s">
        <v>617</v>
      </c>
      <c r="C37" s="2" t="s">
        <v>221</v>
      </c>
      <c r="D37" s="43" t="s">
        <v>610</v>
      </c>
      <c r="E37" s="43" t="s">
        <v>576</v>
      </c>
      <c r="F37" s="23" t="str">
        <f>HYPERLINK("https://mapwv.gov/flood/map/?wkid=102100&amp;x=-9139632.462612776&amp;y=4618573.339347105&amp;l=13&amp;v=2","FT")</f>
        <v>FT</v>
      </c>
      <c r="G37" s="28" t="s">
        <v>31</v>
      </c>
      <c r="H37" s="28" t="s">
        <v>24</v>
      </c>
      <c r="I37" s="43" t="s">
        <v>659</v>
      </c>
      <c r="J37" s="47" t="s">
        <v>25</v>
      </c>
      <c r="K37" s="44" t="s">
        <v>75</v>
      </c>
      <c r="L37" s="44" t="s">
        <v>26</v>
      </c>
      <c r="M37" s="43" t="s">
        <v>39</v>
      </c>
      <c r="N37" s="3" t="s">
        <v>40</v>
      </c>
      <c r="O37" s="44" t="s">
        <v>86</v>
      </c>
      <c r="P37" s="43" t="s">
        <v>697</v>
      </c>
      <c r="Q37" s="43" t="s">
        <v>29</v>
      </c>
      <c r="R37" s="28" t="s">
        <v>87</v>
      </c>
      <c r="S37" s="29">
        <v>230900</v>
      </c>
      <c r="T37" s="2" t="s">
        <v>42</v>
      </c>
      <c r="U37" s="30">
        <v>0</v>
      </c>
      <c r="V37" s="30">
        <v>-1</v>
      </c>
      <c r="W37" s="31">
        <v>0</v>
      </c>
      <c r="X37" s="32">
        <v>0</v>
      </c>
    </row>
    <row r="38" spans="1:24" x14ac:dyDescent="0.3">
      <c r="A38" s="22" t="s">
        <v>541</v>
      </c>
      <c r="B38" s="43" t="s">
        <v>616</v>
      </c>
      <c r="C38" s="2" t="s">
        <v>622</v>
      </c>
      <c r="D38" s="43" t="s">
        <v>611</v>
      </c>
      <c r="E38" s="43" t="s">
        <v>577</v>
      </c>
      <c r="F38" s="23" t="str">
        <f>HYPERLINK("https://mapwv.gov/flood/map/?wkid=102100&amp;x=-9107586.709513724&amp;y=4623543.498747984&amp;l=13&amp;v=2","FT")</f>
        <v>FT</v>
      </c>
      <c r="G38" s="28" t="s">
        <v>31</v>
      </c>
      <c r="H38" s="28" t="s">
        <v>24</v>
      </c>
      <c r="I38" s="43" t="s">
        <v>660</v>
      </c>
      <c r="J38" s="47" t="s">
        <v>25</v>
      </c>
      <c r="K38" s="44" t="s">
        <v>94</v>
      </c>
      <c r="L38" s="44" t="s">
        <v>44</v>
      </c>
      <c r="M38" s="43" t="s">
        <v>39</v>
      </c>
      <c r="N38" s="3" t="s">
        <v>40</v>
      </c>
      <c r="O38" s="44" t="s">
        <v>86</v>
      </c>
      <c r="P38" s="43" t="s">
        <v>698</v>
      </c>
      <c r="Q38" s="43" t="s">
        <v>49</v>
      </c>
      <c r="R38" s="28" t="s">
        <v>88</v>
      </c>
      <c r="S38" s="29">
        <v>225400</v>
      </c>
      <c r="T38" s="2" t="s">
        <v>42</v>
      </c>
      <c r="U38" s="30">
        <v>6.71875</v>
      </c>
      <c r="V38" s="30">
        <v>2.71875</v>
      </c>
      <c r="W38" s="31">
        <v>0.16875000000000001</v>
      </c>
      <c r="X38" s="32">
        <v>38036.25</v>
      </c>
    </row>
    <row r="39" spans="1:24" x14ac:dyDescent="0.3">
      <c r="A39" s="22" t="s">
        <v>542</v>
      </c>
      <c r="B39" s="43" t="s">
        <v>616</v>
      </c>
      <c r="C39" s="2" t="s">
        <v>629</v>
      </c>
      <c r="D39" s="43" t="s">
        <v>612</v>
      </c>
      <c r="E39" s="43" t="s">
        <v>578</v>
      </c>
      <c r="F39" s="23" t="str">
        <f>HYPERLINK("https://mapwv.gov/flood/map/?wkid=102100&amp;x=-9143010.155894455&amp;y=4581256.127199007&amp;l=13&amp;v=2","FT")</f>
        <v>FT</v>
      </c>
      <c r="G39" s="28" t="s">
        <v>37</v>
      </c>
      <c r="H39" s="28" t="s">
        <v>24</v>
      </c>
      <c r="I39" s="43" t="s">
        <v>661</v>
      </c>
      <c r="J39" s="47" t="s">
        <v>25</v>
      </c>
      <c r="K39" s="44" t="s">
        <v>120</v>
      </c>
      <c r="L39" s="44" t="s">
        <v>50</v>
      </c>
      <c r="M39" s="43" t="s">
        <v>55</v>
      </c>
      <c r="N39" s="3" t="s">
        <v>83</v>
      </c>
      <c r="O39" s="44" t="s">
        <v>85</v>
      </c>
      <c r="P39" s="43" t="s">
        <v>699</v>
      </c>
      <c r="Q39" s="43" t="s">
        <v>29</v>
      </c>
      <c r="R39" s="28" t="s">
        <v>87</v>
      </c>
      <c r="S39" s="29">
        <v>219070</v>
      </c>
      <c r="T39" s="2" t="s">
        <v>30</v>
      </c>
      <c r="U39" s="30">
        <v>1</v>
      </c>
      <c r="V39" s="30">
        <v>0</v>
      </c>
      <c r="W39" s="31">
        <v>0</v>
      </c>
      <c r="X39" s="32">
        <v>0</v>
      </c>
    </row>
    <row r="40" spans="1:24" x14ac:dyDescent="0.3">
      <c r="A40" s="22" t="s">
        <v>543</v>
      </c>
      <c r="B40" s="43" t="s">
        <v>616</v>
      </c>
      <c r="C40" s="2" t="s">
        <v>622</v>
      </c>
      <c r="D40" s="43" t="s">
        <v>613</v>
      </c>
      <c r="E40" s="43" t="s">
        <v>579</v>
      </c>
      <c r="F40" s="23" t="str">
        <f>HYPERLINK("https://mapwv.gov/flood/map/?wkid=102100&amp;x=-9107460.942645455&amp;y=4623176.534680433&amp;l=13&amp;v=2","FT")</f>
        <v>FT</v>
      </c>
      <c r="G40" s="28" t="s">
        <v>31</v>
      </c>
      <c r="H40" s="28" t="s">
        <v>24</v>
      </c>
      <c r="I40" s="43" t="s">
        <v>662</v>
      </c>
      <c r="J40" s="47" t="s">
        <v>25</v>
      </c>
      <c r="K40" s="44" t="s">
        <v>94</v>
      </c>
      <c r="L40" s="44" t="s">
        <v>44</v>
      </c>
      <c r="M40" s="43" t="s">
        <v>39</v>
      </c>
      <c r="N40" s="3" t="s">
        <v>40</v>
      </c>
      <c r="O40" s="44" t="s">
        <v>85</v>
      </c>
      <c r="P40" s="43" t="s">
        <v>700</v>
      </c>
      <c r="Q40" s="43" t="s">
        <v>49</v>
      </c>
      <c r="R40" s="28" t="s">
        <v>88</v>
      </c>
      <c r="S40" s="29">
        <v>218800</v>
      </c>
      <c r="T40" s="2" t="s">
        <v>42</v>
      </c>
      <c r="U40" s="30">
        <v>8.2958979999999993</v>
      </c>
      <c r="V40" s="30">
        <v>4.2958984375</v>
      </c>
      <c r="W40" s="31">
        <v>0.48775390624999998</v>
      </c>
      <c r="X40" s="32">
        <v>106720.5546875</v>
      </c>
    </row>
    <row r="41" spans="1:24" x14ac:dyDescent="0.3">
      <c r="A41" s="22" t="s">
        <v>544</v>
      </c>
      <c r="B41" s="43" t="s">
        <v>616</v>
      </c>
      <c r="C41" s="2" t="s">
        <v>630</v>
      </c>
      <c r="D41" s="43" t="s">
        <v>614</v>
      </c>
      <c r="E41" s="43" t="s">
        <v>580</v>
      </c>
      <c r="F41" s="23" t="str">
        <f>HYPERLINK("https://mapwv.gov/flood/map/?wkid=102100&amp;x=-9118401.716084072&amp;y=4622469.5094446875&amp;l=13&amp;v=2","FT")</f>
        <v>FT</v>
      </c>
      <c r="G41" s="28" t="s">
        <v>37</v>
      </c>
      <c r="H41" s="28" t="s">
        <v>24</v>
      </c>
      <c r="I41" s="43" t="s">
        <v>663</v>
      </c>
      <c r="J41" s="47" t="s">
        <v>38</v>
      </c>
      <c r="K41" s="44" t="s">
        <v>421</v>
      </c>
      <c r="L41" s="44"/>
      <c r="M41" s="43" t="s">
        <v>55</v>
      </c>
      <c r="N41" s="3" t="s">
        <v>83</v>
      </c>
      <c r="O41" s="44" t="s">
        <v>85</v>
      </c>
      <c r="P41" s="43" t="s">
        <v>701</v>
      </c>
      <c r="Q41" s="43" t="s">
        <v>29</v>
      </c>
      <c r="R41" s="28" t="s">
        <v>87</v>
      </c>
      <c r="S41" s="29">
        <v>206800</v>
      </c>
      <c r="T41" s="2" t="s">
        <v>42</v>
      </c>
      <c r="U41" s="30">
        <v>4</v>
      </c>
      <c r="V41" s="30">
        <v>3</v>
      </c>
      <c r="W41" s="31">
        <v>0.11</v>
      </c>
      <c r="X41" s="32">
        <v>22748</v>
      </c>
    </row>
    <row r="42" spans="1:24" x14ac:dyDescent="0.3">
      <c r="A42" s="22" t="s">
        <v>545</v>
      </c>
      <c r="B42" s="43" t="s">
        <v>616</v>
      </c>
      <c r="C42" s="2" t="s">
        <v>629</v>
      </c>
      <c r="D42" s="43" t="s">
        <v>615</v>
      </c>
      <c r="E42" s="43" t="s">
        <v>581</v>
      </c>
      <c r="F42" s="23" t="str">
        <f>HYPERLINK("https://mapwv.gov/flood/map/?wkid=102100&amp;x=-9142715.924676668&amp;y=4583105.505316638&amp;l=13&amp;v=2","FT")</f>
        <v>FT</v>
      </c>
      <c r="G42" s="28" t="s">
        <v>31</v>
      </c>
      <c r="H42" s="28" t="s">
        <v>24</v>
      </c>
      <c r="I42" s="43" t="s">
        <v>664</v>
      </c>
      <c r="J42" s="47" t="s">
        <v>38</v>
      </c>
      <c r="K42" s="44" t="s">
        <v>79</v>
      </c>
      <c r="L42" s="44" t="s">
        <v>26</v>
      </c>
      <c r="M42" s="43" t="s">
        <v>55</v>
      </c>
      <c r="N42" s="3" t="s">
        <v>83</v>
      </c>
      <c r="O42" s="44" t="s">
        <v>85</v>
      </c>
      <c r="P42" s="43" t="s">
        <v>702</v>
      </c>
      <c r="Q42" s="43" t="s">
        <v>29</v>
      </c>
      <c r="R42" s="28" t="s">
        <v>87</v>
      </c>
      <c r="S42" s="29">
        <v>201400</v>
      </c>
      <c r="T42" s="2" t="s">
        <v>42</v>
      </c>
      <c r="U42" s="30">
        <v>1</v>
      </c>
      <c r="V42" s="30">
        <v>0</v>
      </c>
      <c r="W42" s="31">
        <v>0</v>
      </c>
      <c r="X42" s="32">
        <v>0</v>
      </c>
    </row>
  </sheetData>
  <hyperlinks>
    <hyperlink ref="J3" r:id="rId1" xr:uid="{73C7017A-4644-4161-91CD-0CBE7603948E}"/>
    <hyperlink ref="M3" r:id="rId2" xr:uid="{E64D8EC3-4B4A-4C38-AB8E-BC368D9C3F5A}"/>
    <hyperlink ref="Q3" r:id="rId3" xr:uid="{AEF28F72-FB06-4896-9574-2A27026D9E18}"/>
  </hyperlinks>
  <pageMargins left="0.7" right="0.7" top="0.75" bottom="0.75" header="0.3" footer="0.3"/>
  <pageSetup orientation="portrait" horizontalDpi="1200" verticalDpi="12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E4CA-78D0-4067-B5A7-4F935EBBC838}">
  <dimension ref="A1:X73"/>
  <sheetViews>
    <sheetView workbookViewId="0">
      <pane ySplit="6" topLeftCell="A7" activePane="bottomLeft" state="frozen"/>
      <selection pane="bottomLeft" activeCell="F3" sqref="F3"/>
    </sheetView>
  </sheetViews>
  <sheetFormatPr defaultRowHeight="14.4" x14ac:dyDescent="0.3"/>
  <cols>
    <col min="1" max="1" width="33.88671875" bestFit="1" customWidth="1"/>
    <col min="2" max="2" width="12.109375" customWidth="1"/>
    <col min="7" max="7" width="11.88671875" customWidth="1"/>
    <col min="13" max="13" width="12.33203125" customWidth="1"/>
    <col min="14" max="14" width="12.6640625" customWidth="1"/>
    <col min="17" max="17" width="10.88671875" customWidth="1"/>
    <col min="19" max="19" width="21.77734375" bestFit="1" customWidth="1"/>
    <col min="24" max="24" width="9.5546875" bestFit="1" customWidth="1"/>
  </cols>
  <sheetData>
    <row r="1" spans="1:24" ht="14.25" customHeight="1" x14ac:dyDescent="0.3">
      <c r="A1" s="4" t="s">
        <v>63</v>
      </c>
      <c r="B1" s="4"/>
      <c r="C1" s="4"/>
      <c r="D1" s="4"/>
      <c r="F1" s="17" t="s">
        <v>64</v>
      </c>
      <c r="G1" s="6"/>
      <c r="H1" s="6"/>
      <c r="J1" s="6"/>
      <c r="K1" s="6"/>
      <c r="L1" s="6"/>
      <c r="N1" s="5" t="s">
        <v>65</v>
      </c>
      <c r="O1" s="6"/>
      <c r="P1" s="6"/>
      <c r="R1" s="6"/>
      <c r="S1" s="7" t="s">
        <v>66</v>
      </c>
      <c r="U1" s="8"/>
      <c r="V1" s="8"/>
      <c r="W1" s="9"/>
      <c r="X1" s="10"/>
    </row>
    <row r="2" spans="1:24" x14ac:dyDescent="0.3">
      <c r="A2" s="11">
        <v>44593</v>
      </c>
      <c r="B2" s="12" t="s">
        <v>67</v>
      </c>
      <c r="F2" s="6"/>
      <c r="G2" s="6"/>
      <c r="H2" s="6"/>
      <c r="J2" s="6"/>
      <c r="K2" s="6"/>
      <c r="L2" s="6"/>
      <c r="N2" s="13" t="s">
        <v>40</v>
      </c>
      <c r="O2" s="6"/>
      <c r="P2" s="6"/>
      <c r="R2" s="6"/>
      <c r="S2" s="38"/>
      <c r="U2" s="8"/>
      <c r="V2" s="8"/>
      <c r="W2" s="9"/>
      <c r="X2" s="10"/>
    </row>
    <row r="3" spans="1:24" x14ac:dyDescent="0.3">
      <c r="A3" t="s">
        <v>69</v>
      </c>
      <c r="B3" s="39"/>
      <c r="F3" s="6"/>
      <c r="G3" s="6"/>
      <c r="H3" s="6"/>
      <c r="J3" s="16" t="s">
        <v>68</v>
      </c>
      <c r="K3" s="6"/>
      <c r="L3" s="6"/>
      <c r="M3" s="14" t="s">
        <v>68</v>
      </c>
      <c r="N3" s="5"/>
      <c r="O3" s="6"/>
      <c r="P3" s="6"/>
      <c r="Q3" s="14" t="s">
        <v>68</v>
      </c>
      <c r="R3" s="15"/>
      <c r="S3" s="38"/>
      <c r="U3" s="8"/>
      <c r="V3" s="8"/>
      <c r="W3" s="9"/>
      <c r="X3" s="10"/>
    </row>
    <row r="4" spans="1:24" x14ac:dyDescent="0.3">
      <c r="F4" s="6"/>
      <c r="G4" s="6"/>
      <c r="H4" s="6"/>
      <c r="J4" s="6"/>
      <c r="K4" s="6"/>
      <c r="L4" s="6"/>
      <c r="N4" s="5"/>
      <c r="O4" s="6"/>
      <c r="P4" s="6"/>
      <c r="R4" s="6"/>
      <c r="S4" s="38"/>
      <c r="U4" s="8"/>
      <c r="V4" s="8"/>
      <c r="W4" s="9"/>
      <c r="X4" s="10"/>
    </row>
    <row r="5" spans="1:24" x14ac:dyDescent="0.3">
      <c r="A5" s="1" t="s">
        <v>703</v>
      </c>
      <c r="F5" s="6"/>
      <c r="G5" s="6"/>
      <c r="H5" s="6"/>
      <c r="J5" s="6"/>
      <c r="K5" s="6"/>
      <c r="L5" s="6"/>
      <c r="O5" s="6"/>
      <c r="P5" s="6"/>
      <c r="R5" s="6"/>
      <c r="S5" s="33" t="s">
        <v>771</v>
      </c>
      <c r="U5" s="6"/>
      <c r="V5" s="6"/>
      <c r="W5" s="9"/>
      <c r="X5" s="10"/>
    </row>
    <row r="6" spans="1:24" ht="43.2" x14ac:dyDescent="0.3">
      <c r="A6" s="24" t="s">
        <v>0</v>
      </c>
      <c r="B6" s="18" t="s">
        <v>1</v>
      </c>
      <c r="C6" s="18" t="s">
        <v>2</v>
      </c>
      <c r="D6" s="25" t="s">
        <v>3</v>
      </c>
      <c r="E6" s="25" t="s">
        <v>4</v>
      </c>
      <c r="F6" s="18" t="s">
        <v>5</v>
      </c>
      <c r="G6" s="18" t="s">
        <v>6</v>
      </c>
      <c r="H6" s="24" t="s">
        <v>7</v>
      </c>
      <c r="I6" s="18" t="s">
        <v>8</v>
      </c>
      <c r="J6" s="24" t="s">
        <v>9</v>
      </c>
      <c r="K6" s="25" t="s">
        <v>10</v>
      </c>
      <c r="L6" s="18" t="s">
        <v>11</v>
      </c>
      <c r="M6" s="25" t="s">
        <v>12</v>
      </c>
      <c r="N6" s="19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20" t="s">
        <v>18</v>
      </c>
      <c r="T6" s="18" t="s">
        <v>19</v>
      </c>
      <c r="U6" s="26" t="s">
        <v>20</v>
      </c>
      <c r="V6" s="26" t="s">
        <v>21</v>
      </c>
      <c r="W6" s="27" t="s">
        <v>22</v>
      </c>
      <c r="X6" s="21" t="s">
        <v>23</v>
      </c>
    </row>
    <row r="7" spans="1:24" x14ac:dyDescent="0.3">
      <c r="A7" s="22" t="s">
        <v>704</v>
      </c>
      <c r="B7" s="2" t="s">
        <v>839</v>
      </c>
      <c r="C7" s="43" t="s">
        <v>224</v>
      </c>
      <c r="D7" s="43" t="s">
        <v>860</v>
      </c>
      <c r="E7" s="43" t="s">
        <v>772</v>
      </c>
      <c r="F7" s="23" t="str">
        <f>HYPERLINK("https://mapwv.gov/flood/map/?wkid=102100&amp;x=-9131072.882768225&amp;y=4576244.977473921&amp;l=13&amp;v=2","FT")</f>
        <v>FT</v>
      </c>
      <c r="G7" s="28" t="s">
        <v>31</v>
      </c>
      <c r="H7" s="28" t="s">
        <v>24</v>
      </c>
      <c r="I7" s="43" t="s">
        <v>920</v>
      </c>
      <c r="J7" s="22" t="s">
        <v>25</v>
      </c>
      <c r="K7" s="44" t="s">
        <v>420</v>
      </c>
      <c r="L7" s="44" t="s">
        <v>47</v>
      </c>
      <c r="M7" s="43" t="s">
        <v>57</v>
      </c>
      <c r="N7" s="3" t="s">
        <v>81</v>
      </c>
      <c r="O7" s="44" t="s">
        <v>86</v>
      </c>
      <c r="P7" s="43" t="s">
        <v>983</v>
      </c>
      <c r="Q7" s="43" t="s">
        <v>29</v>
      </c>
      <c r="R7" s="48" t="s">
        <v>87</v>
      </c>
      <c r="S7" s="29">
        <v>27642788</v>
      </c>
      <c r="T7" s="43" t="s">
        <v>58</v>
      </c>
      <c r="U7" s="30">
        <v>0</v>
      </c>
      <c r="V7" s="30">
        <v>-1</v>
      </c>
      <c r="W7" s="31">
        <v>0</v>
      </c>
      <c r="X7" s="32">
        <v>0</v>
      </c>
    </row>
    <row r="8" spans="1:24" x14ac:dyDescent="0.3">
      <c r="A8" s="22" t="s">
        <v>705</v>
      </c>
      <c r="B8" s="2" t="s">
        <v>840</v>
      </c>
      <c r="C8" s="43" t="s">
        <v>224</v>
      </c>
      <c r="D8" s="43" t="s">
        <v>861</v>
      </c>
      <c r="E8" s="43" t="s">
        <v>773</v>
      </c>
      <c r="F8" s="23" t="str">
        <f>HYPERLINK("https://mapwv.gov/flood/map/?wkid=102100&amp;x=-9127757.531407017&amp;y=4558150.200378408&amp;l=13&amp;v=2","FT")</f>
        <v>FT</v>
      </c>
      <c r="G8" s="28" t="s">
        <v>70</v>
      </c>
      <c r="H8" s="28" t="s">
        <v>24</v>
      </c>
      <c r="I8" s="43" t="s">
        <v>921</v>
      </c>
      <c r="J8" s="22" t="s">
        <v>25</v>
      </c>
      <c r="K8" s="44" t="s">
        <v>78</v>
      </c>
      <c r="L8" s="44" t="s">
        <v>43</v>
      </c>
      <c r="M8" s="43" t="s">
        <v>57</v>
      </c>
      <c r="N8" s="3" t="s">
        <v>81</v>
      </c>
      <c r="O8" s="44" t="s">
        <v>86</v>
      </c>
      <c r="P8" s="43" t="s">
        <v>984</v>
      </c>
      <c r="Q8" s="43" t="s">
        <v>29</v>
      </c>
      <c r="R8" s="48" t="s">
        <v>87</v>
      </c>
      <c r="S8" s="29">
        <v>17972876</v>
      </c>
      <c r="T8" s="43" t="s">
        <v>58</v>
      </c>
      <c r="U8" s="30">
        <v>0</v>
      </c>
      <c r="V8" s="30">
        <v>-1</v>
      </c>
      <c r="W8" s="31">
        <v>0</v>
      </c>
      <c r="X8" s="32">
        <v>0</v>
      </c>
    </row>
    <row r="9" spans="1:24" x14ac:dyDescent="0.3">
      <c r="A9" s="22" t="s">
        <v>706</v>
      </c>
      <c r="B9" s="2" t="s">
        <v>839</v>
      </c>
      <c r="C9" s="43" t="s">
        <v>224</v>
      </c>
      <c r="D9" s="43" t="s">
        <v>862</v>
      </c>
      <c r="E9" s="43" t="s">
        <v>774</v>
      </c>
      <c r="F9" s="23" t="str">
        <f>HYPERLINK("https://mapwv.gov/flood/map/?wkid=102100&amp;x=-9131543.771784004&amp;y=4575874.109921356&amp;l=13&amp;v=2","FT")</f>
        <v>FT</v>
      </c>
      <c r="G9" s="28" t="s">
        <v>31</v>
      </c>
      <c r="H9" s="28" t="s">
        <v>24</v>
      </c>
      <c r="I9" s="43" t="s">
        <v>920</v>
      </c>
      <c r="J9" s="22" t="s">
        <v>25</v>
      </c>
      <c r="K9" s="44" t="s">
        <v>969</v>
      </c>
      <c r="L9" s="44"/>
      <c r="M9" s="43" t="s">
        <v>57</v>
      </c>
      <c r="N9" s="3" t="s">
        <v>81</v>
      </c>
      <c r="O9" s="44" t="s">
        <v>85</v>
      </c>
      <c r="P9" s="43" t="s">
        <v>985</v>
      </c>
      <c r="Q9" s="43" t="s">
        <v>29</v>
      </c>
      <c r="R9" s="48" t="s">
        <v>87</v>
      </c>
      <c r="S9" s="29">
        <v>16910169</v>
      </c>
      <c r="T9" s="43" t="s">
        <v>58</v>
      </c>
      <c r="U9" s="30">
        <v>0</v>
      </c>
      <c r="V9" s="30">
        <v>-1</v>
      </c>
      <c r="W9" s="31">
        <v>0</v>
      </c>
      <c r="X9" s="32">
        <v>0</v>
      </c>
    </row>
    <row r="10" spans="1:24" x14ac:dyDescent="0.3">
      <c r="A10" s="22" t="s">
        <v>707</v>
      </c>
      <c r="B10" s="2" t="s">
        <v>841</v>
      </c>
      <c r="C10" s="43" t="s">
        <v>844</v>
      </c>
      <c r="D10" s="43" t="s">
        <v>863</v>
      </c>
      <c r="E10" s="43" t="s">
        <v>775</v>
      </c>
      <c r="F10" s="23" t="str">
        <f>HYPERLINK("https://mapwv.gov/flood/map/?wkid=102100&amp;x=-9112098.143385151&amp;y=4540943.329808692&amp;l=13&amp;v=2","FT")</f>
        <v>FT</v>
      </c>
      <c r="G10" s="28" t="s">
        <v>31</v>
      </c>
      <c r="H10" s="28" t="s">
        <v>24</v>
      </c>
      <c r="I10" s="43" t="s">
        <v>922</v>
      </c>
      <c r="J10" s="22" t="s">
        <v>25</v>
      </c>
      <c r="K10" s="44" t="s">
        <v>116</v>
      </c>
      <c r="L10" s="44"/>
      <c r="M10" s="43" t="s">
        <v>57</v>
      </c>
      <c r="N10" s="3" t="s">
        <v>81</v>
      </c>
      <c r="O10" s="44" t="s">
        <v>85</v>
      </c>
      <c r="P10" s="43" t="s">
        <v>986</v>
      </c>
      <c r="Q10" s="43" t="s">
        <v>29</v>
      </c>
      <c r="R10" s="48" t="s">
        <v>87</v>
      </c>
      <c r="S10" s="29">
        <v>10287610</v>
      </c>
      <c r="T10" s="43" t="s">
        <v>30</v>
      </c>
      <c r="U10" s="30">
        <v>0</v>
      </c>
      <c r="V10" s="30">
        <v>-1</v>
      </c>
      <c r="W10" s="31">
        <v>0</v>
      </c>
      <c r="X10" s="32">
        <v>0</v>
      </c>
    </row>
    <row r="11" spans="1:24" x14ac:dyDescent="0.3">
      <c r="A11" s="22" t="s">
        <v>708</v>
      </c>
      <c r="B11" s="2" t="s">
        <v>841</v>
      </c>
      <c r="C11" s="43" t="s">
        <v>845</v>
      </c>
      <c r="D11" s="43" t="s">
        <v>864</v>
      </c>
      <c r="E11" s="43" t="s">
        <v>776</v>
      </c>
      <c r="F11" s="23" t="str">
        <f>HYPERLINK("https://mapwv.gov/flood/map/?wkid=102100&amp;x=-9126982.341991555&amp;y=4547017.891880051&amp;l=13&amp;v=2","FT")</f>
        <v>FT</v>
      </c>
      <c r="G11" s="28" t="s">
        <v>31</v>
      </c>
      <c r="H11" s="28" t="s">
        <v>121</v>
      </c>
      <c r="I11" s="43" t="s">
        <v>56</v>
      </c>
      <c r="J11" s="22" t="s">
        <v>38</v>
      </c>
      <c r="K11" s="44" t="s">
        <v>667</v>
      </c>
      <c r="L11" s="44"/>
      <c r="M11" s="43" t="s">
        <v>57</v>
      </c>
      <c r="N11" s="3" t="s">
        <v>81</v>
      </c>
      <c r="O11" s="44" t="s">
        <v>85</v>
      </c>
      <c r="P11" s="43" t="s">
        <v>987</v>
      </c>
      <c r="Q11" s="43" t="s">
        <v>29</v>
      </c>
      <c r="R11" s="48" t="s">
        <v>87</v>
      </c>
      <c r="S11" s="29">
        <v>6822815</v>
      </c>
      <c r="T11" s="43" t="s">
        <v>58</v>
      </c>
      <c r="U11" s="30">
        <v>1</v>
      </c>
      <c r="V11" s="30">
        <v>0</v>
      </c>
      <c r="W11" s="31">
        <v>0</v>
      </c>
      <c r="X11" s="32">
        <v>0</v>
      </c>
    </row>
    <row r="12" spans="1:24" x14ac:dyDescent="0.3">
      <c r="A12" s="22" t="s">
        <v>709</v>
      </c>
      <c r="B12" s="2" t="s">
        <v>841</v>
      </c>
      <c r="C12" s="43" t="s">
        <v>846</v>
      </c>
      <c r="D12" s="43" t="s">
        <v>865</v>
      </c>
      <c r="E12" s="43" t="s">
        <v>777</v>
      </c>
      <c r="F12" s="23" t="str">
        <f>HYPERLINK("https://mapwv.gov/flood/map/?wkid=102100&amp;x=-9136786.210917855&amp;y=4555107.103157783&amp;l=13&amp;v=2","FT")</f>
        <v>FT</v>
      </c>
      <c r="G12" s="28" t="s">
        <v>31</v>
      </c>
      <c r="H12" s="28" t="s">
        <v>121</v>
      </c>
      <c r="I12" s="43" t="s">
        <v>923</v>
      </c>
      <c r="J12" s="22" t="s">
        <v>38</v>
      </c>
      <c r="K12" s="44" t="s">
        <v>970</v>
      </c>
      <c r="L12" s="44" t="s">
        <v>54</v>
      </c>
      <c r="M12" s="43" t="s">
        <v>57</v>
      </c>
      <c r="N12" s="3" t="s">
        <v>81</v>
      </c>
      <c r="O12" s="44" t="s">
        <v>85</v>
      </c>
      <c r="P12" s="43" t="s">
        <v>988</v>
      </c>
      <c r="Q12" s="43" t="s">
        <v>29</v>
      </c>
      <c r="R12" s="48" t="s">
        <v>87</v>
      </c>
      <c r="S12" s="29">
        <v>6188413</v>
      </c>
      <c r="T12" s="43" t="s">
        <v>58</v>
      </c>
      <c r="U12" s="30">
        <v>2.6218872000000002</v>
      </c>
      <c r="V12" s="30">
        <v>1.62188720703125</v>
      </c>
      <c r="W12" s="31">
        <v>6.2437744140625001E-2</v>
      </c>
      <c r="X12" s="32">
        <v>386390.54753051698</v>
      </c>
    </row>
    <row r="13" spans="1:24" x14ac:dyDescent="0.3">
      <c r="A13" s="22" t="s">
        <v>710</v>
      </c>
      <c r="B13" s="2" t="s">
        <v>841</v>
      </c>
      <c r="C13" s="43" t="s">
        <v>847</v>
      </c>
      <c r="D13" s="43" t="s">
        <v>866</v>
      </c>
      <c r="E13" s="43" t="s">
        <v>778</v>
      </c>
      <c r="F13" s="23" t="str">
        <f>HYPERLINK("https://mapwv.gov/flood/map/?wkid=102100&amp;x=-9130885.46672068&amp;y=4558403.635380448&amp;l=13&amp;v=2","FT")</f>
        <v>FT</v>
      </c>
      <c r="G13" s="28" t="s">
        <v>51</v>
      </c>
      <c r="H13" s="28" t="s">
        <v>24</v>
      </c>
      <c r="I13" s="43" t="s">
        <v>924</v>
      </c>
      <c r="J13" s="22" t="s">
        <v>102</v>
      </c>
      <c r="K13" s="44" t="s">
        <v>96</v>
      </c>
      <c r="L13" s="44" t="s">
        <v>37</v>
      </c>
      <c r="M13" s="43" t="s">
        <v>436</v>
      </c>
      <c r="N13" s="3" t="s">
        <v>81</v>
      </c>
      <c r="O13" s="44" t="s">
        <v>438</v>
      </c>
      <c r="P13" s="43" t="s">
        <v>989</v>
      </c>
      <c r="Q13" s="43" t="s">
        <v>29</v>
      </c>
      <c r="R13" s="48" t="s">
        <v>87</v>
      </c>
      <c r="S13" s="29">
        <v>4599800</v>
      </c>
      <c r="T13" s="43" t="s">
        <v>42</v>
      </c>
      <c r="U13" s="30">
        <v>2.3182372999999998</v>
      </c>
      <c r="V13" s="30">
        <v>1.3182373046875</v>
      </c>
      <c r="W13" s="31">
        <v>5.6364746093750001E-2</v>
      </c>
      <c r="X13" s="32">
        <v>259266.55908203099</v>
      </c>
    </row>
    <row r="14" spans="1:24" x14ac:dyDescent="0.3">
      <c r="A14" s="22" t="s">
        <v>711</v>
      </c>
      <c r="B14" s="2" t="s">
        <v>841</v>
      </c>
      <c r="C14" s="43" t="s">
        <v>848</v>
      </c>
      <c r="D14" s="43" t="s">
        <v>867</v>
      </c>
      <c r="E14" s="43" t="s">
        <v>779</v>
      </c>
      <c r="F14" s="23" t="str">
        <f>HYPERLINK("https://mapwv.gov/flood/map/?wkid=102100&amp;x=-9122382.61974142&amp;y=4557115.389789056&amp;l=13&amp;v=2","FT")</f>
        <v>FT</v>
      </c>
      <c r="G14" s="28" t="s">
        <v>37</v>
      </c>
      <c r="H14" s="28" t="s">
        <v>24</v>
      </c>
      <c r="I14" s="43" t="s">
        <v>925</v>
      </c>
      <c r="J14" s="22" t="s">
        <v>35</v>
      </c>
      <c r="K14" s="44" t="s">
        <v>73</v>
      </c>
      <c r="L14" s="44"/>
      <c r="M14" s="43" t="s">
        <v>45</v>
      </c>
      <c r="N14" s="3" t="s">
        <v>34</v>
      </c>
      <c r="O14" s="44" t="s">
        <v>85</v>
      </c>
      <c r="P14" s="43" t="s">
        <v>990</v>
      </c>
      <c r="Q14" s="43" t="s">
        <v>29</v>
      </c>
      <c r="R14" s="48" t="s">
        <v>87</v>
      </c>
      <c r="S14" s="29">
        <v>4060214</v>
      </c>
      <c r="T14" s="43" t="s">
        <v>89</v>
      </c>
      <c r="U14" s="30">
        <v>0</v>
      </c>
      <c r="V14" s="30">
        <v>-1</v>
      </c>
      <c r="W14" s="31">
        <v>0</v>
      </c>
      <c r="X14" s="32">
        <v>0</v>
      </c>
    </row>
    <row r="15" spans="1:24" x14ac:dyDescent="0.3">
      <c r="A15" s="22" t="s">
        <v>712</v>
      </c>
      <c r="B15" s="2" t="s">
        <v>841</v>
      </c>
      <c r="C15" s="43" t="s">
        <v>849</v>
      </c>
      <c r="D15" s="43" t="s">
        <v>868</v>
      </c>
      <c r="E15" s="43" t="s">
        <v>780</v>
      </c>
      <c r="F15" s="23" t="str">
        <f>HYPERLINK("https://mapwv.gov/flood/map/?wkid=102100&amp;x=-9143627.011701984&amp;y=4576362.30855336&amp;l=13&amp;v=2","FT")</f>
        <v>FT</v>
      </c>
      <c r="G15" s="28" t="s">
        <v>31</v>
      </c>
      <c r="H15" s="28" t="s">
        <v>24</v>
      </c>
      <c r="I15" s="43" t="s">
        <v>56</v>
      </c>
      <c r="J15" s="22" t="s">
        <v>25</v>
      </c>
      <c r="K15" s="44" t="s">
        <v>971</v>
      </c>
      <c r="L15" s="44"/>
      <c r="M15" s="43" t="s">
        <v>57</v>
      </c>
      <c r="N15" s="3" t="s">
        <v>81</v>
      </c>
      <c r="O15" s="44" t="s">
        <v>85</v>
      </c>
      <c r="P15" s="43" t="s">
        <v>991</v>
      </c>
      <c r="Q15" s="43" t="s">
        <v>29</v>
      </c>
      <c r="R15" s="48" t="s">
        <v>87</v>
      </c>
      <c r="S15" s="29">
        <v>4046644</v>
      </c>
      <c r="T15" s="43" t="s">
        <v>58</v>
      </c>
      <c r="U15" s="30">
        <v>5.3237914999999996</v>
      </c>
      <c r="V15" s="30">
        <v>4.32379150390625</v>
      </c>
      <c r="W15" s="31">
        <v>9.3237915039062494E-2</v>
      </c>
      <c r="X15" s="32">
        <v>377300.64946533198</v>
      </c>
    </row>
    <row r="16" spans="1:24" x14ac:dyDescent="0.3">
      <c r="A16" s="22" t="s">
        <v>713</v>
      </c>
      <c r="B16" s="2" t="s">
        <v>841</v>
      </c>
      <c r="C16" s="43" t="s">
        <v>224</v>
      </c>
      <c r="D16" s="43" t="s">
        <v>869</v>
      </c>
      <c r="E16" s="43" t="s">
        <v>781</v>
      </c>
      <c r="F16" s="23" t="str">
        <f>HYPERLINK("https://mapwv.gov/flood/map/?wkid=102100&amp;x=-9127280.044151058&amp;y=4564410.132629504&amp;l=13&amp;v=2","FT")</f>
        <v>FT</v>
      </c>
      <c r="G16" s="28" t="s">
        <v>70</v>
      </c>
      <c r="H16" s="28" t="s">
        <v>24</v>
      </c>
      <c r="I16" s="43" t="s">
        <v>56</v>
      </c>
      <c r="J16" s="22" t="s">
        <v>38</v>
      </c>
      <c r="K16" s="44" t="s">
        <v>140</v>
      </c>
      <c r="L16" s="44" t="s">
        <v>26</v>
      </c>
      <c r="M16" s="43" t="s">
        <v>57</v>
      </c>
      <c r="N16" s="3" t="s">
        <v>81</v>
      </c>
      <c r="O16" s="44" t="s">
        <v>86</v>
      </c>
      <c r="P16" s="43" t="s">
        <v>992</v>
      </c>
      <c r="Q16" s="43" t="s">
        <v>29</v>
      </c>
      <c r="R16" s="48" t="s">
        <v>87</v>
      </c>
      <c r="S16" s="29">
        <v>3089013</v>
      </c>
      <c r="T16" s="43" t="s">
        <v>58</v>
      </c>
      <c r="U16" s="30">
        <v>0</v>
      </c>
      <c r="V16" s="30">
        <v>-1</v>
      </c>
      <c r="W16" s="31">
        <v>0</v>
      </c>
      <c r="X16" s="32">
        <v>0</v>
      </c>
    </row>
    <row r="17" spans="1:24" x14ac:dyDescent="0.3">
      <c r="A17" s="22" t="s">
        <v>714</v>
      </c>
      <c r="B17" s="2" t="s">
        <v>839</v>
      </c>
      <c r="C17" s="43" t="s">
        <v>224</v>
      </c>
      <c r="D17" s="43" t="s">
        <v>870</v>
      </c>
      <c r="E17" s="43" t="s">
        <v>782</v>
      </c>
      <c r="F17" s="23" t="str">
        <f>HYPERLINK("https://mapwv.gov/flood/map/?wkid=102100&amp;x=-9130127.6986942&amp;y=4575621.676688517&amp;l=13&amp;v=2","FT")</f>
        <v>FT</v>
      </c>
      <c r="G17" s="28" t="s">
        <v>31</v>
      </c>
      <c r="H17" s="28" t="s">
        <v>24</v>
      </c>
      <c r="I17" s="43" t="s">
        <v>926</v>
      </c>
      <c r="J17" s="22" t="s">
        <v>25</v>
      </c>
      <c r="K17" s="44" t="s">
        <v>90</v>
      </c>
      <c r="L17" s="44" t="s">
        <v>430</v>
      </c>
      <c r="M17" s="43" t="s">
        <v>53</v>
      </c>
      <c r="N17" s="3" t="s">
        <v>34</v>
      </c>
      <c r="O17" s="44" t="s">
        <v>85</v>
      </c>
      <c r="P17" s="43" t="s">
        <v>993</v>
      </c>
      <c r="Q17" s="43" t="s">
        <v>29</v>
      </c>
      <c r="R17" s="48" t="s">
        <v>87</v>
      </c>
      <c r="S17" s="29">
        <v>2632500</v>
      </c>
      <c r="T17" s="43" t="s">
        <v>30</v>
      </c>
      <c r="U17" s="30">
        <v>0.13043213000000001</v>
      </c>
      <c r="V17" s="30">
        <v>-0.86956787109375</v>
      </c>
      <c r="W17" s="31">
        <v>2.6086425781250001E-3</v>
      </c>
      <c r="X17" s="32">
        <v>6867.2515869140598</v>
      </c>
    </row>
    <row r="18" spans="1:24" x14ac:dyDescent="0.3">
      <c r="A18" s="22" t="s">
        <v>715</v>
      </c>
      <c r="B18" s="2" t="s">
        <v>841</v>
      </c>
      <c r="C18" s="43" t="s">
        <v>846</v>
      </c>
      <c r="D18" s="43" t="s">
        <v>871</v>
      </c>
      <c r="E18" s="43" t="s">
        <v>783</v>
      </c>
      <c r="F18" s="23" t="str">
        <f>HYPERLINK("https://mapwv.gov/flood/map/?wkid=102100&amp;x=-9132227.291268596&amp;y=4555853.8346003285&amp;l=13&amp;v=2","FT")</f>
        <v>FT</v>
      </c>
      <c r="G18" s="28" t="s">
        <v>31</v>
      </c>
      <c r="H18" s="28" t="s">
        <v>121</v>
      </c>
      <c r="I18" s="43" t="s">
        <v>927</v>
      </c>
      <c r="J18" s="22" t="s">
        <v>25</v>
      </c>
      <c r="K18" s="44" t="s">
        <v>113</v>
      </c>
      <c r="L18" s="44" t="s">
        <v>43</v>
      </c>
      <c r="M18" s="43" t="s">
        <v>52</v>
      </c>
      <c r="N18" s="3" t="s">
        <v>34</v>
      </c>
      <c r="O18" s="44" t="s">
        <v>86</v>
      </c>
      <c r="P18" s="43" t="s">
        <v>994</v>
      </c>
      <c r="Q18" s="43" t="s">
        <v>29</v>
      </c>
      <c r="R18" s="48" t="s">
        <v>87</v>
      </c>
      <c r="S18" s="29">
        <v>2022900</v>
      </c>
      <c r="T18" s="43" t="s">
        <v>42</v>
      </c>
      <c r="U18" s="30">
        <v>0.98492429999999997</v>
      </c>
      <c r="V18" s="30">
        <v>-1.507568359375E-2</v>
      </c>
      <c r="W18" s="31">
        <v>1.9698486328125001E-2</v>
      </c>
      <c r="X18" s="32">
        <v>39848.067993163997</v>
      </c>
    </row>
    <row r="19" spans="1:24" x14ac:dyDescent="0.3">
      <c r="A19" s="22" t="s">
        <v>716</v>
      </c>
      <c r="B19" s="2" t="s">
        <v>839</v>
      </c>
      <c r="C19" s="43" t="s">
        <v>224</v>
      </c>
      <c r="D19" s="43" t="s">
        <v>872</v>
      </c>
      <c r="E19" s="43" t="s">
        <v>784</v>
      </c>
      <c r="F19" s="23" t="str">
        <f>HYPERLINK("https://mapwv.gov/flood/map/?wkid=102100&amp;x=-9130140.78407771&amp;y=4575733.528444743&amp;l=13&amp;v=2","FT")</f>
        <v>FT</v>
      </c>
      <c r="G19" s="28" t="s">
        <v>31</v>
      </c>
      <c r="H19" s="28" t="s">
        <v>24</v>
      </c>
      <c r="I19" s="43" t="s">
        <v>928</v>
      </c>
      <c r="J19" s="22" t="s">
        <v>25</v>
      </c>
      <c r="K19" s="44" t="s">
        <v>972</v>
      </c>
      <c r="L19" s="44" t="s">
        <v>44</v>
      </c>
      <c r="M19" s="43" t="s">
        <v>977</v>
      </c>
      <c r="N19" s="3" t="s">
        <v>40</v>
      </c>
      <c r="O19" s="44" t="s">
        <v>982</v>
      </c>
      <c r="P19" s="43" t="s">
        <v>995</v>
      </c>
      <c r="Q19" s="43" t="s">
        <v>29</v>
      </c>
      <c r="R19" s="48" t="s">
        <v>87</v>
      </c>
      <c r="S19" s="29">
        <v>1955900</v>
      </c>
      <c r="T19" s="43" t="s">
        <v>42</v>
      </c>
      <c r="U19" s="30">
        <v>0.32830809999999999</v>
      </c>
      <c r="V19" s="30">
        <v>-0.67169189453125</v>
      </c>
      <c r="W19" s="31">
        <v>4.9246215820312501E-2</v>
      </c>
      <c r="X19" s="32">
        <v>96320.673522949204</v>
      </c>
    </row>
    <row r="20" spans="1:24" x14ac:dyDescent="0.3">
      <c r="A20" s="22" t="s">
        <v>717</v>
      </c>
      <c r="B20" s="2" t="s">
        <v>841</v>
      </c>
      <c r="C20" s="43" t="s">
        <v>224</v>
      </c>
      <c r="D20" s="43" t="s">
        <v>873</v>
      </c>
      <c r="E20" s="43" t="s">
        <v>785</v>
      </c>
      <c r="F20" s="23" t="str">
        <f>HYPERLINK("https://mapwv.gov/flood/map/?wkid=102100&amp;x=-9130676.197432572&amp;y=4574521.94022123&amp;l=13&amp;v=2","FT")</f>
        <v>FT</v>
      </c>
      <c r="G20" s="28" t="s">
        <v>31</v>
      </c>
      <c r="H20" s="28" t="s">
        <v>24</v>
      </c>
      <c r="I20" s="43" t="s">
        <v>929</v>
      </c>
      <c r="J20" s="22" t="s">
        <v>25</v>
      </c>
      <c r="K20" s="44" t="s">
        <v>117</v>
      </c>
      <c r="L20" s="44" t="s">
        <v>43</v>
      </c>
      <c r="M20" s="43" t="s">
        <v>59</v>
      </c>
      <c r="N20" s="3" t="s">
        <v>40</v>
      </c>
      <c r="O20" s="44" t="s">
        <v>127</v>
      </c>
      <c r="P20" s="43" t="s">
        <v>996</v>
      </c>
      <c r="Q20" s="43" t="s">
        <v>29</v>
      </c>
      <c r="R20" s="48" t="s">
        <v>87</v>
      </c>
      <c r="S20" s="29">
        <v>1761300</v>
      </c>
      <c r="T20" s="43" t="s">
        <v>42</v>
      </c>
      <c r="U20" s="30">
        <v>0</v>
      </c>
      <c r="V20" s="30">
        <v>-1</v>
      </c>
      <c r="W20" s="31">
        <v>0</v>
      </c>
      <c r="X20" s="32">
        <v>0</v>
      </c>
    </row>
    <row r="21" spans="1:24" x14ac:dyDescent="0.3">
      <c r="A21" s="22" t="s">
        <v>718</v>
      </c>
      <c r="B21" s="2" t="s">
        <v>841</v>
      </c>
      <c r="C21" s="43" t="s">
        <v>845</v>
      </c>
      <c r="D21" s="43" t="s">
        <v>874</v>
      </c>
      <c r="E21" s="43" t="s">
        <v>786</v>
      </c>
      <c r="F21" s="23" t="str">
        <f>HYPERLINK("https://mapwv.gov/flood/map/?wkid=102100&amp;x=-9127797.494436298&amp;y=4553059.244473101&amp;l=13&amp;v=2","FT")</f>
        <v>FT</v>
      </c>
      <c r="G21" s="28" t="s">
        <v>31</v>
      </c>
      <c r="H21" s="28" t="s">
        <v>24</v>
      </c>
      <c r="I21" s="43" t="s">
        <v>930</v>
      </c>
      <c r="J21" s="22" t="s">
        <v>38</v>
      </c>
      <c r="K21" s="44" t="s">
        <v>109</v>
      </c>
      <c r="L21" s="44"/>
      <c r="M21" s="43" t="s">
        <v>53</v>
      </c>
      <c r="N21" s="3" t="s">
        <v>34</v>
      </c>
      <c r="O21" s="44" t="s">
        <v>85</v>
      </c>
      <c r="P21" s="43" t="s">
        <v>997</v>
      </c>
      <c r="Q21" s="43" t="s">
        <v>29</v>
      </c>
      <c r="R21" s="48" t="s">
        <v>87</v>
      </c>
      <c r="S21" s="29">
        <v>1685431</v>
      </c>
      <c r="T21" s="43" t="s">
        <v>89</v>
      </c>
      <c r="U21" s="30">
        <v>0</v>
      </c>
      <c r="V21" s="30">
        <v>-1</v>
      </c>
      <c r="W21" s="31">
        <v>0</v>
      </c>
      <c r="X21" s="32">
        <v>0</v>
      </c>
    </row>
    <row r="22" spans="1:24" x14ac:dyDescent="0.3">
      <c r="A22" s="22" t="s">
        <v>719</v>
      </c>
      <c r="B22" s="2" t="s">
        <v>841</v>
      </c>
      <c r="C22" s="43" t="s">
        <v>845</v>
      </c>
      <c r="D22" s="43" t="s">
        <v>875</v>
      </c>
      <c r="E22" s="43" t="s">
        <v>787</v>
      </c>
      <c r="F22" s="23" t="str">
        <f>HYPERLINK("https://mapwv.gov/flood/map/?wkid=102100&amp;x=-9126488.602201255&amp;y=4550958.274693293&amp;l=13&amp;v=2","FT")</f>
        <v>FT</v>
      </c>
      <c r="G22" s="28" t="s">
        <v>31</v>
      </c>
      <c r="H22" s="28" t="s">
        <v>24</v>
      </c>
      <c r="I22" s="43" t="s">
        <v>931</v>
      </c>
      <c r="J22" s="22" t="s">
        <v>25</v>
      </c>
      <c r="K22" s="44" t="s">
        <v>90</v>
      </c>
      <c r="L22" s="44" t="s">
        <v>424</v>
      </c>
      <c r="M22" s="43" t="s">
        <v>978</v>
      </c>
      <c r="N22" s="3" t="s">
        <v>40</v>
      </c>
      <c r="O22" s="44" t="s">
        <v>127</v>
      </c>
      <c r="P22" s="43" t="s">
        <v>998</v>
      </c>
      <c r="Q22" s="43" t="s">
        <v>29</v>
      </c>
      <c r="R22" s="48" t="s">
        <v>87</v>
      </c>
      <c r="S22" s="29">
        <v>1561000</v>
      </c>
      <c r="T22" s="43" t="s">
        <v>30</v>
      </c>
      <c r="U22" s="30">
        <v>0</v>
      </c>
      <c r="V22" s="30">
        <v>-1</v>
      </c>
      <c r="W22" s="31">
        <v>0</v>
      </c>
      <c r="X22" s="32">
        <v>0</v>
      </c>
    </row>
    <row r="23" spans="1:24" x14ac:dyDescent="0.3">
      <c r="A23" s="22" t="s">
        <v>720</v>
      </c>
      <c r="B23" s="2" t="s">
        <v>841</v>
      </c>
      <c r="C23" s="43" t="s">
        <v>850</v>
      </c>
      <c r="D23" s="43" t="s">
        <v>876</v>
      </c>
      <c r="E23" s="43" t="s">
        <v>788</v>
      </c>
      <c r="F23" s="23" t="str">
        <f>HYPERLINK("https://mapwv.gov/flood/map/?wkid=102100&amp;x=-9119536.032195589&amp;y=4552748.040270999&amp;l=13&amp;v=2","FT")</f>
        <v>FT</v>
      </c>
      <c r="G23" s="28" t="s">
        <v>364</v>
      </c>
      <c r="H23" s="28" t="s">
        <v>24</v>
      </c>
      <c r="I23" s="43" t="s">
        <v>925</v>
      </c>
      <c r="J23" s="22" t="s">
        <v>38</v>
      </c>
      <c r="K23" s="44" t="s">
        <v>109</v>
      </c>
      <c r="L23" s="44"/>
      <c r="M23" s="43" t="s">
        <v>53</v>
      </c>
      <c r="N23" s="3" t="s">
        <v>34</v>
      </c>
      <c r="O23" s="44" t="s">
        <v>85</v>
      </c>
      <c r="P23" s="43" t="s">
        <v>999</v>
      </c>
      <c r="Q23" s="43" t="s">
        <v>29</v>
      </c>
      <c r="R23" s="48" t="s">
        <v>87</v>
      </c>
      <c r="S23" s="29">
        <v>1498161</v>
      </c>
      <c r="T23" s="43" t="s">
        <v>89</v>
      </c>
      <c r="U23" s="30">
        <v>2.293682</v>
      </c>
      <c r="V23" s="30">
        <v>1.2936820983886701</v>
      </c>
      <c r="W23" s="31">
        <v>0.12468410491943301</v>
      </c>
      <c r="X23" s="32">
        <v>186796.86331020301</v>
      </c>
    </row>
    <row r="24" spans="1:24" x14ac:dyDescent="0.3">
      <c r="A24" s="22" t="s">
        <v>721</v>
      </c>
      <c r="B24" s="2" t="s">
        <v>840</v>
      </c>
      <c r="C24" s="43" t="s">
        <v>224</v>
      </c>
      <c r="D24" s="43" t="s">
        <v>877</v>
      </c>
      <c r="E24" s="43" t="s">
        <v>789</v>
      </c>
      <c r="F24" s="23" t="str">
        <f>HYPERLINK("https://mapwv.gov/flood/map/?wkid=102100&amp;x=-9127461.437480193&amp;y=4557713.465215954&amp;l=13&amp;v=2","FT")</f>
        <v>FT</v>
      </c>
      <c r="G24" s="28" t="s">
        <v>51</v>
      </c>
      <c r="H24" s="28" t="s">
        <v>24</v>
      </c>
      <c r="I24" s="43" t="s">
        <v>932</v>
      </c>
      <c r="J24" s="22" t="s">
        <v>38</v>
      </c>
      <c r="K24" s="44" t="s">
        <v>109</v>
      </c>
      <c r="L24" s="44"/>
      <c r="M24" s="43" t="s">
        <v>138</v>
      </c>
      <c r="N24" s="3" t="s">
        <v>34</v>
      </c>
      <c r="O24" s="44" t="s">
        <v>85</v>
      </c>
      <c r="P24" s="43" t="s">
        <v>1000</v>
      </c>
      <c r="Q24" s="43" t="s">
        <v>29</v>
      </c>
      <c r="R24" s="48" t="s">
        <v>87</v>
      </c>
      <c r="S24" s="29">
        <v>1404526</v>
      </c>
      <c r="T24" s="43" t="s">
        <v>89</v>
      </c>
      <c r="U24" s="30">
        <v>2.5779420000000002</v>
      </c>
      <c r="V24" s="30">
        <v>1.57794189453125</v>
      </c>
      <c r="W24" s="31">
        <v>0</v>
      </c>
      <c r="X24" s="32">
        <v>0</v>
      </c>
    </row>
    <row r="25" spans="1:24" x14ac:dyDescent="0.3">
      <c r="A25" s="22" t="s">
        <v>722</v>
      </c>
      <c r="B25" s="2" t="s">
        <v>841</v>
      </c>
      <c r="C25" s="43" t="s">
        <v>845</v>
      </c>
      <c r="D25" s="43" t="s">
        <v>875</v>
      </c>
      <c r="E25" s="43" t="s">
        <v>790</v>
      </c>
      <c r="F25" s="23" t="str">
        <f>HYPERLINK("https://mapwv.gov/flood/map/?wkid=102100&amp;x=-9126515.936368262&amp;y=4550914.257210949&amp;l=13&amp;v=2","FT")</f>
        <v>FT</v>
      </c>
      <c r="G25" s="28" t="s">
        <v>31</v>
      </c>
      <c r="H25" s="28" t="s">
        <v>121</v>
      </c>
      <c r="I25" s="43" t="s">
        <v>931</v>
      </c>
      <c r="J25" s="22" t="s">
        <v>25</v>
      </c>
      <c r="K25" s="44" t="s">
        <v>90</v>
      </c>
      <c r="L25" s="44" t="s">
        <v>424</v>
      </c>
      <c r="M25" s="43" t="s">
        <v>978</v>
      </c>
      <c r="N25" s="3" t="s">
        <v>40</v>
      </c>
      <c r="O25" s="44" t="s">
        <v>127</v>
      </c>
      <c r="P25" s="43" t="s">
        <v>1001</v>
      </c>
      <c r="Q25" s="43" t="s">
        <v>29</v>
      </c>
      <c r="R25" s="48" t="s">
        <v>87</v>
      </c>
      <c r="S25" s="29">
        <v>1366700</v>
      </c>
      <c r="T25" s="43" t="s">
        <v>30</v>
      </c>
      <c r="U25" s="30">
        <v>1</v>
      </c>
      <c r="V25" s="30">
        <v>0</v>
      </c>
      <c r="W25" s="31">
        <v>0.15</v>
      </c>
      <c r="X25" s="32">
        <v>205005</v>
      </c>
    </row>
    <row r="26" spans="1:24" x14ac:dyDescent="0.3">
      <c r="A26" s="22" t="s">
        <v>723</v>
      </c>
      <c r="B26" s="2" t="s">
        <v>841</v>
      </c>
      <c r="C26" s="43" t="s">
        <v>847</v>
      </c>
      <c r="D26" s="43" t="s">
        <v>878</v>
      </c>
      <c r="E26" s="43" t="s">
        <v>791</v>
      </c>
      <c r="F26" s="23" t="str">
        <f>HYPERLINK("https://mapwv.gov/flood/map/?wkid=102100&amp;x=-9129966.5598351&amp;y=4557922.139238735&amp;l=13&amp;v=2","FT")</f>
        <v>FT</v>
      </c>
      <c r="G26" s="28" t="s">
        <v>31</v>
      </c>
      <c r="H26" s="28" t="s">
        <v>121</v>
      </c>
      <c r="I26" s="43" t="s">
        <v>933</v>
      </c>
      <c r="J26" s="22" t="s">
        <v>25</v>
      </c>
      <c r="K26" s="44" t="s">
        <v>110</v>
      </c>
      <c r="L26" s="44" t="s">
        <v>37</v>
      </c>
      <c r="M26" s="43" t="s">
        <v>55</v>
      </c>
      <c r="N26" s="3" t="s">
        <v>83</v>
      </c>
      <c r="O26" s="44" t="s">
        <v>85</v>
      </c>
      <c r="P26" s="43" t="s">
        <v>1002</v>
      </c>
      <c r="Q26" s="43" t="s">
        <v>29</v>
      </c>
      <c r="R26" s="48" t="s">
        <v>87</v>
      </c>
      <c r="S26" s="29">
        <v>1356400</v>
      </c>
      <c r="T26" s="43" t="s">
        <v>42</v>
      </c>
      <c r="U26" s="30">
        <v>8.0656130000000008</v>
      </c>
      <c r="V26" s="30">
        <v>7.06561279296875</v>
      </c>
      <c r="W26" s="31">
        <v>0.14000000000000001</v>
      </c>
      <c r="X26" s="32">
        <v>189896</v>
      </c>
    </row>
    <row r="27" spans="1:24" x14ac:dyDescent="0.3">
      <c r="A27" s="22" t="s">
        <v>724</v>
      </c>
      <c r="B27" s="2" t="s">
        <v>841</v>
      </c>
      <c r="C27" s="43" t="s">
        <v>851</v>
      </c>
      <c r="D27" s="43" t="s">
        <v>879</v>
      </c>
      <c r="E27" s="43" t="s">
        <v>792</v>
      </c>
      <c r="F27" s="23" t="str">
        <f>HYPERLINK("https://mapwv.gov/flood/map/?wkid=102100&amp;x=-9109953.252460927&amp;y=4546961.3950291155&amp;l=13&amp;v=2","FT")</f>
        <v>FT</v>
      </c>
      <c r="G27" s="28" t="s">
        <v>31</v>
      </c>
      <c r="H27" s="28" t="s">
        <v>24</v>
      </c>
      <c r="I27" s="43" t="s">
        <v>56</v>
      </c>
      <c r="J27" s="22" t="s">
        <v>38</v>
      </c>
      <c r="K27" s="44" t="s">
        <v>973</v>
      </c>
      <c r="L27" s="44"/>
      <c r="M27" s="43" t="s">
        <v>57</v>
      </c>
      <c r="N27" s="3" t="s">
        <v>81</v>
      </c>
      <c r="O27" s="44" t="s">
        <v>85</v>
      </c>
      <c r="P27" s="43" t="s">
        <v>1003</v>
      </c>
      <c r="Q27" s="43" t="s">
        <v>29</v>
      </c>
      <c r="R27" s="48" t="s">
        <v>87</v>
      </c>
      <c r="S27" s="29">
        <v>1250620</v>
      </c>
      <c r="T27" s="43" t="s">
        <v>30</v>
      </c>
      <c r="U27" s="30">
        <v>1.6659546000000001</v>
      </c>
      <c r="V27" s="30">
        <v>0.66595458984375</v>
      </c>
      <c r="W27" s="31">
        <v>3.32977294921874E-2</v>
      </c>
      <c r="X27" s="32">
        <v>41642.806457519502</v>
      </c>
    </row>
    <row r="28" spans="1:24" x14ac:dyDescent="0.3">
      <c r="A28" s="22" t="s">
        <v>725</v>
      </c>
      <c r="B28" s="2" t="s">
        <v>841</v>
      </c>
      <c r="C28" s="43" t="s">
        <v>852</v>
      </c>
      <c r="D28" s="43" t="s">
        <v>880</v>
      </c>
      <c r="E28" s="43" t="s">
        <v>793</v>
      </c>
      <c r="F28" s="23" t="str">
        <f>HYPERLINK("https://mapwv.gov/flood/map/?wkid=102100&amp;x=-9094990.725564621&amp;y=4552077.264839699&amp;l=13&amp;v=2","FT")</f>
        <v>FT</v>
      </c>
      <c r="G28" s="28" t="s">
        <v>364</v>
      </c>
      <c r="H28" s="28" t="s">
        <v>24</v>
      </c>
      <c r="I28" s="43" t="s">
        <v>934</v>
      </c>
      <c r="J28" s="22" t="s">
        <v>102</v>
      </c>
      <c r="K28" s="44" t="s">
        <v>108</v>
      </c>
      <c r="L28" s="44"/>
      <c r="M28" s="43" t="s">
        <v>979</v>
      </c>
      <c r="N28" s="3" t="s">
        <v>84</v>
      </c>
      <c r="O28" s="44" t="s">
        <v>85</v>
      </c>
      <c r="P28" s="43" t="s">
        <v>1004</v>
      </c>
      <c r="Q28" s="43" t="s">
        <v>29</v>
      </c>
      <c r="R28" s="48" t="s">
        <v>87</v>
      </c>
      <c r="S28" s="29">
        <v>1238010</v>
      </c>
      <c r="T28" s="43" t="s">
        <v>89</v>
      </c>
      <c r="U28" s="30">
        <v>0.25950074000000001</v>
      </c>
      <c r="V28" s="30">
        <v>-0.74049925804138095</v>
      </c>
      <c r="W28" s="31">
        <v>0</v>
      </c>
      <c r="X28" s="32">
        <v>0</v>
      </c>
    </row>
    <row r="29" spans="1:24" x14ac:dyDescent="0.3">
      <c r="A29" s="22" t="s">
        <v>726</v>
      </c>
      <c r="B29" s="2" t="s">
        <v>841</v>
      </c>
      <c r="C29" s="43" t="s">
        <v>844</v>
      </c>
      <c r="D29" s="43" t="s">
        <v>881</v>
      </c>
      <c r="E29" s="43" t="s">
        <v>794</v>
      </c>
      <c r="F29" s="23" t="str">
        <f>HYPERLINK("https://mapwv.gov/flood/map/?wkid=102100&amp;x=-9110205.547400141&amp;y=4541387.993830175&amp;l=13&amp;v=2","FT")</f>
        <v>FT</v>
      </c>
      <c r="G29" s="28" t="s">
        <v>31</v>
      </c>
      <c r="H29" s="28" t="s">
        <v>24</v>
      </c>
      <c r="I29" s="43" t="s">
        <v>56</v>
      </c>
      <c r="J29" s="22" t="s">
        <v>25</v>
      </c>
      <c r="K29" s="44" t="s">
        <v>972</v>
      </c>
      <c r="L29" s="44"/>
      <c r="M29" s="43" t="s">
        <v>55</v>
      </c>
      <c r="N29" s="3" t="s">
        <v>83</v>
      </c>
      <c r="O29" s="44" t="s">
        <v>85</v>
      </c>
      <c r="P29" s="43" t="s">
        <v>1005</v>
      </c>
      <c r="Q29" s="43" t="s">
        <v>29</v>
      </c>
      <c r="R29" s="48" t="s">
        <v>87</v>
      </c>
      <c r="S29" s="29">
        <v>1054920</v>
      </c>
      <c r="T29" s="43" t="s">
        <v>30</v>
      </c>
      <c r="U29" s="30">
        <v>2.060791</v>
      </c>
      <c r="V29" s="30">
        <v>1.060791015625</v>
      </c>
      <c r="W29" s="31">
        <v>0.10060791015624999</v>
      </c>
      <c r="X29" s="32">
        <v>106133.29658203101</v>
      </c>
    </row>
    <row r="30" spans="1:24" x14ac:dyDescent="0.3">
      <c r="A30" s="22" t="s">
        <v>727</v>
      </c>
      <c r="B30" s="2" t="s">
        <v>841</v>
      </c>
      <c r="C30" s="43" t="s">
        <v>630</v>
      </c>
      <c r="D30" s="43" t="s">
        <v>882</v>
      </c>
      <c r="E30" s="43" t="s">
        <v>795</v>
      </c>
      <c r="F30" s="23" t="str">
        <f>HYPERLINK("https://mapwv.gov/flood/map/?wkid=102100&amp;x=-9126751.357053779&amp;y=4578079.255939043&amp;l=13&amp;v=2","FT")</f>
        <v>FT</v>
      </c>
      <c r="G30" s="28" t="s">
        <v>31</v>
      </c>
      <c r="H30" s="28" t="s">
        <v>24</v>
      </c>
      <c r="I30" s="43" t="s">
        <v>935</v>
      </c>
      <c r="J30" s="22" t="s">
        <v>25</v>
      </c>
      <c r="K30" s="44" t="s">
        <v>115</v>
      </c>
      <c r="L30" s="44" t="s">
        <v>26</v>
      </c>
      <c r="M30" s="43" t="s">
        <v>45</v>
      </c>
      <c r="N30" s="3" t="s">
        <v>34</v>
      </c>
      <c r="O30" s="44" t="s">
        <v>86</v>
      </c>
      <c r="P30" s="43" t="s">
        <v>1006</v>
      </c>
      <c r="Q30" s="43" t="s">
        <v>29</v>
      </c>
      <c r="R30" s="48" t="s">
        <v>87</v>
      </c>
      <c r="S30" s="29">
        <v>982700</v>
      </c>
      <c r="T30" s="43" t="s">
        <v>30</v>
      </c>
      <c r="U30" s="30">
        <v>0</v>
      </c>
      <c r="V30" s="30">
        <v>-1</v>
      </c>
      <c r="W30" s="31">
        <v>0</v>
      </c>
      <c r="X30" s="32">
        <v>0</v>
      </c>
    </row>
    <row r="31" spans="1:24" x14ac:dyDescent="0.3">
      <c r="A31" s="22" t="s">
        <v>728</v>
      </c>
      <c r="B31" s="2" t="s">
        <v>841</v>
      </c>
      <c r="C31" s="43" t="s">
        <v>853</v>
      </c>
      <c r="D31" s="43" t="s">
        <v>883</v>
      </c>
      <c r="E31" s="43" t="s">
        <v>796</v>
      </c>
      <c r="F31" s="23" t="str">
        <f>HYPERLINK("https://mapwv.gov/flood/map/?wkid=102100&amp;x=-9109325.235983891&amp;y=4534537.12554323&amp;l=13&amp;v=2","FT")</f>
        <v>FT</v>
      </c>
      <c r="G31" s="28" t="s">
        <v>37</v>
      </c>
      <c r="H31" s="28" t="s">
        <v>24</v>
      </c>
      <c r="I31" s="43" t="s">
        <v>936</v>
      </c>
      <c r="J31" s="22" t="s">
        <v>35</v>
      </c>
      <c r="K31" s="44" t="s">
        <v>73</v>
      </c>
      <c r="L31" s="44"/>
      <c r="M31" s="43" t="s">
        <v>33</v>
      </c>
      <c r="N31" s="3" t="s">
        <v>84</v>
      </c>
      <c r="O31" s="44" t="s">
        <v>85</v>
      </c>
      <c r="P31" s="43" t="s">
        <v>1007</v>
      </c>
      <c r="Q31" s="43" t="s">
        <v>29</v>
      </c>
      <c r="R31" s="48" t="s">
        <v>87</v>
      </c>
      <c r="S31" s="29">
        <v>975031</v>
      </c>
      <c r="T31" s="43" t="s">
        <v>89</v>
      </c>
      <c r="U31" s="30">
        <v>0</v>
      </c>
      <c r="V31" s="30">
        <v>-1</v>
      </c>
      <c r="W31" s="31">
        <v>0</v>
      </c>
      <c r="X31" s="32">
        <v>0</v>
      </c>
    </row>
    <row r="32" spans="1:24" x14ac:dyDescent="0.3">
      <c r="A32" s="22" t="s">
        <v>729</v>
      </c>
      <c r="B32" s="2" t="s">
        <v>842</v>
      </c>
      <c r="C32" s="43" t="s">
        <v>851</v>
      </c>
      <c r="D32" s="43" t="s">
        <v>884</v>
      </c>
      <c r="E32" s="43" t="s">
        <v>797</v>
      </c>
      <c r="F32" s="23" t="str">
        <f>HYPERLINK("https://mapwv.gov/flood/map/?wkid=102100&amp;x=-9113461.74870464&amp;y=4544028.423797132&amp;l=13&amp;v=2","FT")</f>
        <v>FT</v>
      </c>
      <c r="G32" s="28" t="s">
        <v>31</v>
      </c>
      <c r="H32" s="28" t="s">
        <v>24</v>
      </c>
      <c r="I32" s="43" t="s">
        <v>937</v>
      </c>
      <c r="J32" s="22" t="s">
        <v>38</v>
      </c>
      <c r="K32" s="44" t="s">
        <v>79</v>
      </c>
      <c r="L32" s="44"/>
      <c r="M32" s="43" t="s">
        <v>57</v>
      </c>
      <c r="N32" s="3" t="s">
        <v>81</v>
      </c>
      <c r="O32" s="44" t="s">
        <v>85</v>
      </c>
      <c r="P32" s="43" t="s">
        <v>1008</v>
      </c>
      <c r="Q32" s="43" t="s">
        <v>29</v>
      </c>
      <c r="R32" s="48" t="s">
        <v>87</v>
      </c>
      <c r="S32" s="29">
        <v>917900</v>
      </c>
      <c r="T32" s="43" t="s">
        <v>42</v>
      </c>
      <c r="U32" s="30">
        <v>4.1639404000000004</v>
      </c>
      <c r="V32" s="30">
        <v>3.1639404296875</v>
      </c>
      <c r="W32" s="31">
        <v>0.09</v>
      </c>
      <c r="X32" s="32">
        <v>82611</v>
      </c>
    </row>
    <row r="33" spans="1:24" x14ac:dyDescent="0.3">
      <c r="A33" s="22" t="s">
        <v>730</v>
      </c>
      <c r="B33" s="2" t="s">
        <v>841</v>
      </c>
      <c r="C33" s="43" t="s">
        <v>844</v>
      </c>
      <c r="D33" s="43" t="s">
        <v>885</v>
      </c>
      <c r="E33" s="43" t="s">
        <v>798</v>
      </c>
      <c r="F33" s="23" t="str">
        <f>HYPERLINK("https://mapwv.gov/flood/map/?wkid=102100&amp;x=-9110412.944851004&amp;y=4541351.033996424&amp;l=13&amp;v=2","FT")</f>
        <v>FT</v>
      </c>
      <c r="G33" s="28" t="s">
        <v>31</v>
      </c>
      <c r="H33" s="28" t="s">
        <v>24</v>
      </c>
      <c r="I33" s="43" t="s">
        <v>938</v>
      </c>
      <c r="J33" s="22" t="s">
        <v>25</v>
      </c>
      <c r="K33" s="44" t="s">
        <v>971</v>
      </c>
      <c r="L33" s="44"/>
      <c r="M33" s="43" t="s">
        <v>55</v>
      </c>
      <c r="N33" s="3" t="s">
        <v>83</v>
      </c>
      <c r="O33" s="44" t="s">
        <v>85</v>
      </c>
      <c r="P33" s="43" t="s">
        <v>1009</v>
      </c>
      <c r="Q33" s="43" t="s">
        <v>29</v>
      </c>
      <c r="R33" s="48" t="s">
        <v>87</v>
      </c>
      <c r="S33" s="29">
        <v>878950</v>
      </c>
      <c r="T33" s="43" t="s">
        <v>30</v>
      </c>
      <c r="U33" s="30">
        <v>4.1347046000000001</v>
      </c>
      <c r="V33" s="30">
        <v>3.13470458984375</v>
      </c>
      <c r="W33" s="31">
        <v>0.111347045898437</v>
      </c>
      <c r="X33" s="32">
        <v>97868.485992431597</v>
      </c>
    </row>
    <row r="34" spans="1:24" x14ac:dyDescent="0.3">
      <c r="A34" s="22" t="s">
        <v>731</v>
      </c>
      <c r="B34" s="2" t="s">
        <v>841</v>
      </c>
      <c r="C34" s="43" t="s">
        <v>851</v>
      </c>
      <c r="D34" s="43" t="s">
        <v>886</v>
      </c>
      <c r="E34" s="43" t="s">
        <v>799</v>
      </c>
      <c r="F34" s="23" t="str">
        <f>HYPERLINK("https://mapwv.gov/flood/map/?wkid=102100&amp;x=-9107851.70600683&amp;y=4548140.649510926&amp;l=13&amp;v=2","FT")</f>
        <v>FT</v>
      </c>
      <c r="G34" s="28" t="s">
        <v>31</v>
      </c>
      <c r="H34" s="28" t="s">
        <v>24</v>
      </c>
      <c r="I34" s="43" t="s">
        <v>939</v>
      </c>
      <c r="J34" s="22" t="s">
        <v>25</v>
      </c>
      <c r="K34" s="44" t="s">
        <v>72</v>
      </c>
      <c r="L34" s="44" t="s">
        <v>50</v>
      </c>
      <c r="M34" s="43" t="s">
        <v>55</v>
      </c>
      <c r="N34" s="3" t="s">
        <v>83</v>
      </c>
      <c r="O34" s="44" t="s">
        <v>85</v>
      </c>
      <c r="P34" s="43" t="s">
        <v>1010</v>
      </c>
      <c r="Q34" s="43" t="s">
        <v>29</v>
      </c>
      <c r="R34" s="48" t="s">
        <v>87</v>
      </c>
      <c r="S34" s="29">
        <v>869640</v>
      </c>
      <c r="T34" s="43" t="s">
        <v>30</v>
      </c>
      <c r="U34" s="30">
        <v>2.954834</v>
      </c>
      <c r="V34" s="30">
        <v>1.954833984375</v>
      </c>
      <c r="W34" s="31">
        <v>0.10954833984375</v>
      </c>
      <c r="X34" s="32">
        <v>95267.618261718701</v>
      </c>
    </row>
    <row r="35" spans="1:24" x14ac:dyDescent="0.3">
      <c r="A35" s="22" t="s">
        <v>732</v>
      </c>
      <c r="B35" s="2" t="s">
        <v>839</v>
      </c>
      <c r="C35" s="43" t="s">
        <v>224</v>
      </c>
      <c r="D35" s="43" t="s">
        <v>887</v>
      </c>
      <c r="E35" s="43" t="s">
        <v>800</v>
      </c>
      <c r="F35" s="23" t="str">
        <f>HYPERLINK("https://mapwv.gov/flood/map/?wkid=102100&amp;x=-9130480.056719936&amp;y=4576315.462306599&amp;l=13&amp;v=2","FT")</f>
        <v>FT</v>
      </c>
      <c r="G35" s="28" t="s">
        <v>31</v>
      </c>
      <c r="H35" s="28" t="s">
        <v>24</v>
      </c>
      <c r="I35" s="43" t="s">
        <v>940</v>
      </c>
      <c r="J35" s="22" t="s">
        <v>35</v>
      </c>
      <c r="K35" s="44" t="s">
        <v>73</v>
      </c>
      <c r="L35" s="44" t="s">
        <v>50</v>
      </c>
      <c r="M35" s="43" t="s">
        <v>978</v>
      </c>
      <c r="N35" s="3" t="s">
        <v>40</v>
      </c>
      <c r="O35" s="44" t="s">
        <v>85</v>
      </c>
      <c r="P35" s="43" t="s">
        <v>1011</v>
      </c>
      <c r="Q35" s="43" t="s">
        <v>29</v>
      </c>
      <c r="R35" s="48" t="s">
        <v>87</v>
      </c>
      <c r="S35" s="29">
        <v>804050</v>
      </c>
      <c r="T35" s="43" t="s">
        <v>89</v>
      </c>
      <c r="U35" s="30">
        <v>2.1812743999999999</v>
      </c>
      <c r="V35" s="30">
        <v>1.1812744140625</v>
      </c>
      <c r="W35" s="31">
        <v>0.17631469726562499</v>
      </c>
      <c r="X35" s="32">
        <v>141765.832336425</v>
      </c>
    </row>
    <row r="36" spans="1:24" x14ac:dyDescent="0.3">
      <c r="A36" s="22" t="s">
        <v>733</v>
      </c>
      <c r="B36" s="2" t="s">
        <v>839</v>
      </c>
      <c r="C36" s="43" t="s">
        <v>224</v>
      </c>
      <c r="D36" s="43" t="s">
        <v>887</v>
      </c>
      <c r="E36" s="43" t="s">
        <v>801</v>
      </c>
      <c r="F36" s="23" t="str">
        <f>HYPERLINK("https://mapwv.gov/flood/map/?wkid=102100&amp;x=-9130483.744400708&amp;y=4576339.476074521&amp;l=13&amp;v=2","FT")</f>
        <v>FT</v>
      </c>
      <c r="G36" s="28" t="s">
        <v>31</v>
      </c>
      <c r="H36" s="28" t="s">
        <v>24</v>
      </c>
      <c r="I36" s="43" t="s">
        <v>940</v>
      </c>
      <c r="J36" s="22" t="s">
        <v>35</v>
      </c>
      <c r="K36" s="44" t="s">
        <v>73</v>
      </c>
      <c r="L36" s="44" t="s">
        <v>50</v>
      </c>
      <c r="M36" s="43" t="s">
        <v>978</v>
      </c>
      <c r="N36" s="3" t="s">
        <v>40</v>
      </c>
      <c r="O36" s="44" t="s">
        <v>85</v>
      </c>
      <c r="P36" s="43" t="s">
        <v>1011</v>
      </c>
      <c r="Q36" s="43" t="s">
        <v>29</v>
      </c>
      <c r="R36" s="48" t="s">
        <v>87</v>
      </c>
      <c r="S36" s="29">
        <v>804050</v>
      </c>
      <c r="T36" s="43" t="s">
        <v>89</v>
      </c>
      <c r="U36" s="30">
        <v>1.9047852000000001</v>
      </c>
      <c r="V36" s="30">
        <v>0.90478515625</v>
      </c>
      <c r="W36" s="31">
        <v>0.15904785156250001</v>
      </c>
      <c r="X36" s="32">
        <v>127882.42504882799</v>
      </c>
    </row>
    <row r="37" spans="1:24" x14ac:dyDescent="0.3">
      <c r="A37" s="22" t="s">
        <v>734</v>
      </c>
      <c r="B37" s="2" t="s">
        <v>841</v>
      </c>
      <c r="C37" s="43" t="s">
        <v>854</v>
      </c>
      <c r="D37" s="43" t="s">
        <v>888</v>
      </c>
      <c r="E37" s="43" t="s">
        <v>802</v>
      </c>
      <c r="F37" s="23" t="str">
        <f>HYPERLINK("https://mapwv.gov/flood/map/?wkid=102100&amp;x=-9129031.455629647&amp;y=4579490.177884115&amp;l=13&amp;v=2","FT")</f>
        <v>FT</v>
      </c>
      <c r="G37" s="28" t="s">
        <v>31</v>
      </c>
      <c r="H37" s="28" t="s">
        <v>24</v>
      </c>
      <c r="I37" s="43" t="s">
        <v>941</v>
      </c>
      <c r="J37" s="22" t="s">
        <v>35</v>
      </c>
      <c r="K37" s="44" t="s">
        <v>73</v>
      </c>
      <c r="L37" s="44"/>
      <c r="M37" s="43" t="s">
        <v>55</v>
      </c>
      <c r="N37" s="3" t="s">
        <v>83</v>
      </c>
      <c r="O37" s="44" t="s">
        <v>85</v>
      </c>
      <c r="P37" s="43" t="s">
        <v>1012</v>
      </c>
      <c r="Q37" s="43" t="s">
        <v>29</v>
      </c>
      <c r="R37" s="48" t="s">
        <v>87</v>
      </c>
      <c r="S37" s="29">
        <v>784906</v>
      </c>
      <c r="T37" s="43" t="s">
        <v>89</v>
      </c>
      <c r="U37" s="30">
        <v>1.1043700999999999</v>
      </c>
      <c r="V37" s="30">
        <v>0.1043701171875</v>
      </c>
      <c r="W37" s="31">
        <v>1.043701171875E-2</v>
      </c>
      <c r="X37" s="32">
        <v>8192.0731201171802</v>
      </c>
    </row>
    <row r="38" spans="1:24" x14ac:dyDescent="0.3">
      <c r="A38" s="22" t="s">
        <v>735</v>
      </c>
      <c r="B38" s="2" t="s">
        <v>841</v>
      </c>
      <c r="C38" s="43" t="s">
        <v>854</v>
      </c>
      <c r="D38" s="43" t="s">
        <v>889</v>
      </c>
      <c r="E38" s="43" t="s">
        <v>803</v>
      </c>
      <c r="F38" s="23" t="str">
        <f>HYPERLINK("https://mapwv.gov/flood/map/?wkid=102100&amp;x=-9126763.884615315&amp;y=4576506.126293198&amp;l=13&amp;v=2","FT")</f>
        <v>FT</v>
      </c>
      <c r="G38" s="28" t="s">
        <v>31</v>
      </c>
      <c r="H38" s="28" t="s">
        <v>24</v>
      </c>
      <c r="I38" s="43" t="s">
        <v>942</v>
      </c>
      <c r="J38" s="22" t="s">
        <v>25</v>
      </c>
      <c r="K38" s="44" t="s">
        <v>103</v>
      </c>
      <c r="L38" s="44" t="s">
        <v>46</v>
      </c>
      <c r="M38" s="43" t="s">
        <v>60</v>
      </c>
      <c r="N38" s="3" t="s">
        <v>34</v>
      </c>
      <c r="O38" s="44" t="s">
        <v>85</v>
      </c>
      <c r="P38" s="43" t="s">
        <v>1013</v>
      </c>
      <c r="Q38" s="43" t="s">
        <v>29</v>
      </c>
      <c r="R38" s="48" t="s">
        <v>87</v>
      </c>
      <c r="S38" s="29">
        <v>767700</v>
      </c>
      <c r="T38" s="43" t="s">
        <v>42</v>
      </c>
      <c r="U38" s="30">
        <v>0</v>
      </c>
      <c r="V38" s="30">
        <v>-1</v>
      </c>
      <c r="W38" s="31">
        <v>0</v>
      </c>
      <c r="X38" s="32">
        <v>0</v>
      </c>
    </row>
    <row r="39" spans="1:24" x14ac:dyDescent="0.3">
      <c r="A39" s="22" t="s">
        <v>736</v>
      </c>
      <c r="B39" s="2" t="s">
        <v>841</v>
      </c>
      <c r="C39" s="43" t="s">
        <v>855</v>
      </c>
      <c r="D39" s="43" t="s">
        <v>890</v>
      </c>
      <c r="E39" s="43" t="s">
        <v>804</v>
      </c>
      <c r="F39" s="23" t="str">
        <f>HYPERLINK("https://mapwv.gov/flood/map/?wkid=102100&amp;x=-9124318.86365349&amp;y=4570412.128378062&amp;l=13&amp;v=2","FT")</f>
        <v>FT</v>
      </c>
      <c r="G39" s="28" t="s">
        <v>364</v>
      </c>
      <c r="H39" s="28" t="s">
        <v>24</v>
      </c>
      <c r="I39" s="43" t="s">
        <v>943</v>
      </c>
      <c r="J39" s="22" t="s">
        <v>102</v>
      </c>
      <c r="K39" s="44" t="s">
        <v>108</v>
      </c>
      <c r="L39" s="44" t="s">
        <v>43</v>
      </c>
      <c r="M39" s="43" t="s">
        <v>980</v>
      </c>
      <c r="N39" s="3" t="s">
        <v>34</v>
      </c>
      <c r="O39" s="44" t="s">
        <v>85</v>
      </c>
      <c r="P39" s="43" t="s">
        <v>1014</v>
      </c>
      <c r="Q39" s="43" t="s">
        <v>41</v>
      </c>
      <c r="R39" s="48" t="s">
        <v>88</v>
      </c>
      <c r="S39" s="29">
        <v>706474</v>
      </c>
      <c r="T39" s="43" t="s">
        <v>89</v>
      </c>
      <c r="U39" s="30">
        <v>2.0277229999999999</v>
      </c>
      <c r="V39" s="30">
        <v>-1.9722769260406401</v>
      </c>
      <c r="W39" s="31">
        <v>0</v>
      </c>
      <c r="X39" s="32">
        <v>0</v>
      </c>
    </row>
    <row r="40" spans="1:24" x14ac:dyDescent="0.3">
      <c r="A40" s="22" t="s">
        <v>737</v>
      </c>
      <c r="B40" s="2" t="s">
        <v>841</v>
      </c>
      <c r="C40" s="43" t="s">
        <v>856</v>
      </c>
      <c r="D40" s="43" t="s">
        <v>891</v>
      </c>
      <c r="E40" s="43" t="s">
        <v>805</v>
      </c>
      <c r="F40" s="23" t="str">
        <f>HYPERLINK("https://mapwv.gov/flood/map/?wkid=102100&amp;x=-9131770.99801917&amp;y=4555179.549242948&amp;l=13&amp;v=2","FT")</f>
        <v>FT</v>
      </c>
      <c r="G40" s="28" t="s">
        <v>37</v>
      </c>
      <c r="H40" s="28" t="s">
        <v>24</v>
      </c>
      <c r="I40" s="43" t="s">
        <v>944</v>
      </c>
      <c r="J40" s="22" t="s">
        <v>25</v>
      </c>
      <c r="K40" s="44" t="s">
        <v>129</v>
      </c>
      <c r="L40" s="44" t="s">
        <v>43</v>
      </c>
      <c r="M40" s="43" t="s">
        <v>60</v>
      </c>
      <c r="N40" s="3" t="s">
        <v>34</v>
      </c>
      <c r="O40" s="44" t="s">
        <v>85</v>
      </c>
      <c r="P40" s="43" t="s">
        <v>1015</v>
      </c>
      <c r="Q40" s="43" t="s">
        <v>29</v>
      </c>
      <c r="R40" s="48" t="s">
        <v>87</v>
      </c>
      <c r="S40" s="29">
        <v>693700</v>
      </c>
      <c r="T40" s="43" t="s">
        <v>42</v>
      </c>
      <c r="U40" s="30">
        <v>0.50467569999999995</v>
      </c>
      <c r="V40" s="30">
        <v>-0.49532431364059398</v>
      </c>
      <c r="W40" s="31">
        <v>0</v>
      </c>
      <c r="X40" s="32">
        <v>0</v>
      </c>
    </row>
    <row r="41" spans="1:24" x14ac:dyDescent="0.3">
      <c r="A41" s="22" t="s">
        <v>738</v>
      </c>
      <c r="B41" s="2" t="s">
        <v>841</v>
      </c>
      <c r="C41" s="43" t="s">
        <v>845</v>
      </c>
      <c r="D41" s="43" t="s">
        <v>892</v>
      </c>
      <c r="E41" s="43" t="s">
        <v>806</v>
      </c>
      <c r="F41" s="23" t="str">
        <f>HYPERLINK("https://mapwv.gov/flood/map/?wkid=102100&amp;x=-9126516.19295969&amp;y=4551137.576629058&amp;l=13&amp;v=2","FT")</f>
        <v>FT</v>
      </c>
      <c r="G41" s="28" t="s">
        <v>31</v>
      </c>
      <c r="H41" s="28" t="s">
        <v>121</v>
      </c>
      <c r="I41" s="43" t="s">
        <v>945</v>
      </c>
      <c r="J41" s="22" t="s">
        <v>25</v>
      </c>
      <c r="K41" s="44" t="s">
        <v>117</v>
      </c>
      <c r="L41" s="44" t="s">
        <v>37</v>
      </c>
      <c r="M41" s="43" t="s">
        <v>55</v>
      </c>
      <c r="N41" s="3" t="s">
        <v>83</v>
      </c>
      <c r="O41" s="44" t="s">
        <v>85</v>
      </c>
      <c r="P41" s="43" t="s">
        <v>1016</v>
      </c>
      <c r="Q41" s="43" t="s">
        <v>29</v>
      </c>
      <c r="R41" s="48" t="s">
        <v>87</v>
      </c>
      <c r="S41" s="29">
        <v>690100</v>
      </c>
      <c r="T41" s="43" t="s">
        <v>42</v>
      </c>
      <c r="U41" s="30">
        <v>1</v>
      </c>
      <c r="V41" s="30">
        <v>0</v>
      </c>
      <c r="W41" s="31">
        <v>0</v>
      </c>
      <c r="X41" s="32">
        <v>0</v>
      </c>
    </row>
    <row r="42" spans="1:24" x14ac:dyDescent="0.3">
      <c r="A42" s="22" t="s">
        <v>739</v>
      </c>
      <c r="B42" s="2" t="s">
        <v>841</v>
      </c>
      <c r="C42" s="43" t="s">
        <v>857</v>
      </c>
      <c r="D42" s="43" t="s">
        <v>893</v>
      </c>
      <c r="E42" s="43" t="s">
        <v>807</v>
      </c>
      <c r="F42" s="23" t="str">
        <f>HYPERLINK("https://mapwv.gov/flood/map/?wkid=102100&amp;x=-9125537.028054504&amp;y=4562905.689760793&amp;l=13&amp;v=2","FT")</f>
        <v>FT</v>
      </c>
      <c r="G42" s="28" t="s">
        <v>364</v>
      </c>
      <c r="H42" s="28" t="s">
        <v>24</v>
      </c>
      <c r="I42" s="43" t="s">
        <v>946</v>
      </c>
      <c r="J42" s="22" t="s">
        <v>102</v>
      </c>
      <c r="K42" s="44" t="s">
        <v>112</v>
      </c>
      <c r="L42" s="44" t="s">
        <v>43</v>
      </c>
      <c r="M42" s="43" t="s">
        <v>55</v>
      </c>
      <c r="N42" s="3" t="s">
        <v>83</v>
      </c>
      <c r="O42" s="44" t="s">
        <v>85</v>
      </c>
      <c r="P42" s="43" t="s">
        <v>1017</v>
      </c>
      <c r="Q42" s="43" t="s">
        <v>29</v>
      </c>
      <c r="R42" s="48" t="s">
        <v>87</v>
      </c>
      <c r="S42" s="29">
        <v>653400</v>
      </c>
      <c r="T42" s="43" t="s">
        <v>30</v>
      </c>
      <c r="U42" s="30">
        <v>0.3974742</v>
      </c>
      <c r="V42" s="30">
        <v>-0.60252580046653703</v>
      </c>
      <c r="W42" s="31">
        <v>0</v>
      </c>
      <c r="X42" s="32">
        <v>0</v>
      </c>
    </row>
    <row r="43" spans="1:24" x14ac:dyDescent="0.3">
      <c r="A43" s="22" t="s">
        <v>740</v>
      </c>
      <c r="B43" s="2" t="s">
        <v>841</v>
      </c>
      <c r="C43" s="43" t="s">
        <v>850</v>
      </c>
      <c r="D43" s="43" t="s">
        <v>894</v>
      </c>
      <c r="E43" s="43" t="s">
        <v>808</v>
      </c>
      <c r="F43" s="23" t="str">
        <f>HYPERLINK("https://mapwv.gov/flood/map/?wkid=102100&amp;x=-9117503.507388012&amp;y=4553208.582520512&amp;l=13&amp;v=2","FT")</f>
        <v>FT</v>
      </c>
      <c r="G43" s="28" t="s">
        <v>37</v>
      </c>
      <c r="H43" s="28" t="s">
        <v>24</v>
      </c>
      <c r="I43" s="43" t="s">
        <v>925</v>
      </c>
      <c r="J43" s="22" t="s">
        <v>35</v>
      </c>
      <c r="K43" s="44" t="s">
        <v>73</v>
      </c>
      <c r="L43" s="44"/>
      <c r="M43" s="43" t="s">
        <v>979</v>
      </c>
      <c r="N43" s="3" t="s">
        <v>84</v>
      </c>
      <c r="O43" s="44" t="s">
        <v>85</v>
      </c>
      <c r="P43" s="43" t="s">
        <v>1018</v>
      </c>
      <c r="Q43" s="43" t="s">
        <v>29</v>
      </c>
      <c r="R43" s="48" t="s">
        <v>87</v>
      </c>
      <c r="S43" s="29">
        <v>602635</v>
      </c>
      <c r="T43" s="43" t="s">
        <v>89</v>
      </c>
      <c r="U43" s="30">
        <v>0</v>
      </c>
      <c r="V43" s="30">
        <v>-1</v>
      </c>
      <c r="W43" s="31">
        <v>0</v>
      </c>
      <c r="X43" s="32">
        <v>0</v>
      </c>
    </row>
    <row r="44" spans="1:24" x14ac:dyDescent="0.3">
      <c r="A44" s="22" t="s">
        <v>741</v>
      </c>
      <c r="B44" s="2" t="s">
        <v>842</v>
      </c>
      <c r="C44" s="43" t="s">
        <v>851</v>
      </c>
      <c r="D44" s="43" t="s">
        <v>895</v>
      </c>
      <c r="E44" s="43" t="s">
        <v>809</v>
      </c>
      <c r="F44" s="23" t="str">
        <f>HYPERLINK("https://mapwv.gov/flood/map/?wkid=102100&amp;x=-9114119.630976535&amp;y=4543171.599944943&amp;l=13&amp;v=2","FT")</f>
        <v>FT</v>
      </c>
      <c r="G44" s="28" t="s">
        <v>31</v>
      </c>
      <c r="H44" s="28" t="s">
        <v>24</v>
      </c>
      <c r="I44" s="43" t="s">
        <v>947</v>
      </c>
      <c r="J44" s="22" t="s">
        <v>25</v>
      </c>
      <c r="K44" s="44" t="s">
        <v>974</v>
      </c>
      <c r="L44" s="44" t="s">
        <v>54</v>
      </c>
      <c r="M44" s="43" t="s">
        <v>126</v>
      </c>
      <c r="N44" s="3" t="s">
        <v>34</v>
      </c>
      <c r="O44" s="44" t="s">
        <v>86</v>
      </c>
      <c r="P44" s="43" t="s">
        <v>1019</v>
      </c>
      <c r="Q44" s="43" t="s">
        <v>29</v>
      </c>
      <c r="R44" s="48" t="s">
        <v>87</v>
      </c>
      <c r="S44" s="29">
        <v>585900</v>
      </c>
      <c r="T44" s="43" t="s">
        <v>42</v>
      </c>
      <c r="U44" s="30">
        <v>1.4537354</v>
      </c>
      <c r="V44" s="30">
        <v>0.4537353515625</v>
      </c>
      <c r="W44" s="31">
        <v>4.9910888671875001E-2</v>
      </c>
      <c r="X44" s="32">
        <v>29242.789672851501</v>
      </c>
    </row>
    <row r="45" spans="1:24" x14ac:dyDescent="0.3">
      <c r="A45" s="22" t="s">
        <v>742</v>
      </c>
      <c r="B45" s="2" t="s">
        <v>841</v>
      </c>
      <c r="C45" s="43" t="s">
        <v>851</v>
      </c>
      <c r="D45" s="43" t="s">
        <v>896</v>
      </c>
      <c r="E45" s="43" t="s">
        <v>810</v>
      </c>
      <c r="F45" s="23" t="str">
        <f>HYPERLINK("https://mapwv.gov/flood/map/?wkid=102100&amp;x=-9096329.753544288&amp;y=4550815.685707001&amp;l=13&amp;v=2","FT")</f>
        <v>FT</v>
      </c>
      <c r="G45" s="28" t="s">
        <v>37</v>
      </c>
      <c r="H45" s="28" t="s">
        <v>24</v>
      </c>
      <c r="I45" s="43" t="s">
        <v>948</v>
      </c>
      <c r="J45" s="22" t="s">
        <v>25</v>
      </c>
      <c r="K45" s="44" t="s">
        <v>420</v>
      </c>
      <c r="L45" s="44" t="s">
        <v>43</v>
      </c>
      <c r="M45" s="43" t="s">
        <v>45</v>
      </c>
      <c r="N45" s="3" t="s">
        <v>34</v>
      </c>
      <c r="O45" s="44" t="s">
        <v>85</v>
      </c>
      <c r="P45" s="43" t="s">
        <v>1020</v>
      </c>
      <c r="Q45" s="43" t="s">
        <v>29</v>
      </c>
      <c r="R45" s="48" t="s">
        <v>87</v>
      </c>
      <c r="S45" s="29">
        <v>581100</v>
      </c>
      <c r="T45" s="43" t="s">
        <v>42</v>
      </c>
      <c r="U45" s="30">
        <v>0</v>
      </c>
      <c r="V45" s="30">
        <v>-1</v>
      </c>
      <c r="W45" s="31">
        <v>0</v>
      </c>
      <c r="X45" s="32">
        <v>0</v>
      </c>
    </row>
    <row r="46" spans="1:24" x14ac:dyDescent="0.3">
      <c r="A46" s="22" t="s">
        <v>743</v>
      </c>
      <c r="B46" s="2" t="s">
        <v>841</v>
      </c>
      <c r="C46" s="43" t="s">
        <v>845</v>
      </c>
      <c r="D46" s="43" t="s">
        <v>897</v>
      </c>
      <c r="E46" s="43" t="s">
        <v>811</v>
      </c>
      <c r="F46" s="23" t="str">
        <f>HYPERLINK("https://mapwv.gov/flood/map/?wkid=102100&amp;x=-9127213.702187326&amp;y=4549144.658774827&amp;l=13&amp;v=2","FT")</f>
        <v>FT</v>
      </c>
      <c r="G46" s="28" t="s">
        <v>31</v>
      </c>
      <c r="H46" s="28" t="s">
        <v>121</v>
      </c>
      <c r="I46" s="43" t="s">
        <v>949</v>
      </c>
      <c r="J46" s="22" t="s">
        <v>25</v>
      </c>
      <c r="K46" s="44" t="s">
        <v>435</v>
      </c>
      <c r="L46" s="44" t="s">
        <v>975</v>
      </c>
      <c r="M46" s="43" t="s">
        <v>61</v>
      </c>
      <c r="N46" s="3" t="s">
        <v>82</v>
      </c>
      <c r="O46" s="44" t="s">
        <v>85</v>
      </c>
      <c r="P46" s="43" t="s">
        <v>1021</v>
      </c>
      <c r="Q46" s="43" t="s">
        <v>29</v>
      </c>
      <c r="R46" s="48" t="s">
        <v>87</v>
      </c>
      <c r="S46" s="29">
        <v>576700</v>
      </c>
      <c r="T46" s="43" t="s">
        <v>42</v>
      </c>
      <c r="U46" s="30">
        <v>4.1959840000000002</v>
      </c>
      <c r="V46" s="30">
        <v>3.19598388671875</v>
      </c>
      <c r="W46" s="31">
        <v>0.11195983886718701</v>
      </c>
      <c r="X46" s="32">
        <v>64567.239074707002</v>
      </c>
    </row>
    <row r="47" spans="1:24" x14ac:dyDescent="0.3">
      <c r="A47" s="22" t="s">
        <v>744</v>
      </c>
      <c r="B47" s="2" t="s">
        <v>841</v>
      </c>
      <c r="C47" s="43" t="s">
        <v>844</v>
      </c>
      <c r="D47" s="43" t="s">
        <v>898</v>
      </c>
      <c r="E47" s="43" t="s">
        <v>812</v>
      </c>
      <c r="F47" s="23" t="str">
        <f>HYPERLINK("https://mapwv.gov/flood/map/?wkid=102100&amp;x=-9113445.502070233&amp;y=4541239.157094717&amp;l=13&amp;v=2","FT")</f>
        <v>FT</v>
      </c>
      <c r="G47" s="28" t="s">
        <v>31</v>
      </c>
      <c r="H47" s="28" t="s">
        <v>24</v>
      </c>
      <c r="I47" s="43" t="s">
        <v>950</v>
      </c>
      <c r="J47" s="22" t="s">
        <v>25</v>
      </c>
      <c r="K47" s="44" t="s">
        <v>108</v>
      </c>
      <c r="L47" s="44"/>
      <c r="M47" s="43" t="s">
        <v>45</v>
      </c>
      <c r="N47" s="3" t="s">
        <v>34</v>
      </c>
      <c r="O47" s="44" t="s">
        <v>85</v>
      </c>
      <c r="P47" s="43" t="s">
        <v>1022</v>
      </c>
      <c r="Q47" s="43" t="s">
        <v>29</v>
      </c>
      <c r="R47" s="48" t="s">
        <v>87</v>
      </c>
      <c r="S47" s="29">
        <v>555490</v>
      </c>
      <c r="T47" s="43" t="s">
        <v>89</v>
      </c>
      <c r="U47" s="30">
        <v>0</v>
      </c>
      <c r="V47" s="30">
        <v>-1</v>
      </c>
      <c r="W47" s="31">
        <v>0</v>
      </c>
      <c r="X47" s="32">
        <v>0</v>
      </c>
    </row>
    <row r="48" spans="1:24" x14ac:dyDescent="0.3">
      <c r="A48" s="22" t="s">
        <v>745</v>
      </c>
      <c r="B48" s="2" t="s">
        <v>839</v>
      </c>
      <c r="C48" s="43" t="s">
        <v>224</v>
      </c>
      <c r="D48" s="43" t="s">
        <v>870</v>
      </c>
      <c r="E48" s="43" t="s">
        <v>813</v>
      </c>
      <c r="F48" s="23" t="str">
        <f>HYPERLINK("https://mapwv.gov/flood/map/?wkid=102100&amp;x=-9130153.93302464&amp;y=4575600.168877924&amp;l=13&amp;v=2","FT")</f>
        <v>FT</v>
      </c>
      <c r="G48" s="28" t="s">
        <v>31</v>
      </c>
      <c r="H48" s="28" t="s">
        <v>24</v>
      </c>
      <c r="I48" s="43" t="s">
        <v>926</v>
      </c>
      <c r="J48" s="22" t="s">
        <v>25</v>
      </c>
      <c r="K48" s="44" t="s">
        <v>90</v>
      </c>
      <c r="L48" s="44" t="s">
        <v>430</v>
      </c>
      <c r="M48" s="43" t="s">
        <v>53</v>
      </c>
      <c r="N48" s="3" t="s">
        <v>34</v>
      </c>
      <c r="O48" s="44" t="s">
        <v>85</v>
      </c>
      <c r="P48" s="43" t="s">
        <v>1023</v>
      </c>
      <c r="Q48" s="43" t="s">
        <v>29</v>
      </c>
      <c r="R48" s="48" t="s">
        <v>87</v>
      </c>
      <c r="S48" s="29">
        <v>551200</v>
      </c>
      <c r="T48" s="43" t="s">
        <v>30</v>
      </c>
      <c r="U48" s="30">
        <v>0</v>
      </c>
      <c r="V48" s="30">
        <v>-1</v>
      </c>
      <c r="W48" s="31">
        <v>0</v>
      </c>
      <c r="X48" s="32">
        <v>0</v>
      </c>
    </row>
    <row r="49" spans="1:24" x14ac:dyDescent="0.3">
      <c r="A49" s="22" t="s">
        <v>746</v>
      </c>
      <c r="B49" s="2" t="s">
        <v>841</v>
      </c>
      <c r="C49" s="43" t="s">
        <v>629</v>
      </c>
      <c r="D49" s="43" t="s">
        <v>899</v>
      </c>
      <c r="E49" s="43" t="s">
        <v>814</v>
      </c>
      <c r="F49" s="23" t="str">
        <f>HYPERLINK("https://mapwv.gov/flood/map/?wkid=102100&amp;x=-9143782.417050712&amp;y=4571716.92309974&amp;l=13&amp;v=2","FT")</f>
        <v>FT</v>
      </c>
      <c r="G49" s="28" t="s">
        <v>31</v>
      </c>
      <c r="H49" s="28" t="s">
        <v>24</v>
      </c>
      <c r="I49" s="43" t="s">
        <v>951</v>
      </c>
      <c r="J49" s="22" t="s">
        <v>25</v>
      </c>
      <c r="K49" s="44" t="s">
        <v>96</v>
      </c>
      <c r="L49" s="44" t="s">
        <v>50</v>
      </c>
      <c r="M49" s="43" t="s">
        <v>61</v>
      </c>
      <c r="N49" s="3" t="s">
        <v>82</v>
      </c>
      <c r="O49" s="44" t="s">
        <v>85</v>
      </c>
      <c r="P49" s="43" t="s">
        <v>1024</v>
      </c>
      <c r="Q49" s="43" t="s">
        <v>29</v>
      </c>
      <c r="R49" s="48" t="s">
        <v>87</v>
      </c>
      <c r="S49" s="29">
        <v>538400</v>
      </c>
      <c r="T49" s="43" t="s">
        <v>30</v>
      </c>
      <c r="U49" s="30">
        <v>0</v>
      </c>
      <c r="V49" s="30">
        <v>-1</v>
      </c>
      <c r="W49" s="31">
        <v>0</v>
      </c>
      <c r="X49" s="32">
        <v>0</v>
      </c>
    </row>
    <row r="50" spans="1:24" x14ac:dyDescent="0.3">
      <c r="A50" s="22" t="s">
        <v>747</v>
      </c>
      <c r="B50" s="2" t="s">
        <v>841</v>
      </c>
      <c r="C50" s="43" t="s">
        <v>845</v>
      </c>
      <c r="D50" s="43" t="s">
        <v>900</v>
      </c>
      <c r="E50" s="43" t="s">
        <v>815</v>
      </c>
      <c r="F50" s="23" t="str">
        <f>HYPERLINK("https://mapwv.gov/flood/map/?wkid=102100&amp;x=-9126411.609522602&amp;y=4551390.810233122&amp;l=13&amp;v=2","FT")</f>
        <v>FT</v>
      </c>
      <c r="G50" s="28" t="s">
        <v>31</v>
      </c>
      <c r="H50" s="28" t="s">
        <v>121</v>
      </c>
      <c r="I50" s="43" t="s">
        <v>952</v>
      </c>
      <c r="J50" s="22" t="s">
        <v>25</v>
      </c>
      <c r="K50" s="44" t="s">
        <v>80</v>
      </c>
      <c r="L50" s="44" t="s">
        <v>37</v>
      </c>
      <c r="M50" s="43" t="s">
        <v>55</v>
      </c>
      <c r="N50" s="3" t="s">
        <v>83</v>
      </c>
      <c r="O50" s="44" t="s">
        <v>85</v>
      </c>
      <c r="P50" s="43" t="s">
        <v>1025</v>
      </c>
      <c r="Q50" s="43" t="s">
        <v>29</v>
      </c>
      <c r="R50" s="48" t="s">
        <v>87</v>
      </c>
      <c r="S50" s="29">
        <v>529000</v>
      </c>
      <c r="T50" s="43" t="s">
        <v>42</v>
      </c>
      <c r="U50" s="30">
        <v>3.0777587999999998</v>
      </c>
      <c r="V50" s="30">
        <v>2.0777587890625</v>
      </c>
      <c r="W50" s="31">
        <v>0.11</v>
      </c>
      <c r="X50" s="32">
        <v>58190</v>
      </c>
    </row>
    <row r="51" spans="1:24" x14ac:dyDescent="0.3">
      <c r="A51" s="22" t="s">
        <v>748</v>
      </c>
      <c r="B51" s="2" t="s">
        <v>841</v>
      </c>
      <c r="C51" s="43" t="s">
        <v>846</v>
      </c>
      <c r="D51" s="43" t="s">
        <v>901</v>
      </c>
      <c r="E51" s="43" t="s">
        <v>816</v>
      </c>
      <c r="F51" s="23" t="str">
        <f>HYPERLINK("https://mapwv.gov/flood/map/?wkid=102100&amp;x=-9136469.930871166&amp;y=4555215.037063718&amp;l=13&amp;v=2","FT")</f>
        <v>FT</v>
      </c>
      <c r="G51" s="28" t="s">
        <v>31</v>
      </c>
      <c r="H51" s="28" t="s">
        <v>24</v>
      </c>
      <c r="I51" s="43" t="s">
        <v>953</v>
      </c>
      <c r="J51" s="22" t="s">
        <v>25</v>
      </c>
      <c r="K51" s="44" t="s">
        <v>128</v>
      </c>
      <c r="L51" s="44" t="s">
        <v>26</v>
      </c>
      <c r="M51" s="43" t="s">
        <v>60</v>
      </c>
      <c r="N51" s="3" t="s">
        <v>34</v>
      </c>
      <c r="O51" s="44" t="s">
        <v>85</v>
      </c>
      <c r="P51" s="43" t="s">
        <v>1026</v>
      </c>
      <c r="Q51" s="43" t="s">
        <v>29</v>
      </c>
      <c r="R51" s="48" t="s">
        <v>87</v>
      </c>
      <c r="S51" s="29">
        <v>485800</v>
      </c>
      <c r="T51" s="43" t="s">
        <v>30</v>
      </c>
      <c r="U51" s="30">
        <v>0</v>
      </c>
      <c r="V51" s="30">
        <v>-1</v>
      </c>
      <c r="W51" s="31">
        <v>0</v>
      </c>
      <c r="X51" s="32">
        <v>0</v>
      </c>
    </row>
    <row r="52" spans="1:24" x14ac:dyDescent="0.3">
      <c r="A52" s="22" t="s">
        <v>749</v>
      </c>
      <c r="B52" s="2" t="s">
        <v>841</v>
      </c>
      <c r="C52" s="43" t="s">
        <v>856</v>
      </c>
      <c r="D52" s="43" t="s">
        <v>902</v>
      </c>
      <c r="E52" s="43" t="s">
        <v>817</v>
      </c>
      <c r="F52" s="23" t="str">
        <f>HYPERLINK("https://mapwv.gov/flood/map/?wkid=102100&amp;x=-9133499.306139318&amp;y=4551051.363896522&amp;l=13&amp;v=2","FT")</f>
        <v>FT</v>
      </c>
      <c r="G52" s="28" t="s">
        <v>37</v>
      </c>
      <c r="H52" s="28" t="s">
        <v>24</v>
      </c>
      <c r="I52" s="43" t="s">
        <v>954</v>
      </c>
      <c r="J52" s="22" t="s">
        <v>35</v>
      </c>
      <c r="K52" s="44" t="s">
        <v>73</v>
      </c>
      <c r="L52" s="44"/>
      <c r="M52" s="43" t="s">
        <v>55</v>
      </c>
      <c r="N52" s="3" t="s">
        <v>83</v>
      </c>
      <c r="O52" s="44" t="s">
        <v>85</v>
      </c>
      <c r="P52" s="43" t="s">
        <v>1017</v>
      </c>
      <c r="Q52" s="43" t="s">
        <v>29</v>
      </c>
      <c r="R52" s="48" t="s">
        <v>87</v>
      </c>
      <c r="S52" s="29">
        <v>468175</v>
      </c>
      <c r="T52" s="43" t="s">
        <v>89</v>
      </c>
      <c r="U52" s="30">
        <v>1.4569175999999999</v>
      </c>
      <c r="V52" s="30">
        <v>0.45691764354705799</v>
      </c>
      <c r="W52" s="31">
        <v>4.5691764354705802E-2</v>
      </c>
      <c r="X52" s="32">
        <v>21391.741776764298</v>
      </c>
    </row>
    <row r="53" spans="1:24" x14ac:dyDescent="0.3">
      <c r="A53" s="22" t="s">
        <v>750</v>
      </c>
      <c r="B53" s="2" t="s">
        <v>841</v>
      </c>
      <c r="C53" s="43" t="s">
        <v>846</v>
      </c>
      <c r="D53" s="43" t="s">
        <v>903</v>
      </c>
      <c r="E53" s="43" t="s">
        <v>818</v>
      </c>
      <c r="F53" s="23" t="str">
        <f>HYPERLINK("https://mapwv.gov/flood/map/?wkid=102100&amp;x=-9132844.271531316&amp;y=4555629.381930538&amp;l=13&amp;v=2","FT")</f>
        <v>FT</v>
      </c>
      <c r="G53" s="28" t="s">
        <v>31</v>
      </c>
      <c r="H53" s="28" t="s">
        <v>24</v>
      </c>
      <c r="I53" s="43" t="s">
        <v>955</v>
      </c>
      <c r="J53" s="22" t="s">
        <v>25</v>
      </c>
      <c r="K53" s="44" t="s">
        <v>75</v>
      </c>
      <c r="L53" s="44" t="s">
        <v>46</v>
      </c>
      <c r="M53" s="43" t="s">
        <v>61</v>
      </c>
      <c r="N53" s="3" t="s">
        <v>82</v>
      </c>
      <c r="O53" s="44" t="s">
        <v>86</v>
      </c>
      <c r="P53" s="43" t="s">
        <v>1027</v>
      </c>
      <c r="Q53" s="43" t="s">
        <v>29</v>
      </c>
      <c r="R53" s="48" t="s">
        <v>87</v>
      </c>
      <c r="S53" s="29">
        <v>452600</v>
      </c>
      <c r="T53" s="43" t="s">
        <v>42</v>
      </c>
      <c r="U53" s="30">
        <v>0</v>
      </c>
      <c r="V53" s="30">
        <v>-1</v>
      </c>
      <c r="W53" s="31">
        <v>0</v>
      </c>
      <c r="X53" s="32">
        <v>0</v>
      </c>
    </row>
    <row r="54" spans="1:24" x14ac:dyDescent="0.3">
      <c r="A54" s="22" t="s">
        <v>751</v>
      </c>
      <c r="B54" s="2" t="s">
        <v>841</v>
      </c>
      <c r="C54" s="43" t="s">
        <v>850</v>
      </c>
      <c r="D54" s="43" t="s">
        <v>904</v>
      </c>
      <c r="E54" s="43" t="s">
        <v>819</v>
      </c>
      <c r="F54" s="23" t="str">
        <f>HYPERLINK("https://mapwv.gov/flood/map/?wkid=102100&amp;x=-9120806.827783933&amp;y=4553105.618006609&amp;l=13&amp;v=2","FT")</f>
        <v>FT</v>
      </c>
      <c r="G54" s="28" t="s">
        <v>31</v>
      </c>
      <c r="H54" s="28" t="s">
        <v>24</v>
      </c>
      <c r="I54" s="43" t="s">
        <v>956</v>
      </c>
      <c r="J54" s="22" t="s">
        <v>25</v>
      </c>
      <c r="K54" s="44" t="s">
        <v>108</v>
      </c>
      <c r="L54" s="44"/>
      <c r="M54" s="43" t="s">
        <v>60</v>
      </c>
      <c r="N54" s="3" t="s">
        <v>34</v>
      </c>
      <c r="O54" s="44" t="s">
        <v>85</v>
      </c>
      <c r="P54" s="43" t="s">
        <v>1028</v>
      </c>
      <c r="Q54" s="43" t="s">
        <v>29</v>
      </c>
      <c r="R54" s="48" t="s">
        <v>87</v>
      </c>
      <c r="S54" s="29">
        <v>437235</v>
      </c>
      <c r="T54" s="43" t="s">
        <v>89</v>
      </c>
      <c r="U54" s="30">
        <v>0</v>
      </c>
      <c r="V54" s="30">
        <v>-1</v>
      </c>
      <c r="W54" s="31">
        <v>0</v>
      </c>
      <c r="X54" s="32">
        <v>0</v>
      </c>
    </row>
    <row r="55" spans="1:24" x14ac:dyDescent="0.3">
      <c r="A55" s="22" t="s">
        <v>752</v>
      </c>
      <c r="B55" s="2" t="s">
        <v>841</v>
      </c>
      <c r="C55" s="43" t="s">
        <v>844</v>
      </c>
      <c r="D55" s="43" t="s">
        <v>898</v>
      </c>
      <c r="E55" s="43" t="s">
        <v>820</v>
      </c>
      <c r="F55" s="23" t="str">
        <f>HYPERLINK("https://mapwv.gov/flood/map/?wkid=102100&amp;x=-9113373.559177639&amp;y=4541254.800573674&amp;l=13&amp;v=2","FT")</f>
        <v>FT</v>
      </c>
      <c r="G55" s="28" t="s">
        <v>31</v>
      </c>
      <c r="H55" s="28" t="s">
        <v>24</v>
      </c>
      <c r="I55" s="43" t="s">
        <v>950</v>
      </c>
      <c r="J55" s="22" t="s">
        <v>25</v>
      </c>
      <c r="K55" s="44" t="s">
        <v>108</v>
      </c>
      <c r="L55" s="44"/>
      <c r="M55" s="43" t="s">
        <v>52</v>
      </c>
      <c r="N55" s="3" t="s">
        <v>34</v>
      </c>
      <c r="O55" s="44" t="s">
        <v>85</v>
      </c>
      <c r="P55" s="43" t="s">
        <v>1029</v>
      </c>
      <c r="Q55" s="43" t="s">
        <v>29</v>
      </c>
      <c r="R55" s="48" t="s">
        <v>87</v>
      </c>
      <c r="S55" s="29">
        <v>421358</v>
      </c>
      <c r="T55" s="43" t="s">
        <v>89</v>
      </c>
      <c r="U55" s="30">
        <v>0</v>
      </c>
      <c r="V55" s="30">
        <v>-1</v>
      </c>
      <c r="W55" s="31">
        <v>0</v>
      </c>
      <c r="X55" s="32">
        <v>0</v>
      </c>
    </row>
    <row r="56" spans="1:24" x14ac:dyDescent="0.3">
      <c r="A56" s="22" t="s">
        <v>753</v>
      </c>
      <c r="B56" s="2" t="s">
        <v>841</v>
      </c>
      <c r="C56" s="43" t="s">
        <v>856</v>
      </c>
      <c r="D56" s="43" t="s">
        <v>905</v>
      </c>
      <c r="E56" s="43" t="s">
        <v>821</v>
      </c>
      <c r="F56" s="23" t="str">
        <f>HYPERLINK("https://mapwv.gov/flood/map/?wkid=102100&amp;x=-9133579.182883345&amp;y=4550975.818877744&amp;l=13&amp;v=2","FT")</f>
        <v>FT</v>
      </c>
      <c r="G56" s="28" t="s">
        <v>37</v>
      </c>
      <c r="H56" s="28" t="s">
        <v>24</v>
      </c>
      <c r="I56" s="43" t="s">
        <v>954</v>
      </c>
      <c r="J56" s="22" t="s">
        <v>25</v>
      </c>
      <c r="K56" s="44" t="s">
        <v>108</v>
      </c>
      <c r="L56" s="44"/>
      <c r="M56" s="43" t="s">
        <v>55</v>
      </c>
      <c r="N56" s="3" t="s">
        <v>83</v>
      </c>
      <c r="O56" s="44" t="s">
        <v>85</v>
      </c>
      <c r="P56" s="43" t="s">
        <v>1029</v>
      </c>
      <c r="Q56" s="43" t="s">
        <v>29</v>
      </c>
      <c r="R56" s="48" t="s">
        <v>87</v>
      </c>
      <c r="S56" s="29">
        <v>421358</v>
      </c>
      <c r="T56" s="43" t="s">
        <v>89</v>
      </c>
      <c r="U56" s="30">
        <v>2.0865045000000002</v>
      </c>
      <c r="V56" s="30">
        <v>1.0865044593811</v>
      </c>
      <c r="W56" s="31">
        <v>0.100865044593811</v>
      </c>
      <c r="X56" s="32">
        <v>42500.293459959001</v>
      </c>
    </row>
    <row r="57" spans="1:24" x14ac:dyDescent="0.3">
      <c r="A57" s="22" t="s">
        <v>754</v>
      </c>
      <c r="B57" s="2" t="s">
        <v>841</v>
      </c>
      <c r="C57" s="43" t="s">
        <v>854</v>
      </c>
      <c r="D57" s="43" t="s">
        <v>906</v>
      </c>
      <c r="E57" s="43" t="s">
        <v>822</v>
      </c>
      <c r="F57" s="23" t="str">
        <f>HYPERLINK("https://mapwv.gov/flood/map/?wkid=102100&amp;x=-9127470.260106435&amp;y=4576982.928362099&amp;l=13&amp;v=2","FT")</f>
        <v>FT</v>
      </c>
      <c r="G57" s="28" t="s">
        <v>31</v>
      </c>
      <c r="H57" s="28" t="s">
        <v>24</v>
      </c>
      <c r="I57" s="43" t="s">
        <v>957</v>
      </c>
      <c r="J57" s="22" t="s">
        <v>25</v>
      </c>
      <c r="K57" s="44" t="s">
        <v>112</v>
      </c>
      <c r="L57" s="44" t="s">
        <v>26</v>
      </c>
      <c r="M57" s="43" t="s">
        <v>53</v>
      </c>
      <c r="N57" s="3" t="s">
        <v>34</v>
      </c>
      <c r="O57" s="44" t="s">
        <v>85</v>
      </c>
      <c r="P57" s="43" t="s">
        <v>1030</v>
      </c>
      <c r="Q57" s="43" t="s">
        <v>29</v>
      </c>
      <c r="R57" s="48" t="s">
        <v>87</v>
      </c>
      <c r="S57" s="29">
        <v>409900</v>
      </c>
      <c r="T57" s="43" t="s">
        <v>30</v>
      </c>
      <c r="U57" s="30">
        <v>0.42260742000000001</v>
      </c>
      <c r="V57" s="30">
        <v>-0.577392578125</v>
      </c>
      <c r="W57" s="31">
        <v>8.4521484374999907E-3</v>
      </c>
      <c r="X57" s="32">
        <v>3464.53564453124</v>
      </c>
    </row>
    <row r="58" spans="1:24" x14ac:dyDescent="0.3">
      <c r="A58" s="22" t="s">
        <v>755</v>
      </c>
      <c r="B58" s="2" t="s">
        <v>841</v>
      </c>
      <c r="C58" s="43" t="s">
        <v>847</v>
      </c>
      <c r="D58" s="43" t="s">
        <v>907</v>
      </c>
      <c r="E58" s="43" t="s">
        <v>823</v>
      </c>
      <c r="F58" s="23" t="str">
        <f>HYPERLINK("https://mapwv.gov/flood/map/?wkid=102100&amp;x=-9133186.384490352&amp;y=4557779.350011268&amp;l=13&amp;v=2","FT")</f>
        <v>FT</v>
      </c>
      <c r="G58" s="28" t="s">
        <v>31</v>
      </c>
      <c r="H58" s="28" t="s">
        <v>121</v>
      </c>
      <c r="I58" s="43" t="s">
        <v>958</v>
      </c>
      <c r="J58" s="22" t="s">
        <v>25</v>
      </c>
      <c r="K58" s="44" t="s">
        <v>91</v>
      </c>
      <c r="L58" s="44" t="s">
        <v>37</v>
      </c>
      <c r="M58" s="43" t="s">
        <v>55</v>
      </c>
      <c r="N58" s="3" t="s">
        <v>83</v>
      </c>
      <c r="O58" s="44" t="s">
        <v>85</v>
      </c>
      <c r="P58" s="43" t="s">
        <v>134</v>
      </c>
      <c r="Q58" s="43" t="s">
        <v>29</v>
      </c>
      <c r="R58" s="48" t="s">
        <v>87</v>
      </c>
      <c r="S58" s="29">
        <v>397000</v>
      </c>
      <c r="T58" s="43" t="s">
        <v>42</v>
      </c>
      <c r="U58" s="30">
        <v>1</v>
      </c>
      <c r="V58" s="30">
        <v>0</v>
      </c>
      <c r="W58" s="31">
        <v>0</v>
      </c>
      <c r="X58" s="32">
        <v>0</v>
      </c>
    </row>
    <row r="59" spans="1:24" x14ac:dyDescent="0.3">
      <c r="A59" s="22" t="s">
        <v>756</v>
      </c>
      <c r="B59" s="2" t="s">
        <v>841</v>
      </c>
      <c r="C59" s="43" t="s">
        <v>846</v>
      </c>
      <c r="D59" s="43" t="s">
        <v>908</v>
      </c>
      <c r="E59" s="43" t="s">
        <v>824</v>
      </c>
      <c r="F59" s="23" t="str">
        <f>HYPERLINK("https://mapwv.gov/flood/map/?wkid=102100&amp;x=-9129808.011714505&amp;y=4557560.6091424385&amp;l=13&amp;v=2","FT")</f>
        <v>FT</v>
      </c>
      <c r="G59" s="28" t="s">
        <v>31</v>
      </c>
      <c r="H59" s="28" t="s">
        <v>24</v>
      </c>
      <c r="I59" s="43" t="s">
        <v>959</v>
      </c>
      <c r="J59" s="22" t="s">
        <v>25</v>
      </c>
      <c r="K59" s="44" t="s">
        <v>976</v>
      </c>
      <c r="L59" s="44" t="s">
        <v>26</v>
      </c>
      <c r="M59" s="43" t="s">
        <v>45</v>
      </c>
      <c r="N59" s="3" t="s">
        <v>34</v>
      </c>
      <c r="O59" s="44" t="s">
        <v>86</v>
      </c>
      <c r="P59" s="43" t="s">
        <v>1031</v>
      </c>
      <c r="Q59" s="43" t="s">
        <v>29</v>
      </c>
      <c r="R59" s="48" t="s">
        <v>87</v>
      </c>
      <c r="S59" s="29">
        <v>394600</v>
      </c>
      <c r="T59" s="43" t="s">
        <v>42</v>
      </c>
      <c r="U59" s="30">
        <v>5.5307617000000002</v>
      </c>
      <c r="V59" s="30">
        <v>4.53076171875</v>
      </c>
      <c r="W59" s="31">
        <v>0.190615234375</v>
      </c>
      <c r="X59" s="32">
        <v>75216.771484375</v>
      </c>
    </row>
    <row r="60" spans="1:24" x14ac:dyDescent="0.3">
      <c r="A60" s="22" t="s">
        <v>757</v>
      </c>
      <c r="B60" s="2" t="s">
        <v>843</v>
      </c>
      <c r="C60" s="43" t="s">
        <v>224</v>
      </c>
      <c r="D60" s="43" t="s">
        <v>909</v>
      </c>
      <c r="E60" s="43" t="s">
        <v>825</v>
      </c>
      <c r="F60" s="23" t="str">
        <f>HYPERLINK("https://mapwv.gov/flood/map/?wkid=102100&amp;x=-9125937.155166171&amp;y=4566737.0103744315&amp;l=13&amp;v=2","FT")</f>
        <v>FT</v>
      </c>
      <c r="G60" s="28" t="s">
        <v>31</v>
      </c>
      <c r="H60" s="28" t="s">
        <v>24</v>
      </c>
      <c r="I60" s="43" t="s">
        <v>960</v>
      </c>
      <c r="J60" s="22" t="s">
        <v>25</v>
      </c>
      <c r="K60" s="44" t="s">
        <v>101</v>
      </c>
      <c r="L60" s="44" t="s">
        <v>37</v>
      </c>
      <c r="M60" s="43" t="s">
        <v>39</v>
      </c>
      <c r="N60" s="3" t="s">
        <v>40</v>
      </c>
      <c r="O60" s="44" t="s">
        <v>86</v>
      </c>
      <c r="P60" s="43" t="s">
        <v>1032</v>
      </c>
      <c r="Q60" s="43" t="s">
        <v>49</v>
      </c>
      <c r="R60" s="48" t="s">
        <v>88</v>
      </c>
      <c r="S60" s="29">
        <v>381600</v>
      </c>
      <c r="T60" s="43" t="s">
        <v>42</v>
      </c>
      <c r="U60" s="30">
        <v>0</v>
      </c>
      <c r="V60" s="30">
        <v>-4</v>
      </c>
      <c r="W60" s="31">
        <v>0</v>
      </c>
      <c r="X60" s="32">
        <v>0</v>
      </c>
    </row>
    <row r="61" spans="1:24" x14ac:dyDescent="0.3">
      <c r="A61" s="22" t="s">
        <v>758</v>
      </c>
      <c r="B61" s="2" t="s">
        <v>841</v>
      </c>
      <c r="C61" s="43" t="s">
        <v>850</v>
      </c>
      <c r="D61" s="43" t="s">
        <v>894</v>
      </c>
      <c r="E61" s="43" t="s">
        <v>826</v>
      </c>
      <c r="F61" s="23" t="str">
        <f>HYPERLINK("https://mapwv.gov/flood/map/?wkid=102100&amp;x=-9117944.569904711&amp;y=4553226.337074353&amp;l=13&amp;v=2","FT")</f>
        <v>FT</v>
      </c>
      <c r="G61" s="28" t="s">
        <v>37</v>
      </c>
      <c r="H61" s="28" t="s">
        <v>24</v>
      </c>
      <c r="I61" s="43" t="s">
        <v>925</v>
      </c>
      <c r="J61" s="22" t="s">
        <v>35</v>
      </c>
      <c r="K61" s="44" t="s">
        <v>73</v>
      </c>
      <c r="L61" s="44"/>
      <c r="M61" s="43" t="s">
        <v>979</v>
      </c>
      <c r="N61" s="3" t="s">
        <v>84</v>
      </c>
      <c r="O61" s="44" t="s">
        <v>85</v>
      </c>
      <c r="P61" s="43" t="s">
        <v>1033</v>
      </c>
      <c r="Q61" s="43" t="s">
        <v>29</v>
      </c>
      <c r="R61" s="48" t="s">
        <v>87</v>
      </c>
      <c r="S61" s="29">
        <v>377723</v>
      </c>
      <c r="T61" s="43" t="s">
        <v>89</v>
      </c>
      <c r="U61" s="30">
        <v>0</v>
      </c>
      <c r="V61" s="30">
        <v>-1</v>
      </c>
      <c r="W61" s="31">
        <v>0</v>
      </c>
      <c r="X61" s="32">
        <v>0</v>
      </c>
    </row>
    <row r="62" spans="1:24" x14ac:dyDescent="0.3">
      <c r="A62" s="22" t="s">
        <v>759</v>
      </c>
      <c r="B62" s="2" t="s">
        <v>841</v>
      </c>
      <c r="C62" s="43" t="s">
        <v>855</v>
      </c>
      <c r="D62" s="43" t="s">
        <v>890</v>
      </c>
      <c r="E62" s="43" t="s">
        <v>827</v>
      </c>
      <c r="F62" s="23" t="str">
        <f>HYPERLINK("https://mapwv.gov/flood/map/?wkid=102100&amp;x=-9124348.54142974&amp;y=4570395.641114228&amp;l=13&amp;v=2","FT")</f>
        <v>FT</v>
      </c>
      <c r="G62" s="28" t="s">
        <v>37</v>
      </c>
      <c r="H62" s="28" t="s">
        <v>24</v>
      </c>
      <c r="I62" s="43" t="s">
        <v>943</v>
      </c>
      <c r="J62" s="22" t="s">
        <v>25</v>
      </c>
      <c r="K62" s="44" t="s">
        <v>108</v>
      </c>
      <c r="L62" s="44" t="s">
        <v>43</v>
      </c>
      <c r="M62" s="43" t="s">
        <v>980</v>
      </c>
      <c r="N62" s="3" t="s">
        <v>34</v>
      </c>
      <c r="O62" s="44" t="s">
        <v>85</v>
      </c>
      <c r="P62" s="43" t="s">
        <v>1034</v>
      </c>
      <c r="Q62" s="43" t="s">
        <v>41</v>
      </c>
      <c r="R62" s="48" t="s">
        <v>88</v>
      </c>
      <c r="S62" s="29">
        <v>360013</v>
      </c>
      <c r="T62" s="43" t="s">
        <v>89</v>
      </c>
      <c r="U62" s="30">
        <v>1.5285135999999999</v>
      </c>
      <c r="V62" s="30">
        <v>-2.4714864492416302</v>
      </c>
      <c r="W62" s="31">
        <v>0</v>
      </c>
      <c r="X62" s="32">
        <v>0</v>
      </c>
    </row>
    <row r="63" spans="1:24" x14ac:dyDescent="0.3">
      <c r="A63" s="22" t="s">
        <v>760</v>
      </c>
      <c r="B63" s="2" t="s">
        <v>841</v>
      </c>
      <c r="C63" s="43" t="s">
        <v>844</v>
      </c>
      <c r="D63" s="43" t="s">
        <v>910</v>
      </c>
      <c r="E63" s="43" t="s">
        <v>828</v>
      </c>
      <c r="F63" s="23" t="str">
        <f>HYPERLINK("https://mapwv.gov/flood/map/?wkid=102100&amp;x=-9111768.090334468&amp;y=4540867.6900243&amp;l=13&amp;v=2","FT")</f>
        <v>FT</v>
      </c>
      <c r="G63" s="28" t="s">
        <v>31</v>
      </c>
      <c r="H63" s="28" t="s">
        <v>24</v>
      </c>
      <c r="I63" s="43" t="s">
        <v>961</v>
      </c>
      <c r="J63" s="22" t="s">
        <v>25</v>
      </c>
      <c r="K63" s="44" t="s">
        <v>129</v>
      </c>
      <c r="L63" s="44" t="s">
        <v>32</v>
      </c>
      <c r="M63" s="43" t="s">
        <v>60</v>
      </c>
      <c r="N63" s="3" t="s">
        <v>34</v>
      </c>
      <c r="O63" s="44" t="s">
        <v>85</v>
      </c>
      <c r="P63" s="43" t="s">
        <v>1035</v>
      </c>
      <c r="Q63" s="43" t="s">
        <v>29</v>
      </c>
      <c r="R63" s="48" t="s">
        <v>87</v>
      </c>
      <c r="S63" s="29">
        <v>344300</v>
      </c>
      <c r="T63" s="43" t="s">
        <v>42</v>
      </c>
      <c r="U63" s="30">
        <v>3.2897950000000002E-2</v>
      </c>
      <c r="V63" s="30">
        <v>-0.96710205078125</v>
      </c>
      <c r="W63" s="31">
        <v>0</v>
      </c>
      <c r="X63" s="32">
        <v>0</v>
      </c>
    </row>
    <row r="64" spans="1:24" x14ac:dyDescent="0.3">
      <c r="A64" s="22" t="s">
        <v>761</v>
      </c>
      <c r="B64" s="2" t="s">
        <v>841</v>
      </c>
      <c r="C64" s="43" t="s">
        <v>846</v>
      </c>
      <c r="D64" s="43" t="s">
        <v>911</v>
      </c>
      <c r="E64" s="43" t="s">
        <v>829</v>
      </c>
      <c r="F64" s="23" t="str">
        <f>HYPERLINK("https://mapwv.gov/flood/map/?wkid=102100&amp;x=-9130102.936786672&amp;y=4557580.842603326&amp;l=13&amp;v=2","FT")</f>
        <v>FT</v>
      </c>
      <c r="G64" s="28" t="s">
        <v>31</v>
      </c>
      <c r="H64" s="28" t="s">
        <v>121</v>
      </c>
      <c r="I64" s="43" t="s">
        <v>962</v>
      </c>
      <c r="J64" s="22" t="s">
        <v>25</v>
      </c>
      <c r="K64" s="44" t="s">
        <v>103</v>
      </c>
      <c r="L64" s="44" t="s">
        <v>47</v>
      </c>
      <c r="M64" s="43" t="s">
        <v>45</v>
      </c>
      <c r="N64" s="3" t="s">
        <v>34</v>
      </c>
      <c r="O64" s="44" t="s">
        <v>85</v>
      </c>
      <c r="P64" s="43" t="s">
        <v>1036</v>
      </c>
      <c r="Q64" s="43" t="s">
        <v>29</v>
      </c>
      <c r="R64" s="48" t="s">
        <v>87</v>
      </c>
      <c r="S64" s="29">
        <v>342100</v>
      </c>
      <c r="T64" s="43" t="s">
        <v>42</v>
      </c>
      <c r="U64" s="30">
        <v>12.737427</v>
      </c>
      <c r="V64" s="30">
        <v>11.7374267578125</v>
      </c>
      <c r="W64" s="31">
        <v>0.45687133789062501</v>
      </c>
      <c r="X64" s="32">
        <v>156295.684692382</v>
      </c>
    </row>
    <row r="65" spans="1:24" x14ac:dyDescent="0.3">
      <c r="A65" s="22" t="s">
        <v>762</v>
      </c>
      <c r="B65" s="2" t="s">
        <v>841</v>
      </c>
      <c r="C65" s="43" t="s">
        <v>845</v>
      </c>
      <c r="D65" s="43" t="s">
        <v>912</v>
      </c>
      <c r="E65" s="43" t="s">
        <v>830</v>
      </c>
      <c r="F65" s="23" t="str">
        <f>HYPERLINK("https://mapwv.gov/flood/map/?wkid=102100&amp;x=-9127095.183331102&amp;y=4548938.525941404&amp;l=13&amp;v=2","FT")</f>
        <v>FT</v>
      </c>
      <c r="G65" s="28" t="s">
        <v>31</v>
      </c>
      <c r="H65" s="28" t="s">
        <v>121</v>
      </c>
      <c r="I65" s="43"/>
      <c r="J65" s="22" t="s">
        <v>38</v>
      </c>
      <c r="K65" s="44" t="s">
        <v>109</v>
      </c>
      <c r="L65" s="44"/>
      <c r="M65" s="43" t="s">
        <v>60</v>
      </c>
      <c r="N65" s="3" t="s">
        <v>34</v>
      </c>
      <c r="O65" s="44" t="s">
        <v>85</v>
      </c>
      <c r="P65" s="43" t="s">
        <v>1023</v>
      </c>
      <c r="Q65" s="43" t="s">
        <v>29</v>
      </c>
      <c r="R65" s="48" t="s">
        <v>87</v>
      </c>
      <c r="S65" s="29">
        <v>337086</v>
      </c>
      <c r="T65" s="43" t="s">
        <v>89</v>
      </c>
      <c r="U65" s="30">
        <v>4.35968</v>
      </c>
      <c r="V65" s="30">
        <v>3.35968017578125</v>
      </c>
      <c r="W65" s="31">
        <v>0.11719360351562499</v>
      </c>
      <c r="X65" s="32">
        <v>39504.323034667897</v>
      </c>
    </row>
    <row r="66" spans="1:24" x14ac:dyDescent="0.3">
      <c r="A66" s="22" t="s">
        <v>763</v>
      </c>
      <c r="B66" s="2" t="s">
        <v>841</v>
      </c>
      <c r="C66" s="43" t="s">
        <v>854</v>
      </c>
      <c r="D66" s="43" t="s">
        <v>889</v>
      </c>
      <c r="E66" s="43" t="s">
        <v>831</v>
      </c>
      <c r="F66" s="23" t="str">
        <f>HYPERLINK("https://mapwv.gov/flood/map/?wkid=102100&amp;x=-9126693.612850923&amp;y=4576513.933164864&amp;l=13&amp;v=2","FT")</f>
        <v>FT</v>
      </c>
      <c r="G66" s="28" t="s">
        <v>31</v>
      </c>
      <c r="H66" s="28" t="s">
        <v>24</v>
      </c>
      <c r="I66" s="43" t="s">
        <v>942</v>
      </c>
      <c r="J66" s="22" t="s">
        <v>25</v>
      </c>
      <c r="K66" s="44" t="s">
        <v>108</v>
      </c>
      <c r="L66" s="44" t="s">
        <v>46</v>
      </c>
      <c r="M66" s="43" t="s">
        <v>981</v>
      </c>
      <c r="N66" s="3" t="s">
        <v>84</v>
      </c>
      <c r="O66" s="44" t="s">
        <v>85</v>
      </c>
      <c r="P66" s="43" t="s">
        <v>1037</v>
      </c>
      <c r="Q66" s="43" t="s">
        <v>29</v>
      </c>
      <c r="R66" s="48" t="s">
        <v>87</v>
      </c>
      <c r="S66" s="29">
        <v>327722</v>
      </c>
      <c r="T66" s="43" t="s">
        <v>89</v>
      </c>
      <c r="U66" s="30">
        <v>0</v>
      </c>
      <c r="V66" s="30">
        <v>-1</v>
      </c>
      <c r="W66" s="31">
        <v>0</v>
      </c>
      <c r="X66" s="32">
        <v>0</v>
      </c>
    </row>
    <row r="67" spans="1:24" x14ac:dyDescent="0.3">
      <c r="A67" s="22" t="s">
        <v>764</v>
      </c>
      <c r="B67" s="2" t="s">
        <v>841</v>
      </c>
      <c r="C67" s="43" t="s">
        <v>858</v>
      </c>
      <c r="D67" s="43" t="s">
        <v>913</v>
      </c>
      <c r="E67" s="43" t="s">
        <v>832</v>
      </c>
      <c r="F67" s="23" t="str">
        <f>HYPERLINK("https://mapwv.gov/flood/map/?wkid=102100&amp;x=-9106448.685016008&amp;y=4566738.391117628&amp;l=13&amp;v=2","FT")</f>
        <v>FT</v>
      </c>
      <c r="G67" s="28" t="s">
        <v>364</v>
      </c>
      <c r="H67" s="28" t="s">
        <v>24</v>
      </c>
      <c r="I67" s="43" t="s">
        <v>963</v>
      </c>
      <c r="J67" s="22" t="s">
        <v>35</v>
      </c>
      <c r="K67" s="44" t="s">
        <v>73</v>
      </c>
      <c r="L67" s="44"/>
      <c r="M67" s="43" t="s">
        <v>979</v>
      </c>
      <c r="N67" s="3" t="s">
        <v>84</v>
      </c>
      <c r="O67" s="44" t="s">
        <v>86</v>
      </c>
      <c r="P67" s="43" t="s">
        <v>1038</v>
      </c>
      <c r="Q67" s="43" t="s">
        <v>29</v>
      </c>
      <c r="R67" s="48" t="s">
        <v>87</v>
      </c>
      <c r="S67" s="29">
        <v>325000</v>
      </c>
      <c r="T67" s="43" t="s">
        <v>89</v>
      </c>
      <c r="U67" s="30">
        <v>0.76393339999999998</v>
      </c>
      <c r="V67" s="30">
        <v>-0.236066579818725</v>
      </c>
      <c r="W67" s="31">
        <v>0</v>
      </c>
      <c r="X67" s="32">
        <v>0</v>
      </c>
    </row>
    <row r="68" spans="1:24" x14ac:dyDescent="0.3">
      <c r="A68" s="22" t="s">
        <v>765</v>
      </c>
      <c r="B68" s="2" t="s">
        <v>841</v>
      </c>
      <c r="C68" s="43" t="s">
        <v>859</v>
      </c>
      <c r="D68" s="43" t="s">
        <v>914</v>
      </c>
      <c r="E68" s="43" t="s">
        <v>833</v>
      </c>
      <c r="F68" s="23" t="str">
        <f>HYPERLINK("https://mapwv.gov/flood/map/?wkid=102100&amp;x=-9121172.177128203&amp;y=4574024.578557875&amp;l=13&amp;v=2","FT")</f>
        <v>FT</v>
      </c>
      <c r="G68" s="28" t="s">
        <v>364</v>
      </c>
      <c r="H68" s="28" t="s">
        <v>24</v>
      </c>
      <c r="I68" s="43" t="s">
        <v>964</v>
      </c>
      <c r="J68" s="22" t="s">
        <v>102</v>
      </c>
      <c r="K68" s="44" t="s">
        <v>97</v>
      </c>
      <c r="L68" s="44" t="s">
        <v>424</v>
      </c>
      <c r="M68" s="43" t="s">
        <v>39</v>
      </c>
      <c r="N68" s="3" t="s">
        <v>40</v>
      </c>
      <c r="O68" s="44" t="s">
        <v>85</v>
      </c>
      <c r="P68" s="43" t="s">
        <v>1039</v>
      </c>
      <c r="Q68" s="43" t="s">
        <v>49</v>
      </c>
      <c r="R68" s="48" t="s">
        <v>100</v>
      </c>
      <c r="S68" s="29">
        <v>324800</v>
      </c>
      <c r="T68" s="43" t="s">
        <v>42</v>
      </c>
      <c r="U68" s="30">
        <v>0.3155964</v>
      </c>
      <c r="V68" s="30">
        <v>-2.6844035983085601</v>
      </c>
      <c r="W68" s="31">
        <v>0</v>
      </c>
      <c r="X68" s="32">
        <v>0</v>
      </c>
    </row>
    <row r="69" spans="1:24" x14ac:dyDescent="0.3">
      <c r="A69" s="22" t="s">
        <v>766</v>
      </c>
      <c r="B69" s="2" t="s">
        <v>841</v>
      </c>
      <c r="C69" s="43" t="s">
        <v>846</v>
      </c>
      <c r="D69" s="43" t="s">
        <v>915</v>
      </c>
      <c r="E69" s="43" t="s">
        <v>834</v>
      </c>
      <c r="F69" s="23" t="str">
        <f>HYPERLINK("https://mapwv.gov/flood/map/?wkid=102100&amp;x=-9130477.89222376&amp;y=4556950.65076135&amp;l=13&amp;v=2","FT")</f>
        <v>FT</v>
      </c>
      <c r="G69" s="28" t="s">
        <v>31</v>
      </c>
      <c r="H69" s="28" t="s">
        <v>121</v>
      </c>
      <c r="I69" s="43" t="s">
        <v>965</v>
      </c>
      <c r="J69" s="22" t="s">
        <v>35</v>
      </c>
      <c r="K69" s="44" t="s">
        <v>73</v>
      </c>
      <c r="L69" s="44"/>
      <c r="M69" s="43" t="s">
        <v>55</v>
      </c>
      <c r="N69" s="3" t="s">
        <v>83</v>
      </c>
      <c r="O69" s="44" t="s">
        <v>85</v>
      </c>
      <c r="P69" s="43" t="s">
        <v>143</v>
      </c>
      <c r="Q69" s="43" t="s">
        <v>29</v>
      </c>
      <c r="R69" s="48" t="s">
        <v>87</v>
      </c>
      <c r="S69" s="29">
        <v>322100</v>
      </c>
      <c r="T69" s="43" t="s">
        <v>42</v>
      </c>
      <c r="U69" s="30">
        <v>8.4054570000000002</v>
      </c>
      <c r="V69" s="30">
        <v>7.40545654296875</v>
      </c>
      <c r="W69" s="31">
        <v>0.14000000000000001</v>
      </c>
      <c r="X69" s="32">
        <v>45094</v>
      </c>
    </row>
    <row r="70" spans="1:24" x14ac:dyDescent="0.3">
      <c r="A70" s="22" t="s">
        <v>767</v>
      </c>
      <c r="B70" s="2" t="s">
        <v>841</v>
      </c>
      <c r="C70" s="43" t="s">
        <v>630</v>
      </c>
      <c r="D70" s="43" t="s">
        <v>916</v>
      </c>
      <c r="E70" s="43" t="s">
        <v>835</v>
      </c>
      <c r="F70" s="23" t="str">
        <f>HYPERLINK("https://mapwv.gov/flood/map/?wkid=102100&amp;x=-9126614.888486266&amp;y=4578181.789715533&amp;l=13&amp;v=2","FT")</f>
        <v>FT</v>
      </c>
      <c r="G70" s="28" t="s">
        <v>31</v>
      </c>
      <c r="H70" s="28" t="s">
        <v>24</v>
      </c>
      <c r="I70" s="43" t="s">
        <v>966</v>
      </c>
      <c r="J70" s="22" t="s">
        <v>25</v>
      </c>
      <c r="K70" s="44" t="s">
        <v>95</v>
      </c>
      <c r="L70" s="44" t="s">
        <v>47</v>
      </c>
      <c r="M70" s="43" t="s">
        <v>45</v>
      </c>
      <c r="N70" s="3" t="s">
        <v>34</v>
      </c>
      <c r="O70" s="44" t="s">
        <v>86</v>
      </c>
      <c r="P70" s="43" t="s">
        <v>1040</v>
      </c>
      <c r="Q70" s="43" t="s">
        <v>29</v>
      </c>
      <c r="R70" s="48" t="s">
        <v>87</v>
      </c>
      <c r="S70" s="29">
        <v>322000</v>
      </c>
      <c r="T70" s="43" t="s">
        <v>42</v>
      </c>
      <c r="U70" s="30">
        <v>0</v>
      </c>
      <c r="V70" s="30">
        <v>-1</v>
      </c>
      <c r="W70" s="31">
        <v>0</v>
      </c>
      <c r="X70" s="32">
        <v>0</v>
      </c>
    </row>
    <row r="71" spans="1:24" x14ac:dyDescent="0.3">
      <c r="A71" s="22" t="s">
        <v>768</v>
      </c>
      <c r="B71" s="2" t="s">
        <v>841</v>
      </c>
      <c r="C71" s="43" t="s">
        <v>630</v>
      </c>
      <c r="D71" s="43" t="s">
        <v>917</v>
      </c>
      <c r="E71" s="43" t="s">
        <v>836</v>
      </c>
      <c r="F71" s="23" t="str">
        <f>HYPERLINK("https://mapwv.gov/flood/map/?wkid=102100&amp;x=-9135021.263434459&amp;y=4554063.774915331&amp;l=13&amp;v=2","FT")</f>
        <v>FT</v>
      </c>
      <c r="G71" s="28" t="s">
        <v>37</v>
      </c>
      <c r="H71" s="28" t="s">
        <v>24</v>
      </c>
      <c r="I71" s="43" t="s">
        <v>967</v>
      </c>
      <c r="J71" s="22" t="s">
        <v>35</v>
      </c>
      <c r="K71" s="44" t="s">
        <v>73</v>
      </c>
      <c r="L71" s="44"/>
      <c r="M71" s="43" t="s">
        <v>60</v>
      </c>
      <c r="N71" s="3" t="s">
        <v>34</v>
      </c>
      <c r="O71" s="44" t="s">
        <v>85</v>
      </c>
      <c r="P71" s="43" t="s">
        <v>1041</v>
      </c>
      <c r="Q71" s="43" t="s">
        <v>29</v>
      </c>
      <c r="R71" s="48" t="s">
        <v>87</v>
      </c>
      <c r="S71" s="29">
        <v>317750</v>
      </c>
      <c r="T71" s="43" t="s">
        <v>89</v>
      </c>
      <c r="U71" s="30">
        <v>0</v>
      </c>
      <c r="V71" s="30">
        <v>-1</v>
      </c>
      <c r="W71" s="31">
        <v>0</v>
      </c>
      <c r="X71" s="32">
        <v>0</v>
      </c>
    </row>
    <row r="72" spans="1:24" x14ac:dyDescent="0.3">
      <c r="A72" s="22" t="s">
        <v>769</v>
      </c>
      <c r="B72" s="2" t="s">
        <v>843</v>
      </c>
      <c r="C72" s="43" t="s">
        <v>224</v>
      </c>
      <c r="D72" s="43" t="s">
        <v>918</v>
      </c>
      <c r="E72" s="43" t="s">
        <v>837</v>
      </c>
      <c r="F72" s="23" t="str">
        <f>HYPERLINK("https://mapwv.gov/flood/map/?wkid=102100&amp;x=-9125962.658461513&amp;y=4566699.56783807&amp;l=13&amp;v=2","FT")</f>
        <v>FT</v>
      </c>
      <c r="G72" s="28" t="s">
        <v>31</v>
      </c>
      <c r="H72" s="28" t="s">
        <v>24</v>
      </c>
      <c r="I72" s="43" t="s">
        <v>968</v>
      </c>
      <c r="J72" s="22" t="s">
        <v>25</v>
      </c>
      <c r="K72" s="44" t="s">
        <v>969</v>
      </c>
      <c r="L72" s="44" t="s">
        <v>37</v>
      </c>
      <c r="M72" s="43" t="s">
        <v>39</v>
      </c>
      <c r="N72" s="3" t="s">
        <v>40</v>
      </c>
      <c r="O72" s="44" t="s">
        <v>86</v>
      </c>
      <c r="P72" s="43" t="s">
        <v>1042</v>
      </c>
      <c r="Q72" s="43" t="s">
        <v>49</v>
      </c>
      <c r="R72" s="48" t="s">
        <v>88</v>
      </c>
      <c r="S72" s="29">
        <v>309300</v>
      </c>
      <c r="T72" s="43" t="s">
        <v>42</v>
      </c>
      <c r="U72" s="30">
        <v>0</v>
      </c>
      <c r="V72" s="30">
        <v>-4</v>
      </c>
      <c r="W72" s="31">
        <v>0</v>
      </c>
      <c r="X72" s="32">
        <v>0</v>
      </c>
    </row>
    <row r="73" spans="1:24" x14ac:dyDescent="0.3">
      <c r="A73" s="22" t="s">
        <v>770</v>
      </c>
      <c r="B73" s="2" t="s">
        <v>841</v>
      </c>
      <c r="C73" s="43" t="s">
        <v>858</v>
      </c>
      <c r="D73" s="43" t="s">
        <v>919</v>
      </c>
      <c r="E73" s="43" t="s">
        <v>838</v>
      </c>
      <c r="F73" s="23" t="str">
        <f>HYPERLINK("https://mapwv.gov/flood/map/?wkid=102100&amp;x=-9109205.650352992&amp;y=4568146.292653308&amp;l=13&amp;v=2","FT")</f>
        <v>FT</v>
      </c>
      <c r="G73" s="28" t="s">
        <v>37</v>
      </c>
      <c r="H73" s="28" t="s">
        <v>24</v>
      </c>
      <c r="I73" s="43"/>
      <c r="J73" s="22" t="s">
        <v>35</v>
      </c>
      <c r="K73" s="44" t="s">
        <v>73</v>
      </c>
      <c r="L73" s="44"/>
      <c r="M73" s="43" t="s">
        <v>61</v>
      </c>
      <c r="N73" s="3" t="s">
        <v>82</v>
      </c>
      <c r="O73" s="44" t="s">
        <v>85</v>
      </c>
      <c r="P73" s="43" t="s">
        <v>1038</v>
      </c>
      <c r="Q73" s="43" t="s">
        <v>29</v>
      </c>
      <c r="R73" s="48" t="s">
        <v>87</v>
      </c>
      <c r="S73" s="29">
        <v>304314</v>
      </c>
      <c r="T73" s="43" t="s">
        <v>89</v>
      </c>
      <c r="U73" s="30">
        <v>2.6183480000000001</v>
      </c>
      <c r="V73" s="30">
        <v>1.61834788322448</v>
      </c>
      <c r="W73" s="31">
        <v>8.8550436496734608E-2</v>
      </c>
      <c r="X73" s="32">
        <v>26947.1375320673</v>
      </c>
    </row>
  </sheetData>
  <hyperlinks>
    <hyperlink ref="J3" r:id="rId1" xr:uid="{C259BB31-88F4-406E-9978-65C4CA1F30BD}"/>
    <hyperlink ref="M3" r:id="rId2" xr:uid="{1D2A41BD-045D-46DD-85C1-A6E74E6B0B4F}"/>
    <hyperlink ref="Q3" r:id="rId3" xr:uid="{2A3733BD-83D1-4FA6-A952-EA59F79EB8F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2156B-81FC-45DE-8782-82FF5EB27755}">
  <dimension ref="A1:X49"/>
  <sheetViews>
    <sheetView workbookViewId="0">
      <pane ySplit="6" topLeftCell="A7" activePane="bottomLeft" state="frozen"/>
      <selection pane="bottomLeft" activeCell="F4" sqref="F4"/>
    </sheetView>
  </sheetViews>
  <sheetFormatPr defaultRowHeight="14.4" x14ac:dyDescent="0.3"/>
  <cols>
    <col min="1" max="1" width="33.88671875" bestFit="1" customWidth="1"/>
    <col min="2" max="2" width="11.33203125" customWidth="1"/>
    <col min="7" max="7" width="11.21875" customWidth="1"/>
    <col min="13" max="13" width="10.44140625" customWidth="1"/>
    <col min="14" max="14" width="11.6640625" customWidth="1"/>
    <col min="17" max="17" width="11.77734375" customWidth="1"/>
    <col min="19" max="19" width="21.77734375" bestFit="1" customWidth="1"/>
    <col min="24" max="24" width="11" bestFit="1" customWidth="1"/>
  </cols>
  <sheetData>
    <row r="1" spans="1:24" ht="14.25" customHeight="1" x14ac:dyDescent="0.3">
      <c r="A1" s="4" t="s">
        <v>63</v>
      </c>
      <c r="B1" s="4"/>
      <c r="C1" s="4"/>
      <c r="D1" s="4"/>
      <c r="F1" s="17" t="s">
        <v>64</v>
      </c>
      <c r="G1" s="6"/>
      <c r="H1" s="6"/>
      <c r="J1" s="6"/>
      <c r="K1" s="6"/>
      <c r="L1" s="6"/>
      <c r="N1" s="5" t="s">
        <v>65</v>
      </c>
      <c r="O1" s="6"/>
      <c r="P1" s="6"/>
      <c r="R1" s="6"/>
      <c r="S1" s="7" t="s">
        <v>66</v>
      </c>
      <c r="U1" s="8"/>
      <c r="V1" s="8"/>
      <c r="W1" s="9"/>
      <c r="X1" s="10"/>
    </row>
    <row r="2" spans="1:24" x14ac:dyDescent="0.3">
      <c r="A2" s="11">
        <v>44593</v>
      </c>
      <c r="B2" s="12" t="s">
        <v>67</v>
      </c>
      <c r="F2" s="6"/>
      <c r="G2" s="6"/>
      <c r="H2" s="6"/>
      <c r="J2" s="6"/>
      <c r="K2" s="6"/>
      <c r="L2" s="6"/>
      <c r="N2" s="13" t="s">
        <v>40</v>
      </c>
      <c r="O2" s="6"/>
      <c r="P2" s="6"/>
      <c r="R2" s="6"/>
      <c r="S2" s="38"/>
      <c r="U2" s="8"/>
      <c r="V2" s="8"/>
      <c r="W2" s="9"/>
      <c r="X2" s="10"/>
    </row>
    <row r="3" spans="1:24" x14ac:dyDescent="0.3">
      <c r="A3" t="s">
        <v>69</v>
      </c>
      <c r="B3" s="39" t="s">
        <v>1251</v>
      </c>
      <c r="F3" s="6"/>
      <c r="G3" s="6"/>
      <c r="H3" s="6"/>
      <c r="J3" s="16" t="s">
        <v>68</v>
      </c>
      <c r="K3" s="6"/>
      <c r="L3" s="6"/>
      <c r="M3" s="14" t="s">
        <v>68</v>
      </c>
      <c r="N3" s="5"/>
      <c r="O3" s="6"/>
      <c r="P3" s="6"/>
      <c r="Q3" s="14" t="s">
        <v>68</v>
      </c>
      <c r="R3" s="15"/>
      <c r="S3" s="38"/>
      <c r="U3" s="8"/>
      <c r="V3" s="8"/>
      <c r="W3" s="9"/>
      <c r="X3" s="10"/>
    </row>
    <row r="4" spans="1:24" x14ac:dyDescent="0.3">
      <c r="F4" s="6"/>
      <c r="G4" s="6"/>
      <c r="H4" s="6"/>
      <c r="I4" s="6"/>
      <c r="J4" s="6"/>
      <c r="K4" s="6"/>
      <c r="L4" s="6"/>
      <c r="N4" s="5"/>
      <c r="O4" s="6"/>
      <c r="P4" s="6"/>
      <c r="R4" s="6"/>
      <c r="S4" s="38"/>
      <c r="U4" s="8"/>
      <c r="V4" s="8"/>
      <c r="W4" s="9"/>
      <c r="X4" s="10"/>
    </row>
    <row r="5" spans="1:24" x14ac:dyDescent="0.3">
      <c r="A5" s="1" t="s">
        <v>1043</v>
      </c>
      <c r="F5" s="6"/>
      <c r="G5" s="6"/>
      <c r="H5" s="6"/>
      <c r="I5" s="6"/>
      <c r="J5" s="6"/>
      <c r="K5" s="6"/>
      <c r="L5" s="6"/>
      <c r="O5" s="6"/>
      <c r="P5" s="6"/>
      <c r="R5" s="6"/>
      <c r="S5" s="33" t="s">
        <v>104</v>
      </c>
      <c r="U5" s="6"/>
      <c r="V5" s="6"/>
      <c r="W5" s="9"/>
      <c r="X5" s="10"/>
    </row>
    <row r="6" spans="1:24" ht="43.2" x14ac:dyDescent="0.3">
      <c r="A6" s="24" t="s">
        <v>0</v>
      </c>
      <c r="B6" s="18" t="s">
        <v>1</v>
      </c>
      <c r="C6" s="18" t="s">
        <v>2</v>
      </c>
      <c r="D6" s="25" t="s">
        <v>3</v>
      </c>
      <c r="E6" s="25" t="s">
        <v>4</v>
      </c>
      <c r="F6" s="18" t="s">
        <v>5</v>
      </c>
      <c r="G6" s="18" t="s">
        <v>6</v>
      </c>
      <c r="H6" s="24" t="s">
        <v>7</v>
      </c>
      <c r="I6" s="18" t="s">
        <v>8</v>
      </c>
      <c r="J6" s="24" t="s">
        <v>9</v>
      </c>
      <c r="K6" s="25" t="s">
        <v>10</v>
      </c>
      <c r="L6" s="18" t="s">
        <v>11</v>
      </c>
      <c r="M6" s="25" t="s">
        <v>12</v>
      </c>
      <c r="N6" s="19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20" t="s">
        <v>18</v>
      </c>
      <c r="T6" s="18" t="s">
        <v>19</v>
      </c>
      <c r="U6" s="26" t="s">
        <v>20</v>
      </c>
      <c r="V6" s="26" t="s">
        <v>21</v>
      </c>
      <c r="W6" s="27" t="s">
        <v>22</v>
      </c>
      <c r="X6" s="21" t="s">
        <v>23</v>
      </c>
    </row>
    <row r="7" spans="1:24" x14ac:dyDescent="0.3">
      <c r="A7" s="22" t="s">
        <v>1256</v>
      </c>
      <c r="B7" s="2" t="s">
        <v>1089</v>
      </c>
      <c r="C7" s="43" t="s">
        <v>219</v>
      </c>
      <c r="D7" s="43" t="s">
        <v>1257</v>
      </c>
      <c r="E7" s="43" t="s">
        <v>1258</v>
      </c>
      <c r="F7" s="23" t="str">
        <f>HYPERLINK("https://mapwv.gov/flood/map/?wkid=102100&amp;x=-9124308&amp;y=4720164&amp;l=12&amp;v=2","FT")</f>
        <v>FT</v>
      </c>
      <c r="G7" s="28" t="s">
        <v>31</v>
      </c>
      <c r="H7" s="28" t="s">
        <v>24</v>
      </c>
      <c r="I7" s="22" t="s">
        <v>1259</v>
      </c>
      <c r="J7" s="22" t="s">
        <v>35</v>
      </c>
      <c r="K7" s="44" t="s">
        <v>73</v>
      </c>
      <c r="L7" s="18"/>
      <c r="M7" s="43" t="s">
        <v>27</v>
      </c>
      <c r="N7" s="3" t="s">
        <v>82</v>
      </c>
      <c r="O7" s="44" t="s">
        <v>85</v>
      </c>
      <c r="P7" s="49">
        <v>18000</v>
      </c>
      <c r="Q7" s="43" t="s">
        <v>29</v>
      </c>
      <c r="R7" s="48" t="s">
        <v>87</v>
      </c>
      <c r="S7" s="29">
        <v>5400000</v>
      </c>
      <c r="T7" s="43" t="s">
        <v>28</v>
      </c>
      <c r="U7" s="30">
        <v>1.7</v>
      </c>
      <c r="V7" s="26">
        <v>0.7</v>
      </c>
      <c r="W7" s="27"/>
      <c r="X7" s="21"/>
    </row>
    <row r="8" spans="1:24" x14ac:dyDescent="0.3">
      <c r="A8" s="22" t="s">
        <v>1044</v>
      </c>
      <c r="B8" s="2" t="s">
        <v>1085</v>
      </c>
      <c r="C8" s="43" t="s">
        <v>219</v>
      </c>
      <c r="D8" s="43" t="s">
        <v>1092</v>
      </c>
      <c r="E8" s="43" t="s">
        <v>1130</v>
      </c>
      <c r="F8" s="23" t="str">
        <f>HYPERLINK("https://mapwv.gov/flood/map/?wkid=102100&amp;x=-9143538.155705197&amp;y=4699383.399932718&amp;l=13&amp;v=2","FT")</f>
        <v>FT</v>
      </c>
      <c r="G8" s="28" t="s">
        <v>70</v>
      </c>
      <c r="H8" s="28" t="s">
        <v>24</v>
      </c>
      <c r="I8" s="43" t="s">
        <v>1171</v>
      </c>
      <c r="J8" s="22" t="s">
        <v>38</v>
      </c>
      <c r="K8" s="44" t="s">
        <v>1205</v>
      </c>
      <c r="L8" s="44" t="s">
        <v>427</v>
      </c>
      <c r="M8" s="43" t="s">
        <v>61</v>
      </c>
      <c r="N8" s="3" t="s">
        <v>82</v>
      </c>
      <c r="O8" s="44" t="s">
        <v>438</v>
      </c>
      <c r="P8" s="43" t="s">
        <v>1212</v>
      </c>
      <c r="Q8" s="43" t="s">
        <v>29</v>
      </c>
      <c r="R8" s="48" t="s">
        <v>87</v>
      </c>
      <c r="S8" s="29">
        <v>5212600</v>
      </c>
      <c r="T8" s="43" t="s">
        <v>42</v>
      </c>
      <c r="U8" s="30">
        <v>0</v>
      </c>
      <c r="V8" s="30">
        <v>-1</v>
      </c>
      <c r="W8" s="31">
        <v>0</v>
      </c>
      <c r="X8" s="32">
        <v>0</v>
      </c>
    </row>
    <row r="9" spans="1:24" x14ac:dyDescent="0.3">
      <c r="A9" s="22" t="s">
        <v>1252</v>
      </c>
      <c r="B9" s="2" t="s">
        <v>1088</v>
      </c>
      <c r="C9" s="43" t="s">
        <v>219</v>
      </c>
      <c r="D9" s="43" t="s">
        <v>1254</v>
      </c>
      <c r="E9" s="43" t="s">
        <v>1253</v>
      </c>
      <c r="F9" s="23" t="str">
        <f>HYPERLINK("https://mapwv.gov/flood/map/?wkid=102100&amp;x=-9132066.83490929&amp;y=4724595.133810852&amp;l=13&amp;v=2","FT")</f>
        <v>FT</v>
      </c>
      <c r="G9" s="28" t="s">
        <v>31</v>
      </c>
      <c r="H9" s="28" t="s">
        <v>24</v>
      </c>
      <c r="I9" s="22" t="s">
        <v>1255</v>
      </c>
      <c r="J9" s="43" t="s">
        <v>25</v>
      </c>
      <c r="K9" s="44" t="s">
        <v>101</v>
      </c>
      <c r="L9" s="44" t="s">
        <v>50</v>
      </c>
      <c r="M9" s="43" t="s">
        <v>27</v>
      </c>
      <c r="N9" s="3" t="s">
        <v>82</v>
      </c>
      <c r="O9" s="44">
        <v>1</v>
      </c>
      <c r="P9" s="49">
        <v>8000</v>
      </c>
      <c r="Q9" s="43" t="s">
        <v>29</v>
      </c>
      <c r="R9" s="48" t="s">
        <v>87</v>
      </c>
      <c r="S9" s="29">
        <v>3850000</v>
      </c>
      <c r="T9" s="43" t="s">
        <v>28</v>
      </c>
      <c r="U9" s="30">
        <v>4.1505127000000002</v>
      </c>
      <c r="V9" s="30">
        <v>3.1505126953125</v>
      </c>
      <c r="W9" s="31">
        <v>0.131505126953125</v>
      </c>
      <c r="X9" s="32">
        <v>506294.73876953125</v>
      </c>
    </row>
    <row r="10" spans="1:24" x14ac:dyDescent="0.3">
      <c r="A10" s="22" t="s">
        <v>1045</v>
      </c>
      <c r="B10" s="2" t="s">
        <v>1086</v>
      </c>
      <c r="C10" s="43" t="s">
        <v>219</v>
      </c>
      <c r="D10" s="43" t="s">
        <v>1093</v>
      </c>
      <c r="E10" s="43" t="s">
        <v>1131</v>
      </c>
      <c r="F10" s="23" t="str">
        <f>HYPERLINK("https://mapwv.gov/flood/map/?wkid=102100&amp;x=-9119617.312233115&amp;y=4717060.415930451&amp;l=13&amp;v=2","FT")</f>
        <v>FT</v>
      </c>
      <c r="G10" s="28" t="s">
        <v>31</v>
      </c>
      <c r="H10" s="28" t="s">
        <v>24</v>
      </c>
      <c r="I10" s="43" t="s">
        <v>1172</v>
      </c>
      <c r="J10" s="22" t="s">
        <v>35</v>
      </c>
      <c r="K10" s="44" t="s">
        <v>73</v>
      </c>
      <c r="L10" s="44"/>
      <c r="M10" s="43" t="s">
        <v>981</v>
      </c>
      <c r="N10" s="3" t="s">
        <v>84</v>
      </c>
      <c r="O10" s="44" t="s">
        <v>85</v>
      </c>
      <c r="P10" s="43" t="s">
        <v>1213</v>
      </c>
      <c r="Q10" s="43" t="s">
        <v>29</v>
      </c>
      <c r="R10" s="48" t="s">
        <v>87</v>
      </c>
      <c r="S10" s="29">
        <v>2017500</v>
      </c>
      <c r="T10" s="43" t="s">
        <v>89</v>
      </c>
      <c r="U10" s="30">
        <v>17.192383</v>
      </c>
      <c r="V10" s="30">
        <v>16.1923828125</v>
      </c>
      <c r="W10" s="31">
        <v>0.55000000000000004</v>
      </c>
      <c r="X10" s="32">
        <v>1109625</v>
      </c>
    </row>
    <row r="11" spans="1:24" x14ac:dyDescent="0.3">
      <c r="A11" s="22" t="s">
        <v>1046</v>
      </c>
      <c r="B11" s="2" t="s">
        <v>1085</v>
      </c>
      <c r="C11" s="43" t="s">
        <v>1090</v>
      </c>
      <c r="D11" s="43" t="s">
        <v>1094</v>
      </c>
      <c r="E11" s="43" t="s">
        <v>1132</v>
      </c>
      <c r="F11" s="23" t="str">
        <f>HYPERLINK("https://mapwv.gov/flood/map/?wkid=102100&amp;x=-9141370.39352367&amp;y=4698186.114941244&amp;l=13&amp;v=2","FT")</f>
        <v>FT</v>
      </c>
      <c r="G11" s="28" t="s">
        <v>31</v>
      </c>
      <c r="H11" s="28" t="s">
        <v>24</v>
      </c>
      <c r="I11" s="43" t="s">
        <v>1173</v>
      </c>
      <c r="J11" s="22" t="s">
        <v>25</v>
      </c>
      <c r="K11" s="44" t="s">
        <v>976</v>
      </c>
      <c r="L11" s="44" t="s">
        <v>44</v>
      </c>
      <c r="M11" s="43" t="s">
        <v>27</v>
      </c>
      <c r="N11" s="3" t="s">
        <v>82</v>
      </c>
      <c r="O11" s="44" t="s">
        <v>85</v>
      </c>
      <c r="P11" s="43" t="s">
        <v>1214</v>
      </c>
      <c r="Q11" s="43" t="s">
        <v>29</v>
      </c>
      <c r="R11" s="48" t="s">
        <v>87</v>
      </c>
      <c r="S11" s="29">
        <v>1488400</v>
      </c>
      <c r="T11" s="43" t="s">
        <v>42</v>
      </c>
      <c r="U11" s="30">
        <v>0.7260742</v>
      </c>
      <c r="V11" s="30">
        <v>-0.27392578125</v>
      </c>
      <c r="W11" s="31">
        <v>0</v>
      </c>
      <c r="X11" s="32">
        <v>0</v>
      </c>
    </row>
    <row r="12" spans="1:24" x14ac:dyDescent="0.3">
      <c r="A12" s="22" t="s">
        <v>1047</v>
      </c>
      <c r="B12" s="2" t="s">
        <v>1086</v>
      </c>
      <c r="C12" s="43" t="s">
        <v>1090</v>
      </c>
      <c r="D12" s="43" t="s">
        <v>1095</v>
      </c>
      <c r="E12" s="43" t="s">
        <v>1133</v>
      </c>
      <c r="F12" s="23" t="str">
        <f>HYPERLINK("https://mapwv.gov/flood/map/?wkid=102100&amp;x=-9131517.980727782&amp;y=4691915.057759406&amp;l=13&amp;v=2","FT")</f>
        <v>FT</v>
      </c>
      <c r="G12" s="28" t="s">
        <v>31</v>
      </c>
      <c r="H12" s="28" t="s">
        <v>24</v>
      </c>
      <c r="I12" s="43" t="s">
        <v>1174</v>
      </c>
      <c r="J12" s="22" t="s">
        <v>25</v>
      </c>
      <c r="K12" s="44" t="s">
        <v>97</v>
      </c>
      <c r="L12" s="44" t="s">
        <v>26</v>
      </c>
      <c r="M12" s="43" t="s">
        <v>1211</v>
      </c>
      <c r="N12" s="3" t="s">
        <v>40</v>
      </c>
      <c r="O12" s="44" t="s">
        <v>85</v>
      </c>
      <c r="P12" s="43" t="s">
        <v>1215</v>
      </c>
      <c r="Q12" s="43" t="s">
        <v>49</v>
      </c>
      <c r="R12" s="48" t="s">
        <v>88</v>
      </c>
      <c r="S12" s="29">
        <v>823000</v>
      </c>
      <c r="T12" s="43" t="s">
        <v>42</v>
      </c>
      <c r="U12" s="30">
        <v>0.61383056999999996</v>
      </c>
      <c r="V12" s="30">
        <v>-3.38616943359375</v>
      </c>
      <c r="W12" s="31">
        <v>0</v>
      </c>
      <c r="X12" s="32">
        <v>0</v>
      </c>
    </row>
    <row r="13" spans="1:24" x14ac:dyDescent="0.3">
      <c r="A13" s="22" t="s">
        <v>1048</v>
      </c>
      <c r="B13" s="2" t="s">
        <v>1086</v>
      </c>
      <c r="C13" s="43" t="s">
        <v>219</v>
      </c>
      <c r="D13" s="43" t="s">
        <v>1096</v>
      </c>
      <c r="E13" s="43" t="s">
        <v>1134</v>
      </c>
      <c r="F13" s="23" t="str">
        <f>HYPERLINK("https://mapwv.gov/flood/map/?wkid=102100&amp;x=-9146465.384092025&amp;y=4668313.934331061&amp;l=13&amp;v=2","FT")</f>
        <v>FT</v>
      </c>
      <c r="G13" s="28" t="s">
        <v>31</v>
      </c>
      <c r="H13" s="28" t="s">
        <v>24</v>
      </c>
      <c r="I13" s="43" t="s">
        <v>1175</v>
      </c>
      <c r="J13" s="22" t="s">
        <v>25</v>
      </c>
      <c r="K13" s="44" t="s">
        <v>75</v>
      </c>
      <c r="L13" s="44" t="s">
        <v>26</v>
      </c>
      <c r="M13" s="43" t="s">
        <v>45</v>
      </c>
      <c r="N13" s="3" t="s">
        <v>34</v>
      </c>
      <c r="O13" s="44" t="s">
        <v>85</v>
      </c>
      <c r="P13" s="43" t="s">
        <v>1216</v>
      </c>
      <c r="Q13" s="43" t="s">
        <v>29</v>
      </c>
      <c r="R13" s="48" t="s">
        <v>87</v>
      </c>
      <c r="S13" s="29">
        <v>815190</v>
      </c>
      <c r="T13" s="43" t="s">
        <v>42</v>
      </c>
      <c r="U13" s="30">
        <v>0</v>
      </c>
      <c r="V13" s="30">
        <v>-1</v>
      </c>
      <c r="W13" s="31">
        <v>0</v>
      </c>
      <c r="X13" s="32">
        <v>0</v>
      </c>
    </row>
    <row r="14" spans="1:24" x14ac:dyDescent="0.3">
      <c r="A14" s="22" t="s">
        <v>1049</v>
      </c>
      <c r="B14" s="2" t="s">
        <v>1086</v>
      </c>
      <c r="C14" s="43" t="s">
        <v>219</v>
      </c>
      <c r="D14" s="43" t="s">
        <v>1097</v>
      </c>
      <c r="E14" s="43" t="s">
        <v>1135</v>
      </c>
      <c r="F14" s="23" t="str">
        <f>HYPERLINK("https://mapwv.gov/flood/map/?wkid=102100&amp;x=-9139424.990800487&amp;y=4714329.059063547&amp;l=13&amp;v=2","FT")</f>
        <v>FT</v>
      </c>
      <c r="G14" s="28" t="s">
        <v>31</v>
      </c>
      <c r="H14" s="28" t="s">
        <v>121</v>
      </c>
      <c r="I14" s="43" t="s">
        <v>1176</v>
      </c>
      <c r="J14" s="22" t="s">
        <v>25</v>
      </c>
      <c r="K14" s="44" t="s">
        <v>128</v>
      </c>
      <c r="L14" s="44" t="s">
        <v>26</v>
      </c>
      <c r="M14" s="43" t="s">
        <v>60</v>
      </c>
      <c r="N14" s="3" t="s">
        <v>34</v>
      </c>
      <c r="O14" s="44" t="s">
        <v>127</v>
      </c>
      <c r="P14" s="43" t="s">
        <v>1217</v>
      </c>
      <c r="Q14" s="43" t="s">
        <v>29</v>
      </c>
      <c r="R14" s="48" t="s">
        <v>87</v>
      </c>
      <c r="S14" s="29">
        <v>609100</v>
      </c>
      <c r="T14" s="43" t="s">
        <v>42</v>
      </c>
      <c r="U14" s="30">
        <v>3.8710938000000001</v>
      </c>
      <c r="V14" s="30">
        <v>2.87109375</v>
      </c>
      <c r="W14" s="31">
        <v>0.10613281250000001</v>
      </c>
      <c r="X14" s="32">
        <v>64645.49609375</v>
      </c>
    </row>
    <row r="15" spans="1:24" x14ac:dyDescent="0.3">
      <c r="A15" s="22" t="s">
        <v>1050</v>
      </c>
      <c r="B15" s="2" t="s">
        <v>1086</v>
      </c>
      <c r="C15" s="43" t="s">
        <v>219</v>
      </c>
      <c r="D15" s="43" t="s">
        <v>1098</v>
      </c>
      <c r="E15" s="43" t="s">
        <v>1136</v>
      </c>
      <c r="F15" s="23" t="str">
        <f>HYPERLINK("https://mapwv.gov/flood/map/?wkid=102100&amp;x=-9146935.50589388&amp;y=4666505.665158398&amp;l=13&amp;v=2","FT")</f>
        <v>FT</v>
      </c>
      <c r="G15" s="28" t="s">
        <v>31</v>
      </c>
      <c r="H15" s="28" t="s">
        <v>121</v>
      </c>
      <c r="I15" s="43" t="s">
        <v>1177</v>
      </c>
      <c r="J15" s="22" t="s">
        <v>25</v>
      </c>
      <c r="K15" s="44" t="s">
        <v>96</v>
      </c>
      <c r="L15" s="44" t="s">
        <v>50</v>
      </c>
      <c r="M15" s="43" t="s">
        <v>48</v>
      </c>
      <c r="N15" s="3" t="s">
        <v>34</v>
      </c>
      <c r="O15" s="44" t="s">
        <v>86</v>
      </c>
      <c r="P15" s="43" t="s">
        <v>1218</v>
      </c>
      <c r="Q15" s="43" t="s">
        <v>29</v>
      </c>
      <c r="R15" s="48" t="s">
        <v>87</v>
      </c>
      <c r="S15" s="29">
        <v>604600</v>
      </c>
      <c r="T15" s="43" t="s">
        <v>42</v>
      </c>
      <c r="U15" s="30">
        <v>8.3930050000000005</v>
      </c>
      <c r="V15" s="30">
        <v>7.39300537109375</v>
      </c>
      <c r="W15" s="31">
        <v>0.207860107421875</v>
      </c>
      <c r="X15" s="32">
        <v>125672.220947265</v>
      </c>
    </row>
    <row r="16" spans="1:24" x14ac:dyDescent="0.3">
      <c r="A16" s="22" t="s">
        <v>1051</v>
      </c>
      <c r="B16" s="2" t="s">
        <v>1087</v>
      </c>
      <c r="C16" s="43" t="s">
        <v>219</v>
      </c>
      <c r="D16" s="43" t="s">
        <v>1099</v>
      </c>
      <c r="E16" s="43" t="s">
        <v>1137</v>
      </c>
      <c r="F16" s="23" t="str">
        <f>HYPERLINK("https://mapwv.gov/flood/map/?wkid=102100&amp;x=-9127657.585762555&amp;y=4722886.842620453&amp;l=13&amp;v=2","FT")</f>
        <v>FT</v>
      </c>
      <c r="G16" s="28" t="s">
        <v>31</v>
      </c>
      <c r="H16" s="28" t="s">
        <v>24</v>
      </c>
      <c r="I16" s="43" t="s">
        <v>1178</v>
      </c>
      <c r="J16" s="22" t="s">
        <v>25</v>
      </c>
      <c r="K16" s="44" t="s">
        <v>74</v>
      </c>
      <c r="L16" s="44" t="s">
        <v>54</v>
      </c>
      <c r="M16" s="43" t="s">
        <v>125</v>
      </c>
      <c r="N16" s="3" t="s">
        <v>40</v>
      </c>
      <c r="O16" s="44" t="s">
        <v>86</v>
      </c>
      <c r="P16" s="43" t="s">
        <v>1219</v>
      </c>
      <c r="Q16" s="43" t="s">
        <v>29</v>
      </c>
      <c r="R16" s="48" t="s">
        <v>87</v>
      </c>
      <c r="S16" s="29">
        <v>539800</v>
      </c>
      <c r="T16" s="43" t="s">
        <v>30</v>
      </c>
      <c r="U16" s="30">
        <v>4.2350463999999999</v>
      </c>
      <c r="V16" s="30">
        <v>3.23504638671875</v>
      </c>
      <c r="W16" s="31">
        <v>0.28235046386718698</v>
      </c>
      <c r="X16" s="32">
        <v>152412.780395507</v>
      </c>
    </row>
    <row r="17" spans="1:24" x14ac:dyDescent="0.3">
      <c r="A17" s="22" t="s">
        <v>1052</v>
      </c>
      <c r="B17" s="2" t="s">
        <v>1086</v>
      </c>
      <c r="C17" s="43" t="s">
        <v>1090</v>
      </c>
      <c r="D17" s="43" t="s">
        <v>1100</v>
      </c>
      <c r="E17" s="43" t="s">
        <v>1138</v>
      </c>
      <c r="F17" s="23" t="str">
        <f>HYPERLINK("https://mapwv.gov/flood/map/?wkid=102100&amp;x=-9126620.879589943&amp;y=4686274.169992212&amp;l=13&amp;v=2","FT")</f>
        <v>FT</v>
      </c>
      <c r="G17" s="28" t="s">
        <v>51</v>
      </c>
      <c r="H17" s="28" t="s">
        <v>24</v>
      </c>
      <c r="I17" s="43" t="s">
        <v>1179</v>
      </c>
      <c r="J17" s="22" t="s">
        <v>25</v>
      </c>
      <c r="K17" s="44" t="s">
        <v>116</v>
      </c>
      <c r="L17" s="44" t="s">
        <v>50</v>
      </c>
      <c r="M17" s="43" t="s">
        <v>45</v>
      </c>
      <c r="N17" s="3" t="s">
        <v>34</v>
      </c>
      <c r="O17" s="44" t="s">
        <v>85</v>
      </c>
      <c r="P17" s="43" t="s">
        <v>1220</v>
      </c>
      <c r="Q17" s="43" t="s">
        <v>29</v>
      </c>
      <c r="R17" s="48" t="s">
        <v>87</v>
      </c>
      <c r="S17" s="29">
        <v>502900</v>
      </c>
      <c r="T17" s="43" t="s">
        <v>42</v>
      </c>
      <c r="U17" s="30">
        <v>0.13739013999999999</v>
      </c>
      <c r="V17" s="30">
        <v>-0.86260986328125</v>
      </c>
      <c r="W17" s="31">
        <v>1.3739013671875001E-3</v>
      </c>
      <c r="X17" s="32">
        <v>690.93499755859295</v>
      </c>
    </row>
    <row r="18" spans="1:24" x14ac:dyDescent="0.3">
      <c r="A18" s="22" t="s">
        <v>1053</v>
      </c>
      <c r="B18" s="2" t="s">
        <v>1086</v>
      </c>
      <c r="C18" s="43" t="s">
        <v>219</v>
      </c>
      <c r="D18" s="43" t="s">
        <v>1101</v>
      </c>
      <c r="E18" s="43" t="s">
        <v>1139</v>
      </c>
      <c r="F18" s="23" t="str">
        <f>HYPERLINK("https://mapwv.gov/flood/map/?wkid=102100&amp;x=-9150167.903751656&amp;y=4692748.249705091&amp;l=13&amp;v=2","FT")</f>
        <v>FT</v>
      </c>
      <c r="G18" s="28" t="s">
        <v>31</v>
      </c>
      <c r="H18" s="28" t="s">
        <v>24</v>
      </c>
      <c r="I18" s="43" t="s">
        <v>1180</v>
      </c>
      <c r="J18" s="22" t="s">
        <v>25</v>
      </c>
      <c r="K18" s="44" t="s">
        <v>77</v>
      </c>
      <c r="L18" s="44" t="s">
        <v>1206</v>
      </c>
      <c r="M18" s="43" t="s">
        <v>39</v>
      </c>
      <c r="N18" s="3" t="s">
        <v>40</v>
      </c>
      <c r="O18" s="44" t="s">
        <v>86</v>
      </c>
      <c r="P18" s="43" t="s">
        <v>1221</v>
      </c>
      <c r="Q18" s="43" t="s">
        <v>41</v>
      </c>
      <c r="R18" s="48" t="s">
        <v>88</v>
      </c>
      <c r="S18" s="29">
        <v>478200</v>
      </c>
      <c r="T18" s="43" t="s">
        <v>42</v>
      </c>
      <c r="U18" s="30">
        <v>2.7128296000000001</v>
      </c>
      <c r="V18" s="30">
        <v>-1.28717041015625</v>
      </c>
      <c r="W18" s="31">
        <v>0.122769775390625</v>
      </c>
      <c r="X18" s="32">
        <v>58708.506591796802</v>
      </c>
    </row>
    <row r="19" spans="1:24" x14ac:dyDescent="0.3">
      <c r="A19" s="22" t="s">
        <v>1054</v>
      </c>
      <c r="B19" s="2" t="s">
        <v>1086</v>
      </c>
      <c r="C19" s="43" t="s">
        <v>219</v>
      </c>
      <c r="D19" s="43" t="s">
        <v>1102</v>
      </c>
      <c r="E19" s="43" t="s">
        <v>1140</v>
      </c>
      <c r="F19" s="23" t="str">
        <f>HYPERLINK("https://mapwv.gov/flood/map/?wkid=102100&amp;x=-9129038.535994545&amp;y=4725502.142931834&amp;l=13&amp;v=2","FT")</f>
        <v>FT</v>
      </c>
      <c r="G19" s="28" t="s">
        <v>31</v>
      </c>
      <c r="H19" s="28" t="s">
        <v>121</v>
      </c>
      <c r="I19" s="43" t="s">
        <v>1181</v>
      </c>
      <c r="J19" s="22" t="s">
        <v>25</v>
      </c>
      <c r="K19" s="44" t="s">
        <v>110</v>
      </c>
      <c r="L19" s="44" t="s">
        <v>26</v>
      </c>
      <c r="M19" s="43" t="s">
        <v>48</v>
      </c>
      <c r="N19" s="3" t="s">
        <v>34</v>
      </c>
      <c r="O19" s="44" t="s">
        <v>86</v>
      </c>
      <c r="P19" s="43" t="s">
        <v>1222</v>
      </c>
      <c r="Q19" s="43" t="s">
        <v>29</v>
      </c>
      <c r="R19" s="48" t="s">
        <v>87</v>
      </c>
      <c r="S19" s="29">
        <v>443200</v>
      </c>
      <c r="T19" s="43" t="s">
        <v>42</v>
      </c>
      <c r="U19" s="30">
        <v>4.1018676999999997</v>
      </c>
      <c r="V19" s="30">
        <v>3.10186767578125</v>
      </c>
      <c r="W19" s="31">
        <v>0.122037353515625</v>
      </c>
      <c r="X19" s="32">
        <v>54086.955078125</v>
      </c>
    </row>
    <row r="20" spans="1:24" x14ac:dyDescent="0.3">
      <c r="A20" s="22" t="s">
        <v>1055</v>
      </c>
      <c r="B20" s="2" t="s">
        <v>1085</v>
      </c>
      <c r="C20" s="43" t="s">
        <v>219</v>
      </c>
      <c r="D20" s="43" t="s">
        <v>1103</v>
      </c>
      <c r="E20" s="43" t="s">
        <v>1141</v>
      </c>
      <c r="F20" s="23" t="str">
        <f>HYPERLINK("https://mapwv.gov/flood/map/?wkid=102100&amp;x=-9142893.949144052&amp;y=4701496.049377339&amp;l=13&amp;v=2","FT")</f>
        <v>FT</v>
      </c>
      <c r="G20" s="28" t="s">
        <v>31</v>
      </c>
      <c r="H20" s="28" t="s">
        <v>24</v>
      </c>
      <c r="I20" s="43" t="s">
        <v>1182</v>
      </c>
      <c r="J20" s="22" t="s">
        <v>38</v>
      </c>
      <c r="K20" s="44" t="s">
        <v>124</v>
      </c>
      <c r="L20" s="44" t="s">
        <v>36</v>
      </c>
      <c r="M20" s="43" t="s">
        <v>48</v>
      </c>
      <c r="N20" s="3" t="s">
        <v>34</v>
      </c>
      <c r="O20" s="44" t="s">
        <v>85</v>
      </c>
      <c r="P20" s="43" t="s">
        <v>1223</v>
      </c>
      <c r="Q20" s="43" t="s">
        <v>29</v>
      </c>
      <c r="R20" s="48" t="s">
        <v>87</v>
      </c>
      <c r="S20" s="29">
        <v>429500</v>
      </c>
      <c r="T20" s="43" t="s">
        <v>42</v>
      </c>
      <c r="U20" s="30">
        <v>11.450989</v>
      </c>
      <c r="V20" s="30">
        <v>10.4509887695312</v>
      </c>
      <c r="W20" s="31">
        <v>0.30803955078125</v>
      </c>
      <c r="X20" s="32">
        <v>132302.987060546</v>
      </c>
    </row>
    <row r="21" spans="1:24" x14ac:dyDescent="0.3">
      <c r="A21" s="22" t="s">
        <v>1056</v>
      </c>
      <c r="B21" s="2" t="s">
        <v>1086</v>
      </c>
      <c r="C21" s="43" t="s">
        <v>219</v>
      </c>
      <c r="D21" s="43" t="s">
        <v>1104</v>
      </c>
      <c r="E21" s="43" t="s">
        <v>1142</v>
      </c>
      <c r="F21" s="23" t="str">
        <f>HYPERLINK("https://mapwv.gov/flood/map/?wkid=102100&amp;x=-9149322.292513117&amp;y=4685359.006899605&amp;l=13&amp;v=2","FT")</f>
        <v>FT</v>
      </c>
      <c r="G21" s="28" t="s">
        <v>31</v>
      </c>
      <c r="H21" s="28" t="s">
        <v>24</v>
      </c>
      <c r="I21" s="43" t="s">
        <v>1183</v>
      </c>
      <c r="J21" s="22" t="s">
        <v>25</v>
      </c>
      <c r="K21" s="44" t="s">
        <v>71</v>
      </c>
      <c r="L21" s="44" t="s">
        <v>37</v>
      </c>
      <c r="M21" s="43" t="s">
        <v>39</v>
      </c>
      <c r="N21" s="3" t="s">
        <v>40</v>
      </c>
      <c r="O21" s="44" t="s">
        <v>85</v>
      </c>
      <c r="P21" s="43" t="s">
        <v>1224</v>
      </c>
      <c r="Q21" s="43" t="s">
        <v>41</v>
      </c>
      <c r="R21" s="48" t="s">
        <v>88</v>
      </c>
      <c r="S21" s="29">
        <v>384500</v>
      </c>
      <c r="T21" s="43" t="s">
        <v>42</v>
      </c>
      <c r="U21" s="30">
        <v>2.8781737999999999</v>
      </c>
      <c r="V21" s="30">
        <v>-1.121826171875</v>
      </c>
      <c r="W21" s="31">
        <v>0.18390869140624999</v>
      </c>
      <c r="X21" s="32">
        <v>70712.891845703096</v>
      </c>
    </row>
    <row r="22" spans="1:24" x14ac:dyDescent="0.3">
      <c r="A22" s="22" t="s">
        <v>1057</v>
      </c>
      <c r="B22" s="2" t="s">
        <v>1087</v>
      </c>
      <c r="C22" s="43" t="s">
        <v>219</v>
      </c>
      <c r="D22" s="43" t="s">
        <v>1099</v>
      </c>
      <c r="E22" s="43" t="s">
        <v>1143</v>
      </c>
      <c r="F22" s="23" t="str">
        <f>HYPERLINK("https://mapwv.gov/flood/map/?wkid=102100&amp;x=-9127698.613006169&amp;y=4722860.029087374&amp;l=13&amp;v=2","FT")</f>
        <v>FT</v>
      </c>
      <c r="G22" s="28" t="s">
        <v>31</v>
      </c>
      <c r="H22" s="28" t="s">
        <v>24</v>
      </c>
      <c r="I22" s="43" t="s">
        <v>1178</v>
      </c>
      <c r="J22" s="22" t="s">
        <v>25</v>
      </c>
      <c r="K22" s="44" t="s">
        <v>74</v>
      </c>
      <c r="L22" s="44" t="s">
        <v>54</v>
      </c>
      <c r="M22" s="43" t="s">
        <v>125</v>
      </c>
      <c r="N22" s="3" t="s">
        <v>40</v>
      </c>
      <c r="O22" s="44" t="s">
        <v>86</v>
      </c>
      <c r="P22" s="43" t="s">
        <v>1225</v>
      </c>
      <c r="Q22" s="43" t="s">
        <v>29</v>
      </c>
      <c r="R22" s="48" t="s">
        <v>87</v>
      </c>
      <c r="S22" s="29">
        <v>308200</v>
      </c>
      <c r="T22" s="43" t="s">
        <v>30</v>
      </c>
      <c r="U22" s="30">
        <v>4.5216063999999996</v>
      </c>
      <c r="V22" s="30">
        <v>3.5216064453125</v>
      </c>
      <c r="W22" s="31">
        <v>0.28521606445312403</v>
      </c>
      <c r="X22" s="32">
        <v>87903.591064453096</v>
      </c>
    </row>
    <row r="23" spans="1:24" x14ac:dyDescent="0.3">
      <c r="A23" s="22" t="s">
        <v>1058</v>
      </c>
      <c r="B23" s="2" t="s">
        <v>1086</v>
      </c>
      <c r="C23" s="43" t="s">
        <v>219</v>
      </c>
      <c r="D23" s="43" t="s">
        <v>1105</v>
      </c>
      <c r="E23" s="43" t="s">
        <v>1144</v>
      </c>
      <c r="F23" s="23" t="str">
        <f>HYPERLINK("https://mapwv.gov/flood/map/?wkid=102100&amp;x=-9128200.844247218&amp;y=4724759.397501356&amp;l=13&amp;v=2","FT")</f>
        <v>FT</v>
      </c>
      <c r="G23" s="28" t="s">
        <v>31</v>
      </c>
      <c r="H23" s="28" t="s">
        <v>24</v>
      </c>
      <c r="I23" s="43" t="s">
        <v>1184</v>
      </c>
      <c r="J23" s="22" t="s">
        <v>25</v>
      </c>
      <c r="K23" s="44" t="s">
        <v>97</v>
      </c>
      <c r="L23" s="44" t="s">
        <v>47</v>
      </c>
      <c r="M23" s="43" t="s">
        <v>39</v>
      </c>
      <c r="N23" s="3" t="s">
        <v>40</v>
      </c>
      <c r="O23" s="44" t="s">
        <v>85</v>
      </c>
      <c r="P23" s="43" t="s">
        <v>1226</v>
      </c>
      <c r="Q23" s="43" t="s">
        <v>49</v>
      </c>
      <c r="R23" s="48" t="s">
        <v>88</v>
      </c>
      <c r="S23" s="29">
        <v>292600</v>
      </c>
      <c r="T23" s="43" t="s">
        <v>42</v>
      </c>
      <c r="U23" s="30">
        <v>4.0316159999999996</v>
      </c>
      <c r="V23" s="30">
        <v>3.16162109375E-2</v>
      </c>
      <c r="W23" s="31">
        <v>0.13316162109374902</v>
      </c>
      <c r="X23" s="32">
        <v>38963.090332031199</v>
      </c>
    </row>
    <row r="24" spans="1:24" x14ac:dyDescent="0.3">
      <c r="A24" s="22" t="s">
        <v>1059</v>
      </c>
      <c r="B24" s="2" t="s">
        <v>1086</v>
      </c>
      <c r="C24" s="43" t="s">
        <v>1090</v>
      </c>
      <c r="D24" s="43" t="s">
        <v>1106</v>
      </c>
      <c r="E24" s="43" t="s">
        <v>1145</v>
      </c>
      <c r="F24" s="23" t="str">
        <f>HYPERLINK("https://mapwv.gov/flood/map/?wkid=102100&amp;x=-9123908.552032935&amp;y=4679539.506629409&amp;l=13&amp;v=2","FT")</f>
        <v>FT</v>
      </c>
      <c r="G24" s="28" t="s">
        <v>31</v>
      </c>
      <c r="H24" s="28" t="s">
        <v>24</v>
      </c>
      <c r="I24" s="43" t="s">
        <v>1185</v>
      </c>
      <c r="J24" s="22" t="s">
        <v>25</v>
      </c>
      <c r="K24" s="44" t="s">
        <v>425</v>
      </c>
      <c r="L24" s="44" t="s">
        <v>1206</v>
      </c>
      <c r="M24" s="43" t="s">
        <v>39</v>
      </c>
      <c r="N24" s="3" t="s">
        <v>40</v>
      </c>
      <c r="O24" s="44" t="s">
        <v>85</v>
      </c>
      <c r="P24" s="43" t="s">
        <v>1227</v>
      </c>
      <c r="Q24" s="43" t="s">
        <v>49</v>
      </c>
      <c r="R24" s="48" t="s">
        <v>88</v>
      </c>
      <c r="S24" s="29">
        <v>289810</v>
      </c>
      <c r="T24" s="43" t="s">
        <v>30</v>
      </c>
      <c r="U24" s="30">
        <v>3.2456665</v>
      </c>
      <c r="V24" s="30">
        <v>-0.75433349609375</v>
      </c>
      <c r="W24" s="31">
        <v>5.4566650390624999E-2</v>
      </c>
      <c r="X24" s="32">
        <v>15813.960949707</v>
      </c>
    </row>
    <row r="25" spans="1:24" x14ac:dyDescent="0.3">
      <c r="A25" s="22" t="s">
        <v>1060</v>
      </c>
      <c r="B25" s="2" t="s">
        <v>1087</v>
      </c>
      <c r="C25" s="43" t="s">
        <v>219</v>
      </c>
      <c r="D25" s="43" t="s">
        <v>1099</v>
      </c>
      <c r="E25" s="43" t="s">
        <v>1146</v>
      </c>
      <c r="F25" s="23" t="str">
        <f>HYPERLINK("https://mapwv.gov/flood/map/?wkid=102100&amp;x=-9127685.15414577&amp;y=4722930.969659712&amp;l=13&amp;v=2","FT")</f>
        <v>FT</v>
      </c>
      <c r="G25" s="28" t="s">
        <v>31</v>
      </c>
      <c r="H25" s="28" t="s">
        <v>24</v>
      </c>
      <c r="I25" s="43" t="s">
        <v>1178</v>
      </c>
      <c r="J25" s="22" t="s">
        <v>25</v>
      </c>
      <c r="K25" s="44" t="s">
        <v>74</v>
      </c>
      <c r="L25" s="44" t="s">
        <v>54</v>
      </c>
      <c r="M25" s="43" t="s">
        <v>125</v>
      </c>
      <c r="N25" s="3" t="s">
        <v>40</v>
      </c>
      <c r="O25" s="44" t="s">
        <v>86</v>
      </c>
      <c r="P25" s="43" t="s">
        <v>1228</v>
      </c>
      <c r="Q25" s="43" t="s">
        <v>29</v>
      </c>
      <c r="R25" s="48" t="s">
        <v>87</v>
      </c>
      <c r="S25" s="29">
        <v>289300</v>
      </c>
      <c r="T25" s="43" t="s">
        <v>30</v>
      </c>
      <c r="U25" s="30">
        <v>4.8336790000000001</v>
      </c>
      <c r="V25" s="30">
        <v>3.83367919921875</v>
      </c>
      <c r="W25" s="31">
        <v>0.28833679199218698</v>
      </c>
      <c r="X25" s="32">
        <v>83415.8339233398</v>
      </c>
    </row>
    <row r="26" spans="1:24" x14ac:dyDescent="0.3">
      <c r="A26" s="22" t="s">
        <v>1061</v>
      </c>
      <c r="B26" s="2" t="s">
        <v>1085</v>
      </c>
      <c r="C26" s="43" t="s">
        <v>219</v>
      </c>
      <c r="D26" s="43" t="s">
        <v>1107</v>
      </c>
      <c r="E26" s="43" t="s">
        <v>1147</v>
      </c>
      <c r="F26" s="23" t="str">
        <f>HYPERLINK("https://mapwv.gov/flood/map/?wkid=102100&amp;x=-9143495.506759243&amp;y=4699136.878650615&amp;l=13&amp;v=2","FT")</f>
        <v>FT</v>
      </c>
      <c r="G26" s="28" t="s">
        <v>70</v>
      </c>
      <c r="H26" s="28" t="s">
        <v>24</v>
      </c>
      <c r="I26" s="43" t="s">
        <v>1182</v>
      </c>
      <c r="J26" s="22" t="s">
        <v>38</v>
      </c>
      <c r="K26" s="44" t="s">
        <v>421</v>
      </c>
      <c r="L26" s="44" t="s">
        <v>26</v>
      </c>
      <c r="M26" s="43" t="s">
        <v>61</v>
      </c>
      <c r="N26" s="3" t="s">
        <v>82</v>
      </c>
      <c r="O26" s="44" t="s">
        <v>85</v>
      </c>
      <c r="P26" s="43" t="s">
        <v>1029</v>
      </c>
      <c r="Q26" s="43" t="s">
        <v>29</v>
      </c>
      <c r="R26" s="48" t="s">
        <v>87</v>
      </c>
      <c r="S26" s="29">
        <v>289200</v>
      </c>
      <c r="T26" s="43" t="s">
        <v>42</v>
      </c>
      <c r="U26" s="30">
        <v>0</v>
      </c>
      <c r="V26" s="30">
        <v>-1</v>
      </c>
      <c r="W26" s="31">
        <v>0</v>
      </c>
      <c r="X26" s="32">
        <v>0</v>
      </c>
    </row>
    <row r="27" spans="1:24" x14ac:dyDescent="0.3">
      <c r="A27" s="22" t="s">
        <v>1062</v>
      </c>
      <c r="B27" s="2" t="s">
        <v>1086</v>
      </c>
      <c r="C27" s="43" t="s">
        <v>219</v>
      </c>
      <c r="D27" s="43" t="s">
        <v>1108</v>
      </c>
      <c r="E27" s="43" t="s">
        <v>1148</v>
      </c>
      <c r="F27" s="23" t="str">
        <f>HYPERLINK("https://mapwv.gov/flood/map/?wkid=102100&amp;x=-9128158.15311118&amp;y=4724771.8772094725&amp;l=13&amp;v=2","FT")</f>
        <v>FT</v>
      </c>
      <c r="G27" s="28" t="s">
        <v>31</v>
      </c>
      <c r="H27" s="28" t="s">
        <v>121</v>
      </c>
      <c r="I27" s="43" t="s">
        <v>1186</v>
      </c>
      <c r="J27" s="22" t="s">
        <v>25</v>
      </c>
      <c r="K27" s="44" t="s">
        <v>97</v>
      </c>
      <c r="L27" s="44" t="s">
        <v>47</v>
      </c>
      <c r="M27" s="43" t="s">
        <v>39</v>
      </c>
      <c r="N27" s="3" t="s">
        <v>40</v>
      </c>
      <c r="O27" s="44" t="s">
        <v>85</v>
      </c>
      <c r="P27" s="43" t="s">
        <v>1229</v>
      </c>
      <c r="Q27" s="43" t="s">
        <v>41</v>
      </c>
      <c r="R27" s="48" t="s">
        <v>88</v>
      </c>
      <c r="S27" s="29">
        <v>286900</v>
      </c>
      <c r="T27" s="43" t="s">
        <v>42</v>
      </c>
      <c r="U27" s="30">
        <v>3.6126710000000002</v>
      </c>
      <c r="V27" s="30">
        <v>-0.3873291015625</v>
      </c>
      <c r="W27" s="31">
        <v>0.23288696289062499</v>
      </c>
      <c r="X27" s="32">
        <v>66815.269653320298</v>
      </c>
    </row>
    <row r="28" spans="1:24" x14ac:dyDescent="0.3">
      <c r="A28" s="22" t="s">
        <v>1063</v>
      </c>
      <c r="B28" s="2" t="s">
        <v>1086</v>
      </c>
      <c r="C28" s="43" t="s">
        <v>219</v>
      </c>
      <c r="D28" s="43" t="s">
        <v>1109</v>
      </c>
      <c r="E28" s="43" t="s">
        <v>1149</v>
      </c>
      <c r="F28" s="23" t="str">
        <f>HYPERLINK("https://mapwv.gov/flood/map/?wkid=102100&amp;x=-9149970.632589594&amp;y=4692946.915459907&amp;l=13&amp;v=2","FT")</f>
        <v>FT</v>
      </c>
      <c r="G28" s="28" t="s">
        <v>31</v>
      </c>
      <c r="H28" s="28" t="s">
        <v>24</v>
      </c>
      <c r="I28" s="43" t="s">
        <v>1187</v>
      </c>
      <c r="J28" s="22" t="s">
        <v>25</v>
      </c>
      <c r="K28" s="44" t="s">
        <v>435</v>
      </c>
      <c r="L28" s="44" t="s">
        <v>47</v>
      </c>
      <c r="M28" s="43" t="s">
        <v>39</v>
      </c>
      <c r="N28" s="3" t="s">
        <v>40</v>
      </c>
      <c r="O28" s="44" t="s">
        <v>85</v>
      </c>
      <c r="P28" s="43" t="s">
        <v>1230</v>
      </c>
      <c r="Q28" s="43" t="s">
        <v>49</v>
      </c>
      <c r="R28" s="48" t="s">
        <v>88</v>
      </c>
      <c r="S28" s="29">
        <v>273600</v>
      </c>
      <c r="T28" s="43" t="s">
        <v>42</v>
      </c>
      <c r="U28" s="30">
        <v>0</v>
      </c>
      <c r="V28" s="30">
        <v>-4</v>
      </c>
      <c r="W28" s="31">
        <v>0</v>
      </c>
      <c r="X28" s="32">
        <v>0</v>
      </c>
    </row>
    <row r="29" spans="1:24" x14ac:dyDescent="0.3">
      <c r="A29" s="22" t="s">
        <v>1064</v>
      </c>
      <c r="B29" s="2" t="s">
        <v>1086</v>
      </c>
      <c r="C29" s="43" t="s">
        <v>1090</v>
      </c>
      <c r="D29" s="43" t="s">
        <v>1110</v>
      </c>
      <c r="E29" s="43" t="s">
        <v>1150</v>
      </c>
      <c r="F29" s="23" t="str">
        <f>HYPERLINK("https://mapwv.gov/flood/map/?wkid=102100&amp;x=-9124110.697430221&amp;y=4673831.071928238&amp;l=13&amp;v=2","FT")</f>
        <v>FT</v>
      </c>
      <c r="G29" s="28" t="s">
        <v>31</v>
      </c>
      <c r="H29" s="28" t="s">
        <v>24</v>
      </c>
      <c r="I29" s="43" t="s">
        <v>1188</v>
      </c>
      <c r="J29" s="22" t="s">
        <v>38</v>
      </c>
      <c r="K29" s="44" t="s">
        <v>1207</v>
      </c>
      <c r="L29" s="44" t="s">
        <v>424</v>
      </c>
      <c r="M29" s="43" t="s">
        <v>39</v>
      </c>
      <c r="N29" s="3" t="s">
        <v>40</v>
      </c>
      <c r="O29" s="44" t="s">
        <v>86</v>
      </c>
      <c r="P29" s="43" t="s">
        <v>1231</v>
      </c>
      <c r="Q29" s="43" t="s">
        <v>41</v>
      </c>
      <c r="R29" s="48" t="s">
        <v>88</v>
      </c>
      <c r="S29" s="29">
        <v>269800</v>
      </c>
      <c r="T29" s="43" t="s">
        <v>30</v>
      </c>
      <c r="U29" s="30">
        <v>0.64276122999999996</v>
      </c>
      <c r="V29" s="30">
        <v>-3.35723876953125</v>
      </c>
      <c r="W29" s="31">
        <v>0.04</v>
      </c>
      <c r="X29" s="32">
        <v>10792</v>
      </c>
    </row>
    <row r="30" spans="1:24" x14ac:dyDescent="0.3">
      <c r="A30" s="22" t="s">
        <v>1065</v>
      </c>
      <c r="B30" s="2" t="s">
        <v>1087</v>
      </c>
      <c r="C30" s="43" t="s">
        <v>219</v>
      </c>
      <c r="D30" s="43" t="s">
        <v>1099</v>
      </c>
      <c r="E30" s="43" t="s">
        <v>1151</v>
      </c>
      <c r="F30" s="23" t="str">
        <f>HYPERLINK("https://mapwv.gov/flood/map/?wkid=102100&amp;x=-9127721.117688384&amp;y=4722903.666207893&amp;l=13&amp;v=2","FT")</f>
        <v>FT</v>
      </c>
      <c r="G30" s="28" t="s">
        <v>31</v>
      </c>
      <c r="H30" s="28" t="s">
        <v>24</v>
      </c>
      <c r="I30" s="43" t="s">
        <v>1178</v>
      </c>
      <c r="J30" s="22" t="s">
        <v>25</v>
      </c>
      <c r="K30" s="44" t="s">
        <v>74</v>
      </c>
      <c r="L30" s="44" t="s">
        <v>54</v>
      </c>
      <c r="M30" s="43" t="s">
        <v>125</v>
      </c>
      <c r="N30" s="3" t="s">
        <v>40</v>
      </c>
      <c r="O30" s="44" t="s">
        <v>86</v>
      </c>
      <c r="P30" s="43" t="s">
        <v>1232</v>
      </c>
      <c r="Q30" s="43" t="s">
        <v>29</v>
      </c>
      <c r="R30" s="48" t="s">
        <v>87</v>
      </c>
      <c r="S30" s="29">
        <v>265700</v>
      </c>
      <c r="T30" s="43" t="s">
        <v>30</v>
      </c>
      <c r="U30" s="30">
        <v>5.6853639999999999</v>
      </c>
      <c r="V30" s="30">
        <v>4.68536376953125</v>
      </c>
      <c r="W30" s="31">
        <v>0.30370727539062403</v>
      </c>
      <c r="X30" s="32">
        <v>80695.023071289004</v>
      </c>
    </row>
    <row r="31" spans="1:24" x14ac:dyDescent="0.3">
      <c r="A31" s="22" t="s">
        <v>1066</v>
      </c>
      <c r="B31" s="2" t="s">
        <v>1088</v>
      </c>
      <c r="C31" s="43" t="s">
        <v>219</v>
      </c>
      <c r="D31" s="43" t="s">
        <v>1111</v>
      </c>
      <c r="E31" s="43" t="s">
        <v>1152</v>
      </c>
      <c r="F31" s="23" t="str">
        <f>HYPERLINK("https://mapwv.gov/flood/map/?wkid=102100&amp;x=-9131177.378930831&amp;y=4724812.364974864&amp;l=13&amp;v=2","FT")</f>
        <v>FT</v>
      </c>
      <c r="G31" s="28" t="s">
        <v>31</v>
      </c>
      <c r="H31" s="28" t="s">
        <v>24</v>
      </c>
      <c r="I31" s="43" t="s">
        <v>1189</v>
      </c>
      <c r="J31" s="22" t="s">
        <v>25</v>
      </c>
      <c r="K31" s="44" t="s">
        <v>120</v>
      </c>
      <c r="L31" s="44" t="s">
        <v>26</v>
      </c>
      <c r="M31" s="43" t="s">
        <v>978</v>
      </c>
      <c r="N31" s="3" t="s">
        <v>40</v>
      </c>
      <c r="O31" s="44" t="s">
        <v>85</v>
      </c>
      <c r="P31" s="43" t="s">
        <v>1233</v>
      </c>
      <c r="Q31" s="43" t="s">
        <v>49</v>
      </c>
      <c r="R31" s="48" t="s">
        <v>88</v>
      </c>
      <c r="S31" s="29">
        <v>256900</v>
      </c>
      <c r="T31" s="43" t="s">
        <v>42</v>
      </c>
      <c r="U31" s="30">
        <v>0</v>
      </c>
      <c r="V31" s="30">
        <v>-4</v>
      </c>
      <c r="W31" s="31">
        <v>0</v>
      </c>
      <c r="X31" s="32">
        <v>0</v>
      </c>
    </row>
    <row r="32" spans="1:24" x14ac:dyDescent="0.3">
      <c r="A32" s="22" t="s">
        <v>1067</v>
      </c>
      <c r="B32" s="2" t="s">
        <v>1086</v>
      </c>
      <c r="C32" s="43" t="s">
        <v>219</v>
      </c>
      <c r="D32" s="43" t="s">
        <v>1112</v>
      </c>
      <c r="E32" s="43" t="s">
        <v>1153</v>
      </c>
      <c r="F32" s="23" t="str">
        <f>HYPERLINK("https://mapwv.gov/flood/map/?wkid=102100&amp;x=-9150416.391007684&amp;y=4692415.314561401&amp;l=13&amp;v=2","FT")</f>
        <v>FT</v>
      </c>
      <c r="G32" s="28" t="s">
        <v>31</v>
      </c>
      <c r="H32" s="28" t="s">
        <v>24</v>
      </c>
      <c r="I32" s="43" t="s">
        <v>1190</v>
      </c>
      <c r="J32" s="22" t="s">
        <v>25</v>
      </c>
      <c r="K32" s="44" t="s">
        <v>116</v>
      </c>
      <c r="L32" s="44" t="s">
        <v>43</v>
      </c>
      <c r="M32" s="43" t="s">
        <v>39</v>
      </c>
      <c r="N32" s="3" t="s">
        <v>40</v>
      </c>
      <c r="O32" s="44" t="s">
        <v>85</v>
      </c>
      <c r="P32" s="43" t="s">
        <v>1234</v>
      </c>
      <c r="Q32" s="43" t="s">
        <v>49</v>
      </c>
      <c r="R32" s="48" t="s">
        <v>88</v>
      </c>
      <c r="S32" s="29">
        <v>254400</v>
      </c>
      <c r="T32" s="43" t="s">
        <v>42</v>
      </c>
      <c r="U32" s="30">
        <v>1.2745972000000001</v>
      </c>
      <c r="V32" s="30">
        <v>-2.72540283203125</v>
      </c>
      <c r="W32" s="31">
        <v>0</v>
      </c>
      <c r="X32" s="32">
        <v>0</v>
      </c>
    </row>
    <row r="33" spans="1:24" x14ac:dyDescent="0.3">
      <c r="A33" s="22" t="s">
        <v>1068</v>
      </c>
      <c r="B33" s="2" t="s">
        <v>1086</v>
      </c>
      <c r="C33" s="43" t="s">
        <v>219</v>
      </c>
      <c r="D33" s="43" t="s">
        <v>1113</v>
      </c>
      <c r="E33" s="43" t="s">
        <v>1154</v>
      </c>
      <c r="F33" s="23" t="str">
        <f>HYPERLINK("https://mapwv.gov/flood/map/?wkid=102100&amp;x=-9150595.553382905&amp;y=4693371.3828520505&amp;l=13&amp;v=2","FT")</f>
        <v>FT</v>
      </c>
      <c r="G33" s="28" t="s">
        <v>31</v>
      </c>
      <c r="H33" s="28" t="s">
        <v>24</v>
      </c>
      <c r="I33" s="43" t="s">
        <v>1191</v>
      </c>
      <c r="J33" s="22" t="s">
        <v>25</v>
      </c>
      <c r="K33" s="44" t="s">
        <v>115</v>
      </c>
      <c r="L33" s="44" t="s">
        <v>47</v>
      </c>
      <c r="M33" s="43" t="s">
        <v>39</v>
      </c>
      <c r="N33" s="3" t="s">
        <v>40</v>
      </c>
      <c r="O33" s="44" t="s">
        <v>85</v>
      </c>
      <c r="P33" s="43" t="s">
        <v>1235</v>
      </c>
      <c r="Q33" s="43" t="s">
        <v>41</v>
      </c>
      <c r="R33" s="48" t="s">
        <v>88</v>
      </c>
      <c r="S33" s="29">
        <v>251900</v>
      </c>
      <c r="T33" s="43" t="s">
        <v>42</v>
      </c>
      <c r="U33" s="30">
        <v>5.2905272999999999</v>
      </c>
      <c r="V33" s="30">
        <v>1.29052734375</v>
      </c>
      <c r="W33" s="31">
        <v>0.3403369140625</v>
      </c>
      <c r="X33" s="32">
        <v>85730.868652343706</v>
      </c>
    </row>
    <row r="34" spans="1:24" x14ac:dyDescent="0.3">
      <c r="A34" s="22" t="s">
        <v>1069</v>
      </c>
      <c r="B34" s="2" t="s">
        <v>1086</v>
      </c>
      <c r="C34" s="43" t="s">
        <v>1090</v>
      </c>
      <c r="D34" s="43" t="s">
        <v>1114</v>
      </c>
      <c r="E34" s="43" t="s">
        <v>1155</v>
      </c>
      <c r="F34" s="23" t="str">
        <f>HYPERLINK("https://mapwv.gov/flood/map/?wkid=102100&amp;x=-9123238.713157164&amp;y=4681986.156050001&amp;l=13&amp;v=2","FT")</f>
        <v>FT</v>
      </c>
      <c r="G34" s="28" t="s">
        <v>31</v>
      </c>
      <c r="H34" s="28" t="s">
        <v>24</v>
      </c>
      <c r="I34" s="43" t="s">
        <v>1192</v>
      </c>
      <c r="J34" s="22" t="s">
        <v>38</v>
      </c>
      <c r="K34" s="44" t="s">
        <v>1208</v>
      </c>
      <c r="L34" s="44" t="s">
        <v>37</v>
      </c>
      <c r="M34" s="43" t="s">
        <v>39</v>
      </c>
      <c r="N34" s="3" t="s">
        <v>40</v>
      </c>
      <c r="O34" s="44" t="s">
        <v>86</v>
      </c>
      <c r="P34" s="43" t="s">
        <v>1236</v>
      </c>
      <c r="Q34" s="43" t="s">
        <v>41</v>
      </c>
      <c r="R34" s="48" t="s">
        <v>88</v>
      </c>
      <c r="S34" s="29">
        <v>251700</v>
      </c>
      <c r="T34" s="43" t="s">
        <v>42</v>
      </c>
      <c r="U34" s="30">
        <v>0.92779540000000005</v>
      </c>
      <c r="V34" s="30">
        <v>-3.07220458984375</v>
      </c>
      <c r="W34" s="31">
        <v>0.04</v>
      </c>
      <c r="X34" s="32">
        <v>10068</v>
      </c>
    </row>
    <row r="35" spans="1:24" x14ac:dyDescent="0.3">
      <c r="A35" s="22" t="s">
        <v>1070</v>
      </c>
      <c r="B35" s="2" t="s">
        <v>1086</v>
      </c>
      <c r="C35" s="43" t="s">
        <v>219</v>
      </c>
      <c r="D35" s="43" t="s">
        <v>1115</v>
      </c>
      <c r="E35" s="43" t="s">
        <v>1156</v>
      </c>
      <c r="F35" s="23" t="str">
        <f>HYPERLINK("https://mapwv.gov/flood/map/?wkid=102100&amp;x=-9132704.536515977&amp;y=4722309.828744215&amp;l=13&amp;v=2","FT")</f>
        <v>FT</v>
      </c>
      <c r="G35" s="28" t="s">
        <v>31</v>
      </c>
      <c r="H35" s="28" t="s">
        <v>24</v>
      </c>
      <c r="I35" s="43"/>
      <c r="J35" s="22" t="s">
        <v>35</v>
      </c>
      <c r="K35" s="44" t="s">
        <v>73</v>
      </c>
      <c r="L35" s="44"/>
      <c r="M35" s="43" t="s">
        <v>48</v>
      </c>
      <c r="N35" s="3" t="s">
        <v>34</v>
      </c>
      <c r="O35" s="44" t="s">
        <v>85</v>
      </c>
      <c r="P35" s="43" t="s">
        <v>1237</v>
      </c>
      <c r="Q35" s="43" t="s">
        <v>29</v>
      </c>
      <c r="R35" s="48" t="s">
        <v>87</v>
      </c>
      <c r="S35" s="29">
        <v>244621</v>
      </c>
      <c r="T35" s="43" t="s">
        <v>89</v>
      </c>
      <c r="U35" s="30">
        <v>1.0107421999999999</v>
      </c>
      <c r="V35" s="30">
        <v>1.07421875E-2</v>
      </c>
      <c r="W35" s="31">
        <v>1.0859374999999999E-2</v>
      </c>
      <c r="X35" s="32">
        <v>2656.431171875</v>
      </c>
    </row>
    <row r="36" spans="1:24" x14ac:dyDescent="0.3">
      <c r="A36" s="22" t="s">
        <v>1071</v>
      </c>
      <c r="B36" s="2" t="s">
        <v>1086</v>
      </c>
      <c r="C36" s="43" t="s">
        <v>1091</v>
      </c>
      <c r="D36" s="43" t="s">
        <v>1116</v>
      </c>
      <c r="E36" s="43" t="s">
        <v>1157</v>
      </c>
      <c r="F36" s="23" t="str">
        <f>HYPERLINK("https://mapwv.gov/flood/map/?wkid=102100&amp;x=-9123616.760938386&amp;y=4717308.758238647&amp;l=13&amp;v=2","FT")</f>
        <v>FT</v>
      </c>
      <c r="G36" s="28" t="s">
        <v>31</v>
      </c>
      <c r="H36" s="28" t="s">
        <v>24</v>
      </c>
      <c r="I36" s="43" t="s">
        <v>1193</v>
      </c>
      <c r="J36" s="22" t="s">
        <v>25</v>
      </c>
      <c r="K36" s="44" t="s">
        <v>110</v>
      </c>
      <c r="L36" s="44" t="s">
        <v>43</v>
      </c>
      <c r="M36" s="43" t="s">
        <v>39</v>
      </c>
      <c r="N36" s="3" t="s">
        <v>40</v>
      </c>
      <c r="O36" s="44" t="s">
        <v>85</v>
      </c>
      <c r="P36" s="43" t="s">
        <v>1238</v>
      </c>
      <c r="Q36" s="43" t="s">
        <v>41</v>
      </c>
      <c r="R36" s="48" t="s">
        <v>88</v>
      </c>
      <c r="S36" s="29">
        <v>242700</v>
      </c>
      <c r="T36" s="43" t="s">
        <v>42</v>
      </c>
      <c r="U36" s="30">
        <v>0</v>
      </c>
      <c r="V36" s="30">
        <v>-4</v>
      </c>
      <c r="W36" s="31">
        <v>0</v>
      </c>
      <c r="X36" s="32">
        <v>0</v>
      </c>
    </row>
    <row r="37" spans="1:24" x14ac:dyDescent="0.3">
      <c r="A37" s="22" t="s">
        <v>1072</v>
      </c>
      <c r="B37" s="2" t="s">
        <v>1086</v>
      </c>
      <c r="C37" s="43" t="s">
        <v>219</v>
      </c>
      <c r="D37" s="43" t="s">
        <v>1117</v>
      </c>
      <c r="E37" s="43" t="s">
        <v>1158</v>
      </c>
      <c r="F37" s="23" t="str">
        <f>HYPERLINK("https://mapwv.gov/flood/map/?wkid=102100&amp;x=-9150410.080083113&amp;y=4693021.391888719&amp;l=13&amp;v=2","FT")</f>
        <v>FT</v>
      </c>
      <c r="G37" s="28" t="s">
        <v>31</v>
      </c>
      <c r="H37" s="28" t="s">
        <v>24</v>
      </c>
      <c r="I37" s="43" t="s">
        <v>1194</v>
      </c>
      <c r="J37" s="22" t="s">
        <v>25</v>
      </c>
      <c r="K37" s="44" t="s">
        <v>105</v>
      </c>
      <c r="L37" s="44" t="s">
        <v>47</v>
      </c>
      <c r="M37" s="43" t="s">
        <v>39</v>
      </c>
      <c r="N37" s="3" t="s">
        <v>40</v>
      </c>
      <c r="O37" s="44" t="s">
        <v>85</v>
      </c>
      <c r="P37" s="43" t="s">
        <v>1239</v>
      </c>
      <c r="Q37" s="43" t="s">
        <v>41</v>
      </c>
      <c r="R37" s="48" t="s">
        <v>88</v>
      </c>
      <c r="S37" s="29">
        <v>240900</v>
      </c>
      <c r="T37" s="43" t="s">
        <v>42</v>
      </c>
      <c r="U37" s="30">
        <v>6.2008057000000001</v>
      </c>
      <c r="V37" s="30">
        <v>2.2008056640625</v>
      </c>
      <c r="W37" s="31">
        <v>0.40405639648437502</v>
      </c>
      <c r="X37" s="32">
        <v>97337.185913085894</v>
      </c>
    </row>
    <row r="38" spans="1:24" x14ac:dyDescent="0.3">
      <c r="A38" s="22" t="s">
        <v>1073</v>
      </c>
      <c r="B38" s="2" t="s">
        <v>1086</v>
      </c>
      <c r="C38" s="43" t="s">
        <v>219</v>
      </c>
      <c r="D38" s="43" t="s">
        <v>1118</v>
      </c>
      <c r="E38" s="43" t="s">
        <v>1159</v>
      </c>
      <c r="F38" s="23" t="str">
        <f>HYPERLINK("https://mapwv.gov/flood/map/?wkid=102100&amp;x=-9150636.633280637&amp;y=4693341.195917208&amp;l=13&amp;v=2","FT")</f>
        <v>FT</v>
      </c>
      <c r="G38" s="28" t="s">
        <v>31</v>
      </c>
      <c r="H38" s="28" t="s">
        <v>24</v>
      </c>
      <c r="I38" s="43" t="s">
        <v>1195</v>
      </c>
      <c r="J38" s="22" t="s">
        <v>25</v>
      </c>
      <c r="K38" s="44" t="s">
        <v>71</v>
      </c>
      <c r="L38" s="44" t="s">
        <v>47</v>
      </c>
      <c r="M38" s="43" t="s">
        <v>39</v>
      </c>
      <c r="N38" s="3" t="s">
        <v>40</v>
      </c>
      <c r="O38" s="44" t="s">
        <v>86</v>
      </c>
      <c r="P38" s="43" t="s">
        <v>1240</v>
      </c>
      <c r="Q38" s="43" t="s">
        <v>41</v>
      </c>
      <c r="R38" s="48" t="s">
        <v>88</v>
      </c>
      <c r="S38" s="29">
        <v>239700</v>
      </c>
      <c r="T38" s="43" t="s">
        <v>42</v>
      </c>
      <c r="U38" s="30">
        <v>6.0010985999999997</v>
      </c>
      <c r="V38" s="30">
        <v>2.0010986328125</v>
      </c>
      <c r="W38" s="31">
        <v>0.26003295898437501</v>
      </c>
      <c r="X38" s="32">
        <v>62329.9002685546</v>
      </c>
    </row>
    <row r="39" spans="1:24" x14ac:dyDescent="0.3">
      <c r="A39" s="22" t="s">
        <v>1074</v>
      </c>
      <c r="B39" s="2" t="s">
        <v>1086</v>
      </c>
      <c r="C39" s="43" t="s">
        <v>219</v>
      </c>
      <c r="D39" s="43" t="s">
        <v>1119</v>
      </c>
      <c r="E39" s="43" t="s">
        <v>1160</v>
      </c>
      <c r="F39" s="23" t="str">
        <f>HYPERLINK("https://mapwv.gov/flood/map/?wkid=102100&amp;x=-9146574.597529374&amp;y=4668432.988195062&amp;l=13&amp;v=2","FT")</f>
        <v>FT</v>
      </c>
      <c r="G39" s="28" t="s">
        <v>31</v>
      </c>
      <c r="H39" s="28" t="s">
        <v>24</v>
      </c>
      <c r="I39" s="43" t="s">
        <v>1196</v>
      </c>
      <c r="J39" s="22" t="s">
        <v>25</v>
      </c>
      <c r="K39" s="44" t="s">
        <v>971</v>
      </c>
      <c r="L39" s="44" t="s">
        <v>47</v>
      </c>
      <c r="M39" s="43" t="s">
        <v>55</v>
      </c>
      <c r="N39" s="3" t="s">
        <v>83</v>
      </c>
      <c r="O39" s="44" t="s">
        <v>85</v>
      </c>
      <c r="P39" s="43" t="s">
        <v>1241</v>
      </c>
      <c r="Q39" s="43" t="s">
        <v>29</v>
      </c>
      <c r="R39" s="48" t="s">
        <v>87</v>
      </c>
      <c r="S39" s="29">
        <v>238100</v>
      </c>
      <c r="T39" s="43" t="s">
        <v>42</v>
      </c>
      <c r="U39" s="30">
        <v>3.5610352000000001</v>
      </c>
      <c r="V39" s="30">
        <v>2.56103515625</v>
      </c>
      <c r="W39" s="31">
        <v>0.11</v>
      </c>
      <c r="X39" s="32">
        <v>26191</v>
      </c>
    </row>
    <row r="40" spans="1:24" x14ac:dyDescent="0.3">
      <c r="A40" s="22" t="s">
        <v>1075</v>
      </c>
      <c r="B40" s="2" t="s">
        <v>1086</v>
      </c>
      <c r="C40" s="43" t="s">
        <v>219</v>
      </c>
      <c r="D40" s="43" t="s">
        <v>1120</v>
      </c>
      <c r="E40" s="43" t="s">
        <v>1161</v>
      </c>
      <c r="F40" s="23" t="str">
        <f>HYPERLINK("https://mapwv.gov/flood/map/?wkid=102100&amp;x=-9138060.989851536&amp;y=4713909.810557751&amp;l=13&amp;v=2","FT")</f>
        <v>FT</v>
      </c>
      <c r="G40" s="28" t="s">
        <v>31</v>
      </c>
      <c r="H40" s="28" t="s">
        <v>24</v>
      </c>
      <c r="I40" s="43" t="s">
        <v>1197</v>
      </c>
      <c r="J40" s="22" t="s">
        <v>38</v>
      </c>
      <c r="K40" s="44" t="s">
        <v>1209</v>
      </c>
      <c r="L40" s="44" t="s">
        <v>36</v>
      </c>
      <c r="M40" s="43" t="s">
        <v>1211</v>
      </c>
      <c r="N40" s="3" t="s">
        <v>40</v>
      </c>
      <c r="O40" s="44" t="s">
        <v>85</v>
      </c>
      <c r="P40" s="43" t="s">
        <v>422</v>
      </c>
      <c r="Q40" s="43" t="s">
        <v>49</v>
      </c>
      <c r="R40" s="48" t="s">
        <v>100</v>
      </c>
      <c r="S40" s="29">
        <v>236700</v>
      </c>
      <c r="T40" s="43" t="s">
        <v>42</v>
      </c>
      <c r="U40" s="30">
        <v>3.9579468000000002</v>
      </c>
      <c r="V40" s="30">
        <v>0.95794677734375</v>
      </c>
      <c r="W40" s="31">
        <v>0.42612243652343701</v>
      </c>
      <c r="X40" s="32">
        <v>100863.180725097</v>
      </c>
    </row>
    <row r="41" spans="1:24" x14ac:dyDescent="0.3">
      <c r="A41" s="22" t="s">
        <v>1076</v>
      </c>
      <c r="B41" s="2" t="s">
        <v>1085</v>
      </c>
      <c r="C41" s="43" t="s">
        <v>219</v>
      </c>
      <c r="D41" s="43" t="s">
        <v>1121</v>
      </c>
      <c r="E41" s="43" t="s">
        <v>1162</v>
      </c>
      <c r="F41" s="23" t="str">
        <f>HYPERLINK("https://mapwv.gov/flood/map/?wkid=102100&amp;x=-9142845.207348414&amp;y=4701133.934055837&amp;l=13&amp;v=2","FT")</f>
        <v>FT</v>
      </c>
      <c r="G41" s="28" t="s">
        <v>31</v>
      </c>
      <c r="H41" s="28" t="s">
        <v>24</v>
      </c>
      <c r="I41" s="43" t="s">
        <v>1198</v>
      </c>
      <c r="J41" s="22" t="s">
        <v>25</v>
      </c>
      <c r="K41" s="44" t="s">
        <v>971</v>
      </c>
      <c r="L41" s="44" t="s">
        <v>47</v>
      </c>
      <c r="M41" s="43" t="s">
        <v>39</v>
      </c>
      <c r="N41" s="3" t="s">
        <v>40</v>
      </c>
      <c r="O41" s="44" t="s">
        <v>85</v>
      </c>
      <c r="P41" s="43" t="s">
        <v>1242</v>
      </c>
      <c r="Q41" s="43" t="s">
        <v>41</v>
      </c>
      <c r="R41" s="48" t="s">
        <v>88</v>
      </c>
      <c r="S41" s="29">
        <v>227900</v>
      </c>
      <c r="T41" s="43" t="s">
        <v>42</v>
      </c>
      <c r="U41" s="30">
        <v>3.7450562000000001</v>
      </c>
      <c r="V41" s="30">
        <v>-0.25494384765625</v>
      </c>
      <c r="W41" s="31">
        <v>0.24215393066406199</v>
      </c>
      <c r="X41" s="32">
        <v>55186.8807983398</v>
      </c>
    </row>
    <row r="42" spans="1:24" x14ac:dyDescent="0.3">
      <c r="A42" s="22" t="s">
        <v>1077</v>
      </c>
      <c r="B42" s="2" t="s">
        <v>1086</v>
      </c>
      <c r="C42" s="43" t="s">
        <v>1090</v>
      </c>
      <c r="D42" s="43" t="s">
        <v>1122</v>
      </c>
      <c r="E42" s="43" t="s">
        <v>1163</v>
      </c>
      <c r="F42" s="23" t="str">
        <f>HYPERLINK("https://mapwv.gov/flood/map/?wkid=102100&amp;x=-9124904.902218465&amp;y=4672703.9871514505&amp;l=13&amp;v=2","FT")</f>
        <v>FT</v>
      </c>
      <c r="G42" s="28" t="s">
        <v>31</v>
      </c>
      <c r="H42" s="28" t="s">
        <v>24</v>
      </c>
      <c r="I42" s="43" t="s">
        <v>1199</v>
      </c>
      <c r="J42" s="22" t="s">
        <v>38</v>
      </c>
      <c r="K42" s="44" t="s">
        <v>1210</v>
      </c>
      <c r="L42" s="44" t="s">
        <v>37</v>
      </c>
      <c r="M42" s="43" t="s">
        <v>39</v>
      </c>
      <c r="N42" s="3" t="s">
        <v>40</v>
      </c>
      <c r="O42" s="44" t="s">
        <v>86</v>
      </c>
      <c r="P42" s="43" t="s">
        <v>1243</v>
      </c>
      <c r="Q42" s="43" t="s">
        <v>41</v>
      </c>
      <c r="R42" s="48" t="s">
        <v>88</v>
      </c>
      <c r="S42" s="29">
        <v>226300</v>
      </c>
      <c r="T42" s="43" t="s">
        <v>42</v>
      </c>
      <c r="U42" s="30">
        <v>0</v>
      </c>
      <c r="V42" s="30">
        <v>-4</v>
      </c>
      <c r="W42" s="31">
        <v>0</v>
      </c>
      <c r="X42" s="32">
        <v>0</v>
      </c>
    </row>
    <row r="43" spans="1:24" x14ac:dyDescent="0.3">
      <c r="A43" s="22" t="s">
        <v>1078</v>
      </c>
      <c r="B43" s="2" t="s">
        <v>1086</v>
      </c>
      <c r="C43" s="43" t="s">
        <v>219</v>
      </c>
      <c r="D43" s="43" t="s">
        <v>1123</v>
      </c>
      <c r="E43" s="43" t="s">
        <v>1164</v>
      </c>
      <c r="F43" s="23" t="str">
        <f>HYPERLINK("https://mapwv.gov/flood/map/?wkid=102100&amp;x=-9128106.3372278&amp;y=4724778.878845847&amp;l=13&amp;v=2","FT")</f>
        <v>FT</v>
      </c>
      <c r="G43" s="28" t="s">
        <v>31</v>
      </c>
      <c r="H43" s="28" t="s">
        <v>121</v>
      </c>
      <c r="I43" s="43" t="s">
        <v>1200</v>
      </c>
      <c r="J43" s="22" t="s">
        <v>25</v>
      </c>
      <c r="K43" s="44" t="s">
        <v>97</v>
      </c>
      <c r="L43" s="44" t="s">
        <v>47</v>
      </c>
      <c r="M43" s="43" t="s">
        <v>39</v>
      </c>
      <c r="N43" s="3" t="s">
        <v>40</v>
      </c>
      <c r="O43" s="44" t="s">
        <v>86</v>
      </c>
      <c r="P43" s="43" t="s">
        <v>1244</v>
      </c>
      <c r="Q43" s="43" t="s">
        <v>49</v>
      </c>
      <c r="R43" s="48" t="s">
        <v>88</v>
      </c>
      <c r="S43" s="29">
        <v>225600</v>
      </c>
      <c r="T43" s="43" t="s">
        <v>42</v>
      </c>
      <c r="U43" s="30">
        <v>2.7919312000000001</v>
      </c>
      <c r="V43" s="30">
        <v>-1.20806884765625</v>
      </c>
      <c r="W43" s="31">
        <v>0</v>
      </c>
      <c r="X43" s="32">
        <v>0</v>
      </c>
    </row>
    <row r="44" spans="1:24" x14ac:dyDescent="0.3">
      <c r="A44" s="22" t="s">
        <v>1079</v>
      </c>
      <c r="B44" s="2" t="s">
        <v>1086</v>
      </c>
      <c r="C44" s="43" t="s">
        <v>1090</v>
      </c>
      <c r="D44" s="43" t="s">
        <v>1124</v>
      </c>
      <c r="E44" s="43" t="s">
        <v>1165</v>
      </c>
      <c r="F44" s="23" t="str">
        <f>HYPERLINK("https://mapwv.gov/flood/map/?wkid=102100&amp;x=-9122614.521506513&amp;y=4676136.564123531&amp;l=13&amp;v=2","FT")</f>
        <v>FT</v>
      </c>
      <c r="G44" s="28" t="s">
        <v>31</v>
      </c>
      <c r="H44" s="28" t="s">
        <v>24</v>
      </c>
      <c r="I44" s="43" t="s">
        <v>1201</v>
      </c>
      <c r="J44" s="22" t="s">
        <v>38</v>
      </c>
      <c r="K44" s="44" t="s">
        <v>99</v>
      </c>
      <c r="L44" s="44" t="s">
        <v>26</v>
      </c>
      <c r="M44" s="43" t="s">
        <v>39</v>
      </c>
      <c r="N44" s="3" t="s">
        <v>40</v>
      </c>
      <c r="O44" s="44" t="s">
        <v>86</v>
      </c>
      <c r="P44" s="43" t="s">
        <v>1245</v>
      </c>
      <c r="Q44" s="43" t="s">
        <v>49</v>
      </c>
      <c r="R44" s="48" t="s">
        <v>100</v>
      </c>
      <c r="S44" s="29">
        <v>219300</v>
      </c>
      <c r="T44" s="43" t="s">
        <v>42</v>
      </c>
      <c r="U44" s="30">
        <v>0</v>
      </c>
      <c r="V44" s="30">
        <v>-3</v>
      </c>
      <c r="W44" s="31">
        <v>0</v>
      </c>
      <c r="X44" s="32">
        <v>0</v>
      </c>
    </row>
    <row r="45" spans="1:24" x14ac:dyDescent="0.3">
      <c r="A45" s="22" t="s">
        <v>1080</v>
      </c>
      <c r="B45" s="2" t="s">
        <v>1089</v>
      </c>
      <c r="C45" s="43" t="s">
        <v>219</v>
      </c>
      <c r="D45" s="43" t="s">
        <v>1125</v>
      </c>
      <c r="E45" s="43" t="s">
        <v>1166</v>
      </c>
      <c r="F45" s="23" t="str">
        <f>HYPERLINK("https://mapwv.gov/flood/map/?wkid=102100&amp;x=-9122905.310503004&amp;y=4720430.591287065&amp;l=13&amp;v=2","FT")</f>
        <v>FT</v>
      </c>
      <c r="G45" s="28" t="s">
        <v>31</v>
      </c>
      <c r="H45" s="28" t="s">
        <v>24</v>
      </c>
      <c r="I45" s="43" t="s">
        <v>1202</v>
      </c>
      <c r="J45" s="22" t="s">
        <v>25</v>
      </c>
      <c r="K45" s="44" t="s">
        <v>101</v>
      </c>
      <c r="L45" s="44" t="s">
        <v>43</v>
      </c>
      <c r="M45" s="43" t="s">
        <v>39</v>
      </c>
      <c r="N45" s="3" t="s">
        <v>40</v>
      </c>
      <c r="O45" s="44" t="s">
        <v>86</v>
      </c>
      <c r="P45" s="43" t="s">
        <v>1246</v>
      </c>
      <c r="Q45" s="43" t="s">
        <v>49</v>
      </c>
      <c r="R45" s="48" t="s">
        <v>88</v>
      </c>
      <c r="S45" s="29">
        <v>216500</v>
      </c>
      <c r="T45" s="43" t="s">
        <v>42</v>
      </c>
      <c r="U45" s="30">
        <v>0.82489014000000005</v>
      </c>
      <c r="V45" s="30">
        <v>-3.17510986328125</v>
      </c>
      <c r="W45" s="31">
        <v>0</v>
      </c>
      <c r="X45" s="32">
        <v>0</v>
      </c>
    </row>
    <row r="46" spans="1:24" x14ac:dyDescent="0.3">
      <c r="A46" s="22" t="s">
        <v>1081</v>
      </c>
      <c r="B46" s="2" t="s">
        <v>1085</v>
      </c>
      <c r="C46" s="43" t="s">
        <v>219</v>
      </c>
      <c r="D46" s="43" t="s">
        <v>1126</v>
      </c>
      <c r="E46" s="43" t="s">
        <v>1167</v>
      </c>
      <c r="F46" s="23" t="str">
        <f>HYPERLINK("https://mapwv.gov/flood/map/?wkid=102100&amp;x=-9143497.936307127&amp;y=4699122.058461615&amp;l=13&amp;v=2","FT")</f>
        <v>FT</v>
      </c>
      <c r="G46" s="28" t="s">
        <v>70</v>
      </c>
      <c r="H46" s="28" t="s">
        <v>24</v>
      </c>
      <c r="I46" s="43" t="s">
        <v>1182</v>
      </c>
      <c r="J46" s="22" t="s">
        <v>38</v>
      </c>
      <c r="K46" s="44" t="s">
        <v>667</v>
      </c>
      <c r="L46" s="44" t="s">
        <v>54</v>
      </c>
      <c r="M46" s="43" t="s">
        <v>61</v>
      </c>
      <c r="N46" s="3" t="s">
        <v>82</v>
      </c>
      <c r="O46" s="44" t="s">
        <v>85</v>
      </c>
      <c r="P46" s="43" t="s">
        <v>1247</v>
      </c>
      <c r="Q46" s="43" t="s">
        <v>29</v>
      </c>
      <c r="R46" s="48" t="s">
        <v>87</v>
      </c>
      <c r="S46" s="29">
        <v>205700</v>
      </c>
      <c r="T46" s="43" t="s">
        <v>42</v>
      </c>
      <c r="U46" s="30">
        <v>0</v>
      </c>
      <c r="V46" s="30">
        <v>-1</v>
      </c>
      <c r="W46" s="31">
        <v>0</v>
      </c>
      <c r="X46" s="32">
        <v>0</v>
      </c>
    </row>
    <row r="47" spans="1:24" x14ac:dyDescent="0.3">
      <c r="A47" s="22" t="s">
        <v>1082</v>
      </c>
      <c r="B47" s="2" t="s">
        <v>1085</v>
      </c>
      <c r="C47" s="43" t="s">
        <v>1090</v>
      </c>
      <c r="D47" s="43" t="s">
        <v>1127</v>
      </c>
      <c r="E47" s="43" t="s">
        <v>1168</v>
      </c>
      <c r="F47" s="23" t="str">
        <f>HYPERLINK("https://mapwv.gov/flood/map/?wkid=102100&amp;x=-9142031.18958324&amp;y=4698582.651467412&amp;l=13&amp;v=2","FT")</f>
        <v>FT</v>
      </c>
      <c r="G47" s="28" t="s">
        <v>31</v>
      </c>
      <c r="H47" s="28" t="s">
        <v>24</v>
      </c>
      <c r="I47" s="43" t="s">
        <v>1182</v>
      </c>
      <c r="J47" s="22" t="s">
        <v>38</v>
      </c>
      <c r="K47" s="44" t="s">
        <v>118</v>
      </c>
      <c r="L47" s="44" t="s">
        <v>50</v>
      </c>
      <c r="M47" s="43" t="s">
        <v>48</v>
      </c>
      <c r="N47" s="3" t="s">
        <v>34</v>
      </c>
      <c r="O47" s="44" t="s">
        <v>85</v>
      </c>
      <c r="P47" s="43" t="s">
        <v>1248</v>
      </c>
      <c r="Q47" s="43" t="s">
        <v>29</v>
      </c>
      <c r="R47" s="48" t="s">
        <v>87</v>
      </c>
      <c r="S47" s="29">
        <v>204500</v>
      </c>
      <c r="T47" s="43" t="s">
        <v>42</v>
      </c>
      <c r="U47" s="30">
        <v>3.1287231000000002</v>
      </c>
      <c r="V47" s="30">
        <v>2.12872314453125</v>
      </c>
      <c r="W47" s="31">
        <v>0.111287231445312</v>
      </c>
      <c r="X47" s="32">
        <v>22758.238830566399</v>
      </c>
    </row>
    <row r="48" spans="1:24" x14ac:dyDescent="0.3">
      <c r="A48" s="22" t="s">
        <v>1083</v>
      </c>
      <c r="B48" s="2" t="s">
        <v>1086</v>
      </c>
      <c r="C48" s="43" t="s">
        <v>219</v>
      </c>
      <c r="D48" s="43" t="s">
        <v>1128</v>
      </c>
      <c r="E48" s="43" t="s">
        <v>1169</v>
      </c>
      <c r="F48" s="23" t="str">
        <f>HYPERLINK("https://mapwv.gov/flood/map/?wkid=102100&amp;x=-9148690.864427654&amp;y=4694404.504919522&amp;l=13&amp;v=2","FT")</f>
        <v>FT</v>
      </c>
      <c r="G48" s="28" t="s">
        <v>31</v>
      </c>
      <c r="H48" s="28" t="s">
        <v>24</v>
      </c>
      <c r="I48" s="43" t="s">
        <v>1203</v>
      </c>
      <c r="J48" s="22" t="s">
        <v>25</v>
      </c>
      <c r="K48" s="44" t="s">
        <v>80</v>
      </c>
      <c r="L48" s="44" t="s">
        <v>46</v>
      </c>
      <c r="M48" s="43" t="s">
        <v>53</v>
      </c>
      <c r="N48" s="3" t="s">
        <v>34</v>
      </c>
      <c r="O48" s="44" t="s">
        <v>85</v>
      </c>
      <c r="P48" s="43" t="s">
        <v>1249</v>
      </c>
      <c r="Q48" s="43" t="s">
        <v>29</v>
      </c>
      <c r="R48" s="48" t="s">
        <v>87</v>
      </c>
      <c r="S48" s="29">
        <v>202200</v>
      </c>
      <c r="T48" s="43" t="s">
        <v>30</v>
      </c>
      <c r="U48" s="30">
        <v>10.985291</v>
      </c>
      <c r="V48" s="30">
        <v>9.98529052734375</v>
      </c>
      <c r="W48" s="31">
        <v>0.49955871582031203</v>
      </c>
      <c r="X48" s="32">
        <v>101010.772338867</v>
      </c>
    </row>
    <row r="49" spans="1:24" x14ac:dyDescent="0.3">
      <c r="A49" s="22" t="s">
        <v>1084</v>
      </c>
      <c r="B49" s="2" t="s">
        <v>1089</v>
      </c>
      <c r="C49" s="43" t="s">
        <v>219</v>
      </c>
      <c r="D49" s="43" t="s">
        <v>1129</v>
      </c>
      <c r="E49" s="43" t="s">
        <v>1170</v>
      </c>
      <c r="F49" s="23" t="str">
        <f>HYPERLINK("https://mapwv.gov/flood/map/?wkid=102100&amp;x=-9124715.163044468&amp;y=4720191.986113739&amp;l=13&amp;v=2","FT")</f>
        <v>FT</v>
      </c>
      <c r="G49" s="28" t="s">
        <v>31</v>
      </c>
      <c r="H49" s="28" t="s">
        <v>24</v>
      </c>
      <c r="I49" s="43" t="s">
        <v>1204</v>
      </c>
      <c r="J49" s="22" t="s">
        <v>38</v>
      </c>
      <c r="K49" s="44" t="s">
        <v>434</v>
      </c>
      <c r="L49" s="44" t="s">
        <v>26</v>
      </c>
      <c r="M49" s="43" t="s">
        <v>55</v>
      </c>
      <c r="N49" s="3" t="s">
        <v>83</v>
      </c>
      <c r="O49" s="44" t="s">
        <v>85</v>
      </c>
      <c r="P49" s="43" t="s">
        <v>1250</v>
      </c>
      <c r="Q49" s="43" t="s">
        <v>29</v>
      </c>
      <c r="R49" s="48" t="s">
        <v>87</v>
      </c>
      <c r="S49" s="29">
        <v>201900</v>
      </c>
      <c r="T49" s="43" t="s">
        <v>42</v>
      </c>
      <c r="U49" s="30">
        <v>0.38116454999999999</v>
      </c>
      <c r="V49" s="30">
        <v>-0.61883544921875</v>
      </c>
      <c r="W49" s="31">
        <v>0</v>
      </c>
      <c r="X49" s="32">
        <v>0</v>
      </c>
    </row>
  </sheetData>
  <hyperlinks>
    <hyperlink ref="J3" r:id="rId1" xr:uid="{C78F8AE9-60AA-47F0-BD66-03947B6ECC8C}"/>
    <hyperlink ref="M3" r:id="rId2" xr:uid="{95B04CB9-6B78-48D9-8EE2-B3F130E68228}"/>
    <hyperlink ref="Q3" r:id="rId3" xr:uid="{52E89FD7-C56E-491E-8017-2DEBA811DB3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9154B-695A-4378-9B3B-99B5FC29AC59}">
  <dimension ref="A1:Z86"/>
  <sheetViews>
    <sheetView workbookViewId="0">
      <pane ySplit="6" topLeftCell="A7" activePane="bottomLeft" state="frozen"/>
      <selection pane="bottomLeft" activeCell="F3" sqref="F3"/>
    </sheetView>
  </sheetViews>
  <sheetFormatPr defaultRowHeight="14.4" x14ac:dyDescent="0.3"/>
  <cols>
    <col min="1" max="1" width="33.88671875" bestFit="1" customWidth="1"/>
    <col min="2" max="2" width="12.88671875" customWidth="1"/>
    <col min="7" max="7" width="11.33203125" customWidth="1"/>
    <col min="13" max="13" width="11" customWidth="1"/>
    <col min="14" max="14" width="11.77734375" customWidth="1"/>
    <col min="17" max="17" width="11.77734375" customWidth="1"/>
    <col min="19" max="19" width="21.77734375" bestFit="1" customWidth="1"/>
    <col min="24" max="24" width="9.5546875" bestFit="1" customWidth="1"/>
    <col min="26" max="26" width="12.109375" bestFit="1" customWidth="1"/>
  </cols>
  <sheetData>
    <row r="1" spans="1:26" ht="14.25" customHeight="1" x14ac:dyDescent="0.3">
      <c r="A1" s="4" t="s">
        <v>63</v>
      </c>
      <c r="B1" s="4"/>
      <c r="C1" s="4"/>
      <c r="D1" s="4"/>
      <c r="F1" s="17" t="s">
        <v>64</v>
      </c>
      <c r="G1" s="6"/>
      <c r="H1" s="6"/>
      <c r="J1" s="6"/>
      <c r="K1" s="6"/>
      <c r="L1" s="6"/>
      <c r="N1" s="5" t="s">
        <v>65</v>
      </c>
      <c r="O1" s="6"/>
      <c r="P1" s="6"/>
      <c r="R1" s="6"/>
      <c r="S1" s="7" t="s">
        <v>66</v>
      </c>
      <c r="U1" s="8"/>
      <c r="V1" s="8"/>
      <c r="W1" s="9"/>
      <c r="X1" s="10"/>
    </row>
    <row r="2" spans="1:26" x14ac:dyDescent="0.3">
      <c r="A2" s="11">
        <v>44593</v>
      </c>
      <c r="B2" s="12" t="s">
        <v>67</v>
      </c>
      <c r="F2" s="6"/>
      <c r="G2" s="6"/>
      <c r="H2" s="6"/>
      <c r="J2" s="6"/>
      <c r="K2" s="6"/>
      <c r="L2" s="6"/>
      <c r="N2" s="13" t="s">
        <v>40</v>
      </c>
      <c r="O2" s="6"/>
      <c r="P2" s="6"/>
      <c r="R2" s="6"/>
      <c r="S2" s="38"/>
      <c r="U2" s="8"/>
      <c r="V2" s="8"/>
      <c r="W2" s="9"/>
      <c r="X2" s="10"/>
    </row>
    <row r="3" spans="1:26" x14ac:dyDescent="0.3">
      <c r="A3" t="s">
        <v>69</v>
      </c>
      <c r="B3" s="39" t="s">
        <v>1251</v>
      </c>
      <c r="F3" s="6"/>
      <c r="G3" s="6"/>
      <c r="H3" s="6"/>
      <c r="J3" s="16" t="s">
        <v>68</v>
      </c>
      <c r="K3" s="6"/>
      <c r="L3" s="6"/>
      <c r="M3" s="14" t="s">
        <v>68</v>
      </c>
      <c r="N3" s="5"/>
      <c r="O3" s="6"/>
      <c r="P3" s="6"/>
      <c r="Q3" s="14" t="s">
        <v>68</v>
      </c>
      <c r="R3" s="15"/>
      <c r="S3" s="38"/>
      <c r="U3" s="8"/>
      <c r="V3" s="8"/>
      <c r="W3" s="9"/>
      <c r="X3" s="10"/>
    </row>
    <row r="4" spans="1:26" x14ac:dyDescent="0.3">
      <c r="F4" s="6"/>
      <c r="G4" s="6"/>
      <c r="H4" s="6"/>
      <c r="I4" s="6"/>
      <c r="J4" s="6"/>
      <c r="K4" s="6"/>
      <c r="L4" s="6"/>
      <c r="N4" s="5"/>
      <c r="O4" s="6"/>
      <c r="P4" s="6"/>
      <c r="R4" s="6"/>
      <c r="S4" s="38"/>
      <c r="U4" s="8"/>
      <c r="V4" s="8"/>
      <c r="W4" s="9"/>
      <c r="X4" s="10"/>
    </row>
    <row r="5" spans="1:26" x14ac:dyDescent="0.3">
      <c r="A5" s="1" t="s">
        <v>1260</v>
      </c>
      <c r="F5" s="6"/>
      <c r="G5" s="6"/>
      <c r="H5" s="6"/>
      <c r="I5" s="6"/>
      <c r="J5" s="6"/>
      <c r="K5" s="6"/>
      <c r="L5" s="6"/>
      <c r="O5" s="6"/>
      <c r="P5" s="6"/>
      <c r="R5" s="6"/>
      <c r="S5" s="33" t="s">
        <v>104</v>
      </c>
      <c r="U5" s="6"/>
      <c r="V5" s="6"/>
      <c r="W5" s="9"/>
      <c r="X5" s="10"/>
    </row>
    <row r="6" spans="1:26" ht="43.2" x14ac:dyDescent="0.3">
      <c r="A6" s="24" t="s">
        <v>0</v>
      </c>
      <c r="B6" s="18" t="s">
        <v>1</v>
      </c>
      <c r="C6" s="18" t="s">
        <v>2</v>
      </c>
      <c r="D6" s="25" t="s">
        <v>3</v>
      </c>
      <c r="E6" s="25" t="s">
        <v>4</v>
      </c>
      <c r="F6" s="18" t="s">
        <v>5</v>
      </c>
      <c r="G6" s="18" t="s">
        <v>6</v>
      </c>
      <c r="H6" s="24" t="s">
        <v>7</v>
      </c>
      <c r="I6" s="18" t="s">
        <v>8</v>
      </c>
      <c r="J6" s="24" t="s">
        <v>9</v>
      </c>
      <c r="K6" s="25" t="s">
        <v>10</v>
      </c>
      <c r="L6" s="18" t="s">
        <v>11</v>
      </c>
      <c r="M6" s="25" t="s">
        <v>12</v>
      </c>
      <c r="N6" s="19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20" t="s">
        <v>18</v>
      </c>
      <c r="T6" s="18" t="s">
        <v>19</v>
      </c>
      <c r="U6" s="26" t="s">
        <v>20</v>
      </c>
      <c r="V6" s="26" t="s">
        <v>21</v>
      </c>
      <c r="W6" s="27" t="s">
        <v>22</v>
      </c>
      <c r="X6" s="21" t="s">
        <v>23</v>
      </c>
    </row>
    <row r="7" spans="1:26" x14ac:dyDescent="0.3">
      <c r="A7" s="22" t="s">
        <v>1261</v>
      </c>
      <c r="B7" s="43" t="s">
        <v>1337</v>
      </c>
      <c r="C7" s="2" t="s">
        <v>1343</v>
      </c>
      <c r="D7" s="43" t="s">
        <v>1361</v>
      </c>
      <c r="E7" s="43" t="s">
        <v>1434</v>
      </c>
      <c r="F7" s="23" t="str">
        <f>HYPERLINK("https://mapwv.gov/flood/map/?wkid=102100&amp;x=-9148097.135133015&amp;y=4533883.6407617135&amp;l=13&amp;v=2","FT")</f>
        <v>FT</v>
      </c>
      <c r="G7" s="28" t="s">
        <v>51</v>
      </c>
      <c r="H7" s="28" t="s">
        <v>24</v>
      </c>
      <c r="I7" s="2"/>
      <c r="J7" s="47" t="s">
        <v>25</v>
      </c>
      <c r="K7" s="44" t="s">
        <v>435</v>
      </c>
      <c r="L7" s="44"/>
      <c r="M7" s="43" t="s">
        <v>57</v>
      </c>
      <c r="N7" s="3" t="s">
        <v>81</v>
      </c>
      <c r="O7" s="44" t="s">
        <v>85</v>
      </c>
      <c r="P7" s="43" t="s">
        <v>1571</v>
      </c>
      <c r="Q7" s="43" t="s">
        <v>29</v>
      </c>
      <c r="R7" s="28" t="s">
        <v>87</v>
      </c>
      <c r="S7" s="29">
        <v>16952110</v>
      </c>
      <c r="T7" s="43" t="s">
        <v>58</v>
      </c>
      <c r="U7" s="30">
        <v>3.3020019999999997E-2</v>
      </c>
      <c r="V7" s="30">
        <v>-0.96697998046875</v>
      </c>
      <c r="W7" s="31">
        <v>0</v>
      </c>
      <c r="X7" s="32">
        <v>0</v>
      </c>
    </row>
    <row r="8" spans="1:26" x14ac:dyDescent="0.3">
      <c r="A8" s="22" t="s">
        <v>1262</v>
      </c>
      <c r="B8" s="43" t="s">
        <v>1338</v>
      </c>
      <c r="C8" s="2" t="s">
        <v>1344</v>
      </c>
      <c r="D8" s="43" t="s">
        <v>1362</v>
      </c>
      <c r="E8" s="43" t="s">
        <v>1435</v>
      </c>
      <c r="F8" s="23" t="str">
        <f>HYPERLINK("https://mapwv.gov/flood/map/?wkid=102100&amp;x=-9159199.96136376&amp;y=4533272.124793008&amp;l=13&amp;v=2","FT")</f>
        <v>FT</v>
      </c>
      <c r="G8" s="28" t="s">
        <v>70</v>
      </c>
      <c r="H8" s="28" t="s">
        <v>24</v>
      </c>
      <c r="I8" s="2" t="s">
        <v>1510</v>
      </c>
      <c r="J8" s="47" t="s">
        <v>38</v>
      </c>
      <c r="K8" s="44" t="s">
        <v>667</v>
      </c>
      <c r="L8" s="44"/>
      <c r="M8" s="43" t="s">
        <v>61</v>
      </c>
      <c r="N8" s="3" t="s">
        <v>82</v>
      </c>
      <c r="O8" s="44" t="s">
        <v>85</v>
      </c>
      <c r="P8" s="43" t="s">
        <v>1572</v>
      </c>
      <c r="Q8" s="43" t="s">
        <v>29</v>
      </c>
      <c r="R8" s="28" t="s">
        <v>87</v>
      </c>
      <c r="S8" s="29">
        <v>15000000</v>
      </c>
      <c r="T8" s="43" t="s">
        <v>58</v>
      </c>
      <c r="U8" s="30">
        <v>0</v>
      </c>
      <c r="V8" s="30">
        <v>-1</v>
      </c>
      <c r="W8" s="31">
        <v>0</v>
      </c>
      <c r="X8" s="32">
        <v>0</v>
      </c>
    </row>
    <row r="9" spans="1:26" x14ac:dyDescent="0.3">
      <c r="A9" s="22" t="s">
        <v>1263</v>
      </c>
      <c r="B9" s="43" t="s">
        <v>1337</v>
      </c>
      <c r="C9" s="2" t="s">
        <v>1345</v>
      </c>
      <c r="D9" s="43" t="s">
        <v>1363</v>
      </c>
      <c r="E9" s="43" t="s">
        <v>1436</v>
      </c>
      <c r="F9" s="23" t="str">
        <f>HYPERLINK("https://mapwv.gov/flood/map/?wkid=102100&amp;x=-9118410.812110985&amp;y=4528111.982882264&amp;l=13&amp;v=2","FT")</f>
        <v>FT</v>
      </c>
      <c r="G9" s="28" t="s">
        <v>31</v>
      </c>
      <c r="H9" s="28" t="s">
        <v>24</v>
      </c>
      <c r="I9" s="2" t="s">
        <v>1511</v>
      </c>
      <c r="J9" s="47" t="s">
        <v>25</v>
      </c>
      <c r="K9" s="44" t="s">
        <v>114</v>
      </c>
      <c r="L9" s="44"/>
      <c r="M9" s="43" t="s">
        <v>57</v>
      </c>
      <c r="N9" s="3" t="s">
        <v>81</v>
      </c>
      <c r="O9" s="44" t="s">
        <v>85</v>
      </c>
      <c r="P9" s="43" t="s">
        <v>1573</v>
      </c>
      <c r="Q9" s="43" t="s">
        <v>29</v>
      </c>
      <c r="R9" s="28" t="s">
        <v>87</v>
      </c>
      <c r="S9" s="29">
        <v>11356440</v>
      </c>
      <c r="T9" s="43" t="s">
        <v>58</v>
      </c>
      <c r="U9" s="30">
        <v>0</v>
      </c>
      <c r="V9" s="30">
        <v>-1</v>
      </c>
      <c r="W9" s="31">
        <v>0</v>
      </c>
      <c r="X9" s="32">
        <v>0</v>
      </c>
    </row>
    <row r="10" spans="1:26" x14ac:dyDescent="0.3">
      <c r="A10" s="22" t="s">
        <v>1264</v>
      </c>
      <c r="B10" s="43" t="s">
        <v>1337</v>
      </c>
      <c r="C10" s="2" t="s">
        <v>1346</v>
      </c>
      <c r="D10" s="43" t="s">
        <v>1364</v>
      </c>
      <c r="E10" s="43" t="s">
        <v>1437</v>
      </c>
      <c r="F10" s="23" t="str">
        <f>HYPERLINK("https://mapwv.gov/flood/map/?wkid=102100&amp;x=-9166101.61038343&amp;y=4550140.6557781&amp;l=13&amp;v=2","FT")</f>
        <v>FT</v>
      </c>
      <c r="G10" s="28" t="s">
        <v>70</v>
      </c>
      <c r="H10" s="28" t="s">
        <v>24</v>
      </c>
      <c r="I10" s="2" t="s">
        <v>1512</v>
      </c>
      <c r="J10" s="47" t="s">
        <v>25</v>
      </c>
      <c r="K10" s="44" t="s">
        <v>1563</v>
      </c>
      <c r="L10" s="44"/>
      <c r="M10" s="43" t="s">
        <v>57</v>
      </c>
      <c r="N10" s="3" t="s">
        <v>81</v>
      </c>
      <c r="O10" s="44" t="s">
        <v>85</v>
      </c>
      <c r="P10" s="43" t="s">
        <v>1574</v>
      </c>
      <c r="Q10" s="43" t="s">
        <v>29</v>
      </c>
      <c r="R10" s="28" t="s">
        <v>87</v>
      </c>
      <c r="S10" s="29">
        <v>8367584</v>
      </c>
      <c r="T10" s="43" t="s">
        <v>58</v>
      </c>
      <c r="U10" s="30">
        <v>0</v>
      </c>
      <c r="V10" s="30">
        <v>-1</v>
      </c>
      <c r="W10" s="31">
        <v>0</v>
      </c>
      <c r="X10" s="32">
        <v>0</v>
      </c>
    </row>
    <row r="11" spans="1:26" x14ac:dyDescent="0.3">
      <c r="A11" s="22" t="s">
        <v>1655</v>
      </c>
      <c r="B11" s="43" t="s">
        <v>1337</v>
      </c>
      <c r="C11" s="2" t="s">
        <v>1343</v>
      </c>
      <c r="D11" s="43" t="s">
        <v>1656</v>
      </c>
      <c r="E11" s="43" t="s">
        <v>1657</v>
      </c>
      <c r="F11" s="23" t="str">
        <f>HYPERLINK("https://mapwv.gov/flood/map/?wkid=102100&amp;x=-9149481.671856357&amp;y=4540941.901254328&amp;l=13&amp;v=2","FT")</f>
        <v>FT</v>
      </c>
      <c r="G11" s="28" t="s">
        <v>51</v>
      </c>
      <c r="H11" s="28" t="s">
        <v>24</v>
      </c>
      <c r="I11" s="2" t="s">
        <v>1658</v>
      </c>
      <c r="J11" s="47" t="s">
        <v>102</v>
      </c>
      <c r="K11" s="44" t="s">
        <v>97</v>
      </c>
      <c r="L11" s="44" t="s">
        <v>50</v>
      </c>
      <c r="M11" s="43" t="s">
        <v>27</v>
      </c>
      <c r="N11" s="3" t="s">
        <v>82</v>
      </c>
      <c r="O11" s="44" t="s">
        <v>85</v>
      </c>
      <c r="P11" s="49">
        <v>8000</v>
      </c>
      <c r="Q11" s="43" t="s">
        <v>29</v>
      </c>
      <c r="R11" s="28" t="s">
        <v>87</v>
      </c>
      <c r="S11" s="29">
        <v>7500000</v>
      </c>
      <c r="T11" s="43" t="s">
        <v>28</v>
      </c>
      <c r="U11" s="30">
        <v>1.8850708</v>
      </c>
      <c r="V11" s="30">
        <v>0.88507080078125</v>
      </c>
      <c r="W11" s="31">
        <v>4.4253540039062497E-2</v>
      </c>
      <c r="X11" s="32">
        <v>331901.55029296875</v>
      </c>
      <c r="Z11" s="50"/>
    </row>
    <row r="12" spans="1:26" x14ac:dyDescent="0.3">
      <c r="A12" s="22" t="s">
        <v>1265</v>
      </c>
      <c r="B12" s="43" t="s">
        <v>1339</v>
      </c>
      <c r="C12" s="2" t="s">
        <v>1347</v>
      </c>
      <c r="D12" s="43" t="s">
        <v>1365</v>
      </c>
      <c r="E12" s="43" t="s">
        <v>1438</v>
      </c>
      <c r="F12" s="23" t="str">
        <f>HYPERLINK("https://mapwv.gov/flood/map/?wkid=102100&amp;x=-9145201.283814456&amp;y=4526501.4734408&amp;l=13&amp;v=2","FT")</f>
        <v>FT</v>
      </c>
      <c r="G12" s="28" t="s">
        <v>51</v>
      </c>
      <c r="H12" s="28" t="s">
        <v>24</v>
      </c>
      <c r="I12" s="2" t="s">
        <v>1513</v>
      </c>
      <c r="J12" s="47" t="s">
        <v>25</v>
      </c>
      <c r="K12" s="44" t="s">
        <v>1564</v>
      </c>
      <c r="L12" s="44"/>
      <c r="M12" s="43" t="s">
        <v>57</v>
      </c>
      <c r="N12" s="3" t="s">
        <v>81</v>
      </c>
      <c r="O12" s="44" t="s">
        <v>85</v>
      </c>
      <c r="P12" s="43" t="s">
        <v>1575</v>
      </c>
      <c r="Q12" s="43" t="s">
        <v>29</v>
      </c>
      <c r="R12" s="28" t="s">
        <v>87</v>
      </c>
      <c r="S12" s="29">
        <v>6086941</v>
      </c>
      <c r="T12" s="43" t="s">
        <v>58</v>
      </c>
      <c r="U12" s="30">
        <v>0.76293944999999996</v>
      </c>
      <c r="V12" s="30">
        <v>-0.237060546875</v>
      </c>
      <c r="W12" s="31">
        <v>0</v>
      </c>
      <c r="X12" s="32">
        <v>0</v>
      </c>
    </row>
    <row r="13" spans="1:26" x14ac:dyDescent="0.3">
      <c r="A13" s="22" t="s">
        <v>1266</v>
      </c>
      <c r="B13" s="43" t="s">
        <v>1337</v>
      </c>
      <c r="C13" s="2" t="s">
        <v>1343</v>
      </c>
      <c r="D13" s="43" t="s">
        <v>1366</v>
      </c>
      <c r="E13" s="43" t="s">
        <v>1439</v>
      </c>
      <c r="F13" s="23" t="str">
        <f>HYPERLINK("https://mapwv.gov/flood/map/?wkid=102100&amp;x=-9147922.837419545&amp;y=4533892.078301282&amp;l=13&amp;v=2","FT")</f>
        <v>FT</v>
      </c>
      <c r="G13" s="28" t="s">
        <v>31</v>
      </c>
      <c r="H13" s="28" t="s">
        <v>24</v>
      </c>
      <c r="I13" s="2" t="s">
        <v>56</v>
      </c>
      <c r="J13" s="47" t="s">
        <v>38</v>
      </c>
      <c r="K13" s="44" t="s">
        <v>123</v>
      </c>
      <c r="L13" s="44"/>
      <c r="M13" s="43" t="s">
        <v>57</v>
      </c>
      <c r="N13" s="3" t="s">
        <v>81</v>
      </c>
      <c r="O13" s="44" t="s">
        <v>85</v>
      </c>
      <c r="P13" s="43" t="s">
        <v>1576</v>
      </c>
      <c r="Q13" s="43" t="s">
        <v>29</v>
      </c>
      <c r="R13" s="28" t="s">
        <v>87</v>
      </c>
      <c r="S13" s="29">
        <v>5226780</v>
      </c>
      <c r="T13" s="43" t="s">
        <v>58</v>
      </c>
      <c r="U13" s="30">
        <v>1</v>
      </c>
      <c r="V13" s="30">
        <v>0</v>
      </c>
      <c r="W13" s="31">
        <v>0</v>
      </c>
      <c r="X13" s="32">
        <v>0</v>
      </c>
    </row>
    <row r="14" spans="1:26" x14ac:dyDescent="0.3">
      <c r="A14" s="22" t="s">
        <v>1647</v>
      </c>
      <c r="B14" s="43" t="s">
        <v>1339</v>
      </c>
      <c r="C14" s="2" t="s">
        <v>1344</v>
      </c>
      <c r="D14" s="43" t="s">
        <v>1648</v>
      </c>
      <c r="E14" s="43" t="s">
        <v>1649</v>
      </c>
      <c r="F14" s="23" t="str">
        <f>HYPERLINK("https://mapwv.gov/flood/map/?wkid=102100&amp;x=-9147551.325650904&amp;y=4529566.850511728&amp;l=13&amp;v=2","FT")</f>
        <v>FT</v>
      </c>
      <c r="G14" s="28" t="s">
        <v>31</v>
      </c>
      <c r="H14" s="28" t="s">
        <v>24</v>
      </c>
      <c r="I14" s="2" t="s">
        <v>1650</v>
      </c>
      <c r="J14" s="47" t="s">
        <v>25</v>
      </c>
      <c r="K14" s="44">
        <v>9999</v>
      </c>
      <c r="L14" s="44"/>
      <c r="M14" s="43" t="s">
        <v>27</v>
      </c>
      <c r="N14" s="3" t="s">
        <v>82</v>
      </c>
      <c r="O14" s="44" t="s">
        <v>85</v>
      </c>
      <c r="P14" s="49">
        <v>10000</v>
      </c>
      <c r="Q14" s="43" t="s">
        <v>29</v>
      </c>
      <c r="R14" s="28" t="s">
        <v>87</v>
      </c>
      <c r="S14" s="29">
        <v>6000000</v>
      </c>
      <c r="T14" s="43" t="s">
        <v>28</v>
      </c>
      <c r="U14" s="30">
        <v>0</v>
      </c>
      <c r="V14" s="30">
        <v>-1</v>
      </c>
      <c r="W14" s="31">
        <v>0</v>
      </c>
      <c r="X14" s="32">
        <v>0</v>
      </c>
    </row>
    <row r="15" spans="1:26" x14ac:dyDescent="0.3">
      <c r="A15" s="22" t="s">
        <v>1267</v>
      </c>
      <c r="B15" s="43" t="s">
        <v>1338</v>
      </c>
      <c r="C15" s="2" t="s">
        <v>1344</v>
      </c>
      <c r="D15" s="43" t="s">
        <v>1367</v>
      </c>
      <c r="E15" s="43" t="s">
        <v>1440</v>
      </c>
      <c r="F15" s="23" t="str">
        <f>HYPERLINK("https://mapwv.gov/flood/map/?wkid=102100&amp;x=-9158131.788733322&amp;y=4532011.7252871515&amp;l=13&amp;v=2","FT")</f>
        <v>FT</v>
      </c>
      <c r="G15" s="28" t="s">
        <v>31</v>
      </c>
      <c r="H15" s="28" t="s">
        <v>121</v>
      </c>
      <c r="I15" s="2" t="s">
        <v>136</v>
      </c>
      <c r="J15" s="47" t="s">
        <v>35</v>
      </c>
      <c r="K15" s="44" t="s">
        <v>73</v>
      </c>
      <c r="L15" s="44"/>
      <c r="M15" s="43" t="s">
        <v>27</v>
      </c>
      <c r="N15" s="3" t="s">
        <v>82</v>
      </c>
      <c r="O15" s="44" t="s">
        <v>85</v>
      </c>
      <c r="P15" s="43" t="s">
        <v>1577</v>
      </c>
      <c r="Q15" s="43" t="s">
        <v>29</v>
      </c>
      <c r="R15" s="28" t="s">
        <v>87</v>
      </c>
      <c r="S15" s="29">
        <v>4778759</v>
      </c>
      <c r="T15" s="43" t="s">
        <v>89</v>
      </c>
      <c r="U15" s="30">
        <v>5.5401610000000003</v>
      </c>
      <c r="V15" s="30">
        <v>4.5401611328125</v>
      </c>
      <c r="W15" s="31">
        <v>0.14000000000000001</v>
      </c>
      <c r="X15" s="32">
        <v>669026.26</v>
      </c>
    </row>
    <row r="16" spans="1:26" x14ac:dyDescent="0.3">
      <c r="A16" s="22" t="s">
        <v>1268</v>
      </c>
      <c r="B16" s="43" t="s">
        <v>1337</v>
      </c>
      <c r="C16" s="2" t="s">
        <v>1344</v>
      </c>
      <c r="D16" s="43" t="s">
        <v>1368</v>
      </c>
      <c r="E16" s="43" t="s">
        <v>1441</v>
      </c>
      <c r="F16" s="23" t="str">
        <f>HYPERLINK("https://mapwv.gov/flood/map/?wkid=102100&amp;x=-9172622.10079871&amp;y=4552535.542847177&amp;l=13&amp;v=2","FT")</f>
        <v>FT</v>
      </c>
      <c r="G16" s="28" t="s">
        <v>70</v>
      </c>
      <c r="H16" s="28" t="s">
        <v>24</v>
      </c>
      <c r="I16" s="2" t="s">
        <v>1511</v>
      </c>
      <c r="J16" s="47" t="s">
        <v>25</v>
      </c>
      <c r="K16" s="44" t="s">
        <v>78</v>
      </c>
      <c r="L16" s="44"/>
      <c r="M16" s="43" t="s">
        <v>57</v>
      </c>
      <c r="N16" s="3" t="s">
        <v>81</v>
      </c>
      <c r="O16" s="44" t="s">
        <v>85</v>
      </c>
      <c r="P16" s="43" t="s">
        <v>1578</v>
      </c>
      <c r="Q16" s="43" t="s">
        <v>29</v>
      </c>
      <c r="R16" s="28" t="s">
        <v>87</v>
      </c>
      <c r="S16" s="29">
        <v>4110675</v>
      </c>
      <c r="T16" s="43" t="s">
        <v>58</v>
      </c>
      <c r="U16" s="30">
        <v>0</v>
      </c>
      <c r="V16" s="30">
        <v>-1</v>
      </c>
      <c r="W16" s="31">
        <v>0</v>
      </c>
      <c r="X16" s="32">
        <v>0</v>
      </c>
    </row>
    <row r="17" spans="1:24" x14ac:dyDescent="0.3">
      <c r="A17" s="22" t="s">
        <v>1269</v>
      </c>
      <c r="B17" s="43" t="s">
        <v>1337</v>
      </c>
      <c r="C17" s="2" t="s">
        <v>1348</v>
      </c>
      <c r="D17" s="43" t="s">
        <v>1369</v>
      </c>
      <c r="E17" s="43" t="s">
        <v>1442</v>
      </c>
      <c r="F17" s="23" t="str">
        <f>HYPERLINK("https://mapwv.gov/flood/map/?wkid=102100&amp;x=-9144913.887836047&amp;y=4558981.304373231&amp;l=13&amp;v=2","FT")</f>
        <v>FT</v>
      </c>
      <c r="G17" s="28" t="s">
        <v>364</v>
      </c>
      <c r="H17" s="28" t="s">
        <v>24</v>
      </c>
      <c r="I17" s="2" t="s">
        <v>1514</v>
      </c>
      <c r="J17" s="47" t="s">
        <v>38</v>
      </c>
      <c r="K17" s="44" t="s">
        <v>421</v>
      </c>
      <c r="L17" s="44"/>
      <c r="M17" s="43" t="s">
        <v>57</v>
      </c>
      <c r="N17" s="3" t="s">
        <v>81</v>
      </c>
      <c r="O17" s="44" t="s">
        <v>85</v>
      </c>
      <c r="P17" s="43" t="s">
        <v>1579</v>
      </c>
      <c r="Q17" s="43" t="s">
        <v>29</v>
      </c>
      <c r="R17" s="28" t="s">
        <v>87</v>
      </c>
      <c r="S17" s="29">
        <v>3541212</v>
      </c>
      <c r="T17" s="43" t="s">
        <v>58</v>
      </c>
      <c r="U17" s="30">
        <v>0.70061169999999995</v>
      </c>
      <c r="V17" s="30">
        <v>-0.29938828945159901</v>
      </c>
      <c r="W17" s="31">
        <v>0</v>
      </c>
      <c r="X17" s="32">
        <v>0</v>
      </c>
    </row>
    <row r="18" spans="1:24" x14ac:dyDescent="0.3">
      <c r="A18" s="22" t="s">
        <v>1270</v>
      </c>
      <c r="B18" s="43" t="s">
        <v>1337</v>
      </c>
      <c r="C18" s="2" t="s">
        <v>1349</v>
      </c>
      <c r="D18" s="43" t="s">
        <v>1370</v>
      </c>
      <c r="E18" s="43" t="s">
        <v>1443</v>
      </c>
      <c r="F18" s="23" t="str">
        <f>HYPERLINK("https://mapwv.gov/flood/map/?wkid=102100&amp;x=-9154561.953557758&amp;y=4534400.471989247&amp;l=13&amp;v=2","FT")</f>
        <v>FT</v>
      </c>
      <c r="G18" s="28" t="s">
        <v>364</v>
      </c>
      <c r="H18" s="28" t="s">
        <v>24</v>
      </c>
      <c r="I18" s="2" t="s">
        <v>56</v>
      </c>
      <c r="J18" s="47" t="s">
        <v>35</v>
      </c>
      <c r="K18" s="44" t="s">
        <v>73</v>
      </c>
      <c r="L18" s="44"/>
      <c r="M18" s="43" t="s">
        <v>27</v>
      </c>
      <c r="N18" s="3" t="s">
        <v>82</v>
      </c>
      <c r="O18" s="44" t="s">
        <v>85</v>
      </c>
      <c r="P18" s="43" t="s">
        <v>1580</v>
      </c>
      <c r="Q18" s="43" t="s">
        <v>29</v>
      </c>
      <c r="R18" s="28" t="s">
        <v>87</v>
      </c>
      <c r="S18" s="29">
        <v>3373707</v>
      </c>
      <c r="T18" s="43" t="s">
        <v>58</v>
      </c>
      <c r="U18" s="30">
        <v>1.5315525999999999</v>
      </c>
      <c r="V18" s="30">
        <v>0.53155255317687899</v>
      </c>
      <c r="W18" s="31">
        <v>2.6577627658843903E-2</v>
      </c>
      <c r="X18" s="32">
        <v>89665.128476035505</v>
      </c>
    </row>
    <row r="19" spans="1:24" x14ac:dyDescent="0.3">
      <c r="A19" s="22" t="s">
        <v>1651</v>
      </c>
      <c r="B19" s="43" t="s">
        <v>1342</v>
      </c>
      <c r="C19" s="2" t="s">
        <v>1344</v>
      </c>
      <c r="D19" s="43" t="s">
        <v>1652</v>
      </c>
      <c r="E19" s="43" t="s">
        <v>1653</v>
      </c>
      <c r="F19" s="23" t="str">
        <f>HYPERLINK("https://mapwv.gov/flood/map/?wkid=102100&amp;x=-9173605.187266918&amp;y=4556499.275531828&amp;l=13&amp;v=2","FT")</f>
        <v>FT</v>
      </c>
      <c r="G19" s="28" t="s">
        <v>31</v>
      </c>
      <c r="H19" s="28" t="s">
        <v>24</v>
      </c>
      <c r="I19" s="2" t="s">
        <v>1654</v>
      </c>
      <c r="J19" s="47" t="s">
        <v>25</v>
      </c>
      <c r="K19" s="44">
        <v>9999</v>
      </c>
      <c r="L19" s="44"/>
      <c r="M19" s="43" t="s">
        <v>27</v>
      </c>
      <c r="N19" s="3" t="s">
        <v>82</v>
      </c>
      <c r="O19" s="44" t="s">
        <v>85</v>
      </c>
      <c r="P19" s="49">
        <v>4000</v>
      </c>
      <c r="Q19" s="43" t="s">
        <v>29</v>
      </c>
      <c r="R19" s="28" t="s">
        <v>87</v>
      </c>
      <c r="S19" s="29">
        <v>2750000</v>
      </c>
      <c r="T19" s="43" t="s">
        <v>28</v>
      </c>
      <c r="U19" s="30">
        <v>3.0322876000000001</v>
      </c>
      <c r="V19" s="30">
        <v>2.03228759765625</v>
      </c>
      <c r="W19" s="31">
        <v>8.1614379882812504E-2</v>
      </c>
      <c r="X19" s="32">
        <v>224439.54467773438</v>
      </c>
    </row>
    <row r="20" spans="1:24" x14ac:dyDescent="0.3">
      <c r="A20" s="22" t="s">
        <v>1271</v>
      </c>
      <c r="B20" s="43" t="s">
        <v>1340</v>
      </c>
      <c r="C20" s="2" t="s">
        <v>224</v>
      </c>
      <c r="D20" s="43" t="s">
        <v>1371</v>
      </c>
      <c r="E20" s="43" t="s">
        <v>1444</v>
      </c>
      <c r="F20" s="23" t="str">
        <f>HYPERLINK("https://mapwv.gov/flood/map/?wkid=102100&amp;x=-9112994.391967615&amp;y=4524694.985988263&amp;l=13&amp;v=2","FT")</f>
        <v>FT</v>
      </c>
      <c r="G20" s="28" t="s">
        <v>31</v>
      </c>
      <c r="H20" s="28" t="s">
        <v>121</v>
      </c>
      <c r="I20" s="2" t="s">
        <v>1515</v>
      </c>
      <c r="J20" s="47" t="s">
        <v>35</v>
      </c>
      <c r="K20" s="44" t="s">
        <v>73</v>
      </c>
      <c r="L20" s="44"/>
      <c r="M20" s="43" t="s">
        <v>27</v>
      </c>
      <c r="N20" s="3" t="s">
        <v>82</v>
      </c>
      <c r="O20" s="44" t="s">
        <v>85</v>
      </c>
      <c r="P20" s="43" t="s">
        <v>1581</v>
      </c>
      <c r="Q20" s="43" t="s">
        <v>29</v>
      </c>
      <c r="R20" s="28" t="s">
        <v>87</v>
      </c>
      <c r="S20" s="29">
        <v>2561718</v>
      </c>
      <c r="T20" s="43" t="s">
        <v>89</v>
      </c>
      <c r="U20" s="30">
        <v>1</v>
      </c>
      <c r="V20" s="30">
        <v>0</v>
      </c>
      <c r="W20" s="31">
        <v>0</v>
      </c>
      <c r="X20" s="32">
        <v>0</v>
      </c>
    </row>
    <row r="21" spans="1:24" x14ac:dyDescent="0.3">
      <c r="A21" s="22" t="s">
        <v>1272</v>
      </c>
      <c r="B21" s="43" t="s">
        <v>1341</v>
      </c>
      <c r="C21" s="2" t="s">
        <v>1343</v>
      </c>
      <c r="D21" s="43" t="s">
        <v>1372</v>
      </c>
      <c r="E21" s="43" t="s">
        <v>1445</v>
      </c>
      <c r="F21" s="23" t="str">
        <f>HYPERLINK("https://mapwv.gov/flood/map/?wkid=102100&amp;x=-9149207.170905123&amp;y=4539870.049041434&amp;l=13&amp;v=2","FT")</f>
        <v>FT</v>
      </c>
      <c r="G21" s="28" t="s">
        <v>31</v>
      </c>
      <c r="H21" s="28" t="s">
        <v>121</v>
      </c>
      <c r="I21" s="2"/>
      <c r="J21" s="47" t="s">
        <v>38</v>
      </c>
      <c r="K21" s="44" t="s">
        <v>109</v>
      </c>
      <c r="L21" s="44"/>
      <c r="M21" s="43" t="s">
        <v>61</v>
      </c>
      <c r="N21" s="3" t="s">
        <v>82</v>
      </c>
      <c r="O21" s="44" t="s">
        <v>85</v>
      </c>
      <c r="P21" s="43" t="s">
        <v>1582</v>
      </c>
      <c r="Q21" s="43" t="s">
        <v>29</v>
      </c>
      <c r="R21" s="28" t="s">
        <v>87</v>
      </c>
      <c r="S21" s="29">
        <v>2019147</v>
      </c>
      <c r="T21" s="43" t="s">
        <v>89</v>
      </c>
      <c r="U21" s="30">
        <v>1</v>
      </c>
      <c r="V21" s="30">
        <v>0</v>
      </c>
      <c r="W21" s="31">
        <v>0</v>
      </c>
      <c r="X21" s="32">
        <v>0</v>
      </c>
    </row>
    <row r="22" spans="1:24" x14ac:dyDescent="0.3">
      <c r="A22" s="22" t="s">
        <v>1643</v>
      </c>
      <c r="B22" s="43" t="s">
        <v>1337</v>
      </c>
      <c r="C22" s="2" t="s">
        <v>1344</v>
      </c>
      <c r="D22" s="43" t="s">
        <v>1644</v>
      </c>
      <c r="E22" s="43" t="s">
        <v>1645</v>
      </c>
      <c r="F22" s="23" t="str">
        <f>HYPERLINK("https://mapwv.gov/flood/map/?wkid=102100&amp;x=-9167084.195468653&amp;y=4549598.060491688&amp;l=13&amp;v=2","FT")</f>
        <v>FT</v>
      </c>
      <c r="G22" s="28" t="s">
        <v>31</v>
      </c>
      <c r="H22" s="28" t="s">
        <v>24</v>
      </c>
      <c r="I22" s="2" t="s">
        <v>1646</v>
      </c>
      <c r="J22" s="47" t="s">
        <v>25</v>
      </c>
      <c r="K22" s="44">
        <v>9999</v>
      </c>
      <c r="L22" s="44"/>
      <c r="M22" s="43" t="s">
        <v>27</v>
      </c>
      <c r="N22" s="3" t="s">
        <v>82</v>
      </c>
      <c r="O22" s="44" t="s">
        <v>85</v>
      </c>
      <c r="P22" s="49">
        <v>20000</v>
      </c>
      <c r="Q22" s="43" t="s">
        <v>29</v>
      </c>
      <c r="R22" s="28" t="s">
        <v>87</v>
      </c>
      <c r="S22" s="29">
        <v>2000000</v>
      </c>
      <c r="T22" s="43" t="s">
        <v>28</v>
      </c>
      <c r="U22" s="30">
        <v>0</v>
      </c>
      <c r="V22" s="30">
        <v>-1</v>
      </c>
      <c r="W22" s="31">
        <v>0</v>
      </c>
      <c r="X22" s="32">
        <v>0</v>
      </c>
    </row>
    <row r="23" spans="1:24" x14ac:dyDescent="0.3">
      <c r="A23" s="22" t="s">
        <v>1273</v>
      </c>
      <c r="B23" s="43" t="s">
        <v>1337</v>
      </c>
      <c r="C23" s="2" t="s">
        <v>1350</v>
      </c>
      <c r="D23" s="43" t="s">
        <v>1373</v>
      </c>
      <c r="E23" s="43" t="s">
        <v>1446</v>
      </c>
      <c r="F23" s="23" t="str">
        <f>HYPERLINK("https://mapwv.gov/flood/map/?wkid=102100&amp;x=-9163875.695679152&amp;y=4554108.209044244&amp;l=13&amp;v=2","FT")</f>
        <v>FT</v>
      </c>
      <c r="G23" s="28" t="s">
        <v>37</v>
      </c>
      <c r="H23" s="28" t="s">
        <v>24</v>
      </c>
      <c r="I23" s="2" t="s">
        <v>1516</v>
      </c>
      <c r="J23" s="47" t="s">
        <v>35</v>
      </c>
      <c r="K23" s="44" t="s">
        <v>73</v>
      </c>
      <c r="L23" s="44"/>
      <c r="M23" s="43" t="s">
        <v>979</v>
      </c>
      <c r="N23" s="3" t="s">
        <v>84</v>
      </c>
      <c r="O23" s="44" t="s">
        <v>85</v>
      </c>
      <c r="P23" s="43" t="s">
        <v>1583</v>
      </c>
      <c r="Q23" s="43" t="s">
        <v>29</v>
      </c>
      <c r="R23" s="28" t="s">
        <v>87</v>
      </c>
      <c r="S23" s="29">
        <v>1474706</v>
      </c>
      <c r="T23" s="43" t="s">
        <v>89</v>
      </c>
      <c r="U23" s="30">
        <v>0.40473002000000002</v>
      </c>
      <c r="V23" s="30">
        <v>-0.59526997804641701</v>
      </c>
      <c r="W23" s="31">
        <v>0</v>
      </c>
      <c r="X23" s="32">
        <v>0</v>
      </c>
    </row>
    <row r="24" spans="1:24" x14ac:dyDescent="0.3">
      <c r="A24" s="22" t="s">
        <v>1274</v>
      </c>
      <c r="B24" s="43" t="s">
        <v>1340</v>
      </c>
      <c r="C24" s="2" t="s">
        <v>1351</v>
      </c>
      <c r="D24" s="43" t="s">
        <v>1374</v>
      </c>
      <c r="E24" s="43" t="s">
        <v>1447</v>
      </c>
      <c r="F24" s="23" t="str">
        <f>HYPERLINK("https://mapwv.gov/flood/map/?wkid=102100&amp;x=-9113533.124313103&amp;y=4524645.643440899&amp;l=13&amp;v=2","FT")</f>
        <v>FT</v>
      </c>
      <c r="G24" s="28" t="s">
        <v>70</v>
      </c>
      <c r="H24" s="28" t="s">
        <v>24</v>
      </c>
      <c r="I24" s="2" t="s">
        <v>1517</v>
      </c>
      <c r="J24" s="47" t="s">
        <v>38</v>
      </c>
      <c r="K24" s="44" t="s">
        <v>1565</v>
      </c>
      <c r="L24" s="44" t="s">
        <v>26</v>
      </c>
      <c r="M24" s="43" t="s">
        <v>61</v>
      </c>
      <c r="N24" s="3" t="s">
        <v>82</v>
      </c>
      <c r="O24" s="44" t="s">
        <v>86</v>
      </c>
      <c r="P24" s="43" t="s">
        <v>1584</v>
      </c>
      <c r="Q24" s="43" t="s">
        <v>29</v>
      </c>
      <c r="R24" s="28" t="s">
        <v>87</v>
      </c>
      <c r="S24" s="29">
        <v>760500</v>
      </c>
      <c r="T24" s="43" t="s">
        <v>42</v>
      </c>
      <c r="U24" s="30">
        <v>0</v>
      </c>
      <c r="V24" s="30">
        <v>-1</v>
      </c>
      <c r="W24" s="31">
        <v>0</v>
      </c>
      <c r="X24" s="32">
        <v>0</v>
      </c>
    </row>
    <row r="25" spans="1:24" x14ac:dyDescent="0.3">
      <c r="A25" s="22" t="s">
        <v>1275</v>
      </c>
      <c r="B25" s="43" t="s">
        <v>1337</v>
      </c>
      <c r="C25" s="2" t="s">
        <v>1347</v>
      </c>
      <c r="D25" s="43" t="s">
        <v>1375</v>
      </c>
      <c r="E25" s="43" t="s">
        <v>1448</v>
      </c>
      <c r="F25" s="23" t="str">
        <f>HYPERLINK("https://mapwv.gov/flood/map/?wkid=102100&amp;x=-9144526.9484105&amp;y=4528146.359512145&amp;l=13&amp;v=2","FT")</f>
        <v>FT</v>
      </c>
      <c r="G25" s="28" t="s">
        <v>31</v>
      </c>
      <c r="H25" s="28" t="s">
        <v>121</v>
      </c>
      <c r="I25" s="2"/>
      <c r="J25" s="47" t="s">
        <v>25</v>
      </c>
      <c r="K25" s="44" t="s">
        <v>129</v>
      </c>
      <c r="L25" s="44" t="s">
        <v>43</v>
      </c>
      <c r="M25" s="43" t="s">
        <v>55</v>
      </c>
      <c r="N25" s="3" t="s">
        <v>83</v>
      </c>
      <c r="O25" s="44" t="s">
        <v>85</v>
      </c>
      <c r="P25" s="43" t="s">
        <v>1585</v>
      </c>
      <c r="Q25" s="43" t="s">
        <v>29</v>
      </c>
      <c r="R25" s="28" t="s">
        <v>87</v>
      </c>
      <c r="S25" s="29">
        <v>693400</v>
      </c>
      <c r="T25" s="43" t="s">
        <v>42</v>
      </c>
      <c r="U25" s="30">
        <v>1</v>
      </c>
      <c r="V25" s="30">
        <v>0</v>
      </c>
      <c r="W25" s="31">
        <v>0</v>
      </c>
      <c r="X25" s="32">
        <v>0</v>
      </c>
    </row>
    <row r="26" spans="1:24" x14ac:dyDescent="0.3">
      <c r="A26" s="22" t="s">
        <v>1276</v>
      </c>
      <c r="B26" s="43" t="s">
        <v>1337</v>
      </c>
      <c r="C26" s="2" t="s">
        <v>1343</v>
      </c>
      <c r="D26" s="43" t="s">
        <v>1376</v>
      </c>
      <c r="E26" s="43" t="s">
        <v>1449</v>
      </c>
      <c r="F26" s="23" t="str">
        <f>HYPERLINK("https://mapwv.gov/flood/map/?wkid=102100&amp;x=-9157096.553425143&amp;y=4549105.956080493&amp;l=13&amp;v=2","FT")</f>
        <v>FT</v>
      </c>
      <c r="G26" s="28" t="s">
        <v>31</v>
      </c>
      <c r="H26" s="28" t="s">
        <v>121</v>
      </c>
      <c r="I26" s="2" t="s">
        <v>1518</v>
      </c>
      <c r="J26" s="47" t="s">
        <v>38</v>
      </c>
      <c r="K26" s="44" t="s">
        <v>1566</v>
      </c>
      <c r="L26" s="44" t="s">
        <v>26</v>
      </c>
      <c r="M26" s="43" t="s">
        <v>33</v>
      </c>
      <c r="N26" s="3" t="s">
        <v>84</v>
      </c>
      <c r="O26" s="44" t="s">
        <v>85</v>
      </c>
      <c r="P26" s="43" t="s">
        <v>1586</v>
      </c>
      <c r="Q26" s="43" t="s">
        <v>29</v>
      </c>
      <c r="R26" s="28" t="s">
        <v>87</v>
      </c>
      <c r="S26" s="29">
        <v>619700</v>
      </c>
      <c r="T26" s="43" t="s">
        <v>42</v>
      </c>
      <c r="U26" s="30">
        <v>1</v>
      </c>
      <c r="V26" s="30">
        <v>0</v>
      </c>
      <c r="W26" s="31">
        <v>0.01</v>
      </c>
      <c r="X26" s="32">
        <v>6197</v>
      </c>
    </row>
    <row r="27" spans="1:24" x14ac:dyDescent="0.3">
      <c r="A27" s="22" t="s">
        <v>1277</v>
      </c>
      <c r="B27" s="43" t="s">
        <v>1337</v>
      </c>
      <c r="C27" s="2" t="s">
        <v>1343</v>
      </c>
      <c r="D27" s="43" t="s">
        <v>1377</v>
      </c>
      <c r="E27" s="43" t="s">
        <v>1450</v>
      </c>
      <c r="F27" s="23" t="str">
        <f>HYPERLINK("https://mapwv.gov/flood/map/?wkid=102100&amp;x=-9154668.911662217&amp;y=4547348.518151648&amp;l=13&amp;v=2","FT")</f>
        <v>FT</v>
      </c>
      <c r="G27" s="28" t="s">
        <v>31</v>
      </c>
      <c r="H27" s="28" t="s">
        <v>24</v>
      </c>
      <c r="I27" s="2" t="s">
        <v>1519</v>
      </c>
      <c r="J27" s="47" t="s">
        <v>25</v>
      </c>
      <c r="K27" s="44" t="s">
        <v>1567</v>
      </c>
      <c r="L27" s="44" t="s">
        <v>26</v>
      </c>
      <c r="M27" s="43" t="s">
        <v>55</v>
      </c>
      <c r="N27" s="3" t="s">
        <v>83</v>
      </c>
      <c r="O27" s="44" t="s">
        <v>85</v>
      </c>
      <c r="P27" s="43" t="s">
        <v>1587</v>
      </c>
      <c r="Q27" s="43" t="s">
        <v>29</v>
      </c>
      <c r="R27" s="28" t="s">
        <v>87</v>
      </c>
      <c r="S27" s="29">
        <v>607600</v>
      </c>
      <c r="T27" s="43" t="s">
        <v>42</v>
      </c>
      <c r="U27" s="30">
        <v>2.8503417999999999E-2</v>
      </c>
      <c r="V27" s="30">
        <v>-0.97149658203125</v>
      </c>
      <c r="W27" s="31">
        <v>0</v>
      </c>
      <c r="X27" s="32">
        <v>0</v>
      </c>
    </row>
    <row r="28" spans="1:24" x14ac:dyDescent="0.3">
      <c r="A28" s="22" t="s">
        <v>1278</v>
      </c>
      <c r="B28" s="43" t="s">
        <v>1338</v>
      </c>
      <c r="C28" s="2" t="s">
        <v>1344</v>
      </c>
      <c r="D28" s="43" t="s">
        <v>1378</v>
      </c>
      <c r="E28" s="43" t="s">
        <v>1451</v>
      </c>
      <c r="F28" s="23" t="str">
        <f>HYPERLINK("https://mapwv.gov/flood/map/?wkid=102100&amp;x=-9158800.709334614&amp;y=4532789.75528637&amp;l=13&amp;v=2","FT")</f>
        <v>FT</v>
      </c>
      <c r="G28" s="28" t="s">
        <v>31</v>
      </c>
      <c r="H28" s="28" t="s">
        <v>121</v>
      </c>
      <c r="I28" s="2"/>
      <c r="J28" s="47" t="s">
        <v>25</v>
      </c>
      <c r="K28" s="44" t="s">
        <v>972</v>
      </c>
      <c r="L28" s="44" t="s">
        <v>26</v>
      </c>
      <c r="M28" s="43" t="s">
        <v>53</v>
      </c>
      <c r="N28" s="3" t="s">
        <v>34</v>
      </c>
      <c r="O28" s="44" t="s">
        <v>86</v>
      </c>
      <c r="P28" s="43" t="s">
        <v>1588</v>
      </c>
      <c r="Q28" s="43" t="s">
        <v>29</v>
      </c>
      <c r="R28" s="28" t="s">
        <v>87</v>
      </c>
      <c r="S28" s="29">
        <v>564300</v>
      </c>
      <c r="T28" s="43" t="s">
        <v>42</v>
      </c>
      <c r="U28" s="30">
        <v>12.122742000000001</v>
      </c>
      <c r="V28" s="30">
        <v>11.1227416992187</v>
      </c>
      <c r="W28" s="31">
        <v>0.54368225097656198</v>
      </c>
      <c r="X28" s="32">
        <v>306799.89422607399</v>
      </c>
    </row>
    <row r="29" spans="1:24" x14ac:dyDescent="0.3">
      <c r="A29" s="22" t="s">
        <v>1279</v>
      </c>
      <c r="B29" s="43" t="s">
        <v>1337</v>
      </c>
      <c r="C29" s="2" t="s">
        <v>1352</v>
      </c>
      <c r="D29" s="43" t="s">
        <v>1379</v>
      </c>
      <c r="E29" s="43" t="s">
        <v>1452</v>
      </c>
      <c r="F29" s="23" t="str">
        <f>HYPERLINK("https://mapwv.gov/flood/map/?wkid=102100&amp;x=-9173200.142282786&amp;y=4556182.764209428&amp;l=13&amp;v=2","FT")</f>
        <v>FT</v>
      </c>
      <c r="G29" s="28" t="s">
        <v>31</v>
      </c>
      <c r="H29" s="28" t="s">
        <v>24</v>
      </c>
      <c r="I29" s="2" t="s">
        <v>1520</v>
      </c>
      <c r="J29" s="47" t="s">
        <v>35</v>
      </c>
      <c r="K29" s="44" t="s">
        <v>73</v>
      </c>
      <c r="L29" s="44"/>
      <c r="M29" s="43" t="s">
        <v>27</v>
      </c>
      <c r="N29" s="3" t="s">
        <v>82</v>
      </c>
      <c r="O29" s="44" t="s">
        <v>85</v>
      </c>
      <c r="P29" s="43" t="s">
        <v>1589</v>
      </c>
      <c r="Q29" s="43" t="s">
        <v>29</v>
      </c>
      <c r="R29" s="28" t="s">
        <v>87</v>
      </c>
      <c r="S29" s="29">
        <v>562278</v>
      </c>
      <c r="T29" s="43" t="s">
        <v>89</v>
      </c>
      <c r="U29" s="30">
        <v>0.16503905999999999</v>
      </c>
      <c r="V29" s="30">
        <v>-0.8349609375</v>
      </c>
      <c r="W29" s="31">
        <v>0</v>
      </c>
      <c r="X29" s="32">
        <v>0</v>
      </c>
    </row>
    <row r="30" spans="1:24" x14ac:dyDescent="0.3">
      <c r="A30" s="22" t="s">
        <v>1280</v>
      </c>
      <c r="B30" s="43" t="s">
        <v>1338</v>
      </c>
      <c r="C30" s="2" t="s">
        <v>1344</v>
      </c>
      <c r="D30" s="43" t="s">
        <v>1380</v>
      </c>
      <c r="E30" s="43" t="s">
        <v>1453</v>
      </c>
      <c r="F30" s="23" t="str">
        <f>HYPERLINK("https://mapwv.gov/flood/map/?wkid=102100&amp;x=-9158899.266379746&amp;y=4533329.704984131&amp;l=13&amp;v=2","FT")</f>
        <v>FT</v>
      </c>
      <c r="G30" s="28" t="s">
        <v>70</v>
      </c>
      <c r="H30" s="28" t="s">
        <v>24</v>
      </c>
      <c r="I30" s="2"/>
      <c r="J30" s="47" t="s">
        <v>25</v>
      </c>
      <c r="K30" s="44" t="s">
        <v>1567</v>
      </c>
      <c r="L30" s="44" t="s">
        <v>26</v>
      </c>
      <c r="M30" s="43" t="s">
        <v>61</v>
      </c>
      <c r="N30" s="3" t="s">
        <v>82</v>
      </c>
      <c r="O30" s="44" t="s">
        <v>127</v>
      </c>
      <c r="P30" s="43" t="s">
        <v>1590</v>
      </c>
      <c r="Q30" s="43" t="s">
        <v>29</v>
      </c>
      <c r="R30" s="28" t="s">
        <v>87</v>
      </c>
      <c r="S30" s="29">
        <v>560700</v>
      </c>
      <c r="T30" s="43" t="s">
        <v>42</v>
      </c>
      <c r="U30" s="30">
        <v>0</v>
      </c>
      <c r="V30" s="30">
        <v>-1</v>
      </c>
      <c r="W30" s="31">
        <v>0</v>
      </c>
      <c r="X30" s="32">
        <v>0</v>
      </c>
    </row>
    <row r="31" spans="1:24" x14ac:dyDescent="0.3">
      <c r="A31" s="22" t="s">
        <v>1281</v>
      </c>
      <c r="B31" s="43" t="s">
        <v>1337</v>
      </c>
      <c r="C31" s="2" t="s">
        <v>1343</v>
      </c>
      <c r="D31" s="43" t="s">
        <v>1381</v>
      </c>
      <c r="E31" s="43" t="s">
        <v>1454</v>
      </c>
      <c r="F31" s="23" t="str">
        <f>HYPERLINK("https://mapwv.gov/flood/map/?wkid=102100&amp;x=-9159246.442705825&amp;y=4550401.292324614&amp;l=13&amp;v=2","FT")</f>
        <v>FT</v>
      </c>
      <c r="G31" s="28" t="s">
        <v>31</v>
      </c>
      <c r="H31" s="28" t="s">
        <v>24</v>
      </c>
      <c r="I31" s="2" t="s">
        <v>1521</v>
      </c>
      <c r="J31" s="47" t="s">
        <v>25</v>
      </c>
      <c r="K31" s="44" t="s">
        <v>969</v>
      </c>
      <c r="L31" s="44" t="s">
        <v>26</v>
      </c>
      <c r="M31" s="43" t="s">
        <v>55</v>
      </c>
      <c r="N31" s="3" t="s">
        <v>83</v>
      </c>
      <c r="O31" s="44" t="s">
        <v>85</v>
      </c>
      <c r="P31" s="43" t="s">
        <v>1591</v>
      </c>
      <c r="Q31" s="43" t="s">
        <v>29</v>
      </c>
      <c r="R31" s="28" t="s">
        <v>87</v>
      </c>
      <c r="S31" s="29">
        <v>525800</v>
      </c>
      <c r="T31" s="43" t="s">
        <v>42</v>
      </c>
      <c r="U31" s="30">
        <v>0</v>
      </c>
      <c r="V31" s="30">
        <v>-1</v>
      </c>
      <c r="W31" s="31">
        <v>0</v>
      </c>
      <c r="X31" s="32">
        <v>0</v>
      </c>
    </row>
    <row r="32" spans="1:24" x14ac:dyDescent="0.3">
      <c r="A32" s="22" t="s">
        <v>1282</v>
      </c>
      <c r="B32" s="43" t="s">
        <v>1337</v>
      </c>
      <c r="C32" s="2" t="s">
        <v>224</v>
      </c>
      <c r="D32" s="43" t="s">
        <v>1382</v>
      </c>
      <c r="E32" s="43" t="s">
        <v>1455</v>
      </c>
      <c r="F32" s="23" t="str">
        <f>HYPERLINK("https://mapwv.gov/flood/map/?wkid=102100&amp;x=-9113472.263275819&amp;y=4523699.317206868&amp;l=13&amp;v=2","FT")</f>
        <v>FT</v>
      </c>
      <c r="G32" s="28" t="s">
        <v>31</v>
      </c>
      <c r="H32" s="28" t="s">
        <v>121</v>
      </c>
      <c r="I32" s="2" t="s">
        <v>1522</v>
      </c>
      <c r="J32" s="47" t="s">
        <v>25</v>
      </c>
      <c r="K32" s="44" t="s">
        <v>80</v>
      </c>
      <c r="L32" s="44" t="s">
        <v>37</v>
      </c>
      <c r="M32" s="43" t="s">
        <v>39</v>
      </c>
      <c r="N32" s="3" t="s">
        <v>40</v>
      </c>
      <c r="O32" s="44" t="s">
        <v>86</v>
      </c>
      <c r="P32" s="43" t="s">
        <v>1592</v>
      </c>
      <c r="Q32" s="43" t="s">
        <v>49</v>
      </c>
      <c r="R32" s="28" t="s">
        <v>88</v>
      </c>
      <c r="S32" s="29">
        <v>480100</v>
      </c>
      <c r="T32" s="43" t="s">
        <v>42</v>
      </c>
      <c r="U32" s="30">
        <v>1</v>
      </c>
      <c r="V32" s="30">
        <v>-3</v>
      </c>
      <c r="W32" s="31">
        <v>0</v>
      </c>
      <c r="X32" s="32">
        <v>0</v>
      </c>
    </row>
    <row r="33" spans="1:24" x14ac:dyDescent="0.3">
      <c r="A33" s="22" t="s">
        <v>1283</v>
      </c>
      <c r="B33" s="43" t="s">
        <v>1337</v>
      </c>
      <c r="C33" s="2" t="s">
        <v>1343</v>
      </c>
      <c r="D33" s="43" t="s">
        <v>1383</v>
      </c>
      <c r="E33" s="43" t="s">
        <v>1456</v>
      </c>
      <c r="F33" s="23" t="str">
        <f>HYPERLINK("https://mapwv.gov/flood/map/?wkid=102100&amp;x=-9166873.905158179&amp;y=4550055.967037297&amp;l=13&amp;v=2","FT")</f>
        <v>FT</v>
      </c>
      <c r="G33" s="28" t="s">
        <v>31</v>
      </c>
      <c r="H33" s="28" t="s">
        <v>24</v>
      </c>
      <c r="I33" s="2" t="s">
        <v>1523</v>
      </c>
      <c r="J33" s="47" t="s">
        <v>38</v>
      </c>
      <c r="K33" s="44" t="s">
        <v>93</v>
      </c>
      <c r="L33" s="44" t="s">
        <v>44</v>
      </c>
      <c r="M33" s="43" t="s">
        <v>126</v>
      </c>
      <c r="N33" s="3" t="s">
        <v>34</v>
      </c>
      <c r="O33" s="44" t="s">
        <v>86</v>
      </c>
      <c r="P33" s="43" t="s">
        <v>1593</v>
      </c>
      <c r="Q33" s="43" t="s">
        <v>29</v>
      </c>
      <c r="R33" s="28" t="s">
        <v>87</v>
      </c>
      <c r="S33" s="29">
        <v>478300</v>
      </c>
      <c r="T33" s="43" t="s">
        <v>42</v>
      </c>
      <c r="U33" s="30">
        <v>1.4797974</v>
      </c>
      <c r="V33" s="30">
        <v>0.47979736328125</v>
      </c>
      <c r="W33" s="31">
        <v>5.2777709960937502E-2</v>
      </c>
      <c r="X33" s="32">
        <v>25243.578674316399</v>
      </c>
    </row>
    <row r="34" spans="1:24" x14ac:dyDescent="0.3">
      <c r="A34" s="22" t="s">
        <v>1284</v>
      </c>
      <c r="B34" s="43" t="s">
        <v>1337</v>
      </c>
      <c r="C34" s="2" t="s">
        <v>1344</v>
      </c>
      <c r="D34" s="43" t="s">
        <v>1384</v>
      </c>
      <c r="E34" s="43" t="s">
        <v>1457</v>
      </c>
      <c r="F34" s="23" t="str">
        <f>HYPERLINK("https://mapwv.gov/flood/map/?wkid=102100&amp;x=-9162710.468705388&amp;y=4546069.824186239&amp;l=13&amp;v=2","FT")</f>
        <v>FT</v>
      </c>
      <c r="G34" s="28" t="s">
        <v>31</v>
      </c>
      <c r="H34" s="28" t="s">
        <v>24</v>
      </c>
      <c r="I34" s="2" t="s">
        <v>1524</v>
      </c>
      <c r="J34" s="47" t="s">
        <v>25</v>
      </c>
      <c r="K34" s="44" t="s">
        <v>971</v>
      </c>
      <c r="L34" s="44" t="s">
        <v>46</v>
      </c>
      <c r="M34" s="43" t="s">
        <v>60</v>
      </c>
      <c r="N34" s="3" t="s">
        <v>34</v>
      </c>
      <c r="O34" s="44" t="s">
        <v>85</v>
      </c>
      <c r="P34" s="43" t="s">
        <v>1594</v>
      </c>
      <c r="Q34" s="43" t="s">
        <v>29</v>
      </c>
      <c r="R34" s="28" t="s">
        <v>87</v>
      </c>
      <c r="S34" s="29">
        <v>470500</v>
      </c>
      <c r="T34" s="43" t="s">
        <v>42</v>
      </c>
      <c r="U34" s="30">
        <v>1.0880126000000001</v>
      </c>
      <c r="V34" s="30">
        <v>8.8012576103210394E-2</v>
      </c>
      <c r="W34" s="31">
        <v>4.40062880516052E-3</v>
      </c>
      <c r="X34" s="32">
        <v>2070.4958528280199</v>
      </c>
    </row>
    <row r="35" spans="1:24" x14ac:dyDescent="0.3">
      <c r="A35" s="22" t="s">
        <v>1285</v>
      </c>
      <c r="B35" s="43" t="s">
        <v>1337</v>
      </c>
      <c r="C35" s="2" t="s">
        <v>1343</v>
      </c>
      <c r="D35" s="43" t="s">
        <v>1385</v>
      </c>
      <c r="E35" s="43" t="s">
        <v>1458</v>
      </c>
      <c r="F35" s="23" t="str">
        <f>HYPERLINK("https://mapwv.gov/flood/map/?wkid=102100&amp;x=-9141688.54652079&amp;y=4532837.663455936&amp;l=13&amp;v=2","FT")</f>
        <v>FT</v>
      </c>
      <c r="G35" s="28" t="s">
        <v>51</v>
      </c>
      <c r="H35" s="28" t="s">
        <v>24</v>
      </c>
      <c r="I35" s="2"/>
      <c r="J35" s="47" t="s">
        <v>102</v>
      </c>
      <c r="K35" s="44" t="s">
        <v>120</v>
      </c>
      <c r="L35" s="44" t="s">
        <v>44</v>
      </c>
      <c r="M35" s="43" t="s">
        <v>45</v>
      </c>
      <c r="N35" s="3" t="s">
        <v>34</v>
      </c>
      <c r="O35" s="44" t="s">
        <v>85</v>
      </c>
      <c r="P35" s="43" t="s">
        <v>1595</v>
      </c>
      <c r="Q35" s="43" t="s">
        <v>29</v>
      </c>
      <c r="R35" s="28" t="s">
        <v>87</v>
      </c>
      <c r="S35" s="29">
        <v>392900</v>
      </c>
      <c r="T35" s="43" t="s">
        <v>42</v>
      </c>
      <c r="U35" s="30">
        <v>5.6867064999999997</v>
      </c>
      <c r="V35" s="30">
        <v>4.68670654296875</v>
      </c>
      <c r="W35" s="31">
        <v>0.19373413085937499</v>
      </c>
      <c r="X35" s="32">
        <v>76118.140014648394</v>
      </c>
    </row>
    <row r="36" spans="1:24" x14ac:dyDescent="0.3">
      <c r="A36" s="22" t="s">
        <v>1286</v>
      </c>
      <c r="B36" s="43" t="s">
        <v>1337</v>
      </c>
      <c r="C36" s="2" t="s">
        <v>1344</v>
      </c>
      <c r="D36" s="43" t="s">
        <v>1386</v>
      </c>
      <c r="E36" s="43" t="s">
        <v>1459</v>
      </c>
      <c r="F36" s="23" t="str">
        <f>HYPERLINK("https://mapwv.gov/flood/map/?wkid=102100&amp;x=-9172826.10745789&amp;y=4552721.25686605&amp;l=13&amp;v=2","FT")</f>
        <v>FT</v>
      </c>
      <c r="G36" s="28" t="s">
        <v>31</v>
      </c>
      <c r="H36" s="28" t="s">
        <v>24</v>
      </c>
      <c r="I36" s="2" t="s">
        <v>1525</v>
      </c>
      <c r="J36" s="47" t="s">
        <v>25</v>
      </c>
      <c r="K36" s="44" t="s">
        <v>91</v>
      </c>
      <c r="L36" s="44" t="s">
        <v>26</v>
      </c>
      <c r="M36" s="43" t="s">
        <v>125</v>
      </c>
      <c r="N36" s="3" t="s">
        <v>40</v>
      </c>
      <c r="O36" s="44" t="s">
        <v>86</v>
      </c>
      <c r="P36" s="43" t="s">
        <v>1596</v>
      </c>
      <c r="Q36" s="43" t="s">
        <v>29</v>
      </c>
      <c r="R36" s="28" t="s">
        <v>87</v>
      </c>
      <c r="S36" s="29">
        <v>383500</v>
      </c>
      <c r="T36" s="43" t="s">
        <v>30</v>
      </c>
      <c r="U36" s="30">
        <v>0.89001465000000002</v>
      </c>
      <c r="V36" s="30">
        <v>-0.1099853515625</v>
      </c>
      <c r="W36" s="31">
        <v>0.13350219726562501</v>
      </c>
      <c r="X36" s="32">
        <v>51198.0926513671</v>
      </c>
    </row>
    <row r="37" spans="1:24" x14ac:dyDescent="0.3">
      <c r="A37" s="22" t="s">
        <v>1287</v>
      </c>
      <c r="B37" s="43" t="s">
        <v>1337</v>
      </c>
      <c r="C37" s="2" t="s">
        <v>1347</v>
      </c>
      <c r="D37" s="43" t="s">
        <v>1387</v>
      </c>
      <c r="E37" s="43" t="s">
        <v>1460</v>
      </c>
      <c r="F37" s="23" t="str">
        <f>HYPERLINK("https://mapwv.gov/flood/map/?wkid=102100&amp;x=-9138102.890730508&amp;y=4527434.954214004&amp;l=13&amp;v=2","FT")</f>
        <v>FT</v>
      </c>
      <c r="G37" s="28" t="s">
        <v>31</v>
      </c>
      <c r="H37" s="28" t="s">
        <v>24</v>
      </c>
      <c r="I37" s="2" t="s">
        <v>56</v>
      </c>
      <c r="J37" s="47" t="s">
        <v>35</v>
      </c>
      <c r="K37" s="44" t="s">
        <v>73</v>
      </c>
      <c r="L37" s="44"/>
      <c r="M37" s="43" t="s">
        <v>978</v>
      </c>
      <c r="N37" s="3" t="s">
        <v>40</v>
      </c>
      <c r="O37" s="44" t="s">
        <v>85</v>
      </c>
      <c r="P37" s="43" t="s">
        <v>1597</v>
      </c>
      <c r="Q37" s="43" t="s">
        <v>29</v>
      </c>
      <c r="R37" s="28" t="s">
        <v>87</v>
      </c>
      <c r="S37" s="29">
        <v>381422</v>
      </c>
      <c r="T37" s="43" t="s">
        <v>89</v>
      </c>
      <c r="U37" s="30">
        <v>0</v>
      </c>
      <c r="V37" s="30">
        <v>-1</v>
      </c>
      <c r="W37" s="31">
        <v>0</v>
      </c>
      <c r="X37" s="32">
        <v>0</v>
      </c>
    </row>
    <row r="38" spans="1:24" x14ac:dyDescent="0.3">
      <c r="A38" s="22" t="s">
        <v>1288</v>
      </c>
      <c r="B38" s="43" t="s">
        <v>1337</v>
      </c>
      <c r="C38" s="2" t="s">
        <v>1347</v>
      </c>
      <c r="D38" s="43" t="s">
        <v>1388</v>
      </c>
      <c r="E38" s="43" t="s">
        <v>1461</v>
      </c>
      <c r="F38" s="23" t="str">
        <f>HYPERLINK("https://mapwv.gov/flood/map/?wkid=102100&amp;x=-9138084.252396848&amp;y=4527352.0844113855&amp;l=13&amp;v=2","FT")</f>
        <v>FT</v>
      </c>
      <c r="G38" s="28" t="s">
        <v>31</v>
      </c>
      <c r="H38" s="28" t="s">
        <v>24</v>
      </c>
      <c r="I38" s="2" t="s">
        <v>1526</v>
      </c>
      <c r="J38" s="47" t="s">
        <v>35</v>
      </c>
      <c r="K38" s="44" t="s">
        <v>73</v>
      </c>
      <c r="L38" s="44"/>
      <c r="M38" s="43" t="s">
        <v>978</v>
      </c>
      <c r="N38" s="3" t="s">
        <v>40</v>
      </c>
      <c r="O38" s="44" t="s">
        <v>85</v>
      </c>
      <c r="P38" s="43" t="s">
        <v>1598</v>
      </c>
      <c r="Q38" s="43" t="s">
        <v>29</v>
      </c>
      <c r="R38" s="28" t="s">
        <v>87</v>
      </c>
      <c r="S38" s="29">
        <v>375898</v>
      </c>
      <c r="T38" s="43" t="s">
        <v>89</v>
      </c>
      <c r="U38" s="30">
        <v>0</v>
      </c>
      <c r="V38" s="30">
        <v>-1</v>
      </c>
      <c r="W38" s="31">
        <v>0</v>
      </c>
      <c r="X38" s="32">
        <v>0</v>
      </c>
    </row>
    <row r="39" spans="1:24" x14ac:dyDescent="0.3">
      <c r="A39" s="22" t="s">
        <v>1289</v>
      </c>
      <c r="B39" s="43" t="s">
        <v>1337</v>
      </c>
      <c r="C39" s="2" t="s">
        <v>1353</v>
      </c>
      <c r="D39" s="43" t="s">
        <v>1389</v>
      </c>
      <c r="E39" s="43" t="s">
        <v>1462</v>
      </c>
      <c r="F39" s="23" t="str">
        <f>HYPERLINK("https://mapwv.gov/flood/map/?wkid=102100&amp;x=-9157783.558768263&amp;y=4553681.978845787&amp;l=13&amp;v=2","FT")</f>
        <v>FT</v>
      </c>
      <c r="G39" s="28" t="s">
        <v>31</v>
      </c>
      <c r="H39" s="28" t="s">
        <v>24</v>
      </c>
      <c r="I39" s="2" t="s">
        <v>1527</v>
      </c>
      <c r="J39" s="47" t="s">
        <v>25</v>
      </c>
      <c r="K39" s="44" t="s">
        <v>75</v>
      </c>
      <c r="L39" s="44" t="s">
        <v>1206</v>
      </c>
      <c r="M39" s="43" t="s">
        <v>39</v>
      </c>
      <c r="N39" s="3" t="s">
        <v>40</v>
      </c>
      <c r="O39" s="44" t="s">
        <v>85</v>
      </c>
      <c r="P39" s="43" t="s">
        <v>1599</v>
      </c>
      <c r="Q39" s="43" t="s">
        <v>49</v>
      </c>
      <c r="R39" s="28" t="s">
        <v>88</v>
      </c>
      <c r="S39" s="29">
        <v>355300</v>
      </c>
      <c r="T39" s="43" t="s">
        <v>42</v>
      </c>
      <c r="U39" s="30">
        <v>0</v>
      </c>
      <c r="V39" s="30">
        <v>-4</v>
      </c>
      <c r="W39" s="31">
        <v>0</v>
      </c>
      <c r="X39" s="32">
        <v>0</v>
      </c>
    </row>
    <row r="40" spans="1:24" x14ac:dyDescent="0.3">
      <c r="A40" s="22" t="s">
        <v>1290</v>
      </c>
      <c r="B40" s="43" t="s">
        <v>1338</v>
      </c>
      <c r="C40" s="2" t="s">
        <v>1344</v>
      </c>
      <c r="D40" s="43" t="s">
        <v>1390</v>
      </c>
      <c r="E40" s="43" t="s">
        <v>1463</v>
      </c>
      <c r="F40" s="23" t="str">
        <f>HYPERLINK("https://mapwv.gov/flood/map/?wkid=102100&amp;x=-9157418.034986354&amp;y=4531894.501647676&amp;l=13&amp;v=2","FT")</f>
        <v>FT</v>
      </c>
      <c r="G40" s="28" t="s">
        <v>31</v>
      </c>
      <c r="H40" s="28" t="s">
        <v>24</v>
      </c>
      <c r="I40" s="2" t="s">
        <v>1528</v>
      </c>
      <c r="J40" s="47" t="s">
        <v>38</v>
      </c>
      <c r="K40" s="44" t="s">
        <v>1568</v>
      </c>
      <c r="L40" s="44" t="s">
        <v>26</v>
      </c>
      <c r="M40" s="43" t="s">
        <v>55</v>
      </c>
      <c r="N40" s="3" t="s">
        <v>83</v>
      </c>
      <c r="O40" s="44" t="s">
        <v>86</v>
      </c>
      <c r="P40" s="43" t="s">
        <v>1600</v>
      </c>
      <c r="Q40" s="43" t="s">
        <v>29</v>
      </c>
      <c r="R40" s="28" t="s">
        <v>87</v>
      </c>
      <c r="S40" s="29">
        <v>349200</v>
      </c>
      <c r="T40" s="43" t="s">
        <v>42</v>
      </c>
      <c r="U40" s="30">
        <v>0</v>
      </c>
      <c r="V40" s="30">
        <v>-1</v>
      </c>
      <c r="W40" s="31">
        <v>0</v>
      </c>
      <c r="X40" s="32">
        <v>0</v>
      </c>
    </row>
    <row r="41" spans="1:24" x14ac:dyDescent="0.3">
      <c r="A41" s="22" t="s">
        <v>1291</v>
      </c>
      <c r="B41" s="43" t="s">
        <v>1337</v>
      </c>
      <c r="C41" s="2" t="s">
        <v>1343</v>
      </c>
      <c r="D41" s="43" t="s">
        <v>1391</v>
      </c>
      <c r="E41" s="43" t="s">
        <v>1464</v>
      </c>
      <c r="F41" s="23" t="str">
        <f>HYPERLINK("https://mapwv.gov/flood/map/?wkid=102100&amp;x=-9136063.753656495&amp;y=4530858.657053221&amp;l=13&amp;v=2","FT")</f>
        <v>FT</v>
      </c>
      <c r="G41" s="28" t="s">
        <v>31</v>
      </c>
      <c r="H41" s="28" t="s">
        <v>24</v>
      </c>
      <c r="I41" s="2" t="s">
        <v>1529</v>
      </c>
      <c r="J41" s="47" t="s">
        <v>25</v>
      </c>
      <c r="K41" s="44" t="s">
        <v>96</v>
      </c>
      <c r="L41" s="44" t="s">
        <v>70</v>
      </c>
      <c r="M41" s="43" t="s">
        <v>39</v>
      </c>
      <c r="N41" s="3" t="s">
        <v>40</v>
      </c>
      <c r="O41" s="44" t="s">
        <v>86</v>
      </c>
      <c r="P41" s="43" t="s">
        <v>1601</v>
      </c>
      <c r="Q41" s="43" t="s">
        <v>49</v>
      </c>
      <c r="R41" s="28" t="s">
        <v>88</v>
      </c>
      <c r="S41" s="29">
        <v>341400</v>
      </c>
      <c r="T41" s="43" t="s">
        <v>42</v>
      </c>
      <c r="U41" s="30">
        <v>1.0960692999999999</v>
      </c>
      <c r="V41" s="30">
        <v>-2.9039306640625</v>
      </c>
      <c r="W41" s="31">
        <v>0</v>
      </c>
      <c r="X41" s="32">
        <v>0</v>
      </c>
    </row>
    <row r="42" spans="1:24" x14ac:dyDescent="0.3">
      <c r="A42" s="22" t="s">
        <v>1292</v>
      </c>
      <c r="B42" s="43" t="s">
        <v>1337</v>
      </c>
      <c r="C42" s="2" t="s">
        <v>1343</v>
      </c>
      <c r="D42" s="43" t="s">
        <v>1392</v>
      </c>
      <c r="E42" s="43" t="s">
        <v>1465</v>
      </c>
      <c r="F42" s="23" t="str">
        <f>HYPERLINK("https://mapwv.gov/flood/map/?wkid=102100&amp;x=-9148469.825997707&amp;y=4536017.455142755&amp;l=13&amp;v=2","FT")</f>
        <v>FT</v>
      </c>
      <c r="G42" s="28" t="s">
        <v>31</v>
      </c>
      <c r="H42" s="28" t="s">
        <v>24</v>
      </c>
      <c r="I42" s="2" t="s">
        <v>1530</v>
      </c>
      <c r="J42" s="47" t="s">
        <v>25</v>
      </c>
      <c r="K42" s="44" t="s">
        <v>96</v>
      </c>
      <c r="L42" s="44" t="s">
        <v>424</v>
      </c>
      <c r="M42" s="43" t="s">
        <v>39</v>
      </c>
      <c r="N42" s="3" t="s">
        <v>40</v>
      </c>
      <c r="O42" s="44" t="s">
        <v>86</v>
      </c>
      <c r="P42" s="43" t="s">
        <v>1602</v>
      </c>
      <c r="Q42" s="43" t="s">
        <v>49</v>
      </c>
      <c r="R42" s="28" t="s">
        <v>88</v>
      </c>
      <c r="S42" s="29">
        <v>312000</v>
      </c>
      <c r="T42" s="43" t="s">
        <v>42</v>
      </c>
      <c r="U42" s="30">
        <v>1.4672852000000001</v>
      </c>
      <c r="V42" s="30">
        <v>-2.53271484375</v>
      </c>
      <c r="W42" s="31">
        <v>0</v>
      </c>
      <c r="X42" s="32">
        <v>0</v>
      </c>
    </row>
    <row r="43" spans="1:24" x14ac:dyDescent="0.3">
      <c r="A43" s="22" t="s">
        <v>1293</v>
      </c>
      <c r="B43" s="43" t="s">
        <v>1337</v>
      </c>
      <c r="C43" s="2" t="s">
        <v>1354</v>
      </c>
      <c r="D43" s="43" t="s">
        <v>1393</v>
      </c>
      <c r="E43" s="43" t="s">
        <v>1466</v>
      </c>
      <c r="F43" s="23" t="str">
        <f>HYPERLINK("https://mapwv.gov/flood/map/?wkid=102100&amp;x=-9121963.235025764&amp;y=4523081.397467206&amp;l=13&amp;v=2","FT")</f>
        <v>FT</v>
      </c>
      <c r="G43" s="28" t="s">
        <v>37</v>
      </c>
      <c r="H43" s="28" t="s">
        <v>24</v>
      </c>
      <c r="I43" s="2" t="s">
        <v>1526</v>
      </c>
      <c r="J43" s="47" t="s">
        <v>25</v>
      </c>
      <c r="K43" s="44" t="s">
        <v>108</v>
      </c>
      <c r="L43" s="44" t="s">
        <v>62</v>
      </c>
      <c r="M43" s="43" t="s">
        <v>981</v>
      </c>
      <c r="N43" s="3" t="s">
        <v>84</v>
      </c>
      <c r="O43" s="44" t="s">
        <v>85</v>
      </c>
      <c r="P43" s="43" t="s">
        <v>1603</v>
      </c>
      <c r="Q43" s="43" t="s">
        <v>49</v>
      </c>
      <c r="R43" s="28" t="s">
        <v>88</v>
      </c>
      <c r="S43" s="29">
        <v>310962</v>
      </c>
      <c r="T43" s="43" t="s">
        <v>89</v>
      </c>
      <c r="U43" s="30">
        <v>0</v>
      </c>
      <c r="V43" s="30">
        <v>-4</v>
      </c>
      <c r="W43" s="31">
        <v>0</v>
      </c>
      <c r="X43" s="32">
        <v>0</v>
      </c>
    </row>
    <row r="44" spans="1:24" x14ac:dyDescent="0.3">
      <c r="A44" s="22" t="s">
        <v>1294</v>
      </c>
      <c r="B44" s="43" t="s">
        <v>1337</v>
      </c>
      <c r="C44" s="2" t="s">
        <v>224</v>
      </c>
      <c r="D44" s="43" t="s">
        <v>1394</v>
      </c>
      <c r="E44" s="43" t="s">
        <v>1467</v>
      </c>
      <c r="F44" s="23" t="str">
        <f>HYPERLINK("https://mapwv.gov/flood/map/?wkid=102100&amp;x=-9113216.886679143&amp;y=4529343.814438474&amp;l=13&amp;v=2","FT")</f>
        <v>FT</v>
      </c>
      <c r="G44" s="28" t="s">
        <v>31</v>
      </c>
      <c r="H44" s="28" t="s">
        <v>121</v>
      </c>
      <c r="I44" s="2" t="s">
        <v>1531</v>
      </c>
      <c r="J44" s="47" t="s">
        <v>25</v>
      </c>
      <c r="K44" s="44" t="s">
        <v>75</v>
      </c>
      <c r="L44" s="44" t="s">
        <v>50</v>
      </c>
      <c r="M44" s="43" t="s">
        <v>53</v>
      </c>
      <c r="N44" s="3" t="s">
        <v>34</v>
      </c>
      <c r="O44" s="44" t="s">
        <v>85</v>
      </c>
      <c r="P44" s="43" t="s">
        <v>1604</v>
      </c>
      <c r="Q44" s="43" t="s">
        <v>29</v>
      </c>
      <c r="R44" s="28" t="s">
        <v>87</v>
      </c>
      <c r="S44" s="29">
        <v>308995</v>
      </c>
      <c r="T44" s="43" t="s">
        <v>89</v>
      </c>
      <c r="U44" s="30">
        <v>1</v>
      </c>
      <c r="V44" s="30">
        <v>0</v>
      </c>
      <c r="W44" s="31">
        <v>0.02</v>
      </c>
      <c r="X44" s="32">
        <v>6179.9</v>
      </c>
    </row>
    <row r="45" spans="1:24" x14ac:dyDescent="0.3">
      <c r="A45" s="22" t="s">
        <v>1295</v>
      </c>
      <c r="B45" s="43" t="s">
        <v>1337</v>
      </c>
      <c r="C45" s="2" t="s">
        <v>1353</v>
      </c>
      <c r="D45" s="43" t="s">
        <v>1395</v>
      </c>
      <c r="E45" s="43" t="s">
        <v>1468</v>
      </c>
      <c r="F45" s="23" t="str">
        <f>HYPERLINK("https://mapwv.gov/flood/map/?wkid=102100&amp;x=-9158088.983828768&amp;y=4552717.83009215&amp;l=13&amp;v=2","FT")</f>
        <v>FT</v>
      </c>
      <c r="G45" s="28" t="s">
        <v>31</v>
      </c>
      <c r="H45" s="28" t="s">
        <v>24</v>
      </c>
      <c r="I45" s="2" t="s">
        <v>1532</v>
      </c>
      <c r="J45" s="47" t="s">
        <v>25</v>
      </c>
      <c r="K45" s="44" t="s">
        <v>71</v>
      </c>
      <c r="L45" s="44" t="s">
        <v>43</v>
      </c>
      <c r="M45" s="43" t="s">
        <v>55</v>
      </c>
      <c r="N45" s="3" t="s">
        <v>83</v>
      </c>
      <c r="O45" s="44" t="s">
        <v>85</v>
      </c>
      <c r="P45" s="43" t="s">
        <v>1605</v>
      </c>
      <c r="Q45" s="43" t="s">
        <v>29</v>
      </c>
      <c r="R45" s="28" t="s">
        <v>87</v>
      </c>
      <c r="S45" s="29">
        <v>308200</v>
      </c>
      <c r="T45" s="43" t="s">
        <v>42</v>
      </c>
      <c r="U45" s="30">
        <v>0.10986327999999999</v>
      </c>
      <c r="V45" s="30">
        <v>-0.89013671875</v>
      </c>
      <c r="W45" s="31">
        <v>0</v>
      </c>
      <c r="X45" s="32">
        <v>0</v>
      </c>
    </row>
    <row r="46" spans="1:24" x14ac:dyDescent="0.3">
      <c r="A46" s="22" t="s">
        <v>1296</v>
      </c>
      <c r="B46" s="43" t="s">
        <v>1337</v>
      </c>
      <c r="C46" s="2" t="s">
        <v>1355</v>
      </c>
      <c r="D46" s="43" t="s">
        <v>1396</v>
      </c>
      <c r="E46" s="43" t="s">
        <v>1469</v>
      </c>
      <c r="F46" s="23" t="str">
        <f>HYPERLINK("https://mapwv.gov/flood/map/?wkid=102100&amp;x=-9147747.14698792&amp;y=4561447.990314083&amp;l=13&amp;v=2","FT")</f>
        <v>FT</v>
      </c>
      <c r="G46" s="28" t="s">
        <v>31</v>
      </c>
      <c r="H46" s="28" t="s">
        <v>121</v>
      </c>
      <c r="I46" s="2" t="s">
        <v>1533</v>
      </c>
      <c r="J46" s="47" t="s">
        <v>25</v>
      </c>
      <c r="K46" s="44" t="s">
        <v>117</v>
      </c>
      <c r="L46" s="44" t="s">
        <v>26</v>
      </c>
      <c r="M46" s="43" t="s">
        <v>55</v>
      </c>
      <c r="N46" s="3" t="s">
        <v>83</v>
      </c>
      <c r="O46" s="44" t="s">
        <v>85</v>
      </c>
      <c r="P46" s="43" t="s">
        <v>1606</v>
      </c>
      <c r="Q46" s="43" t="s">
        <v>29</v>
      </c>
      <c r="R46" s="28" t="s">
        <v>87</v>
      </c>
      <c r="S46" s="29">
        <v>304920</v>
      </c>
      <c r="T46" s="43" t="s">
        <v>30</v>
      </c>
      <c r="U46" s="30">
        <v>1</v>
      </c>
      <c r="V46" s="30">
        <v>0</v>
      </c>
      <c r="W46" s="31">
        <v>0</v>
      </c>
      <c r="X46" s="32">
        <v>0</v>
      </c>
    </row>
    <row r="47" spans="1:24" x14ac:dyDescent="0.3">
      <c r="A47" s="22" t="s">
        <v>1297</v>
      </c>
      <c r="B47" s="43" t="s">
        <v>1337</v>
      </c>
      <c r="C47" s="2" t="s">
        <v>1343</v>
      </c>
      <c r="D47" s="43" t="s">
        <v>1397</v>
      </c>
      <c r="E47" s="43" t="s">
        <v>1470</v>
      </c>
      <c r="F47" s="23" t="str">
        <f>HYPERLINK("https://mapwv.gov/flood/map/?wkid=102100&amp;x=-9151103.103691872&amp;y=4543181.278187938&amp;l=13&amp;v=2","FT")</f>
        <v>FT</v>
      </c>
      <c r="G47" s="28" t="s">
        <v>31</v>
      </c>
      <c r="H47" s="28" t="s">
        <v>24</v>
      </c>
      <c r="I47" s="2" t="s">
        <v>1534</v>
      </c>
      <c r="J47" s="47" t="s">
        <v>35</v>
      </c>
      <c r="K47" s="44" t="s">
        <v>73</v>
      </c>
      <c r="L47" s="44"/>
      <c r="M47" s="43" t="s">
        <v>981</v>
      </c>
      <c r="N47" s="3" t="s">
        <v>84</v>
      </c>
      <c r="O47" s="44" t="s">
        <v>85</v>
      </c>
      <c r="P47" s="43" t="s">
        <v>1607</v>
      </c>
      <c r="Q47" s="43" t="s">
        <v>29</v>
      </c>
      <c r="R47" s="28" t="s">
        <v>87</v>
      </c>
      <c r="S47" s="29">
        <v>291954</v>
      </c>
      <c r="T47" s="43" t="s">
        <v>89</v>
      </c>
      <c r="U47" s="30">
        <v>1</v>
      </c>
      <c r="V47" s="30">
        <v>0</v>
      </c>
      <c r="W47" s="31">
        <v>0.01</v>
      </c>
      <c r="X47" s="32">
        <v>2919.54</v>
      </c>
    </row>
    <row r="48" spans="1:24" x14ac:dyDescent="0.3">
      <c r="A48" s="22" t="s">
        <v>1298</v>
      </c>
      <c r="B48" s="43" t="s">
        <v>1337</v>
      </c>
      <c r="C48" s="2" t="s">
        <v>1344</v>
      </c>
      <c r="D48" s="43" t="s">
        <v>1398</v>
      </c>
      <c r="E48" s="43" t="s">
        <v>1471</v>
      </c>
      <c r="F48" s="23" t="str">
        <f>HYPERLINK("https://mapwv.gov/flood/map/?wkid=102100&amp;x=-9165243.775262931&amp;y=4543211.07160685&amp;l=13&amp;v=2","FT")</f>
        <v>FT</v>
      </c>
      <c r="G48" s="28" t="s">
        <v>70</v>
      </c>
      <c r="H48" s="28" t="s">
        <v>24</v>
      </c>
      <c r="I48" s="2" t="s">
        <v>1535</v>
      </c>
      <c r="J48" s="47" t="s">
        <v>25</v>
      </c>
      <c r="K48" s="44" t="s">
        <v>128</v>
      </c>
      <c r="L48" s="44" t="s">
        <v>26</v>
      </c>
      <c r="M48" s="43" t="s">
        <v>57</v>
      </c>
      <c r="N48" s="3" t="s">
        <v>81</v>
      </c>
      <c r="O48" s="44" t="s">
        <v>85</v>
      </c>
      <c r="P48" s="43" t="s">
        <v>1608</v>
      </c>
      <c r="Q48" s="43" t="s">
        <v>29</v>
      </c>
      <c r="R48" s="28" t="s">
        <v>87</v>
      </c>
      <c r="S48" s="29">
        <v>281400</v>
      </c>
      <c r="T48" s="43" t="s">
        <v>42</v>
      </c>
      <c r="U48" s="30">
        <v>0</v>
      </c>
      <c r="V48" s="30">
        <v>-1</v>
      </c>
      <c r="W48" s="31">
        <v>0</v>
      </c>
      <c r="X48" s="32">
        <v>0</v>
      </c>
    </row>
    <row r="49" spans="1:24" x14ac:dyDescent="0.3">
      <c r="A49" s="22" t="s">
        <v>1299</v>
      </c>
      <c r="B49" s="43" t="s">
        <v>1337</v>
      </c>
      <c r="C49" s="2" t="s">
        <v>1343</v>
      </c>
      <c r="D49" s="43" t="s">
        <v>1399</v>
      </c>
      <c r="E49" s="43" t="s">
        <v>1472</v>
      </c>
      <c r="F49" s="23" t="str">
        <f>HYPERLINK("https://mapwv.gov/flood/map/?wkid=102100&amp;x=-9148293.924838284&amp;y=4534807.217715758&amp;l=13&amp;v=2","FT")</f>
        <v>FT</v>
      </c>
      <c r="G49" s="28" t="s">
        <v>31</v>
      </c>
      <c r="H49" s="28" t="s">
        <v>24</v>
      </c>
      <c r="I49" s="2" t="s">
        <v>1536</v>
      </c>
      <c r="J49" s="47" t="s">
        <v>35</v>
      </c>
      <c r="K49" s="44" t="s">
        <v>73</v>
      </c>
      <c r="L49" s="44"/>
      <c r="M49" s="43" t="s">
        <v>39</v>
      </c>
      <c r="N49" s="3" t="s">
        <v>40</v>
      </c>
      <c r="O49" s="44" t="s">
        <v>85</v>
      </c>
      <c r="P49" s="43" t="s">
        <v>1609</v>
      </c>
      <c r="Q49" s="43" t="s">
        <v>29</v>
      </c>
      <c r="R49" s="28" t="s">
        <v>87</v>
      </c>
      <c r="S49" s="29">
        <v>276200</v>
      </c>
      <c r="T49" s="43" t="s">
        <v>1642</v>
      </c>
      <c r="U49" s="30">
        <v>0</v>
      </c>
      <c r="V49" s="30">
        <v>-1</v>
      </c>
      <c r="W49" s="31">
        <v>0</v>
      </c>
      <c r="X49" s="32">
        <v>0</v>
      </c>
    </row>
    <row r="50" spans="1:24" x14ac:dyDescent="0.3">
      <c r="A50" s="22" t="s">
        <v>1300</v>
      </c>
      <c r="B50" s="43" t="s">
        <v>1337</v>
      </c>
      <c r="C50" s="2" t="s">
        <v>1345</v>
      </c>
      <c r="D50" s="43" t="s">
        <v>1400</v>
      </c>
      <c r="E50" s="43" t="s">
        <v>1473</v>
      </c>
      <c r="F50" s="23" t="str">
        <f>HYPERLINK("https://mapwv.gov/flood/map/?wkid=102100&amp;x=-9117492.74513096&amp;y=4527510.031987355&amp;l=13&amp;v=2","FT")</f>
        <v>FT</v>
      </c>
      <c r="G50" s="28" t="s">
        <v>31</v>
      </c>
      <c r="H50" s="28" t="s">
        <v>24</v>
      </c>
      <c r="I50" s="2" t="s">
        <v>1537</v>
      </c>
      <c r="J50" s="47" t="s">
        <v>25</v>
      </c>
      <c r="K50" s="44" t="s">
        <v>78</v>
      </c>
      <c r="L50" s="44" t="s">
        <v>37</v>
      </c>
      <c r="M50" s="43" t="s">
        <v>39</v>
      </c>
      <c r="N50" s="3" t="s">
        <v>40</v>
      </c>
      <c r="O50" s="44" t="s">
        <v>86</v>
      </c>
      <c r="P50" s="43" t="s">
        <v>1609</v>
      </c>
      <c r="Q50" s="43" t="s">
        <v>41</v>
      </c>
      <c r="R50" s="28" t="s">
        <v>88</v>
      </c>
      <c r="S50" s="29">
        <v>276200</v>
      </c>
      <c r="T50" s="43" t="s">
        <v>42</v>
      </c>
      <c r="U50" s="30">
        <v>0</v>
      </c>
      <c r="V50" s="30">
        <v>-4</v>
      </c>
      <c r="W50" s="31">
        <v>0</v>
      </c>
      <c r="X50" s="32">
        <v>0</v>
      </c>
    </row>
    <row r="51" spans="1:24" x14ac:dyDescent="0.3">
      <c r="A51" s="22" t="s">
        <v>1301</v>
      </c>
      <c r="B51" s="43" t="s">
        <v>1337</v>
      </c>
      <c r="C51" s="2" t="s">
        <v>851</v>
      </c>
      <c r="D51" s="43" t="s">
        <v>1401</v>
      </c>
      <c r="E51" s="43" t="s">
        <v>1474</v>
      </c>
      <c r="F51" s="23" t="str">
        <f>HYPERLINK("https://mapwv.gov/flood/map/?wkid=102100&amp;x=-9159342.11568559&amp;y=4537678.30088785&amp;l=13&amp;v=2","FT")</f>
        <v>FT</v>
      </c>
      <c r="G51" s="28" t="s">
        <v>31</v>
      </c>
      <c r="H51" s="28" t="s">
        <v>24</v>
      </c>
      <c r="I51" s="2" t="s">
        <v>1538</v>
      </c>
      <c r="J51" s="47" t="s">
        <v>38</v>
      </c>
      <c r="K51" s="44" t="s">
        <v>76</v>
      </c>
      <c r="L51" s="44" t="s">
        <v>26</v>
      </c>
      <c r="M51" s="43" t="s">
        <v>55</v>
      </c>
      <c r="N51" s="3" t="s">
        <v>83</v>
      </c>
      <c r="O51" s="44" t="s">
        <v>85</v>
      </c>
      <c r="P51" s="43" t="s">
        <v>1610</v>
      </c>
      <c r="Q51" s="43" t="s">
        <v>29</v>
      </c>
      <c r="R51" s="28" t="s">
        <v>87</v>
      </c>
      <c r="S51" s="29">
        <v>270950</v>
      </c>
      <c r="T51" s="43" t="s">
        <v>30</v>
      </c>
      <c r="U51" s="30">
        <v>3.9733887000000002E-2</v>
      </c>
      <c r="V51" s="30">
        <v>-0.96026611328125</v>
      </c>
      <c r="W51" s="31">
        <v>0</v>
      </c>
      <c r="X51" s="32">
        <v>0</v>
      </c>
    </row>
    <row r="52" spans="1:24" x14ac:dyDescent="0.3">
      <c r="A52" s="22" t="s">
        <v>1302</v>
      </c>
      <c r="B52" s="43" t="s">
        <v>1337</v>
      </c>
      <c r="C52" s="2" t="s">
        <v>1344</v>
      </c>
      <c r="D52" s="43" t="s">
        <v>1402</v>
      </c>
      <c r="E52" s="43" t="s">
        <v>1475</v>
      </c>
      <c r="F52" s="23" t="str">
        <f>HYPERLINK("https://mapwv.gov/flood/map/?wkid=102100&amp;x=-9172849.700176805&amp;y=4552753.094213952&amp;l=13&amp;v=2","FT")</f>
        <v>FT</v>
      </c>
      <c r="G52" s="28" t="s">
        <v>31</v>
      </c>
      <c r="H52" s="28" t="s">
        <v>24</v>
      </c>
      <c r="I52" s="2" t="s">
        <v>1525</v>
      </c>
      <c r="J52" s="47" t="s">
        <v>25</v>
      </c>
      <c r="K52" s="44" t="s">
        <v>91</v>
      </c>
      <c r="L52" s="44" t="s">
        <v>26</v>
      </c>
      <c r="M52" s="43" t="s">
        <v>125</v>
      </c>
      <c r="N52" s="3" t="s">
        <v>40</v>
      </c>
      <c r="O52" s="44" t="s">
        <v>86</v>
      </c>
      <c r="P52" s="43" t="s">
        <v>1611</v>
      </c>
      <c r="Q52" s="43" t="s">
        <v>29</v>
      </c>
      <c r="R52" s="28" t="s">
        <v>87</v>
      </c>
      <c r="S52" s="29">
        <v>268200</v>
      </c>
      <c r="T52" s="43" t="s">
        <v>30</v>
      </c>
      <c r="U52" s="30">
        <v>1.5247192000000001</v>
      </c>
      <c r="V52" s="30">
        <v>0.52471923828125</v>
      </c>
      <c r="W52" s="31">
        <v>0.15524719238281201</v>
      </c>
      <c r="X52" s="32">
        <v>41637.296997070298</v>
      </c>
    </row>
    <row r="53" spans="1:24" x14ac:dyDescent="0.3">
      <c r="A53" s="22" t="s">
        <v>1303</v>
      </c>
      <c r="B53" s="43" t="s">
        <v>1337</v>
      </c>
      <c r="C53" s="2" t="s">
        <v>1356</v>
      </c>
      <c r="D53" s="43" t="s">
        <v>1403</v>
      </c>
      <c r="E53" s="43" t="s">
        <v>1476</v>
      </c>
      <c r="F53" s="23" t="str">
        <f>HYPERLINK("https://mapwv.gov/flood/map/?wkid=102100&amp;x=-9162087.873821514&amp;y=4539240.455627916&amp;l=13&amp;v=2","FT")</f>
        <v>FT</v>
      </c>
      <c r="G53" s="28" t="s">
        <v>31</v>
      </c>
      <c r="H53" s="28" t="s">
        <v>24</v>
      </c>
      <c r="I53" s="2"/>
      <c r="J53" s="47" t="s">
        <v>25</v>
      </c>
      <c r="K53" s="44" t="s">
        <v>1564</v>
      </c>
      <c r="L53" s="44" t="s">
        <v>37</v>
      </c>
      <c r="M53" s="43" t="s">
        <v>39</v>
      </c>
      <c r="N53" s="3" t="s">
        <v>40</v>
      </c>
      <c r="O53" s="44" t="s">
        <v>85</v>
      </c>
      <c r="P53" s="43" t="s">
        <v>1612</v>
      </c>
      <c r="Q53" s="43" t="s">
        <v>49</v>
      </c>
      <c r="R53" s="28" t="s">
        <v>88</v>
      </c>
      <c r="S53" s="29">
        <v>264000</v>
      </c>
      <c r="T53" s="43" t="s">
        <v>42</v>
      </c>
      <c r="U53" s="30">
        <v>0</v>
      </c>
      <c r="V53" s="30">
        <v>-4</v>
      </c>
      <c r="W53" s="31">
        <v>0</v>
      </c>
      <c r="X53" s="32">
        <v>0</v>
      </c>
    </row>
    <row r="54" spans="1:24" x14ac:dyDescent="0.3">
      <c r="A54" s="22" t="s">
        <v>1304</v>
      </c>
      <c r="B54" s="43" t="s">
        <v>1337</v>
      </c>
      <c r="C54" s="2" t="s">
        <v>1351</v>
      </c>
      <c r="D54" s="43" t="s">
        <v>1404</v>
      </c>
      <c r="E54" s="43" t="s">
        <v>1477</v>
      </c>
      <c r="F54" s="23" t="str">
        <f>HYPERLINK("https://mapwv.gov/flood/map/?wkid=102100&amp;x=-9119087.057312127&amp;y=4523078.691507746&amp;l=13&amp;v=2","FT")</f>
        <v>FT</v>
      </c>
      <c r="G54" s="28" t="s">
        <v>31</v>
      </c>
      <c r="H54" s="28" t="s">
        <v>24</v>
      </c>
      <c r="I54" s="2" t="s">
        <v>1539</v>
      </c>
      <c r="J54" s="47" t="s">
        <v>35</v>
      </c>
      <c r="K54" s="44" t="s">
        <v>73</v>
      </c>
      <c r="L54" s="44"/>
      <c r="M54" s="43" t="s">
        <v>55</v>
      </c>
      <c r="N54" s="3" t="s">
        <v>83</v>
      </c>
      <c r="O54" s="44" t="s">
        <v>85</v>
      </c>
      <c r="P54" s="43" t="s">
        <v>1613</v>
      </c>
      <c r="Q54" s="43" t="s">
        <v>29</v>
      </c>
      <c r="R54" s="28" t="s">
        <v>87</v>
      </c>
      <c r="S54" s="29">
        <v>263489</v>
      </c>
      <c r="T54" s="43" t="s">
        <v>89</v>
      </c>
      <c r="U54" s="30">
        <v>0</v>
      </c>
      <c r="V54" s="30">
        <v>-1</v>
      </c>
      <c r="W54" s="31">
        <v>0</v>
      </c>
      <c r="X54" s="32">
        <v>0</v>
      </c>
    </row>
    <row r="55" spans="1:24" x14ac:dyDescent="0.3">
      <c r="A55" s="22" t="s">
        <v>1305</v>
      </c>
      <c r="B55" s="43" t="s">
        <v>1341</v>
      </c>
      <c r="C55" s="2" t="s">
        <v>1343</v>
      </c>
      <c r="D55" s="43" t="s">
        <v>1405</v>
      </c>
      <c r="E55" s="43" t="s">
        <v>1478</v>
      </c>
      <c r="F55" s="23" t="str">
        <f>HYPERLINK("https://mapwv.gov/flood/map/?wkid=102100&amp;x=-9148615.7468145&amp;y=4536182.1065973565&amp;l=13&amp;v=2","FT")</f>
        <v>FT</v>
      </c>
      <c r="G55" s="28" t="s">
        <v>31</v>
      </c>
      <c r="H55" s="28" t="s">
        <v>24</v>
      </c>
      <c r="I55" s="2" t="s">
        <v>1540</v>
      </c>
      <c r="J55" s="47" t="s">
        <v>25</v>
      </c>
      <c r="K55" s="44" t="s">
        <v>972</v>
      </c>
      <c r="L55" s="44" t="s">
        <v>26</v>
      </c>
      <c r="M55" s="43" t="s">
        <v>55</v>
      </c>
      <c r="N55" s="3" t="s">
        <v>83</v>
      </c>
      <c r="O55" s="44" t="s">
        <v>85</v>
      </c>
      <c r="P55" s="43" t="s">
        <v>1614</v>
      </c>
      <c r="Q55" s="43" t="s">
        <v>29</v>
      </c>
      <c r="R55" s="28" t="s">
        <v>87</v>
      </c>
      <c r="S55" s="29">
        <v>263100</v>
      </c>
      <c r="T55" s="43" t="s">
        <v>42</v>
      </c>
      <c r="U55" s="30">
        <v>0</v>
      </c>
      <c r="V55" s="30">
        <v>-1</v>
      </c>
      <c r="W55" s="31">
        <v>0</v>
      </c>
      <c r="X55" s="32">
        <v>0</v>
      </c>
    </row>
    <row r="56" spans="1:24" x14ac:dyDescent="0.3">
      <c r="A56" s="22" t="s">
        <v>1306</v>
      </c>
      <c r="B56" s="43" t="s">
        <v>1337</v>
      </c>
      <c r="C56" s="2" t="s">
        <v>1344</v>
      </c>
      <c r="D56" s="43" t="s">
        <v>1406</v>
      </c>
      <c r="E56" s="43" t="s">
        <v>1479</v>
      </c>
      <c r="F56" s="23" t="str">
        <f>HYPERLINK("https://mapwv.gov/flood/map/?wkid=102100&amp;x=-9167040.337704351&amp;y=4549466.172071819&amp;l=13&amp;v=2","FT")</f>
        <v>FT</v>
      </c>
      <c r="G56" s="28" t="s">
        <v>31</v>
      </c>
      <c r="H56" s="28" t="s">
        <v>121</v>
      </c>
      <c r="I56" s="2" t="s">
        <v>1541</v>
      </c>
      <c r="J56" s="47" t="s">
        <v>25</v>
      </c>
      <c r="K56" s="44" t="s">
        <v>117</v>
      </c>
      <c r="L56" s="44" t="s">
        <v>54</v>
      </c>
      <c r="M56" s="43" t="s">
        <v>45</v>
      </c>
      <c r="N56" s="3" t="s">
        <v>34</v>
      </c>
      <c r="O56" s="44" t="s">
        <v>127</v>
      </c>
      <c r="P56" s="43" t="s">
        <v>1615</v>
      </c>
      <c r="Q56" s="43" t="s">
        <v>29</v>
      </c>
      <c r="R56" s="28" t="s">
        <v>87</v>
      </c>
      <c r="S56" s="29">
        <v>262600</v>
      </c>
      <c r="T56" s="43" t="s">
        <v>42</v>
      </c>
      <c r="U56" s="30">
        <v>4.6617426999999996</v>
      </c>
      <c r="V56" s="30">
        <v>3.66174268722534</v>
      </c>
      <c r="W56" s="31">
        <v>0.17323485374450598</v>
      </c>
      <c r="X56" s="32">
        <v>45491.472593307401</v>
      </c>
    </row>
    <row r="57" spans="1:24" x14ac:dyDescent="0.3">
      <c r="A57" s="22" t="s">
        <v>1307</v>
      </c>
      <c r="B57" s="43" t="s">
        <v>1340</v>
      </c>
      <c r="C57" s="2" t="s">
        <v>224</v>
      </c>
      <c r="D57" s="43" t="s">
        <v>1407</v>
      </c>
      <c r="E57" s="43" t="s">
        <v>1480</v>
      </c>
      <c r="F57" s="23" t="str">
        <f>HYPERLINK("https://mapwv.gov/flood/map/?wkid=102100&amp;x=-9112828.463921383&amp;y=4524354.895317743&amp;l=13&amp;v=2","FT")</f>
        <v>FT</v>
      </c>
      <c r="G57" s="28" t="s">
        <v>31</v>
      </c>
      <c r="H57" s="28" t="s">
        <v>121</v>
      </c>
      <c r="I57" s="2" t="s">
        <v>1542</v>
      </c>
      <c r="J57" s="47" t="s">
        <v>35</v>
      </c>
      <c r="K57" s="44" t="s">
        <v>73</v>
      </c>
      <c r="L57" s="44"/>
      <c r="M57" s="43" t="s">
        <v>45</v>
      </c>
      <c r="N57" s="3" t="s">
        <v>34</v>
      </c>
      <c r="O57" s="44" t="s">
        <v>85</v>
      </c>
      <c r="P57" s="43" t="s">
        <v>1616</v>
      </c>
      <c r="Q57" s="43" t="s">
        <v>29</v>
      </c>
      <c r="R57" s="28" t="s">
        <v>87</v>
      </c>
      <c r="S57" s="29">
        <v>261699</v>
      </c>
      <c r="T57" s="43" t="s">
        <v>89</v>
      </c>
      <c r="U57" s="30">
        <v>1</v>
      </c>
      <c r="V57" s="30">
        <v>0</v>
      </c>
      <c r="W57" s="31">
        <v>0.01</v>
      </c>
      <c r="X57" s="32">
        <v>2616.9899999999998</v>
      </c>
    </row>
    <row r="58" spans="1:24" x14ac:dyDescent="0.3">
      <c r="A58" s="22" t="s">
        <v>1308</v>
      </c>
      <c r="B58" s="43" t="s">
        <v>1337</v>
      </c>
      <c r="C58" s="2" t="s">
        <v>1343</v>
      </c>
      <c r="D58" s="43" t="s">
        <v>1408</v>
      </c>
      <c r="E58" s="43" t="s">
        <v>1481</v>
      </c>
      <c r="F58" s="23" t="str">
        <f>HYPERLINK("https://mapwv.gov/flood/map/?wkid=102100&amp;x=-9160107.401785195&amp;y=4550948.331832605&amp;l=13&amp;v=2","FT")</f>
        <v>FT</v>
      </c>
      <c r="G58" s="28" t="s">
        <v>31</v>
      </c>
      <c r="H58" s="28" t="s">
        <v>24</v>
      </c>
      <c r="I58" s="2" t="s">
        <v>1543</v>
      </c>
      <c r="J58" s="47" t="s">
        <v>25</v>
      </c>
      <c r="K58" s="44" t="s">
        <v>78</v>
      </c>
      <c r="L58" s="44" t="s">
        <v>54</v>
      </c>
      <c r="M58" s="43" t="s">
        <v>45</v>
      </c>
      <c r="N58" s="3" t="s">
        <v>34</v>
      </c>
      <c r="O58" s="44" t="s">
        <v>85</v>
      </c>
      <c r="P58" s="43" t="s">
        <v>1617</v>
      </c>
      <c r="Q58" s="43" t="s">
        <v>29</v>
      </c>
      <c r="R58" s="28" t="s">
        <v>87</v>
      </c>
      <c r="S58" s="29">
        <v>259600</v>
      </c>
      <c r="T58" s="43" t="s">
        <v>42</v>
      </c>
      <c r="U58" s="30">
        <v>0</v>
      </c>
      <c r="V58" s="30">
        <v>-1</v>
      </c>
      <c r="W58" s="31">
        <v>0</v>
      </c>
      <c r="X58" s="32">
        <v>0</v>
      </c>
    </row>
    <row r="59" spans="1:24" x14ac:dyDescent="0.3">
      <c r="A59" s="22" t="s">
        <v>1309</v>
      </c>
      <c r="B59" s="43" t="s">
        <v>1341</v>
      </c>
      <c r="C59" s="2" t="s">
        <v>1343</v>
      </c>
      <c r="D59" s="43" t="s">
        <v>1409</v>
      </c>
      <c r="E59" s="43" t="s">
        <v>1482</v>
      </c>
      <c r="F59" s="23" t="str">
        <f>HYPERLINK("https://mapwv.gov/flood/map/?wkid=102100&amp;x=-9148664.627648188&amp;y=4538784.125736435&amp;l=13&amp;v=2","FT")</f>
        <v>FT</v>
      </c>
      <c r="G59" s="28" t="s">
        <v>31</v>
      </c>
      <c r="H59" s="28" t="s">
        <v>24</v>
      </c>
      <c r="I59" s="2" t="s">
        <v>1544</v>
      </c>
      <c r="J59" s="47" t="s">
        <v>25</v>
      </c>
      <c r="K59" s="44" t="s">
        <v>1564</v>
      </c>
      <c r="L59" s="44" t="s">
        <v>50</v>
      </c>
      <c r="M59" s="43" t="s">
        <v>55</v>
      </c>
      <c r="N59" s="3" t="s">
        <v>83</v>
      </c>
      <c r="O59" s="44" t="s">
        <v>85</v>
      </c>
      <c r="P59" s="43" t="s">
        <v>1618</v>
      </c>
      <c r="Q59" s="43" t="s">
        <v>29</v>
      </c>
      <c r="R59" s="28" t="s">
        <v>87</v>
      </c>
      <c r="S59" s="29">
        <v>256600</v>
      </c>
      <c r="T59" s="43" t="s">
        <v>42</v>
      </c>
      <c r="U59" s="30">
        <v>0</v>
      </c>
      <c r="V59" s="30">
        <v>-1</v>
      </c>
      <c r="W59" s="31">
        <v>0</v>
      </c>
      <c r="X59" s="32">
        <v>0</v>
      </c>
    </row>
    <row r="60" spans="1:24" x14ac:dyDescent="0.3">
      <c r="A60" s="22" t="s">
        <v>1310</v>
      </c>
      <c r="B60" s="43" t="s">
        <v>1339</v>
      </c>
      <c r="C60" s="2" t="s">
        <v>1344</v>
      </c>
      <c r="D60" s="43" t="s">
        <v>1410</v>
      </c>
      <c r="E60" s="43" t="s">
        <v>1483</v>
      </c>
      <c r="F60" s="23" t="str">
        <f>HYPERLINK("https://mapwv.gov/flood/map/?wkid=102100&amp;x=-9146585.734265188&amp;y=4526184.806408293&amp;l=13&amp;v=2","FT")</f>
        <v>FT</v>
      </c>
      <c r="G60" s="28" t="s">
        <v>70</v>
      </c>
      <c r="H60" s="28" t="s">
        <v>24</v>
      </c>
      <c r="I60" s="2"/>
      <c r="J60" s="47" t="s">
        <v>25</v>
      </c>
      <c r="K60" s="44" t="s">
        <v>78</v>
      </c>
      <c r="L60" s="44" t="s">
        <v>43</v>
      </c>
      <c r="M60" s="43" t="s">
        <v>61</v>
      </c>
      <c r="N60" s="3" t="s">
        <v>82</v>
      </c>
      <c r="O60" s="44" t="s">
        <v>85</v>
      </c>
      <c r="P60" s="43" t="s">
        <v>1619</v>
      </c>
      <c r="Q60" s="43" t="s">
        <v>29</v>
      </c>
      <c r="R60" s="28" t="s">
        <v>87</v>
      </c>
      <c r="S60" s="29">
        <v>243200</v>
      </c>
      <c r="T60" s="43" t="s">
        <v>42</v>
      </c>
      <c r="U60" s="30">
        <v>0</v>
      </c>
      <c r="V60" s="30">
        <v>-1</v>
      </c>
      <c r="W60" s="31">
        <v>0</v>
      </c>
      <c r="X60" s="32">
        <v>0</v>
      </c>
    </row>
    <row r="61" spans="1:24" x14ac:dyDescent="0.3">
      <c r="A61" s="22" t="s">
        <v>1311</v>
      </c>
      <c r="B61" s="43" t="s">
        <v>1337</v>
      </c>
      <c r="C61" s="2" t="s">
        <v>1347</v>
      </c>
      <c r="D61" s="43" t="s">
        <v>1411</v>
      </c>
      <c r="E61" s="43" t="s">
        <v>1484</v>
      </c>
      <c r="F61" s="23" t="str">
        <f>HYPERLINK("https://mapwv.gov/flood/map/?wkid=102100&amp;x=-9144821.245195463&amp;y=4527370.912866704&amp;l=13&amp;v=2","FT")</f>
        <v>FT</v>
      </c>
      <c r="G61" s="28" t="s">
        <v>31</v>
      </c>
      <c r="H61" s="28" t="s">
        <v>121</v>
      </c>
      <c r="I61" s="2" t="s">
        <v>1545</v>
      </c>
      <c r="J61" s="47" t="s">
        <v>38</v>
      </c>
      <c r="K61" s="44" t="s">
        <v>1569</v>
      </c>
      <c r="L61" s="44" t="s">
        <v>32</v>
      </c>
      <c r="M61" s="43" t="s">
        <v>978</v>
      </c>
      <c r="N61" s="3" t="s">
        <v>40</v>
      </c>
      <c r="O61" s="44" t="s">
        <v>86</v>
      </c>
      <c r="P61" s="43" t="s">
        <v>1620</v>
      </c>
      <c r="Q61" s="43" t="s">
        <v>29</v>
      </c>
      <c r="R61" s="28" t="s">
        <v>87</v>
      </c>
      <c r="S61" s="29">
        <v>239284</v>
      </c>
      <c r="T61" s="43" t="s">
        <v>1642</v>
      </c>
      <c r="U61" s="30">
        <v>1</v>
      </c>
      <c r="V61" s="30">
        <v>0</v>
      </c>
      <c r="W61" s="31">
        <v>0.15</v>
      </c>
      <c r="X61" s="32">
        <v>35892.6</v>
      </c>
    </row>
    <row r="62" spans="1:24" x14ac:dyDescent="0.3">
      <c r="A62" s="22" t="s">
        <v>1312</v>
      </c>
      <c r="B62" s="43" t="s">
        <v>1337</v>
      </c>
      <c r="C62" s="2" t="s">
        <v>1347</v>
      </c>
      <c r="D62" s="43" t="s">
        <v>1411</v>
      </c>
      <c r="E62" s="43" t="s">
        <v>1485</v>
      </c>
      <c r="F62" s="23" t="str">
        <f>HYPERLINK("https://mapwv.gov/flood/map/?wkid=102100&amp;x=-9144843.838376675&amp;y=4527314.0080292495&amp;l=13&amp;v=2","FT")</f>
        <v>FT</v>
      </c>
      <c r="G62" s="28" t="s">
        <v>31</v>
      </c>
      <c r="H62" s="28" t="s">
        <v>121</v>
      </c>
      <c r="I62" s="2" t="s">
        <v>1545</v>
      </c>
      <c r="J62" s="47" t="s">
        <v>38</v>
      </c>
      <c r="K62" s="44" t="s">
        <v>1569</v>
      </c>
      <c r="L62" s="44" t="s">
        <v>32</v>
      </c>
      <c r="M62" s="43" t="s">
        <v>978</v>
      </c>
      <c r="N62" s="3" t="s">
        <v>40</v>
      </c>
      <c r="O62" s="44" t="s">
        <v>86</v>
      </c>
      <c r="P62" s="43" t="s">
        <v>1620</v>
      </c>
      <c r="Q62" s="43" t="s">
        <v>29</v>
      </c>
      <c r="R62" s="28" t="s">
        <v>87</v>
      </c>
      <c r="S62" s="29">
        <v>239284</v>
      </c>
      <c r="T62" s="43" t="s">
        <v>1642</v>
      </c>
      <c r="U62" s="30">
        <v>1</v>
      </c>
      <c r="V62" s="30">
        <v>0</v>
      </c>
      <c r="W62" s="31">
        <v>0.15</v>
      </c>
      <c r="X62" s="32">
        <v>35892.6</v>
      </c>
    </row>
    <row r="63" spans="1:24" x14ac:dyDescent="0.3">
      <c r="A63" s="22" t="s">
        <v>1313</v>
      </c>
      <c r="B63" s="43" t="s">
        <v>1337</v>
      </c>
      <c r="C63" s="2" t="s">
        <v>1347</v>
      </c>
      <c r="D63" s="43" t="s">
        <v>1411</v>
      </c>
      <c r="E63" s="43" t="s">
        <v>1486</v>
      </c>
      <c r="F63" s="23" t="str">
        <f>HYPERLINK("https://mapwv.gov/flood/map/?wkid=102100&amp;x=-9144870.360245354&amp;y=4527239.974195035&amp;l=13&amp;v=2","FT")</f>
        <v>FT</v>
      </c>
      <c r="G63" s="28" t="s">
        <v>31</v>
      </c>
      <c r="H63" s="28" t="s">
        <v>121</v>
      </c>
      <c r="I63" s="2" t="s">
        <v>1545</v>
      </c>
      <c r="J63" s="47" t="s">
        <v>38</v>
      </c>
      <c r="K63" s="44" t="s">
        <v>1569</v>
      </c>
      <c r="L63" s="44" t="s">
        <v>32</v>
      </c>
      <c r="M63" s="43" t="s">
        <v>978</v>
      </c>
      <c r="N63" s="3" t="s">
        <v>40</v>
      </c>
      <c r="O63" s="44" t="s">
        <v>86</v>
      </c>
      <c r="P63" s="43" t="s">
        <v>1620</v>
      </c>
      <c r="Q63" s="43" t="s">
        <v>29</v>
      </c>
      <c r="R63" s="28" t="s">
        <v>87</v>
      </c>
      <c r="S63" s="29">
        <v>239284</v>
      </c>
      <c r="T63" s="43" t="s">
        <v>1642</v>
      </c>
      <c r="U63" s="30">
        <v>1</v>
      </c>
      <c r="V63" s="30">
        <v>0</v>
      </c>
      <c r="W63" s="31">
        <v>0.15</v>
      </c>
      <c r="X63" s="32">
        <v>35892.6</v>
      </c>
    </row>
    <row r="64" spans="1:24" x14ac:dyDescent="0.3">
      <c r="A64" s="22" t="s">
        <v>1314</v>
      </c>
      <c r="B64" s="43" t="s">
        <v>1337</v>
      </c>
      <c r="C64" s="2" t="s">
        <v>1357</v>
      </c>
      <c r="D64" s="43" t="s">
        <v>1412</v>
      </c>
      <c r="E64" s="43" t="s">
        <v>1487</v>
      </c>
      <c r="F64" s="23" t="str">
        <f>HYPERLINK("https://mapwv.gov/flood/map/?wkid=102100&amp;x=-9170407.61526655&amp;y=4559495.236312692&amp;l=13&amp;v=2","FT")</f>
        <v>FT</v>
      </c>
      <c r="G64" s="28" t="s">
        <v>31</v>
      </c>
      <c r="H64" s="28" t="s">
        <v>121</v>
      </c>
      <c r="I64" s="2" t="s">
        <v>1546</v>
      </c>
      <c r="J64" s="47" t="s">
        <v>25</v>
      </c>
      <c r="K64" s="44" t="s">
        <v>74</v>
      </c>
      <c r="L64" s="44" t="s">
        <v>50</v>
      </c>
      <c r="M64" s="43" t="s">
        <v>45</v>
      </c>
      <c r="N64" s="3" t="s">
        <v>34</v>
      </c>
      <c r="O64" s="44" t="s">
        <v>86</v>
      </c>
      <c r="P64" s="43" t="s">
        <v>1621</v>
      </c>
      <c r="Q64" s="43" t="s">
        <v>29</v>
      </c>
      <c r="R64" s="28" t="s">
        <v>87</v>
      </c>
      <c r="S64" s="29">
        <v>238900</v>
      </c>
      <c r="T64" s="43" t="s">
        <v>30</v>
      </c>
      <c r="U64" s="30">
        <v>0.95489500000000005</v>
      </c>
      <c r="V64" s="30">
        <v>-4.510498046875E-2</v>
      </c>
      <c r="W64" s="31">
        <v>9.5489501953124906E-3</v>
      </c>
      <c r="X64" s="32">
        <v>2281.2442016601499</v>
      </c>
    </row>
    <row r="65" spans="1:24" x14ac:dyDescent="0.3">
      <c r="A65" s="22" t="s">
        <v>1315</v>
      </c>
      <c r="B65" s="43" t="s">
        <v>1337</v>
      </c>
      <c r="C65" s="2" t="s">
        <v>1343</v>
      </c>
      <c r="D65" s="43" t="s">
        <v>1413</v>
      </c>
      <c r="E65" s="43" t="s">
        <v>1488</v>
      </c>
      <c r="F65" s="23" t="str">
        <f>HYPERLINK("https://mapwv.gov/flood/map/?wkid=102100&amp;x=-9136155.031520123&amp;y=4530851.60287837&amp;l=13&amp;v=2","FT")</f>
        <v>FT</v>
      </c>
      <c r="G65" s="28" t="s">
        <v>31</v>
      </c>
      <c r="H65" s="28" t="s">
        <v>24</v>
      </c>
      <c r="I65" s="2" t="s">
        <v>1547</v>
      </c>
      <c r="J65" s="47" t="s">
        <v>25</v>
      </c>
      <c r="K65" s="44" t="s">
        <v>80</v>
      </c>
      <c r="L65" s="44" t="s">
        <v>37</v>
      </c>
      <c r="M65" s="43" t="s">
        <v>39</v>
      </c>
      <c r="N65" s="3" t="s">
        <v>40</v>
      </c>
      <c r="O65" s="44" t="s">
        <v>86</v>
      </c>
      <c r="P65" s="43" t="s">
        <v>1622</v>
      </c>
      <c r="Q65" s="43" t="s">
        <v>49</v>
      </c>
      <c r="R65" s="28" t="s">
        <v>88</v>
      </c>
      <c r="S65" s="29">
        <v>236800</v>
      </c>
      <c r="T65" s="43" t="s">
        <v>42</v>
      </c>
      <c r="U65" s="30">
        <v>1</v>
      </c>
      <c r="V65" s="30">
        <v>-3</v>
      </c>
      <c r="W65" s="31">
        <v>0</v>
      </c>
      <c r="X65" s="32">
        <v>0</v>
      </c>
    </row>
    <row r="66" spans="1:24" x14ac:dyDescent="0.3">
      <c r="A66" s="22" t="s">
        <v>1316</v>
      </c>
      <c r="B66" s="43" t="s">
        <v>1337</v>
      </c>
      <c r="C66" s="2" t="s">
        <v>1345</v>
      </c>
      <c r="D66" s="43" t="s">
        <v>1363</v>
      </c>
      <c r="E66" s="43" t="s">
        <v>1489</v>
      </c>
      <c r="F66" s="23" t="str">
        <f>HYPERLINK("https://mapwv.gov/flood/map/?wkid=102100&amp;x=-9119379.363148&amp;y=4528005.536221811&amp;l=13&amp;v=2","FT")</f>
        <v>FT</v>
      </c>
      <c r="G66" s="28" t="s">
        <v>31</v>
      </c>
      <c r="H66" s="28" t="s">
        <v>24</v>
      </c>
      <c r="I66" s="2" t="s">
        <v>1511</v>
      </c>
      <c r="J66" s="47" t="s">
        <v>25</v>
      </c>
      <c r="K66" s="44" t="s">
        <v>108</v>
      </c>
      <c r="L66" s="44"/>
      <c r="M66" s="43" t="s">
        <v>48</v>
      </c>
      <c r="N66" s="3" t="s">
        <v>34</v>
      </c>
      <c r="O66" s="44" t="s">
        <v>85</v>
      </c>
      <c r="P66" s="43" t="s">
        <v>1587</v>
      </c>
      <c r="Q66" s="43" t="s">
        <v>29</v>
      </c>
      <c r="R66" s="28" t="s">
        <v>87</v>
      </c>
      <c r="S66" s="29">
        <v>234087</v>
      </c>
      <c r="T66" s="43" t="s">
        <v>89</v>
      </c>
      <c r="U66" s="30">
        <v>0</v>
      </c>
      <c r="V66" s="30">
        <v>-1</v>
      </c>
      <c r="W66" s="31">
        <v>0</v>
      </c>
      <c r="X66" s="32">
        <v>0</v>
      </c>
    </row>
    <row r="67" spans="1:24" x14ac:dyDescent="0.3">
      <c r="A67" s="22" t="s">
        <v>1317</v>
      </c>
      <c r="B67" s="43" t="s">
        <v>1340</v>
      </c>
      <c r="C67" s="2" t="s">
        <v>1351</v>
      </c>
      <c r="D67" s="43" t="s">
        <v>1414</v>
      </c>
      <c r="E67" s="43" t="s">
        <v>1490</v>
      </c>
      <c r="F67" s="23" t="str">
        <f>HYPERLINK("https://mapwv.gov/flood/map/?wkid=102100&amp;x=-9114422.990615206&amp;y=4524555.441600194&amp;l=13&amp;v=2","FT")</f>
        <v>FT</v>
      </c>
      <c r="G67" s="28" t="s">
        <v>31</v>
      </c>
      <c r="H67" s="28" t="s">
        <v>121</v>
      </c>
      <c r="I67" s="2"/>
      <c r="J67" s="47" t="s">
        <v>25</v>
      </c>
      <c r="K67" s="44" t="s">
        <v>103</v>
      </c>
      <c r="L67" s="44" t="s">
        <v>46</v>
      </c>
      <c r="M67" s="43" t="s">
        <v>45</v>
      </c>
      <c r="N67" s="3" t="s">
        <v>34</v>
      </c>
      <c r="O67" s="44" t="s">
        <v>127</v>
      </c>
      <c r="P67" s="43" t="s">
        <v>1623</v>
      </c>
      <c r="Q67" s="43" t="s">
        <v>29</v>
      </c>
      <c r="R67" s="28" t="s">
        <v>87</v>
      </c>
      <c r="S67" s="29">
        <v>231700</v>
      </c>
      <c r="T67" s="43" t="s">
        <v>42</v>
      </c>
      <c r="U67" s="30">
        <v>3.4367676</v>
      </c>
      <c r="V67" s="30">
        <v>2.436767578125</v>
      </c>
      <c r="W67" s="31">
        <v>0.14873535156250001</v>
      </c>
      <c r="X67" s="32">
        <v>34461.980957031199</v>
      </c>
    </row>
    <row r="68" spans="1:24" x14ac:dyDescent="0.3">
      <c r="A68" s="22" t="s">
        <v>1318</v>
      </c>
      <c r="B68" s="43" t="s">
        <v>1337</v>
      </c>
      <c r="C68" s="2" t="s">
        <v>1343</v>
      </c>
      <c r="D68" s="43" t="s">
        <v>1415</v>
      </c>
      <c r="E68" s="43" t="s">
        <v>1491</v>
      </c>
      <c r="F68" s="23" t="str">
        <f>HYPERLINK("https://mapwv.gov/flood/map/?wkid=102100&amp;x=-9147242.071979158&amp;y=4533137.285450733&amp;l=13&amp;v=2","FT")</f>
        <v>FT</v>
      </c>
      <c r="G68" s="28" t="s">
        <v>31</v>
      </c>
      <c r="H68" s="28" t="s">
        <v>121</v>
      </c>
      <c r="I68" s="2"/>
      <c r="J68" s="47" t="s">
        <v>35</v>
      </c>
      <c r="K68" s="44" t="s">
        <v>73</v>
      </c>
      <c r="L68" s="44"/>
      <c r="M68" s="43" t="s">
        <v>39</v>
      </c>
      <c r="N68" s="3" t="s">
        <v>40</v>
      </c>
      <c r="O68" s="44" t="s">
        <v>85</v>
      </c>
      <c r="P68" s="43" t="s">
        <v>1624</v>
      </c>
      <c r="Q68" s="43" t="s">
        <v>29</v>
      </c>
      <c r="R68" s="28" t="s">
        <v>87</v>
      </c>
      <c r="S68" s="29">
        <v>229265</v>
      </c>
      <c r="T68" s="43" t="s">
        <v>89</v>
      </c>
      <c r="U68" s="30">
        <v>1.767334</v>
      </c>
      <c r="V68" s="30">
        <v>0.767333984375</v>
      </c>
      <c r="W68" s="31">
        <v>0.20673339843749999</v>
      </c>
      <c r="X68" s="32">
        <v>47396.732592773398</v>
      </c>
    </row>
    <row r="69" spans="1:24" x14ac:dyDescent="0.3">
      <c r="A69" s="22" t="s">
        <v>1319</v>
      </c>
      <c r="B69" s="43" t="s">
        <v>1337</v>
      </c>
      <c r="C69" s="2" t="s">
        <v>1353</v>
      </c>
      <c r="D69" s="43" t="s">
        <v>1416</v>
      </c>
      <c r="E69" s="43" t="s">
        <v>1492</v>
      </c>
      <c r="F69" s="23" t="str">
        <f>HYPERLINK("https://mapwv.gov/flood/map/?wkid=102100&amp;x=-9158062.37490824&amp;y=4552637.878789525&amp;l=13&amp;v=2","FT")</f>
        <v>FT</v>
      </c>
      <c r="G69" s="28" t="s">
        <v>31</v>
      </c>
      <c r="H69" s="28" t="s">
        <v>24</v>
      </c>
      <c r="I69" s="2" t="s">
        <v>1548</v>
      </c>
      <c r="J69" s="47" t="s">
        <v>25</v>
      </c>
      <c r="K69" s="44" t="s">
        <v>97</v>
      </c>
      <c r="L69" s="44" t="s">
        <v>47</v>
      </c>
      <c r="M69" s="43" t="s">
        <v>39</v>
      </c>
      <c r="N69" s="3" t="s">
        <v>40</v>
      </c>
      <c r="O69" s="44" t="s">
        <v>85</v>
      </c>
      <c r="P69" s="43" t="s">
        <v>1625</v>
      </c>
      <c r="Q69" s="43" t="s">
        <v>41</v>
      </c>
      <c r="R69" s="28" t="s">
        <v>88</v>
      </c>
      <c r="S69" s="29">
        <v>229100</v>
      </c>
      <c r="T69" s="43" t="s">
        <v>42</v>
      </c>
      <c r="U69" s="30">
        <v>1.0234375</v>
      </c>
      <c r="V69" s="30">
        <v>-2.9765625</v>
      </c>
      <c r="W69" s="31">
        <v>3.2812499999999999E-3</v>
      </c>
      <c r="X69" s="32">
        <v>751.734375</v>
      </c>
    </row>
    <row r="70" spans="1:24" x14ac:dyDescent="0.3">
      <c r="A70" s="22" t="s">
        <v>1320</v>
      </c>
      <c r="B70" s="43" t="s">
        <v>1337</v>
      </c>
      <c r="C70" s="2" t="s">
        <v>630</v>
      </c>
      <c r="D70" s="43" t="s">
        <v>1417</v>
      </c>
      <c r="E70" s="43" t="s">
        <v>1493</v>
      </c>
      <c r="F70" s="23" t="str">
        <f>HYPERLINK("https://mapwv.gov/flood/map/?wkid=102100&amp;x=-9147440.202193733&amp;y=4548042.244826873&amp;l=13&amp;v=2","FT")</f>
        <v>FT</v>
      </c>
      <c r="G70" s="28" t="s">
        <v>37</v>
      </c>
      <c r="H70" s="28" t="s">
        <v>24</v>
      </c>
      <c r="I70" s="2" t="s">
        <v>1549</v>
      </c>
      <c r="J70" s="47" t="s">
        <v>25</v>
      </c>
      <c r="K70" s="44" t="s">
        <v>78</v>
      </c>
      <c r="L70" s="44" t="s">
        <v>36</v>
      </c>
      <c r="M70" s="43" t="s">
        <v>980</v>
      </c>
      <c r="N70" s="3" t="s">
        <v>34</v>
      </c>
      <c r="O70" s="44" t="s">
        <v>85</v>
      </c>
      <c r="P70" s="43" t="s">
        <v>1626</v>
      </c>
      <c r="Q70" s="43" t="s">
        <v>29</v>
      </c>
      <c r="R70" s="28" t="s">
        <v>87</v>
      </c>
      <c r="S70" s="29">
        <v>226000</v>
      </c>
      <c r="T70" s="43" t="s">
        <v>42</v>
      </c>
      <c r="U70" s="30">
        <v>3.9987341999999999</v>
      </c>
      <c r="V70" s="30">
        <v>2.9987342357635498</v>
      </c>
      <c r="W70" s="31">
        <v>0.12998734235763501</v>
      </c>
      <c r="X70" s="32">
        <v>29377.139372825601</v>
      </c>
    </row>
    <row r="71" spans="1:24" x14ac:dyDescent="0.3">
      <c r="A71" s="22" t="s">
        <v>1321</v>
      </c>
      <c r="B71" s="43" t="s">
        <v>1337</v>
      </c>
      <c r="C71" s="2" t="s">
        <v>224</v>
      </c>
      <c r="D71" s="43" t="s">
        <v>1418</v>
      </c>
      <c r="E71" s="43" t="s">
        <v>1494</v>
      </c>
      <c r="F71" s="23" t="str">
        <f>HYPERLINK("https://mapwv.gov/flood/map/?wkid=102100&amp;x=-9113338.876477087&amp;y=4523742.0622961875&amp;l=13&amp;v=2","FT")</f>
        <v>FT</v>
      </c>
      <c r="G71" s="28" t="s">
        <v>31</v>
      </c>
      <c r="H71" s="28" t="s">
        <v>24</v>
      </c>
      <c r="I71" s="2" t="s">
        <v>1550</v>
      </c>
      <c r="J71" s="47" t="s">
        <v>25</v>
      </c>
      <c r="K71" s="44" t="s">
        <v>435</v>
      </c>
      <c r="L71" s="44" t="s">
        <v>47</v>
      </c>
      <c r="M71" s="43" t="s">
        <v>39</v>
      </c>
      <c r="N71" s="3" t="s">
        <v>40</v>
      </c>
      <c r="O71" s="44" t="s">
        <v>86</v>
      </c>
      <c r="P71" s="43" t="s">
        <v>1627</v>
      </c>
      <c r="Q71" s="43" t="s">
        <v>49</v>
      </c>
      <c r="R71" s="28" t="s">
        <v>88</v>
      </c>
      <c r="S71" s="29">
        <v>214400</v>
      </c>
      <c r="T71" s="43" t="s">
        <v>42</v>
      </c>
      <c r="U71" s="30">
        <v>0</v>
      </c>
      <c r="V71" s="30">
        <v>-4</v>
      </c>
      <c r="W71" s="31">
        <v>0</v>
      </c>
      <c r="X71" s="32">
        <v>0</v>
      </c>
    </row>
    <row r="72" spans="1:24" x14ac:dyDescent="0.3">
      <c r="A72" s="22" t="s">
        <v>1322</v>
      </c>
      <c r="B72" s="43" t="s">
        <v>1337</v>
      </c>
      <c r="C72" s="2" t="s">
        <v>1345</v>
      </c>
      <c r="D72" s="43" t="s">
        <v>1419</v>
      </c>
      <c r="E72" s="43" t="s">
        <v>1495</v>
      </c>
      <c r="F72" s="23" t="str">
        <f>HYPERLINK("https://mapwv.gov/flood/map/?wkid=102100&amp;x=-9117505.713740317&amp;y=4527451.633478446&amp;l=13&amp;v=2","FT")</f>
        <v>FT</v>
      </c>
      <c r="G72" s="28" t="s">
        <v>31</v>
      </c>
      <c r="H72" s="28" t="s">
        <v>24</v>
      </c>
      <c r="I72" s="2" t="s">
        <v>1551</v>
      </c>
      <c r="J72" s="47" t="s">
        <v>25</v>
      </c>
      <c r="K72" s="44" t="s">
        <v>94</v>
      </c>
      <c r="L72" s="44" t="s">
        <v>37</v>
      </c>
      <c r="M72" s="43" t="s">
        <v>39</v>
      </c>
      <c r="N72" s="3" t="s">
        <v>40</v>
      </c>
      <c r="O72" s="44" t="s">
        <v>86</v>
      </c>
      <c r="P72" s="43" t="s">
        <v>1628</v>
      </c>
      <c r="Q72" s="43" t="s">
        <v>41</v>
      </c>
      <c r="R72" s="28" t="s">
        <v>88</v>
      </c>
      <c r="S72" s="29">
        <v>213200</v>
      </c>
      <c r="T72" s="43" t="s">
        <v>42</v>
      </c>
      <c r="U72" s="30">
        <v>0</v>
      </c>
      <c r="V72" s="30">
        <v>-4</v>
      </c>
      <c r="W72" s="31">
        <v>0</v>
      </c>
      <c r="X72" s="32">
        <v>0</v>
      </c>
    </row>
    <row r="73" spans="1:24" x14ac:dyDescent="0.3">
      <c r="A73" s="22" t="s">
        <v>1323</v>
      </c>
      <c r="B73" s="43" t="s">
        <v>1337</v>
      </c>
      <c r="C73" s="2" t="s">
        <v>851</v>
      </c>
      <c r="D73" s="43" t="s">
        <v>1420</v>
      </c>
      <c r="E73" s="43" t="s">
        <v>1496</v>
      </c>
      <c r="F73" s="23" t="str">
        <f>HYPERLINK("https://mapwv.gov/flood/map/?wkid=102100&amp;x=-9157124.747201255&amp;y=4538485.4963317225&amp;l=13&amp;v=2","FT")</f>
        <v>FT</v>
      </c>
      <c r="G73" s="28" t="s">
        <v>37</v>
      </c>
      <c r="H73" s="28" t="s">
        <v>24</v>
      </c>
      <c r="I73" s="2" t="s">
        <v>1552</v>
      </c>
      <c r="J73" s="47" t="s">
        <v>38</v>
      </c>
      <c r="K73" s="44" t="s">
        <v>1566</v>
      </c>
      <c r="L73" s="44" t="s">
        <v>26</v>
      </c>
      <c r="M73" s="43" t="s">
        <v>27</v>
      </c>
      <c r="N73" s="3" t="s">
        <v>82</v>
      </c>
      <c r="O73" s="44" t="s">
        <v>85</v>
      </c>
      <c r="P73" s="43" t="s">
        <v>1016</v>
      </c>
      <c r="Q73" s="43" t="s">
        <v>29</v>
      </c>
      <c r="R73" s="28" t="s">
        <v>87</v>
      </c>
      <c r="S73" s="29">
        <v>213200</v>
      </c>
      <c r="T73" s="43" t="s">
        <v>42</v>
      </c>
      <c r="U73" s="30">
        <v>0.24291222000000001</v>
      </c>
      <c r="V73" s="30">
        <v>-0.757087782025337</v>
      </c>
      <c r="W73" s="31">
        <v>0</v>
      </c>
      <c r="X73" s="32">
        <v>0</v>
      </c>
    </row>
    <row r="74" spans="1:24" x14ac:dyDescent="0.3">
      <c r="A74" s="22" t="s">
        <v>1324</v>
      </c>
      <c r="B74" s="43" t="s">
        <v>1337</v>
      </c>
      <c r="C74" s="2" t="s">
        <v>851</v>
      </c>
      <c r="D74" s="43" t="s">
        <v>1421</v>
      </c>
      <c r="E74" s="43" t="s">
        <v>1497</v>
      </c>
      <c r="F74" s="23" t="str">
        <f>HYPERLINK("https://mapwv.gov/flood/map/?wkid=102100&amp;x=-9158788.103292838&amp;y=4537729.989631537&amp;l=13&amp;v=2","FT")</f>
        <v>FT</v>
      </c>
      <c r="G74" s="28" t="s">
        <v>51</v>
      </c>
      <c r="H74" s="28" t="s">
        <v>24</v>
      </c>
      <c r="I74" s="2"/>
      <c r="J74" s="47" t="s">
        <v>35</v>
      </c>
      <c r="K74" s="44" t="s">
        <v>73</v>
      </c>
      <c r="L74" s="44"/>
      <c r="M74" s="43" t="s">
        <v>60</v>
      </c>
      <c r="N74" s="3" t="s">
        <v>34</v>
      </c>
      <c r="O74" s="44" t="s">
        <v>85</v>
      </c>
      <c r="P74" s="43" t="s">
        <v>1629</v>
      </c>
      <c r="Q74" s="43" t="s">
        <v>29</v>
      </c>
      <c r="R74" s="28" t="s">
        <v>87</v>
      </c>
      <c r="S74" s="29">
        <v>211849</v>
      </c>
      <c r="T74" s="43" t="s">
        <v>89</v>
      </c>
      <c r="U74" s="30">
        <v>0.13940430000000001</v>
      </c>
      <c r="V74" s="30">
        <v>-0.860595703125</v>
      </c>
      <c r="W74" s="31">
        <v>0</v>
      </c>
      <c r="X74" s="32">
        <v>0</v>
      </c>
    </row>
    <row r="75" spans="1:24" x14ac:dyDescent="0.3">
      <c r="A75" s="22" t="s">
        <v>1325</v>
      </c>
      <c r="B75" s="43" t="s">
        <v>1337</v>
      </c>
      <c r="C75" s="2" t="s">
        <v>1343</v>
      </c>
      <c r="D75" s="43" t="s">
        <v>1422</v>
      </c>
      <c r="E75" s="43" t="s">
        <v>1498</v>
      </c>
      <c r="F75" s="23" t="str">
        <f>HYPERLINK("https://mapwv.gov/flood/map/?wkid=102100&amp;x=-9147608.922466757&amp;y=4533767.795256962&amp;l=13&amp;v=2","FT")</f>
        <v>FT</v>
      </c>
      <c r="G75" s="28" t="s">
        <v>31</v>
      </c>
      <c r="H75" s="28" t="s">
        <v>121</v>
      </c>
      <c r="I75" s="2"/>
      <c r="J75" s="47" t="s">
        <v>35</v>
      </c>
      <c r="K75" s="44" t="s">
        <v>73</v>
      </c>
      <c r="L75" s="44"/>
      <c r="M75" s="43" t="s">
        <v>45</v>
      </c>
      <c r="N75" s="3" t="s">
        <v>34</v>
      </c>
      <c r="O75" s="44" t="s">
        <v>85</v>
      </c>
      <c r="P75" s="43" t="s">
        <v>1630</v>
      </c>
      <c r="Q75" s="43" t="s">
        <v>29</v>
      </c>
      <c r="R75" s="28" t="s">
        <v>87</v>
      </c>
      <c r="S75" s="29">
        <v>211428</v>
      </c>
      <c r="T75" s="43" t="s">
        <v>89</v>
      </c>
      <c r="U75" s="30">
        <v>3.5783079999999998</v>
      </c>
      <c r="V75" s="30">
        <v>2.57830810546875</v>
      </c>
      <c r="W75" s="31">
        <v>0.15156616210937501</v>
      </c>
      <c r="X75" s="32">
        <v>32045.330522460899</v>
      </c>
    </row>
    <row r="76" spans="1:24" x14ac:dyDescent="0.3">
      <c r="A76" s="22" t="s">
        <v>1326</v>
      </c>
      <c r="B76" s="43" t="s">
        <v>1342</v>
      </c>
      <c r="C76" s="2" t="s">
        <v>1344</v>
      </c>
      <c r="D76" s="43" t="s">
        <v>1423</v>
      </c>
      <c r="E76" s="43" t="s">
        <v>1499</v>
      </c>
      <c r="F76" s="23" t="str">
        <f>HYPERLINK("https://mapwv.gov/flood/map/?wkid=102100&amp;x=-9173747.14789283&amp;y=4556958.658046461&amp;l=13&amp;v=2","FT")</f>
        <v>FT</v>
      </c>
      <c r="G76" s="28" t="s">
        <v>31</v>
      </c>
      <c r="H76" s="28" t="s">
        <v>24</v>
      </c>
      <c r="I76" s="2" t="s">
        <v>1553</v>
      </c>
      <c r="J76" s="47" t="s">
        <v>38</v>
      </c>
      <c r="K76" s="44" t="s">
        <v>1570</v>
      </c>
      <c r="L76" s="44" t="s">
        <v>26</v>
      </c>
      <c r="M76" s="43" t="s">
        <v>55</v>
      </c>
      <c r="N76" s="3" t="s">
        <v>83</v>
      </c>
      <c r="O76" s="44" t="s">
        <v>85</v>
      </c>
      <c r="P76" s="43" t="s">
        <v>1631</v>
      </c>
      <c r="Q76" s="43" t="s">
        <v>29</v>
      </c>
      <c r="R76" s="28" t="s">
        <v>87</v>
      </c>
      <c r="S76" s="29">
        <v>211270</v>
      </c>
      <c r="T76" s="43" t="s">
        <v>30</v>
      </c>
      <c r="U76" s="30">
        <v>0.75848389999999999</v>
      </c>
      <c r="V76" s="30">
        <v>-0.24151611328125</v>
      </c>
      <c r="W76" s="31">
        <v>0</v>
      </c>
      <c r="X76" s="32">
        <v>0</v>
      </c>
    </row>
    <row r="77" spans="1:24" x14ac:dyDescent="0.3">
      <c r="A77" s="22" t="s">
        <v>1327</v>
      </c>
      <c r="B77" s="43" t="s">
        <v>1337</v>
      </c>
      <c r="C77" s="2" t="s">
        <v>1358</v>
      </c>
      <c r="D77" s="43" t="s">
        <v>1424</v>
      </c>
      <c r="E77" s="43" t="s">
        <v>1500</v>
      </c>
      <c r="F77" s="23" t="str">
        <f>HYPERLINK("https://mapwv.gov/flood/map/?wkid=102100&amp;x=-9148901.906478647&amp;y=4545765.638412591&amp;l=13&amp;v=2","FT")</f>
        <v>FT</v>
      </c>
      <c r="G77" s="28" t="s">
        <v>364</v>
      </c>
      <c r="H77" s="28" t="s">
        <v>24</v>
      </c>
      <c r="I77" s="2" t="s">
        <v>1554</v>
      </c>
      <c r="J77" s="47" t="s">
        <v>38</v>
      </c>
      <c r="K77" s="44" t="s">
        <v>974</v>
      </c>
      <c r="L77" s="44" t="s">
        <v>50</v>
      </c>
      <c r="M77" s="43" t="s">
        <v>45</v>
      </c>
      <c r="N77" s="3" t="s">
        <v>34</v>
      </c>
      <c r="O77" s="44" t="s">
        <v>85</v>
      </c>
      <c r="P77" s="43" t="s">
        <v>1632</v>
      </c>
      <c r="Q77" s="43" t="s">
        <v>29</v>
      </c>
      <c r="R77" s="28" t="s">
        <v>87</v>
      </c>
      <c r="S77" s="29">
        <v>210680</v>
      </c>
      <c r="T77" s="43" t="s">
        <v>89</v>
      </c>
      <c r="U77" s="30">
        <v>1.7360530999999999</v>
      </c>
      <c r="V77" s="30">
        <v>0.73605310916900601</v>
      </c>
      <c r="W77" s="31">
        <v>6.8884248733520503E-2</v>
      </c>
      <c r="X77" s="32">
        <v>14512.533523178099</v>
      </c>
    </row>
    <row r="78" spans="1:24" x14ac:dyDescent="0.3">
      <c r="A78" s="22" t="s">
        <v>1328</v>
      </c>
      <c r="B78" s="43" t="s">
        <v>1337</v>
      </c>
      <c r="C78" s="2" t="s">
        <v>1344</v>
      </c>
      <c r="D78" s="43" t="s">
        <v>1425</v>
      </c>
      <c r="E78" s="43" t="s">
        <v>1501</v>
      </c>
      <c r="F78" s="23" t="str">
        <f>HYPERLINK("https://mapwv.gov/flood/map/?wkid=102100&amp;x=-9149013.295321481&amp;y=4529973.002445303&amp;l=13&amp;v=2","FT")</f>
        <v>FT</v>
      </c>
      <c r="G78" s="28" t="s">
        <v>31</v>
      </c>
      <c r="H78" s="28" t="s">
        <v>24</v>
      </c>
      <c r="I78" s="2"/>
      <c r="J78" s="47" t="s">
        <v>38</v>
      </c>
      <c r="K78" s="44" t="s">
        <v>112</v>
      </c>
      <c r="L78" s="44" t="s">
        <v>50</v>
      </c>
      <c r="M78" s="43" t="s">
        <v>33</v>
      </c>
      <c r="N78" s="3" t="s">
        <v>84</v>
      </c>
      <c r="O78" s="44" t="s">
        <v>86</v>
      </c>
      <c r="P78" s="43" t="s">
        <v>1633</v>
      </c>
      <c r="Q78" s="43" t="s">
        <v>29</v>
      </c>
      <c r="R78" s="28" t="s">
        <v>87</v>
      </c>
      <c r="S78" s="29">
        <v>209200</v>
      </c>
      <c r="T78" s="43" t="s">
        <v>42</v>
      </c>
      <c r="U78" s="30">
        <v>1.2529907</v>
      </c>
      <c r="V78" s="30">
        <v>0.25299072265625</v>
      </c>
      <c r="W78" s="31">
        <v>3.02392578125E-2</v>
      </c>
      <c r="X78" s="32">
        <v>6326.052734375</v>
      </c>
    </row>
    <row r="79" spans="1:24" x14ac:dyDescent="0.3">
      <c r="A79" s="22" t="s">
        <v>1329</v>
      </c>
      <c r="B79" s="43" t="s">
        <v>1337</v>
      </c>
      <c r="C79" s="2" t="s">
        <v>1359</v>
      </c>
      <c r="D79" s="43" t="s">
        <v>1426</v>
      </c>
      <c r="E79" s="43" t="s">
        <v>1502</v>
      </c>
      <c r="F79" s="23" t="str">
        <f>HYPERLINK("https://mapwv.gov/flood/map/?wkid=102100&amp;x=-9156015.626809327&amp;y=4548746.659907483&amp;l=13&amp;v=2","FT")</f>
        <v>FT</v>
      </c>
      <c r="G79" s="28" t="s">
        <v>51</v>
      </c>
      <c r="H79" s="28" t="s">
        <v>24</v>
      </c>
      <c r="I79" s="2" t="s">
        <v>1555</v>
      </c>
      <c r="J79" s="47" t="s">
        <v>102</v>
      </c>
      <c r="K79" s="44" t="s">
        <v>74</v>
      </c>
      <c r="L79" s="44" t="s">
        <v>44</v>
      </c>
      <c r="M79" s="43" t="s">
        <v>39</v>
      </c>
      <c r="N79" s="3" t="s">
        <v>40</v>
      </c>
      <c r="O79" s="44" t="s">
        <v>85</v>
      </c>
      <c r="P79" s="43" t="s">
        <v>1634</v>
      </c>
      <c r="Q79" s="43" t="s">
        <v>49</v>
      </c>
      <c r="R79" s="28" t="s">
        <v>100</v>
      </c>
      <c r="S79" s="29">
        <v>208200</v>
      </c>
      <c r="T79" s="43" t="s">
        <v>42</v>
      </c>
      <c r="U79" s="30">
        <v>0.70208740000000003</v>
      </c>
      <c r="V79" s="30">
        <v>-2.29791259765625</v>
      </c>
      <c r="W79" s="31">
        <v>0</v>
      </c>
      <c r="X79" s="32">
        <v>0</v>
      </c>
    </row>
    <row r="80" spans="1:24" x14ac:dyDescent="0.3">
      <c r="A80" s="22" t="s">
        <v>1330</v>
      </c>
      <c r="B80" s="43" t="s">
        <v>1337</v>
      </c>
      <c r="C80" s="2" t="s">
        <v>851</v>
      </c>
      <c r="D80" s="43" t="s">
        <v>1427</v>
      </c>
      <c r="E80" s="43" t="s">
        <v>1503</v>
      </c>
      <c r="F80" s="23" t="str">
        <f>HYPERLINK("https://mapwv.gov/flood/map/?wkid=102100&amp;x=-9155352.33496677&amp;y=4537618.702135813&amp;l=13&amp;v=2","FT")</f>
        <v>FT</v>
      </c>
      <c r="G80" s="28" t="s">
        <v>37</v>
      </c>
      <c r="H80" s="28" t="s">
        <v>24</v>
      </c>
      <c r="I80" s="2" t="s">
        <v>1556</v>
      </c>
      <c r="J80" s="47" t="s">
        <v>25</v>
      </c>
      <c r="K80" s="44" t="s">
        <v>116</v>
      </c>
      <c r="L80" s="44" t="s">
        <v>47</v>
      </c>
      <c r="M80" s="43" t="s">
        <v>39</v>
      </c>
      <c r="N80" s="3" t="s">
        <v>40</v>
      </c>
      <c r="O80" s="44" t="s">
        <v>85</v>
      </c>
      <c r="P80" s="43" t="s">
        <v>1635</v>
      </c>
      <c r="Q80" s="43" t="s">
        <v>49</v>
      </c>
      <c r="R80" s="28" t="s">
        <v>88</v>
      </c>
      <c r="S80" s="29">
        <v>207100</v>
      </c>
      <c r="T80" s="43" t="s">
        <v>42</v>
      </c>
      <c r="U80" s="30">
        <v>0</v>
      </c>
      <c r="V80" s="30">
        <v>-4</v>
      </c>
      <c r="W80" s="31">
        <v>0</v>
      </c>
      <c r="X80" s="32">
        <v>0</v>
      </c>
    </row>
    <row r="81" spans="1:24" x14ac:dyDescent="0.3">
      <c r="A81" s="22" t="s">
        <v>1331</v>
      </c>
      <c r="B81" s="43" t="s">
        <v>1337</v>
      </c>
      <c r="C81" s="2" t="s">
        <v>1347</v>
      </c>
      <c r="D81" s="43" t="s">
        <v>1428</v>
      </c>
      <c r="E81" s="43" t="s">
        <v>1504</v>
      </c>
      <c r="F81" s="23" t="str">
        <f>HYPERLINK("https://mapwv.gov/flood/map/?wkid=102100&amp;x=-9142294.523631075&amp;y=4530099.853471645&amp;l=13&amp;v=2","FT")</f>
        <v>FT</v>
      </c>
      <c r="G81" s="28" t="s">
        <v>31</v>
      </c>
      <c r="H81" s="28" t="s">
        <v>24</v>
      </c>
      <c r="I81" s="2" t="s">
        <v>1557</v>
      </c>
      <c r="J81" s="47" t="s">
        <v>38</v>
      </c>
      <c r="K81" s="44" t="s">
        <v>1565</v>
      </c>
      <c r="L81" s="44"/>
      <c r="M81" s="43" t="s">
        <v>52</v>
      </c>
      <c r="N81" s="3" t="s">
        <v>34</v>
      </c>
      <c r="O81" s="44" t="s">
        <v>85</v>
      </c>
      <c r="P81" s="43" t="s">
        <v>1636</v>
      </c>
      <c r="Q81" s="43" t="s">
        <v>29</v>
      </c>
      <c r="R81" s="28" t="s">
        <v>87</v>
      </c>
      <c r="S81" s="29">
        <v>204900</v>
      </c>
      <c r="T81" s="43" t="s">
        <v>42</v>
      </c>
      <c r="U81" s="30">
        <v>1</v>
      </c>
      <c r="V81" s="30">
        <v>0</v>
      </c>
      <c r="W81" s="31">
        <v>0.02</v>
      </c>
      <c r="X81" s="32">
        <v>4098</v>
      </c>
    </row>
    <row r="82" spans="1:24" x14ac:dyDescent="0.3">
      <c r="A82" s="22" t="s">
        <v>1332</v>
      </c>
      <c r="B82" s="43" t="s">
        <v>1341</v>
      </c>
      <c r="C82" s="2" t="s">
        <v>1343</v>
      </c>
      <c r="D82" s="43" t="s">
        <v>1429</v>
      </c>
      <c r="E82" s="43" t="s">
        <v>1505</v>
      </c>
      <c r="F82" s="23" t="str">
        <f>HYPERLINK("https://mapwv.gov/flood/map/?wkid=102100&amp;x=-9148802.60927022&amp;y=4537996.1902895&amp;l=13&amp;v=2","FT")</f>
        <v>FT</v>
      </c>
      <c r="G82" s="28" t="s">
        <v>31</v>
      </c>
      <c r="H82" s="28" t="s">
        <v>24</v>
      </c>
      <c r="I82" s="2" t="s">
        <v>1558</v>
      </c>
      <c r="J82" s="47" t="s">
        <v>25</v>
      </c>
      <c r="K82" s="44" t="s">
        <v>110</v>
      </c>
      <c r="L82" s="44" t="s">
        <v>37</v>
      </c>
      <c r="M82" s="43" t="s">
        <v>39</v>
      </c>
      <c r="N82" s="3" t="s">
        <v>40</v>
      </c>
      <c r="O82" s="44" t="s">
        <v>86</v>
      </c>
      <c r="P82" s="43" t="s">
        <v>1637</v>
      </c>
      <c r="Q82" s="43" t="s">
        <v>49</v>
      </c>
      <c r="R82" s="28" t="s">
        <v>88</v>
      </c>
      <c r="S82" s="29">
        <v>203900</v>
      </c>
      <c r="T82" s="43" t="s">
        <v>42</v>
      </c>
      <c r="U82" s="30">
        <v>0.16699219000000001</v>
      </c>
      <c r="V82" s="30">
        <v>-3.8330078125</v>
      </c>
      <c r="W82" s="31">
        <v>0</v>
      </c>
      <c r="X82" s="32">
        <v>0</v>
      </c>
    </row>
    <row r="83" spans="1:24" x14ac:dyDescent="0.3">
      <c r="A83" s="22" t="s">
        <v>1333</v>
      </c>
      <c r="B83" s="43" t="s">
        <v>1337</v>
      </c>
      <c r="C83" s="2" t="s">
        <v>1343</v>
      </c>
      <c r="D83" s="43" t="s">
        <v>1430</v>
      </c>
      <c r="E83" s="43" t="s">
        <v>1506</v>
      </c>
      <c r="F83" s="23" t="str">
        <f>HYPERLINK("https://mapwv.gov/flood/map/?wkid=102100&amp;x=-9166529.879062371&amp;y=4550504.808367592&amp;l=13&amp;v=2","FT")</f>
        <v>FT</v>
      </c>
      <c r="G83" s="28" t="s">
        <v>31</v>
      </c>
      <c r="H83" s="28" t="s">
        <v>24</v>
      </c>
      <c r="I83" s="2" t="s">
        <v>1559</v>
      </c>
      <c r="J83" s="47" t="s">
        <v>25</v>
      </c>
      <c r="K83" s="44" t="s">
        <v>72</v>
      </c>
      <c r="L83" s="44" t="s">
        <v>50</v>
      </c>
      <c r="M83" s="43" t="s">
        <v>45</v>
      </c>
      <c r="N83" s="3" t="s">
        <v>34</v>
      </c>
      <c r="O83" s="44" t="s">
        <v>86</v>
      </c>
      <c r="P83" s="43" t="s">
        <v>1638</v>
      </c>
      <c r="Q83" s="43" t="s">
        <v>29</v>
      </c>
      <c r="R83" s="28" t="s">
        <v>87</v>
      </c>
      <c r="S83" s="29">
        <v>203100</v>
      </c>
      <c r="T83" s="43" t="s">
        <v>42</v>
      </c>
      <c r="U83" s="30">
        <v>0.13610839999999999</v>
      </c>
      <c r="V83" s="30">
        <v>-0.8638916015625</v>
      </c>
      <c r="W83" s="31">
        <v>1.361083984375E-3</v>
      </c>
      <c r="X83" s="32">
        <v>276.43615722656199</v>
      </c>
    </row>
    <row r="84" spans="1:24" x14ac:dyDescent="0.3">
      <c r="A84" s="22" t="s">
        <v>1334</v>
      </c>
      <c r="B84" s="43" t="s">
        <v>1337</v>
      </c>
      <c r="C84" s="2" t="s">
        <v>1343</v>
      </c>
      <c r="D84" s="43" t="s">
        <v>1431</v>
      </c>
      <c r="E84" s="43" t="s">
        <v>1507</v>
      </c>
      <c r="F84" s="23" t="str">
        <f>HYPERLINK("https://mapwv.gov/flood/map/?wkid=102100&amp;x=-9132574.149554886&amp;y=4530515.71822602&amp;l=13&amp;v=2","FT")</f>
        <v>FT</v>
      </c>
      <c r="G84" s="28" t="s">
        <v>31</v>
      </c>
      <c r="H84" s="28" t="s">
        <v>121</v>
      </c>
      <c r="I84" s="2" t="s">
        <v>1560</v>
      </c>
      <c r="J84" s="47" t="s">
        <v>25</v>
      </c>
      <c r="K84" s="44" t="s">
        <v>108</v>
      </c>
      <c r="L84" s="44"/>
      <c r="M84" s="43" t="s">
        <v>61</v>
      </c>
      <c r="N84" s="3" t="s">
        <v>82</v>
      </c>
      <c r="O84" s="44" t="s">
        <v>85</v>
      </c>
      <c r="P84" s="43" t="s">
        <v>1639</v>
      </c>
      <c r="Q84" s="43" t="s">
        <v>29</v>
      </c>
      <c r="R84" s="28" t="s">
        <v>87</v>
      </c>
      <c r="S84" s="29">
        <v>201315</v>
      </c>
      <c r="T84" s="43" t="s">
        <v>89</v>
      </c>
      <c r="U84" s="30">
        <v>0.58569336000000005</v>
      </c>
      <c r="V84" s="30">
        <v>-0.414306640625</v>
      </c>
      <c r="W84" s="31">
        <v>0</v>
      </c>
      <c r="X84" s="32">
        <v>0</v>
      </c>
    </row>
    <row r="85" spans="1:24" x14ac:dyDescent="0.3">
      <c r="A85" s="22" t="s">
        <v>1335</v>
      </c>
      <c r="B85" s="43" t="s">
        <v>1337</v>
      </c>
      <c r="C85" s="2" t="s">
        <v>1343</v>
      </c>
      <c r="D85" s="43" t="s">
        <v>1432</v>
      </c>
      <c r="E85" s="43" t="s">
        <v>1508</v>
      </c>
      <c r="F85" s="23" t="str">
        <f>HYPERLINK("https://mapwv.gov/flood/map/?wkid=102100&amp;x=-9152820.102419673&amp;y=4545665.572244984&amp;l=13&amp;v=2","FT")</f>
        <v>FT</v>
      </c>
      <c r="G85" s="28" t="s">
        <v>31</v>
      </c>
      <c r="H85" s="28" t="s">
        <v>24</v>
      </c>
      <c r="I85" s="2" t="s">
        <v>1561</v>
      </c>
      <c r="J85" s="47" t="s">
        <v>25</v>
      </c>
      <c r="K85" s="44" t="s">
        <v>117</v>
      </c>
      <c r="L85" s="44" t="s">
        <v>37</v>
      </c>
      <c r="M85" s="43" t="s">
        <v>39</v>
      </c>
      <c r="N85" s="3" t="s">
        <v>40</v>
      </c>
      <c r="O85" s="44" t="s">
        <v>86</v>
      </c>
      <c r="P85" s="43" t="s">
        <v>1640</v>
      </c>
      <c r="Q85" s="43" t="s">
        <v>49</v>
      </c>
      <c r="R85" s="28" t="s">
        <v>88</v>
      </c>
      <c r="S85" s="29">
        <v>201200</v>
      </c>
      <c r="T85" s="43" t="s">
        <v>42</v>
      </c>
      <c r="U85" s="30">
        <v>1.5256958</v>
      </c>
      <c r="V85" s="30">
        <v>-2.47430419921875</v>
      </c>
      <c r="W85" s="31">
        <v>0</v>
      </c>
      <c r="X85" s="32">
        <v>0</v>
      </c>
    </row>
    <row r="86" spans="1:24" x14ac:dyDescent="0.3">
      <c r="A86" s="22" t="s">
        <v>1336</v>
      </c>
      <c r="B86" s="43" t="s">
        <v>1337</v>
      </c>
      <c r="C86" s="2" t="s">
        <v>1360</v>
      </c>
      <c r="D86" s="43" t="s">
        <v>1433</v>
      </c>
      <c r="E86" s="43" t="s">
        <v>1509</v>
      </c>
      <c r="F86" s="23" t="str">
        <f>HYPERLINK("https://mapwv.gov/flood/map/?wkid=102100&amp;x=-9170118.749202944&amp;y=4559681.880619401&amp;l=13&amp;v=2","FT")</f>
        <v>FT</v>
      </c>
      <c r="G86" s="28" t="s">
        <v>31</v>
      </c>
      <c r="H86" s="28" t="s">
        <v>24</v>
      </c>
      <c r="I86" s="2" t="s">
        <v>1562</v>
      </c>
      <c r="J86" s="47" t="s">
        <v>38</v>
      </c>
      <c r="K86" s="44" t="s">
        <v>667</v>
      </c>
      <c r="L86" s="44" t="s">
        <v>50</v>
      </c>
      <c r="M86" s="43" t="s">
        <v>55</v>
      </c>
      <c r="N86" s="3" t="s">
        <v>83</v>
      </c>
      <c r="O86" s="44" t="s">
        <v>85</v>
      </c>
      <c r="P86" s="43" t="s">
        <v>1641</v>
      </c>
      <c r="Q86" s="43" t="s">
        <v>29</v>
      </c>
      <c r="R86" s="28" t="s">
        <v>87</v>
      </c>
      <c r="S86" s="29">
        <v>201080</v>
      </c>
      <c r="T86" s="43" t="s">
        <v>30</v>
      </c>
      <c r="U86" s="30">
        <v>0.92852783000000005</v>
      </c>
      <c r="V86" s="30">
        <v>-7.147216796875E-2</v>
      </c>
      <c r="W86" s="31">
        <v>0</v>
      </c>
      <c r="X86" s="32">
        <v>0</v>
      </c>
    </row>
  </sheetData>
  <hyperlinks>
    <hyperlink ref="J3" r:id="rId1" xr:uid="{2463A013-25EA-415C-8F03-B334B8F474D7}"/>
    <hyperlink ref="M3" r:id="rId2" xr:uid="{31929FFA-0D16-4F70-BA6C-20523A024751}"/>
    <hyperlink ref="Q3" r:id="rId3" xr:uid="{A9CC2761-BCCB-4899-A9EA-A88B8B684A1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F19C3-D5FF-4CBB-BA0C-E3A4A07AB3A5}">
  <dimension ref="A1:X62"/>
  <sheetViews>
    <sheetView workbookViewId="0">
      <pane ySplit="6" topLeftCell="A7" activePane="bottomLeft" state="frozen"/>
      <selection pane="bottomLeft" activeCell="G3" sqref="G3"/>
    </sheetView>
  </sheetViews>
  <sheetFormatPr defaultRowHeight="14.4" x14ac:dyDescent="0.3"/>
  <cols>
    <col min="1" max="1" width="33.88671875" bestFit="1" customWidth="1"/>
    <col min="2" max="2" width="11.109375" customWidth="1"/>
    <col min="7" max="7" width="11" customWidth="1"/>
    <col min="13" max="13" width="10.33203125" customWidth="1"/>
    <col min="14" max="14" width="10.44140625" customWidth="1"/>
    <col min="17" max="17" width="11.5546875" customWidth="1"/>
    <col min="19" max="19" width="21.77734375" bestFit="1" customWidth="1"/>
    <col min="24" max="24" width="11" bestFit="1" customWidth="1"/>
  </cols>
  <sheetData>
    <row r="1" spans="1:24" ht="14.25" customHeight="1" x14ac:dyDescent="0.3">
      <c r="A1" s="4" t="s">
        <v>63</v>
      </c>
      <c r="B1" s="4"/>
      <c r="C1" s="4"/>
      <c r="D1" s="4"/>
      <c r="F1" s="17" t="s">
        <v>64</v>
      </c>
      <c r="G1" s="6"/>
      <c r="H1" s="6"/>
      <c r="J1" s="6"/>
      <c r="K1" s="6"/>
      <c r="L1" s="6"/>
      <c r="N1" s="5" t="s">
        <v>65</v>
      </c>
      <c r="O1" s="6"/>
      <c r="P1" s="6"/>
      <c r="R1" s="6"/>
      <c r="S1" s="7" t="s">
        <v>66</v>
      </c>
      <c r="U1" s="8"/>
      <c r="V1" s="8"/>
      <c r="W1" s="9"/>
      <c r="X1" s="10"/>
    </row>
    <row r="2" spans="1:24" x14ac:dyDescent="0.3">
      <c r="A2" s="11">
        <v>44593</v>
      </c>
      <c r="B2" s="12" t="s">
        <v>67</v>
      </c>
      <c r="F2" s="6"/>
      <c r="G2" s="6"/>
      <c r="H2" s="6"/>
      <c r="J2" s="6"/>
      <c r="K2" s="6"/>
      <c r="L2" s="6"/>
      <c r="N2" s="13" t="s">
        <v>40</v>
      </c>
      <c r="O2" s="6"/>
      <c r="P2" s="6"/>
      <c r="R2" s="6"/>
      <c r="S2" s="38"/>
      <c r="U2" s="8"/>
      <c r="V2" s="8"/>
      <c r="W2" s="9"/>
      <c r="X2" s="10"/>
    </row>
    <row r="3" spans="1:24" x14ac:dyDescent="0.3">
      <c r="A3" t="s">
        <v>69</v>
      </c>
      <c r="B3" s="39" t="s">
        <v>1251</v>
      </c>
      <c r="F3" s="6"/>
      <c r="G3" s="6"/>
      <c r="H3" s="6"/>
      <c r="J3" s="16" t="s">
        <v>68</v>
      </c>
      <c r="K3" s="6"/>
      <c r="L3" s="6"/>
      <c r="M3" s="14" t="s">
        <v>68</v>
      </c>
      <c r="N3" s="5"/>
      <c r="O3" s="6"/>
      <c r="P3" s="6"/>
      <c r="Q3" s="14" t="s">
        <v>68</v>
      </c>
      <c r="R3" s="15"/>
      <c r="S3" s="38"/>
      <c r="U3" s="8"/>
      <c r="V3" s="8"/>
      <c r="W3" s="9"/>
      <c r="X3" s="10"/>
    </row>
    <row r="4" spans="1:24" x14ac:dyDescent="0.3">
      <c r="F4" s="6"/>
      <c r="G4" s="6"/>
      <c r="H4" s="6"/>
      <c r="I4" s="6"/>
      <c r="J4" s="6"/>
      <c r="K4" s="6"/>
      <c r="L4" s="6"/>
      <c r="N4" s="5"/>
      <c r="O4" s="6"/>
      <c r="P4" s="6"/>
      <c r="R4" s="6"/>
      <c r="S4" s="38"/>
      <c r="U4" s="8"/>
      <c r="V4" s="8"/>
      <c r="W4" s="9"/>
      <c r="X4" s="10"/>
    </row>
    <row r="5" spans="1:24" x14ac:dyDescent="0.3">
      <c r="A5" s="1" t="s">
        <v>1659</v>
      </c>
      <c r="F5" s="6"/>
      <c r="G5" s="6"/>
      <c r="H5" s="6"/>
      <c r="I5" s="6"/>
      <c r="J5" s="6"/>
      <c r="K5" s="6"/>
      <c r="L5" s="6"/>
      <c r="O5" s="6"/>
      <c r="P5" s="6"/>
      <c r="R5" s="6"/>
      <c r="S5" s="33" t="s">
        <v>771</v>
      </c>
      <c r="U5" s="6"/>
      <c r="V5" s="6"/>
      <c r="W5" s="9"/>
      <c r="X5" s="10"/>
    </row>
    <row r="6" spans="1:24" ht="43.2" x14ac:dyDescent="0.3">
      <c r="A6" s="24" t="s">
        <v>0</v>
      </c>
      <c r="B6" s="18" t="s">
        <v>1</v>
      </c>
      <c r="C6" s="18" t="s">
        <v>2</v>
      </c>
      <c r="D6" s="25" t="s">
        <v>3</v>
      </c>
      <c r="E6" s="25" t="s">
        <v>4</v>
      </c>
      <c r="F6" s="18" t="s">
        <v>5</v>
      </c>
      <c r="G6" s="18" t="s">
        <v>6</v>
      </c>
      <c r="H6" s="24" t="s">
        <v>7</v>
      </c>
      <c r="I6" s="18" t="s">
        <v>8</v>
      </c>
      <c r="J6" s="24" t="s">
        <v>9</v>
      </c>
      <c r="K6" s="25" t="s">
        <v>10</v>
      </c>
      <c r="L6" s="18" t="s">
        <v>11</v>
      </c>
      <c r="M6" s="25" t="s">
        <v>12</v>
      </c>
      <c r="N6" s="19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20" t="s">
        <v>18</v>
      </c>
      <c r="T6" s="18" t="s">
        <v>19</v>
      </c>
      <c r="U6" s="26" t="s">
        <v>20</v>
      </c>
      <c r="V6" s="26" t="s">
        <v>21</v>
      </c>
      <c r="W6" s="27" t="s">
        <v>22</v>
      </c>
      <c r="X6" s="21" t="s">
        <v>23</v>
      </c>
    </row>
    <row r="7" spans="1:24" x14ac:dyDescent="0.3">
      <c r="A7" s="22" t="s">
        <v>1660</v>
      </c>
      <c r="B7" s="43" t="s">
        <v>1715</v>
      </c>
      <c r="C7" s="43" t="s">
        <v>1344</v>
      </c>
      <c r="D7" s="43" t="s">
        <v>1731</v>
      </c>
      <c r="E7" s="43" t="s">
        <v>1783</v>
      </c>
      <c r="F7" s="23" t="str">
        <f>HYPERLINK("https://mapwv.gov/flood/map/?wkid=102100&amp;x=-9194033.867402298&amp;y=4595616.489674119&amp;l=13&amp;v=2","FT")</f>
        <v>FT</v>
      </c>
      <c r="G7" s="28" t="s">
        <v>31</v>
      </c>
      <c r="H7" s="28" t="s">
        <v>24</v>
      </c>
      <c r="I7" s="43" t="s">
        <v>1838</v>
      </c>
      <c r="J7" s="22" t="s">
        <v>25</v>
      </c>
      <c r="K7" s="44" t="s">
        <v>435</v>
      </c>
      <c r="L7" s="44" t="s">
        <v>430</v>
      </c>
      <c r="M7" s="43" t="s">
        <v>57</v>
      </c>
      <c r="N7" s="3" t="s">
        <v>81</v>
      </c>
      <c r="O7" s="44" t="s">
        <v>85</v>
      </c>
      <c r="P7" s="43" t="s">
        <v>1886</v>
      </c>
      <c r="Q7" s="43" t="s">
        <v>29</v>
      </c>
      <c r="R7" s="28" t="s">
        <v>87</v>
      </c>
      <c r="S7" s="29">
        <v>20000000</v>
      </c>
      <c r="T7" s="2" t="s">
        <v>58</v>
      </c>
      <c r="U7" s="30">
        <v>0.79699710000000001</v>
      </c>
      <c r="V7" s="30">
        <v>-0.2030029296875</v>
      </c>
      <c r="W7" s="31">
        <v>0</v>
      </c>
      <c r="X7" s="32">
        <v>0</v>
      </c>
    </row>
    <row r="8" spans="1:24" x14ac:dyDescent="0.3">
      <c r="A8" s="22" t="s">
        <v>1661</v>
      </c>
      <c r="B8" s="43" t="s">
        <v>1716</v>
      </c>
      <c r="C8" s="43" t="s">
        <v>1720</v>
      </c>
      <c r="D8" s="43" t="s">
        <v>1732</v>
      </c>
      <c r="E8" s="43" t="s">
        <v>1784</v>
      </c>
      <c r="F8" s="23" t="str">
        <f>HYPERLINK("https://mapwv.gov/flood/map/?wkid=102100&amp;x=-9176497.497735111&amp;y=4614340.547216034&amp;l=13&amp;v=2","FT")</f>
        <v>FT</v>
      </c>
      <c r="G8" s="28" t="s">
        <v>31</v>
      </c>
      <c r="H8" s="28" t="s">
        <v>24</v>
      </c>
      <c r="I8" s="43" t="s">
        <v>1839</v>
      </c>
      <c r="J8" s="22" t="s">
        <v>25</v>
      </c>
      <c r="K8" s="44" t="s">
        <v>129</v>
      </c>
      <c r="L8" s="44"/>
      <c r="M8" s="43" t="s">
        <v>57</v>
      </c>
      <c r="N8" s="3" t="s">
        <v>81</v>
      </c>
      <c r="O8" s="44" t="s">
        <v>85</v>
      </c>
      <c r="P8" s="43" t="s">
        <v>1887</v>
      </c>
      <c r="Q8" s="43" t="s">
        <v>29</v>
      </c>
      <c r="R8" s="28" t="s">
        <v>87</v>
      </c>
      <c r="S8" s="29">
        <v>17143402</v>
      </c>
      <c r="T8" s="2" t="s">
        <v>58</v>
      </c>
      <c r="U8" s="30">
        <v>0</v>
      </c>
      <c r="V8" s="30">
        <v>-1</v>
      </c>
      <c r="W8" s="31">
        <v>0</v>
      </c>
      <c r="X8" s="32">
        <v>0</v>
      </c>
    </row>
    <row r="9" spans="1:24" x14ac:dyDescent="0.3">
      <c r="A9" s="22" t="s">
        <v>1662</v>
      </c>
      <c r="B9" s="43" t="s">
        <v>1717</v>
      </c>
      <c r="C9" s="43" t="s">
        <v>219</v>
      </c>
      <c r="D9" s="43" t="s">
        <v>1733</v>
      </c>
      <c r="E9" s="43" t="s">
        <v>1785</v>
      </c>
      <c r="F9" s="23" t="str">
        <f>HYPERLINK("https://mapwv.gov/flood/map/?wkid=102100&amp;x=-9191457.404504562&amp;y=4636095.441730364&amp;l=13&amp;v=2","FT")</f>
        <v>FT</v>
      </c>
      <c r="G9" s="28" t="s">
        <v>70</v>
      </c>
      <c r="H9" s="28" t="s">
        <v>24</v>
      </c>
      <c r="I9" s="43" t="s">
        <v>1838</v>
      </c>
      <c r="J9" s="22" t="s">
        <v>25</v>
      </c>
      <c r="K9" s="44" t="s">
        <v>105</v>
      </c>
      <c r="L9" s="44" t="s">
        <v>430</v>
      </c>
      <c r="M9" s="43" t="s">
        <v>57</v>
      </c>
      <c r="N9" s="3" t="s">
        <v>81</v>
      </c>
      <c r="O9" s="44" t="s">
        <v>85</v>
      </c>
      <c r="P9" s="43" t="s">
        <v>1888</v>
      </c>
      <c r="Q9" s="43" t="s">
        <v>29</v>
      </c>
      <c r="R9" s="28" t="s">
        <v>87</v>
      </c>
      <c r="S9" s="29">
        <v>15000000</v>
      </c>
      <c r="T9" s="2" t="s">
        <v>58</v>
      </c>
      <c r="U9" s="30">
        <v>0</v>
      </c>
      <c r="V9" s="30">
        <v>-1</v>
      </c>
      <c r="W9" s="31">
        <v>0</v>
      </c>
      <c r="X9" s="32">
        <v>0</v>
      </c>
    </row>
    <row r="10" spans="1:24" x14ac:dyDescent="0.3">
      <c r="A10" s="22" t="s">
        <v>1663</v>
      </c>
      <c r="B10" s="43" t="s">
        <v>1716</v>
      </c>
      <c r="C10" s="43" t="s">
        <v>1720</v>
      </c>
      <c r="D10" s="43" t="s">
        <v>1732</v>
      </c>
      <c r="E10" s="43" t="s">
        <v>1786</v>
      </c>
      <c r="F10" s="23" t="str">
        <f>HYPERLINK("https://mapwv.gov/flood/map/?wkid=102100&amp;x=-9176679.717611467&amp;y=4614009.649011757&amp;l=13&amp;v=2","FT")</f>
        <v>FT</v>
      </c>
      <c r="G10" s="28" t="s">
        <v>31</v>
      </c>
      <c r="H10" s="28" t="s">
        <v>121</v>
      </c>
      <c r="I10" s="43" t="s">
        <v>1839</v>
      </c>
      <c r="J10" s="22" t="s">
        <v>25</v>
      </c>
      <c r="K10" s="44" t="s">
        <v>425</v>
      </c>
      <c r="L10" s="44"/>
      <c r="M10" s="43" t="s">
        <v>57</v>
      </c>
      <c r="N10" s="3" t="s">
        <v>81</v>
      </c>
      <c r="O10" s="44" t="s">
        <v>85</v>
      </c>
      <c r="P10" s="43" t="s">
        <v>1889</v>
      </c>
      <c r="Q10" s="43" t="s">
        <v>29</v>
      </c>
      <c r="R10" s="28" t="s">
        <v>87</v>
      </c>
      <c r="S10" s="29">
        <v>8102885</v>
      </c>
      <c r="T10" s="2" t="s">
        <v>58</v>
      </c>
      <c r="U10" s="30">
        <v>1</v>
      </c>
      <c r="V10" s="30">
        <v>0</v>
      </c>
      <c r="W10" s="31">
        <v>0</v>
      </c>
      <c r="X10" s="32">
        <v>0</v>
      </c>
    </row>
    <row r="11" spans="1:24" x14ac:dyDescent="0.3">
      <c r="A11" s="22" t="s">
        <v>1664</v>
      </c>
      <c r="B11" s="43" t="s">
        <v>1716</v>
      </c>
      <c r="C11" s="43" t="s">
        <v>1720</v>
      </c>
      <c r="D11" s="43" t="s">
        <v>1734</v>
      </c>
      <c r="E11" s="43" t="s">
        <v>1787</v>
      </c>
      <c r="F11" s="23" t="str">
        <f>HYPERLINK("https://mapwv.gov/flood/map/?wkid=102100&amp;x=-9175923.799047016&amp;y=4615368.550326228&amp;l=13&amp;v=2","FT")</f>
        <v>FT</v>
      </c>
      <c r="G11" s="28" t="s">
        <v>31</v>
      </c>
      <c r="H11" s="28" t="s">
        <v>24</v>
      </c>
      <c r="I11" s="43" t="s">
        <v>1838</v>
      </c>
      <c r="J11" s="22" t="s">
        <v>25</v>
      </c>
      <c r="K11" s="44" t="s">
        <v>77</v>
      </c>
      <c r="L11" s="44" t="s">
        <v>130</v>
      </c>
      <c r="M11" s="43" t="s">
        <v>57</v>
      </c>
      <c r="N11" s="3" t="s">
        <v>81</v>
      </c>
      <c r="O11" s="44" t="s">
        <v>86</v>
      </c>
      <c r="P11" s="43" t="s">
        <v>1890</v>
      </c>
      <c r="Q11" s="43" t="s">
        <v>29</v>
      </c>
      <c r="R11" s="28" t="s">
        <v>87</v>
      </c>
      <c r="S11" s="29">
        <v>6818800</v>
      </c>
      <c r="T11" s="2" t="s">
        <v>42</v>
      </c>
      <c r="U11" s="30">
        <v>0</v>
      </c>
      <c r="V11" s="30">
        <v>-1</v>
      </c>
      <c r="W11" s="31">
        <v>0</v>
      </c>
      <c r="X11" s="32">
        <v>0</v>
      </c>
    </row>
    <row r="12" spans="1:24" x14ac:dyDescent="0.3">
      <c r="A12" s="22" t="s">
        <v>1665</v>
      </c>
      <c r="B12" s="43" t="s">
        <v>215</v>
      </c>
      <c r="C12" s="43" t="s">
        <v>219</v>
      </c>
      <c r="D12" s="43" t="s">
        <v>1735</v>
      </c>
      <c r="E12" s="43" t="s">
        <v>1788</v>
      </c>
      <c r="F12" s="23" t="str">
        <f>HYPERLINK("https://mapwv.gov/flood/map/?wkid=102100&amp;x=-9185856.995618135&amp;y=4635691.961189631&amp;l=13&amp;v=2","FT")</f>
        <v>FT</v>
      </c>
      <c r="G12" s="28" t="s">
        <v>31</v>
      </c>
      <c r="H12" s="28" t="s">
        <v>24</v>
      </c>
      <c r="I12" s="43" t="s">
        <v>1840</v>
      </c>
      <c r="J12" s="22" t="s">
        <v>25</v>
      </c>
      <c r="K12" s="44" t="s">
        <v>91</v>
      </c>
      <c r="L12" s="44" t="s">
        <v>37</v>
      </c>
      <c r="M12" s="43" t="s">
        <v>57</v>
      </c>
      <c r="N12" s="3" t="s">
        <v>81</v>
      </c>
      <c r="O12" s="44" t="s">
        <v>86</v>
      </c>
      <c r="P12" s="43" t="s">
        <v>1891</v>
      </c>
      <c r="Q12" s="43" t="s">
        <v>29</v>
      </c>
      <c r="R12" s="28" t="s">
        <v>87</v>
      </c>
      <c r="S12" s="29">
        <v>6363520</v>
      </c>
      <c r="T12" s="2" t="s">
        <v>58</v>
      </c>
      <c r="U12" s="30">
        <v>1.8636474999999999</v>
      </c>
      <c r="V12" s="30">
        <v>0.8636474609375</v>
      </c>
      <c r="W12" s="31">
        <v>4.3182373046875E-2</v>
      </c>
      <c r="X12" s="32">
        <v>274791.89453125</v>
      </c>
    </row>
    <row r="13" spans="1:24" x14ac:dyDescent="0.3">
      <c r="A13" s="22" t="s">
        <v>1666</v>
      </c>
      <c r="B13" s="43" t="s">
        <v>215</v>
      </c>
      <c r="C13" s="43" t="s">
        <v>219</v>
      </c>
      <c r="D13" s="43" t="s">
        <v>1736</v>
      </c>
      <c r="E13" s="43" t="s">
        <v>1789</v>
      </c>
      <c r="F13" s="23" t="str">
        <f>HYPERLINK("https://mapwv.gov/flood/map/?wkid=102100&amp;x=-9186863.327599764&amp;y=4636258.673946171&amp;l=13&amp;v=2","FT")</f>
        <v>FT</v>
      </c>
      <c r="G13" s="28" t="s">
        <v>31</v>
      </c>
      <c r="H13" s="28" t="s">
        <v>121</v>
      </c>
      <c r="I13" s="43" t="s">
        <v>1841</v>
      </c>
      <c r="J13" s="22" t="s">
        <v>38</v>
      </c>
      <c r="K13" s="44" t="s">
        <v>109</v>
      </c>
      <c r="L13" s="44"/>
      <c r="M13" s="43" t="s">
        <v>27</v>
      </c>
      <c r="N13" s="3" t="s">
        <v>82</v>
      </c>
      <c r="O13" s="44" t="s">
        <v>85</v>
      </c>
      <c r="P13" s="43" t="s">
        <v>1892</v>
      </c>
      <c r="Q13" s="43" t="s">
        <v>29</v>
      </c>
      <c r="R13" s="28" t="s">
        <v>87</v>
      </c>
      <c r="S13" s="29">
        <v>6000000</v>
      </c>
      <c r="T13" s="2" t="s">
        <v>42</v>
      </c>
      <c r="U13" s="30">
        <v>6.6601562000000003</v>
      </c>
      <c r="V13" s="30">
        <v>5.66015625</v>
      </c>
      <c r="W13" s="31">
        <v>0.1466015625</v>
      </c>
      <c r="X13" s="32">
        <v>879609.375</v>
      </c>
    </row>
    <row r="14" spans="1:24" x14ac:dyDescent="0.3">
      <c r="A14" s="22" t="s">
        <v>1938</v>
      </c>
      <c r="B14" s="43" t="s">
        <v>1719</v>
      </c>
      <c r="C14" s="43" t="s">
        <v>1720</v>
      </c>
      <c r="D14" s="43" t="s">
        <v>1939</v>
      </c>
      <c r="E14" s="43" t="s">
        <v>1940</v>
      </c>
      <c r="F14" s="23" t="str">
        <f>HYPERLINK("https://mapwv.gov/flood/map/?wkid=102100&amp;x=-9177212.006116914&amp;y=4610299.923712703&amp;l=13&amp;v=2","FT")</f>
        <v>FT</v>
      </c>
      <c r="G14" s="28" t="s">
        <v>31</v>
      </c>
      <c r="H14" s="28" t="s">
        <v>24</v>
      </c>
      <c r="I14" s="43" t="s">
        <v>1941</v>
      </c>
      <c r="J14" s="22" t="s">
        <v>25</v>
      </c>
      <c r="K14" s="44" t="s">
        <v>108</v>
      </c>
      <c r="L14" s="44"/>
      <c r="M14" s="43" t="s">
        <v>27</v>
      </c>
      <c r="N14" s="3" t="s">
        <v>82</v>
      </c>
      <c r="O14" s="44" t="s">
        <v>85</v>
      </c>
      <c r="P14" s="49">
        <v>7400</v>
      </c>
      <c r="Q14" s="43" t="s">
        <v>29</v>
      </c>
      <c r="R14" s="28" t="s">
        <v>87</v>
      </c>
      <c r="S14" s="29">
        <v>5800000</v>
      </c>
      <c r="T14" s="2" t="s">
        <v>28</v>
      </c>
      <c r="U14" s="30">
        <v>0.45782469999999997</v>
      </c>
      <c r="V14" s="30">
        <v>-0.54217529296875</v>
      </c>
      <c r="W14" s="31">
        <v>0</v>
      </c>
      <c r="X14" s="32">
        <v>0</v>
      </c>
    </row>
    <row r="15" spans="1:24" x14ac:dyDescent="0.3">
      <c r="A15" s="22" t="s">
        <v>1667</v>
      </c>
      <c r="B15" s="43" t="s">
        <v>1716</v>
      </c>
      <c r="C15" s="43" t="s">
        <v>1344</v>
      </c>
      <c r="D15" s="43" t="s">
        <v>1737</v>
      </c>
      <c r="E15" s="43" t="s">
        <v>1790</v>
      </c>
      <c r="F15" s="23" t="str">
        <f>HYPERLINK("https://mapwv.gov/flood/map/?wkid=102100&amp;x=-9178234.65430763&amp;y=4566392.84293231&amp;l=13&amp;v=2","FT")</f>
        <v>FT</v>
      </c>
      <c r="G15" s="28" t="s">
        <v>31</v>
      </c>
      <c r="H15" s="28" t="s">
        <v>24</v>
      </c>
      <c r="I15" s="43" t="s">
        <v>1842</v>
      </c>
      <c r="J15" s="22" t="s">
        <v>25</v>
      </c>
      <c r="K15" s="44" t="s">
        <v>90</v>
      </c>
      <c r="L15" s="44" t="s">
        <v>70</v>
      </c>
      <c r="M15" s="43" t="s">
        <v>57</v>
      </c>
      <c r="N15" s="3" t="s">
        <v>81</v>
      </c>
      <c r="O15" s="44" t="s">
        <v>85</v>
      </c>
      <c r="P15" s="43" t="s">
        <v>1893</v>
      </c>
      <c r="Q15" s="43" t="s">
        <v>29</v>
      </c>
      <c r="R15" s="28" t="s">
        <v>87</v>
      </c>
      <c r="S15" s="29">
        <v>5750855</v>
      </c>
      <c r="T15" s="2" t="s">
        <v>58</v>
      </c>
      <c r="U15" s="30">
        <v>3.9025880000000002</v>
      </c>
      <c r="V15" s="30">
        <v>2.902587890625</v>
      </c>
      <c r="W15" s="31">
        <v>8.8051757812500006E-2</v>
      </c>
      <c r="X15" s="32">
        <v>506372.89167480398</v>
      </c>
    </row>
    <row r="16" spans="1:24" x14ac:dyDescent="0.3">
      <c r="A16" s="22" t="s">
        <v>1668</v>
      </c>
      <c r="B16" s="43" t="s">
        <v>215</v>
      </c>
      <c r="C16" s="43" t="s">
        <v>219</v>
      </c>
      <c r="D16" s="43" t="s">
        <v>1738</v>
      </c>
      <c r="E16" s="43" t="s">
        <v>1791</v>
      </c>
      <c r="F16" s="23" t="str">
        <f>HYPERLINK("https://mapwv.gov/flood/map/?wkid=102100&amp;x=-9185118.848319829&amp;y=4635962.524315626&amp;l=13&amp;v=2","FT")</f>
        <v>FT</v>
      </c>
      <c r="G16" s="28" t="s">
        <v>70</v>
      </c>
      <c r="H16" s="28" t="s">
        <v>24</v>
      </c>
      <c r="I16" s="43" t="s">
        <v>1843</v>
      </c>
      <c r="J16" s="22" t="s">
        <v>38</v>
      </c>
      <c r="K16" s="44" t="s">
        <v>129</v>
      </c>
      <c r="L16" s="44"/>
      <c r="M16" s="43" t="s">
        <v>57</v>
      </c>
      <c r="N16" s="3" t="s">
        <v>81</v>
      </c>
      <c r="O16" s="44" t="s">
        <v>85</v>
      </c>
      <c r="P16" s="43" t="s">
        <v>1894</v>
      </c>
      <c r="Q16" s="43" t="s">
        <v>29</v>
      </c>
      <c r="R16" s="28" t="s">
        <v>87</v>
      </c>
      <c r="S16" s="29">
        <v>5689624</v>
      </c>
      <c r="T16" s="2" t="s">
        <v>58</v>
      </c>
      <c r="U16" s="30">
        <v>0</v>
      </c>
      <c r="V16" s="30">
        <v>-1</v>
      </c>
      <c r="W16" s="31">
        <v>0</v>
      </c>
      <c r="X16" s="32">
        <v>0</v>
      </c>
    </row>
    <row r="17" spans="1:24" x14ac:dyDescent="0.3">
      <c r="A17" s="22" t="s">
        <v>1669</v>
      </c>
      <c r="B17" s="43" t="s">
        <v>1718</v>
      </c>
      <c r="C17" s="43" t="s">
        <v>219</v>
      </c>
      <c r="D17" s="43" t="s">
        <v>1739</v>
      </c>
      <c r="E17" s="43" t="s">
        <v>1792</v>
      </c>
      <c r="F17" s="23" t="str">
        <f>HYPERLINK("https://mapwv.gov/flood/map/?wkid=102100&amp;x=-9190340.469150422&amp;y=4635157.012689756&amp;l=13&amp;v=2","FT")</f>
        <v>FT</v>
      </c>
      <c r="G17" s="28" t="s">
        <v>31</v>
      </c>
      <c r="H17" s="28" t="s">
        <v>121</v>
      </c>
      <c r="I17" s="43" t="s">
        <v>1844</v>
      </c>
      <c r="J17" s="22" t="s">
        <v>38</v>
      </c>
      <c r="K17" s="44" t="s">
        <v>431</v>
      </c>
      <c r="L17" s="44"/>
      <c r="M17" s="43" t="s">
        <v>27</v>
      </c>
      <c r="N17" s="3" t="s">
        <v>82</v>
      </c>
      <c r="O17" s="44" t="s">
        <v>85</v>
      </c>
      <c r="P17" s="43" t="s">
        <v>1895</v>
      </c>
      <c r="Q17" s="43" t="s">
        <v>29</v>
      </c>
      <c r="R17" s="28" t="s">
        <v>87</v>
      </c>
      <c r="S17" s="29">
        <v>4698954</v>
      </c>
      <c r="T17" s="2" t="s">
        <v>58</v>
      </c>
      <c r="U17" s="30">
        <v>14.1</v>
      </c>
      <c r="V17" s="30">
        <v>13.64794921875</v>
      </c>
      <c r="W17" s="31">
        <v>0.36887695312500002</v>
      </c>
      <c r="X17" s="32">
        <v>1733335.8343945299</v>
      </c>
    </row>
    <row r="18" spans="1:24" x14ac:dyDescent="0.3">
      <c r="A18" s="22" t="s">
        <v>1670</v>
      </c>
      <c r="B18" s="43" t="s">
        <v>1716</v>
      </c>
      <c r="C18" s="43" t="s">
        <v>1720</v>
      </c>
      <c r="D18" s="43" t="s">
        <v>1740</v>
      </c>
      <c r="E18" s="43" t="s">
        <v>1793</v>
      </c>
      <c r="F18" s="23" t="str">
        <f>HYPERLINK("https://mapwv.gov/flood/map/?wkid=102100&amp;x=-9176184.037633765&amp;y=4615203.279293489&amp;l=13&amp;v=2","FT")</f>
        <v>FT</v>
      </c>
      <c r="G18" s="28" t="s">
        <v>31</v>
      </c>
      <c r="H18" s="28" t="s">
        <v>24</v>
      </c>
      <c r="I18" s="43" t="s">
        <v>1845</v>
      </c>
      <c r="J18" s="22" t="s">
        <v>25</v>
      </c>
      <c r="K18" s="44" t="s">
        <v>120</v>
      </c>
      <c r="L18" s="44" t="s">
        <v>427</v>
      </c>
      <c r="M18" s="43" t="s">
        <v>52</v>
      </c>
      <c r="N18" s="3" t="s">
        <v>34</v>
      </c>
      <c r="O18" s="44" t="s">
        <v>85</v>
      </c>
      <c r="P18" s="43" t="s">
        <v>1896</v>
      </c>
      <c r="Q18" s="43" t="s">
        <v>29</v>
      </c>
      <c r="R18" s="28" t="s">
        <v>87</v>
      </c>
      <c r="S18" s="29">
        <v>3273800</v>
      </c>
      <c r="T18" s="2" t="s">
        <v>42</v>
      </c>
      <c r="U18" s="30">
        <v>0</v>
      </c>
      <c r="V18" s="30">
        <v>-1</v>
      </c>
      <c r="W18" s="31">
        <v>0</v>
      </c>
      <c r="X18" s="32">
        <v>0</v>
      </c>
    </row>
    <row r="19" spans="1:24" x14ac:dyDescent="0.3">
      <c r="A19" s="22" t="s">
        <v>1671</v>
      </c>
      <c r="B19" s="43" t="s">
        <v>1716</v>
      </c>
      <c r="C19" s="43" t="s">
        <v>1721</v>
      </c>
      <c r="D19" s="43" t="s">
        <v>1741</v>
      </c>
      <c r="E19" s="43" t="s">
        <v>1794</v>
      </c>
      <c r="F19" s="23" t="str">
        <f>HYPERLINK("https://mapwv.gov/flood/map/?wkid=102100&amp;x=-9170878.56450618&amp;y=4602406.203179857&amp;l=13&amp;v=2","FT")</f>
        <v>FT</v>
      </c>
      <c r="G19" s="28" t="s">
        <v>37</v>
      </c>
      <c r="H19" s="28" t="s">
        <v>24</v>
      </c>
      <c r="I19" s="43" t="s">
        <v>1846</v>
      </c>
      <c r="J19" s="22" t="s">
        <v>25</v>
      </c>
      <c r="K19" s="44" t="s">
        <v>425</v>
      </c>
      <c r="L19" s="44"/>
      <c r="M19" s="43" t="s">
        <v>57</v>
      </c>
      <c r="N19" s="3" t="s">
        <v>81</v>
      </c>
      <c r="O19" s="44" t="s">
        <v>85</v>
      </c>
      <c r="P19" s="43" t="s">
        <v>1897</v>
      </c>
      <c r="Q19" s="43" t="s">
        <v>29</v>
      </c>
      <c r="R19" s="28" t="s">
        <v>87</v>
      </c>
      <c r="S19" s="29">
        <v>2972241</v>
      </c>
      <c r="T19" s="2" t="s">
        <v>58</v>
      </c>
      <c r="U19" s="30">
        <v>8.3939769999999996</v>
      </c>
      <c r="V19" s="30">
        <v>7.39397716522216</v>
      </c>
      <c r="W19" s="31">
        <v>0.13787954330444299</v>
      </c>
      <c r="X19" s="32">
        <v>409811.23167074198</v>
      </c>
    </row>
    <row r="20" spans="1:24" x14ac:dyDescent="0.3">
      <c r="A20" s="22" t="s">
        <v>1672</v>
      </c>
      <c r="B20" s="43" t="s">
        <v>1716</v>
      </c>
      <c r="C20" s="43" t="s">
        <v>1344</v>
      </c>
      <c r="D20" s="43" t="s">
        <v>1737</v>
      </c>
      <c r="E20" s="43" t="s">
        <v>1795</v>
      </c>
      <c r="F20" s="23" t="str">
        <f>HYPERLINK("https://mapwv.gov/flood/map/?wkid=102100&amp;x=-9178178.22812754&amp;y=4566333.074824724&amp;l=13&amp;v=2","FT")</f>
        <v>FT</v>
      </c>
      <c r="G20" s="28" t="s">
        <v>31</v>
      </c>
      <c r="H20" s="28" t="s">
        <v>24</v>
      </c>
      <c r="I20" s="43" t="s">
        <v>1842</v>
      </c>
      <c r="J20" s="22" t="s">
        <v>25</v>
      </c>
      <c r="K20" s="44" t="s">
        <v>90</v>
      </c>
      <c r="L20" s="44" t="s">
        <v>70</v>
      </c>
      <c r="M20" s="43" t="s">
        <v>57</v>
      </c>
      <c r="N20" s="3" t="s">
        <v>81</v>
      </c>
      <c r="O20" s="44" t="s">
        <v>85</v>
      </c>
      <c r="P20" s="43" t="s">
        <v>1898</v>
      </c>
      <c r="Q20" s="43" t="s">
        <v>29</v>
      </c>
      <c r="R20" s="28" t="s">
        <v>87</v>
      </c>
      <c r="S20" s="29">
        <v>2302188</v>
      </c>
      <c r="T20" s="2" t="s">
        <v>58</v>
      </c>
      <c r="U20" s="30">
        <v>3.279541</v>
      </c>
      <c r="V20" s="30">
        <v>2.279541015625</v>
      </c>
      <c r="W20" s="31">
        <v>7.5590820312500001E-2</v>
      </c>
      <c r="X20" s="32">
        <v>174024.27943359301</v>
      </c>
    </row>
    <row r="21" spans="1:24" x14ac:dyDescent="0.3">
      <c r="A21" s="22" t="s">
        <v>1673</v>
      </c>
      <c r="B21" s="43" t="s">
        <v>1716</v>
      </c>
      <c r="C21" s="43" t="s">
        <v>1355</v>
      </c>
      <c r="D21" s="43" t="s">
        <v>1742</v>
      </c>
      <c r="E21" s="43" t="s">
        <v>1796</v>
      </c>
      <c r="F21" s="23" t="str">
        <f>HYPERLINK("https://mapwv.gov/flood/map/?wkid=102100&amp;x=-9176417.298943806&amp;y=4583253.947380239&amp;l=13&amp;v=2","FT")</f>
        <v>FT</v>
      </c>
      <c r="G21" s="28" t="s">
        <v>31</v>
      </c>
      <c r="H21" s="28" t="s">
        <v>121</v>
      </c>
      <c r="I21" s="43" t="s">
        <v>1847</v>
      </c>
      <c r="J21" s="22" t="s">
        <v>38</v>
      </c>
      <c r="K21" s="44" t="s">
        <v>1567</v>
      </c>
      <c r="L21" s="44"/>
      <c r="M21" s="43" t="s">
        <v>57</v>
      </c>
      <c r="N21" s="3" t="s">
        <v>81</v>
      </c>
      <c r="O21" s="44" t="s">
        <v>85</v>
      </c>
      <c r="P21" s="43" t="s">
        <v>1899</v>
      </c>
      <c r="Q21" s="43" t="s">
        <v>29</v>
      </c>
      <c r="R21" s="28" t="s">
        <v>87</v>
      </c>
      <c r="S21" s="29">
        <v>1657407</v>
      </c>
      <c r="T21" s="2" t="s">
        <v>58</v>
      </c>
      <c r="U21" s="30">
        <v>3.3251952999999999</v>
      </c>
      <c r="V21" s="30">
        <v>2.3251953125</v>
      </c>
      <c r="W21" s="31">
        <v>7.6503906250000003E-2</v>
      </c>
      <c r="X21" s="32">
        <v>126798.109746093</v>
      </c>
    </row>
    <row r="22" spans="1:24" x14ac:dyDescent="0.3">
      <c r="A22" s="22" t="s">
        <v>1674</v>
      </c>
      <c r="B22" s="43" t="s">
        <v>1716</v>
      </c>
      <c r="C22" s="43" t="s">
        <v>1355</v>
      </c>
      <c r="D22" s="43" t="s">
        <v>1743</v>
      </c>
      <c r="E22" s="43" t="s">
        <v>1797</v>
      </c>
      <c r="F22" s="23" t="str">
        <f>HYPERLINK("https://mapwv.gov/flood/map/?wkid=102100&amp;x=-9167971.829035724&amp;y=4576749.977332862&amp;l=13&amp;v=2","FT")</f>
        <v>FT</v>
      </c>
      <c r="G22" s="28" t="s">
        <v>37</v>
      </c>
      <c r="H22" s="28" t="s">
        <v>24</v>
      </c>
      <c r="I22" s="43" t="s">
        <v>1848</v>
      </c>
      <c r="J22" s="22" t="s">
        <v>25</v>
      </c>
      <c r="K22" s="44" t="s">
        <v>116</v>
      </c>
      <c r="L22" s="44" t="s">
        <v>43</v>
      </c>
      <c r="M22" s="43" t="s">
        <v>27</v>
      </c>
      <c r="N22" s="3" t="s">
        <v>82</v>
      </c>
      <c r="O22" s="44" t="s">
        <v>85</v>
      </c>
      <c r="P22" s="43" t="s">
        <v>1900</v>
      </c>
      <c r="Q22" s="43" t="s">
        <v>29</v>
      </c>
      <c r="R22" s="28" t="s">
        <v>87</v>
      </c>
      <c r="S22" s="29">
        <v>1432700</v>
      </c>
      <c r="T22" s="2" t="s">
        <v>42</v>
      </c>
      <c r="U22" s="30">
        <v>1.4380746</v>
      </c>
      <c r="V22" s="30">
        <v>0.43807458877563399</v>
      </c>
      <c r="W22" s="31">
        <v>2.1903729438781699E-2</v>
      </c>
      <c r="X22" s="32">
        <v>31381.473166942498</v>
      </c>
    </row>
    <row r="23" spans="1:24" x14ac:dyDescent="0.3">
      <c r="A23" s="22" t="s">
        <v>1675</v>
      </c>
      <c r="B23" s="43" t="s">
        <v>1716</v>
      </c>
      <c r="C23" s="43" t="s">
        <v>1355</v>
      </c>
      <c r="D23" s="43" t="s">
        <v>1744</v>
      </c>
      <c r="E23" s="43" t="s">
        <v>1798</v>
      </c>
      <c r="F23" s="23" t="str">
        <f>HYPERLINK("https://mapwv.gov/flood/map/?wkid=102100&amp;x=-9179696.246716455&amp;y=4597363.211196102&amp;l=13&amp;v=2","FT")</f>
        <v>FT</v>
      </c>
      <c r="G23" s="28" t="s">
        <v>70</v>
      </c>
      <c r="H23" s="28" t="s">
        <v>24</v>
      </c>
      <c r="I23" s="43" t="s">
        <v>1849</v>
      </c>
      <c r="J23" s="22" t="s">
        <v>38</v>
      </c>
      <c r="K23" s="44" t="s">
        <v>132</v>
      </c>
      <c r="L23" s="44"/>
      <c r="M23" s="43" t="s">
        <v>57</v>
      </c>
      <c r="N23" s="3" t="s">
        <v>81</v>
      </c>
      <c r="O23" s="44" t="s">
        <v>85</v>
      </c>
      <c r="P23" s="43" t="s">
        <v>481</v>
      </c>
      <c r="Q23" s="43" t="s">
        <v>29</v>
      </c>
      <c r="R23" s="28" t="s">
        <v>87</v>
      </c>
      <c r="S23" s="29">
        <v>1328640</v>
      </c>
      <c r="T23" s="2" t="s">
        <v>58</v>
      </c>
      <c r="U23" s="30">
        <v>0</v>
      </c>
      <c r="V23" s="30">
        <v>-1</v>
      </c>
      <c r="W23" s="31">
        <v>0</v>
      </c>
      <c r="X23" s="32">
        <v>0</v>
      </c>
    </row>
    <row r="24" spans="1:24" x14ac:dyDescent="0.3">
      <c r="A24" s="22" t="s">
        <v>1676</v>
      </c>
      <c r="B24" s="43" t="s">
        <v>1716</v>
      </c>
      <c r="C24" s="43" t="s">
        <v>1720</v>
      </c>
      <c r="D24" s="43" t="s">
        <v>1745</v>
      </c>
      <c r="E24" s="43" t="s">
        <v>1799</v>
      </c>
      <c r="F24" s="23" t="str">
        <f>HYPERLINK("https://mapwv.gov/flood/map/?wkid=102100&amp;x=-9178402.262944223&amp;y=4616113.722038962&amp;l=13&amp;v=2","FT")</f>
        <v>FT</v>
      </c>
      <c r="G24" s="28" t="s">
        <v>31</v>
      </c>
      <c r="H24" s="28" t="s">
        <v>121</v>
      </c>
      <c r="I24" s="43" t="s">
        <v>1850</v>
      </c>
      <c r="J24" s="22" t="s">
        <v>38</v>
      </c>
      <c r="K24" s="44" t="s">
        <v>971</v>
      </c>
      <c r="L24" s="44" t="s">
        <v>1206</v>
      </c>
      <c r="M24" s="43" t="s">
        <v>437</v>
      </c>
      <c r="N24" s="3" t="s">
        <v>40</v>
      </c>
      <c r="O24" s="44" t="s">
        <v>85</v>
      </c>
      <c r="P24" s="43" t="s">
        <v>1901</v>
      </c>
      <c r="Q24" s="43" t="s">
        <v>29</v>
      </c>
      <c r="R24" s="28" t="s">
        <v>87</v>
      </c>
      <c r="S24" s="29">
        <v>1314600</v>
      </c>
      <c r="T24" s="2" t="s">
        <v>42</v>
      </c>
      <c r="U24" s="30">
        <v>1</v>
      </c>
      <c r="V24" s="30">
        <v>0</v>
      </c>
      <c r="W24" s="31">
        <v>0</v>
      </c>
      <c r="X24" s="32">
        <v>0</v>
      </c>
    </row>
    <row r="25" spans="1:24" x14ac:dyDescent="0.3">
      <c r="A25" s="22" t="s">
        <v>1677</v>
      </c>
      <c r="B25" s="43" t="s">
        <v>1716</v>
      </c>
      <c r="C25" s="43" t="s">
        <v>1720</v>
      </c>
      <c r="D25" s="43" t="s">
        <v>1746</v>
      </c>
      <c r="E25" s="43" t="s">
        <v>1800</v>
      </c>
      <c r="F25" s="23" t="str">
        <f>HYPERLINK("https://mapwv.gov/flood/map/?wkid=102100&amp;x=-9177707.478149803&amp;y=4610090.91950515&amp;l=13&amp;v=2","FT")</f>
        <v>FT</v>
      </c>
      <c r="G25" s="28" t="s">
        <v>31</v>
      </c>
      <c r="H25" s="28" t="s">
        <v>24</v>
      </c>
      <c r="I25" s="43" t="s">
        <v>1851</v>
      </c>
      <c r="J25" s="22" t="s">
        <v>38</v>
      </c>
      <c r="K25" s="44" t="s">
        <v>972</v>
      </c>
      <c r="L25" s="44" t="s">
        <v>26</v>
      </c>
      <c r="M25" s="43" t="s">
        <v>977</v>
      </c>
      <c r="N25" s="3" t="s">
        <v>40</v>
      </c>
      <c r="O25" s="44" t="s">
        <v>438</v>
      </c>
      <c r="P25" s="43" t="s">
        <v>1902</v>
      </c>
      <c r="Q25" s="43" t="s">
        <v>29</v>
      </c>
      <c r="R25" s="28" t="s">
        <v>87</v>
      </c>
      <c r="S25" s="29">
        <v>1137600</v>
      </c>
      <c r="T25" s="2" t="s">
        <v>42</v>
      </c>
      <c r="U25" s="30">
        <v>1</v>
      </c>
      <c r="V25" s="30">
        <v>0</v>
      </c>
      <c r="W25" s="31">
        <v>0.15</v>
      </c>
      <c r="X25" s="32">
        <v>170640</v>
      </c>
    </row>
    <row r="26" spans="1:24" x14ac:dyDescent="0.3">
      <c r="A26" s="22" t="s">
        <v>1678</v>
      </c>
      <c r="B26" s="43" t="s">
        <v>1719</v>
      </c>
      <c r="C26" s="43" t="s">
        <v>1720</v>
      </c>
      <c r="D26" s="43" t="s">
        <v>1747</v>
      </c>
      <c r="E26" s="43" t="s">
        <v>1801</v>
      </c>
      <c r="F26" s="23" t="str">
        <f>HYPERLINK("https://mapwv.gov/flood/map/?wkid=102100&amp;x=-9177224.256270276&amp;y=4611242.218679134&amp;l=13&amp;v=2","FT")</f>
        <v>FT</v>
      </c>
      <c r="G26" s="28" t="s">
        <v>31</v>
      </c>
      <c r="H26" s="28" t="s">
        <v>24</v>
      </c>
      <c r="I26" s="43" t="s">
        <v>1852</v>
      </c>
      <c r="J26" s="22" t="s">
        <v>25</v>
      </c>
      <c r="K26" s="44" t="s">
        <v>94</v>
      </c>
      <c r="L26" s="44" t="s">
        <v>26</v>
      </c>
      <c r="M26" s="43" t="s">
        <v>27</v>
      </c>
      <c r="N26" s="3" t="s">
        <v>82</v>
      </c>
      <c r="O26" s="44" t="s">
        <v>85</v>
      </c>
      <c r="P26" s="43" t="s">
        <v>1903</v>
      </c>
      <c r="Q26" s="43" t="s">
        <v>29</v>
      </c>
      <c r="R26" s="28" t="s">
        <v>87</v>
      </c>
      <c r="S26" s="29">
        <v>1067073</v>
      </c>
      <c r="T26" s="2" t="s">
        <v>89</v>
      </c>
      <c r="U26" s="30">
        <v>0</v>
      </c>
      <c r="V26" s="30">
        <v>-1</v>
      </c>
      <c r="W26" s="31">
        <v>0</v>
      </c>
      <c r="X26" s="32">
        <v>0</v>
      </c>
    </row>
    <row r="27" spans="1:24" x14ac:dyDescent="0.3">
      <c r="A27" s="22" t="s">
        <v>1679</v>
      </c>
      <c r="B27" s="43" t="s">
        <v>1716</v>
      </c>
      <c r="C27" s="43" t="s">
        <v>1720</v>
      </c>
      <c r="D27" s="43" t="s">
        <v>1748</v>
      </c>
      <c r="E27" s="43" t="s">
        <v>1802</v>
      </c>
      <c r="F27" s="23" t="str">
        <f>HYPERLINK("https://mapwv.gov/flood/map/?wkid=102100&amp;x=-9178834.560498172&amp;y=4626692.228764682&amp;l=13&amp;v=2","FT")</f>
        <v>FT</v>
      </c>
      <c r="G27" s="28" t="s">
        <v>31</v>
      </c>
      <c r="H27" s="28" t="s">
        <v>121</v>
      </c>
      <c r="I27" s="43" t="s">
        <v>1853</v>
      </c>
      <c r="J27" s="22" t="s">
        <v>25</v>
      </c>
      <c r="K27" s="44" t="s">
        <v>108</v>
      </c>
      <c r="L27" s="44"/>
      <c r="M27" s="43" t="s">
        <v>45</v>
      </c>
      <c r="N27" s="3" t="s">
        <v>34</v>
      </c>
      <c r="O27" s="44" t="s">
        <v>85</v>
      </c>
      <c r="P27" s="43" t="s">
        <v>1904</v>
      </c>
      <c r="Q27" s="43" t="s">
        <v>29</v>
      </c>
      <c r="R27" s="28" t="s">
        <v>87</v>
      </c>
      <c r="S27" s="29">
        <v>1011258</v>
      </c>
      <c r="T27" s="2" t="s">
        <v>89</v>
      </c>
      <c r="U27" s="30">
        <v>1</v>
      </c>
      <c r="V27" s="30">
        <v>0</v>
      </c>
      <c r="W27" s="31">
        <v>0.01</v>
      </c>
      <c r="X27" s="32">
        <v>10112.58</v>
      </c>
    </row>
    <row r="28" spans="1:24" x14ac:dyDescent="0.3">
      <c r="A28" s="22" t="s">
        <v>1680</v>
      </c>
      <c r="B28" s="43" t="s">
        <v>1716</v>
      </c>
      <c r="C28" s="43" t="s">
        <v>1344</v>
      </c>
      <c r="D28" s="43" t="s">
        <v>1749</v>
      </c>
      <c r="E28" s="43" t="s">
        <v>1803</v>
      </c>
      <c r="F28" s="23" t="str">
        <f>HYPERLINK("https://mapwv.gov/flood/map/?wkid=102100&amp;x=-9192781.515895106&amp;y=4626559.017827267&amp;l=13&amp;v=2","FT")</f>
        <v>FT</v>
      </c>
      <c r="G28" s="28" t="s">
        <v>31</v>
      </c>
      <c r="H28" s="28" t="s">
        <v>24</v>
      </c>
      <c r="I28" s="43" t="s">
        <v>1854</v>
      </c>
      <c r="J28" s="22" t="s">
        <v>35</v>
      </c>
      <c r="K28" s="44" t="s">
        <v>73</v>
      </c>
      <c r="L28" s="44"/>
      <c r="M28" s="43" t="s">
        <v>981</v>
      </c>
      <c r="N28" s="3" t="s">
        <v>84</v>
      </c>
      <c r="O28" s="44" t="s">
        <v>85</v>
      </c>
      <c r="P28" s="43" t="s">
        <v>1905</v>
      </c>
      <c r="Q28" s="43" t="s">
        <v>29</v>
      </c>
      <c r="R28" s="28" t="s">
        <v>87</v>
      </c>
      <c r="S28" s="29">
        <v>997213</v>
      </c>
      <c r="T28" s="2" t="s">
        <v>89</v>
      </c>
      <c r="U28" s="30">
        <v>0.79162600000000005</v>
      </c>
      <c r="V28" s="30">
        <v>-0.2083740234375</v>
      </c>
      <c r="W28" s="31">
        <v>7.9162597656249906E-3</v>
      </c>
      <c r="X28" s="32">
        <v>7894.1971496582</v>
      </c>
    </row>
    <row r="29" spans="1:24" x14ac:dyDescent="0.3">
      <c r="A29" s="22" t="s">
        <v>1681</v>
      </c>
      <c r="B29" s="43" t="s">
        <v>1716</v>
      </c>
      <c r="C29" s="43" t="s">
        <v>1720</v>
      </c>
      <c r="D29" s="43" t="s">
        <v>1750</v>
      </c>
      <c r="E29" s="43" t="s">
        <v>1804</v>
      </c>
      <c r="F29" s="23" t="str">
        <f>HYPERLINK("https://mapwv.gov/flood/map/?wkid=102100&amp;x=-9178649.487280626&amp;y=4626277.042482765&amp;l=13&amp;v=2","FT")</f>
        <v>FT</v>
      </c>
      <c r="G29" s="28" t="s">
        <v>31</v>
      </c>
      <c r="H29" s="28" t="s">
        <v>24</v>
      </c>
      <c r="I29" s="43" t="s">
        <v>1855</v>
      </c>
      <c r="J29" s="22" t="s">
        <v>25</v>
      </c>
      <c r="K29" s="44" t="s">
        <v>71</v>
      </c>
      <c r="L29" s="44" t="s">
        <v>26</v>
      </c>
      <c r="M29" s="43" t="s">
        <v>55</v>
      </c>
      <c r="N29" s="3" t="s">
        <v>83</v>
      </c>
      <c r="O29" s="44" t="s">
        <v>85</v>
      </c>
      <c r="P29" s="43" t="s">
        <v>1906</v>
      </c>
      <c r="Q29" s="43" t="s">
        <v>29</v>
      </c>
      <c r="R29" s="28" t="s">
        <v>87</v>
      </c>
      <c r="S29" s="29">
        <v>984900</v>
      </c>
      <c r="T29" s="2" t="s">
        <v>42</v>
      </c>
      <c r="U29" s="30">
        <v>1.5248413000000001</v>
      </c>
      <c r="V29" s="30">
        <v>0.52484130859375</v>
      </c>
      <c r="W29" s="31">
        <v>5.2484130859374999E-2</v>
      </c>
      <c r="X29" s="32">
        <v>51691.620483398401</v>
      </c>
    </row>
    <row r="30" spans="1:24" x14ac:dyDescent="0.3">
      <c r="A30" s="22" t="s">
        <v>1682</v>
      </c>
      <c r="B30" s="43" t="s">
        <v>1716</v>
      </c>
      <c r="C30" s="43" t="s">
        <v>219</v>
      </c>
      <c r="D30" s="43" t="s">
        <v>1751</v>
      </c>
      <c r="E30" s="43" t="s">
        <v>1805</v>
      </c>
      <c r="F30" s="23" t="str">
        <f>HYPERLINK("https://mapwv.gov/flood/map/?wkid=102100&amp;x=-9187288.7896917&amp;y=4635708.4130368065&amp;l=13&amp;v=2","FT")</f>
        <v>FT</v>
      </c>
      <c r="G30" s="28" t="s">
        <v>31</v>
      </c>
      <c r="H30" s="28" t="s">
        <v>24</v>
      </c>
      <c r="I30" s="43" t="s">
        <v>1856</v>
      </c>
      <c r="J30" s="22" t="s">
        <v>25</v>
      </c>
      <c r="K30" s="44" t="s">
        <v>117</v>
      </c>
      <c r="L30" s="44" t="s">
        <v>36</v>
      </c>
      <c r="M30" s="43" t="s">
        <v>48</v>
      </c>
      <c r="N30" s="3" t="s">
        <v>34</v>
      </c>
      <c r="O30" s="44" t="s">
        <v>85</v>
      </c>
      <c r="P30" s="43" t="s">
        <v>1907</v>
      </c>
      <c r="Q30" s="43" t="s">
        <v>29</v>
      </c>
      <c r="R30" s="28" t="s">
        <v>87</v>
      </c>
      <c r="S30" s="29">
        <v>881800</v>
      </c>
      <c r="T30" s="2" t="s">
        <v>42</v>
      </c>
      <c r="U30" s="30">
        <v>1.0720215</v>
      </c>
      <c r="V30" s="30">
        <v>7.2021484375E-2</v>
      </c>
      <c r="W30" s="31">
        <v>1.5761718750000001E-2</v>
      </c>
      <c r="X30" s="32">
        <v>13898.68359375</v>
      </c>
    </row>
    <row r="31" spans="1:24" x14ac:dyDescent="0.3">
      <c r="A31" s="22" t="s">
        <v>1683</v>
      </c>
      <c r="B31" s="43" t="s">
        <v>1716</v>
      </c>
      <c r="C31" s="43" t="s">
        <v>1720</v>
      </c>
      <c r="D31" s="43" t="s">
        <v>1752</v>
      </c>
      <c r="E31" s="43" t="s">
        <v>1806</v>
      </c>
      <c r="F31" s="23" t="str">
        <f>HYPERLINK("https://mapwv.gov/flood/map/?wkid=102100&amp;x=-9176274.993895387&amp;y=4615805.288321982&amp;l=13&amp;v=2","FT")</f>
        <v>FT</v>
      </c>
      <c r="G31" s="28" t="s">
        <v>31</v>
      </c>
      <c r="H31" s="28" t="s">
        <v>24</v>
      </c>
      <c r="I31" s="43" t="s">
        <v>1857</v>
      </c>
      <c r="J31" s="22" t="s">
        <v>25</v>
      </c>
      <c r="K31" s="44" t="s">
        <v>72</v>
      </c>
      <c r="L31" s="44" t="s">
        <v>43</v>
      </c>
      <c r="M31" s="43" t="s">
        <v>45</v>
      </c>
      <c r="N31" s="3" t="s">
        <v>34</v>
      </c>
      <c r="O31" s="44" t="s">
        <v>85</v>
      </c>
      <c r="P31" s="43" t="s">
        <v>1908</v>
      </c>
      <c r="Q31" s="43" t="s">
        <v>29</v>
      </c>
      <c r="R31" s="28" t="s">
        <v>87</v>
      </c>
      <c r="S31" s="29">
        <v>845900</v>
      </c>
      <c r="T31" s="2" t="s">
        <v>42</v>
      </c>
      <c r="U31" s="30">
        <v>0</v>
      </c>
      <c r="V31" s="30">
        <v>-1</v>
      </c>
      <c r="W31" s="31">
        <v>0</v>
      </c>
      <c r="X31" s="32">
        <v>0</v>
      </c>
    </row>
    <row r="32" spans="1:24" x14ac:dyDescent="0.3">
      <c r="A32" s="22" t="s">
        <v>1684</v>
      </c>
      <c r="B32" s="43" t="s">
        <v>215</v>
      </c>
      <c r="C32" s="43" t="s">
        <v>219</v>
      </c>
      <c r="D32" s="43" t="s">
        <v>1753</v>
      </c>
      <c r="E32" s="43" t="s">
        <v>1807</v>
      </c>
      <c r="F32" s="23" t="str">
        <f>HYPERLINK("https://mapwv.gov/flood/map/?wkid=102100&amp;x=-9186302.02478224&amp;y=4635618.268100924&amp;l=13&amp;v=2","FT")</f>
        <v>FT</v>
      </c>
      <c r="G32" s="28" t="s">
        <v>31</v>
      </c>
      <c r="H32" s="28" t="s">
        <v>24</v>
      </c>
      <c r="I32" s="43" t="s">
        <v>1858</v>
      </c>
      <c r="J32" s="22" t="s">
        <v>38</v>
      </c>
      <c r="K32" s="44" t="s">
        <v>76</v>
      </c>
      <c r="L32" s="44" t="s">
        <v>43</v>
      </c>
      <c r="M32" s="43" t="s">
        <v>55</v>
      </c>
      <c r="N32" s="3" t="s">
        <v>83</v>
      </c>
      <c r="O32" s="44" t="s">
        <v>85</v>
      </c>
      <c r="P32" s="43" t="s">
        <v>1909</v>
      </c>
      <c r="Q32" s="43" t="s">
        <v>29</v>
      </c>
      <c r="R32" s="28" t="s">
        <v>87</v>
      </c>
      <c r="S32" s="29">
        <v>737600</v>
      </c>
      <c r="T32" s="2" t="s">
        <v>42</v>
      </c>
      <c r="U32" s="30">
        <v>0.63995360000000001</v>
      </c>
      <c r="V32" s="30">
        <v>-0.36004638671875</v>
      </c>
      <c r="W32" s="31">
        <v>0</v>
      </c>
      <c r="X32" s="32">
        <v>0</v>
      </c>
    </row>
    <row r="33" spans="1:24" x14ac:dyDescent="0.3">
      <c r="A33" s="22" t="s">
        <v>1685</v>
      </c>
      <c r="B33" s="43" t="s">
        <v>1716</v>
      </c>
      <c r="C33" s="43" t="s">
        <v>1722</v>
      </c>
      <c r="D33" s="43" t="s">
        <v>1754</v>
      </c>
      <c r="E33" s="43" t="s">
        <v>1808</v>
      </c>
      <c r="F33" s="23" t="str">
        <f>HYPERLINK("https://mapwv.gov/flood/map/?wkid=102100&amp;x=-9185616.426072204&amp;y=4635147.253262281&amp;l=13&amp;v=2","FT")</f>
        <v>FT</v>
      </c>
      <c r="G33" s="28" t="s">
        <v>37</v>
      </c>
      <c r="H33" s="28" t="s">
        <v>24</v>
      </c>
      <c r="I33" s="43" t="s">
        <v>1859</v>
      </c>
      <c r="J33" s="22" t="s">
        <v>38</v>
      </c>
      <c r="K33" s="44" t="s">
        <v>118</v>
      </c>
      <c r="L33" s="44" t="s">
        <v>1206</v>
      </c>
      <c r="M33" s="43" t="s">
        <v>55</v>
      </c>
      <c r="N33" s="3" t="s">
        <v>83</v>
      </c>
      <c r="O33" s="44" t="s">
        <v>85</v>
      </c>
      <c r="P33" s="43" t="s">
        <v>1910</v>
      </c>
      <c r="Q33" s="43" t="s">
        <v>29</v>
      </c>
      <c r="R33" s="28" t="s">
        <v>87</v>
      </c>
      <c r="S33" s="29">
        <v>719200</v>
      </c>
      <c r="T33" s="2" t="s">
        <v>42</v>
      </c>
      <c r="U33" s="30">
        <v>0</v>
      </c>
      <c r="V33" s="30">
        <v>-1</v>
      </c>
      <c r="W33" s="31">
        <v>0</v>
      </c>
      <c r="X33" s="32">
        <v>0</v>
      </c>
    </row>
    <row r="34" spans="1:24" x14ac:dyDescent="0.3">
      <c r="A34" s="22" t="s">
        <v>1686</v>
      </c>
      <c r="B34" s="43" t="s">
        <v>1716</v>
      </c>
      <c r="C34" s="43" t="s">
        <v>1720</v>
      </c>
      <c r="D34" s="43" t="s">
        <v>1755</v>
      </c>
      <c r="E34" s="43" t="s">
        <v>1809</v>
      </c>
      <c r="F34" s="23" t="str">
        <f>HYPERLINK("https://mapwv.gov/flood/map/?wkid=102100&amp;x=-9184648.419832781&amp;y=4629858.148213996&amp;l=13&amp;v=2","FT")</f>
        <v>FT</v>
      </c>
      <c r="G34" s="28" t="s">
        <v>31</v>
      </c>
      <c r="H34" s="28" t="s">
        <v>24</v>
      </c>
      <c r="I34" s="43" t="s">
        <v>1860</v>
      </c>
      <c r="J34" s="22" t="s">
        <v>38</v>
      </c>
      <c r="K34" s="44" t="s">
        <v>76</v>
      </c>
      <c r="L34" s="44" t="s">
        <v>54</v>
      </c>
      <c r="M34" s="43" t="s">
        <v>55</v>
      </c>
      <c r="N34" s="3" t="s">
        <v>83</v>
      </c>
      <c r="O34" s="44" t="s">
        <v>85</v>
      </c>
      <c r="P34" s="43" t="s">
        <v>1911</v>
      </c>
      <c r="Q34" s="43" t="s">
        <v>29</v>
      </c>
      <c r="R34" s="28" t="s">
        <v>87</v>
      </c>
      <c r="S34" s="29">
        <v>700600</v>
      </c>
      <c r="T34" s="2" t="s">
        <v>42</v>
      </c>
      <c r="U34" s="30">
        <v>0.97735596000000002</v>
      </c>
      <c r="V34" s="30">
        <v>-2.264404296875E-2</v>
      </c>
      <c r="W34" s="31">
        <v>0</v>
      </c>
      <c r="X34" s="32">
        <v>0</v>
      </c>
    </row>
    <row r="35" spans="1:24" x14ac:dyDescent="0.3">
      <c r="A35" s="22" t="s">
        <v>1687</v>
      </c>
      <c r="B35" s="43" t="s">
        <v>1716</v>
      </c>
      <c r="C35" s="43" t="s">
        <v>1723</v>
      </c>
      <c r="D35" s="43" t="s">
        <v>1756</v>
      </c>
      <c r="E35" s="43" t="s">
        <v>1810</v>
      </c>
      <c r="F35" s="23" t="str">
        <f>HYPERLINK("https://mapwv.gov/flood/map/?wkid=102100&amp;x=-9179001.395575618&amp;y=4619163.998439691&amp;l=13&amp;v=2","FT")</f>
        <v>FT</v>
      </c>
      <c r="G35" s="28" t="s">
        <v>31</v>
      </c>
      <c r="H35" s="28" t="s">
        <v>24</v>
      </c>
      <c r="I35" s="43" t="s">
        <v>1861</v>
      </c>
      <c r="J35" s="22" t="s">
        <v>25</v>
      </c>
      <c r="K35" s="44" t="s">
        <v>101</v>
      </c>
      <c r="L35" s="44" t="s">
        <v>50</v>
      </c>
      <c r="M35" s="43" t="s">
        <v>53</v>
      </c>
      <c r="N35" s="3" t="s">
        <v>34</v>
      </c>
      <c r="O35" s="44" t="s">
        <v>85</v>
      </c>
      <c r="P35" s="43" t="s">
        <v>1912</v>
      </c>
      <c r="Q35" s="43" t="s">
        <v>29</v>
      </c>
      <c r="R35" s="28" t="s">
        <v>87</v>
      </c>
      <c r="S35" s="29">
        <v>699500</v>
      </c>
      <c r="T35" s="2" t="s">
        <v>30</v>
      </c>
      <c r="U35" s="30">
        <v>0.66052246000000003</v>
      </c>
      <c r="V35" s="30">
        <v>-0.3394775390625</v>
      </c>
      <c r="W35" s="31">
        <v>1.321044921875E-2</v>
      </c>
      <c r="X35" s="32">
        <v>9240.7092285156195</v>
      </c>
    </row>
    <row r="36" spans="1:24" x14ac:dyDescent="0.3">
      <c r="A36" s="22" t="s">
        <v>1688</v>
      </c>
      <c r="B36" s="43" t="s">
        <v>1716</v>
      </c>
      <c r="C36" s="43" t="s">
        <v>1720</v>
      </c>
      <c r="D36" s="43" t="s">
        <v>1757</v>
      </c>
      <c r="E36" s="43" t="s">
        <v>1811</v>
      </c>
      <c r="F36" s="23" t="str">
        <f>HYPERLINK("https://mapwv.gov/flood/map/?wkid=102100&amp;x=-9178269.200419167&amp;y=4616084.372337425&amp;l=13&amp;v=2","FT")</f>
        <v>FT</v>
      </c>
      <c r="G36" s="28" t="s">
        <v>31</v>
      </c>
      <c r="H36" s="28" t="s">
        <v>24</v>
      </c>
      <c r="I36" s="43" t="s">
        <v>1862</v>
      </c>
      <c r="J36" s="22" t="s">
        <v>25</v>
      </c>
      <c r="K36" s="44" t="s">
        <v>117</v>
      </c>
      <c r="L36" s="44" t="s">
        <v>43</v>
      </c>
      <c r="M36" s="43" t="s">
        <v>55</v>
      </c>
      <c r="N36" s="3" t="s">
        <v>83</v>
      </c>
      <c r="O36" s="44" t="s">
        <v>85</v>
      </c>
      <c r="P36" s="43" t="s">
        <v>1913</v>
      </c>
      <c r="Q36" s="43" t="s">
        <v>29</v>
      </c>
      <c r="R36" s="28" t="s">
        <v>87</v>
      </c>
      <c r="S36" s="29">
        <v>675200</v>
      </c>
      <c r="T36" s="2" t="s">
        <v>30</v>
      </c>
      <c r="U36" s="30">
        <v>0</v>
      </c>
      <c r="V36" s="30">
        <v>-1</v>
      </c>
      <c r="W36" s="31">
        <v>0</v>
      </c>
      <c r="X36" s="32">
        <v>0</v>
      </c>
    </row>
    <row r="37" spans="1:24" x14ac:dyDescent="0.3">
      <c r="A37" s="22" t="s">
        <v>1689</v>
      </c>
      <c r="B37" s="43" t="s">
        <v>1716</v>
      </c>
      <c r="C37" s="43" t="s">
        <v>1724</v>
      </c>
      <c r="D37" s="43" t="s">
        <v>1758</v>
      </c>
      <c r="E37" s="43" t="s">
        <v>1812</v>
      </c>
      <c r="F37" s="23" t="str">
        <f>HYPERLINK("https://mapwv.gov/flood/map/?wkid=102100&amp;x=-9178654.817257846&amp;y=4627241.960790102&amp;l=13&amp;v=2","FT")</f>
        <v>FT</v>
      </c>
      <c r="G37" s="28" t="s">
        <v>37</v>
      </c>
      <c r="H37" s="28" t="s">
        <v>24</v>
      </c>
      <c r="I37" s="43" t="s">
        <v>1863</v>
      </c>
      <c r="J37" s="22" t="s">
        <v>25</v>
      </c>
      <c r="K37" s="44" t="s">
        <v>94</v>
      </c>
      <c r="L37" s="44" t="s">
        <v>54</v>
      </c>
      <c r="M37" s="43" t="s">
        <v>45</v>
      </c>
      <c r="N37" s="3" t="s">
        <v>34</v>
      </c>
      <c r="O37" s="44" t="s">
        <v>85</v>
      </c>
      <c r="P37" s="43" t="s">
        <v>1914</v>
      </c>
      <c r="Q37" s="43" t="s">
        <v>29</v>
      </c>
      <c r="R37" s="28" t="s">
        <v>87</v>
      </c>
      <c r="S37" s="29">
        <v>645800</v>
      </c>
      <c r="T37" s="2" t="s">
        <v>42</v>
      </c>
      <c r="U37" s="30">
        <v>3.4404669999999999</v>
      </c>
      <c r="V37" s="30">
        <v>2.4404668807983398</v>
      </c>
      <c r="W37" s="31">
        <v>0.14880933761596599</v>
      </c>
      <c r="X37" s="32">
        <v>96101.070232391299</v>
      </c>
    </row>
    <row r="38" spans="1:24" x14ac:dyDescent="0.3">
      <c r="A38" s="22" t="s">
        <v>1690</v>
      </c>
      <c r="B38" s="43" t="s">
        <v>1716</v>
      </c>
      <c r="C38" s="43" t="s">
        <v>1724</v>
      </c>
      <c r="D38" s="43" t="s">
        <v>1759</v>
      </c>
      <c r="E38" s="43" t="s">
        <v>1813</v>
      </c>
      <c r="F38" s="23" t="str">
        <f>HYPERLINK("https://mapwv.gov/flood/map/?wkid=102100&amp;x=-9178415.299013188&amp;y=4628705.053675763&amp;l=13&amp;v=2","FT")</f>
        <v>FT</v>
      </c>
      <c r="G38" s="28" t="s">
        <v>37</v>
      </c>
      <c r="H38" s="28" t="s">
        <v>24</v>
      </c>
      <c r="I38" s="43" t="s">
        <v>1864</v>
      </c>
      <c r="J38" s="22" t="s">
        <v>25</v>
      </c>
      <c r="K38" s="44" t="s">
        <v>72</v>
      </c>
      <c r="L38" s="44" t="s">
        <v>50</v>
      </c>
      <c r="M38" s="43" t="s">
        <v>45</v>
      </c>
      <c r="N38" s="3" t="s">
        <v>34</v>
      </c>
      <c r="O38" s="44" t="s">
        <v>85</v>
      </c>
      <c r="P38" s="43" t="s">
        <v>1915</v>
      </c>
      <c r="Q38" s="43" t="s">
        <v>29</v>
      </c>
      <c r="R38" s="28" t="s">
        <v>87</v>
      </c>
      <c r="S38" s="29">
        <v>642100</v>
      </c>
      <c r="T38" s="2" t="s">
        <v>30</v>
      </c>
      <c r="U38" s="30">
        <v>0.85275109999999998</v>
      </c>
      <c r="V38" s="30">
        <v>-0.14724892377853299</v>
      </c>
      <c r="W38" s="31">
        <v>8.5275107622146597E-3</v>
      </c>
      <c r="X38" s="32">
        <v>5475.51466041803</v>
      </c>
    </row>
    <row r="39" spans="1:24" x14ac:dyDescent="0.3">
      <c r="A39" s="22" t="s">
        <v>1691</v>
      </c>
      <c r="B39" s="43" t="s">
        <v>1716</v>
      </c>
      <c r="C39" s="43" t="s">
        <v>1725</v>
      </c>
      <c r="D39" s="43" t="s">
        <v>1760</v>
      </c>
      <c r="E39" s="43" t="s">
        <v>1814</v>
      </c>
      <c r="F39" s="23" t="str">
        <f>HYPERLINK("https://mapwv.gov/flood/map/?wkid=102100&amp;x=-9177583.378847508&amp;y=4624929.090184538&amp;l=13&amp;v=2","FT")</f>
        <v>FT</v>
      </c>
      <c r="G39" s="28" t="s">
        <v>51</v>
      </c>
      <c r="H39" s="28" t="s">
        <v>24</v>
      </c>
      <c r="I39" s="43" t="s">
        <v>1865</v>
      </c>
      <c r="J39" s="22" t="s">
        <v>102</v>
      </c>
      <c r="K39" s="44" t="s">
        <v>101</v>
      </c>
      <c r="L39" s="44" t="s">
        <v>37</v>
      </c>
      <c r="M39" s="43" t="s">
        <v>55</v>
      </c>
      <c r="N39" s="3" t="s">
        <v>83</v>
      </c>
      <c r="O39" s="44" t="s">
        <v>85</v>
      </c>
      <c r="P39" s="43" t="s">
        <v>1916</v>
      </c>
      <c r="Q39" s="43" t="s">
        <v>29</v>
      </c>
      <c r="R39" s="28" t="s">
        <v>87</v>
      </c>
      <c r="S39" s="29">
        <v>621800</v>
      </c>
      <c r="T39" s="2" t="s">
        <v>42</v>
      </c>
      <c r="U39" s="30">
        <v>0.59069824000000004</v>
      </c>
      <c r="V39" s="30">
        <v>-0.4093017578125</v>
      </c>
      <c r="W39" s="31">
        <v>0</v>
      </c>
      <c r="X39" s="32">
        <v>0</v>
      </c>
    </row>
    <row r="40" spans="1:24" x14ac:dyDescent="0.3">
      <c r="A40" s="22" t="s">
        <v>1692</v>
      </c>
      <c r="B40" s="43" t="s">
        <v>1715</v>
      </c>
      <c r="C40" s="43" t="s">
        <v>855</v>
      </c>
      <c r="D40" s="43" t="s">
        <v>1761</v>
      </c>
      <c r="E40" s="43" t="s">
        <v>1815</v>
      </c>
      <c r="F40" s="23" t="str">
        <f>HYPERLINK("https://mapwv.gov/flood/map/?wkid=102100&amp;x=-9193559.750009965&amp;y=4596165.238936065&amp;l=13&amp;v=2","FT")</f>
        <v>FT</v>
      </c>
      <c r="G40" s="28" t="s">
        <v>31</v>
      </c>
      <c r="H40" s="28" t="s">
        <v>24</v>
      </c>
      <c r="I40" s="43" t="s">
        <v>1866</v>
      </c>
      <c r="J40" s="22" t="s">
        <v>25</v>
      </c>
      <c r="K40" s="44" t="s">
        <v>97</v>
      </c>
      <c r="L40" s="44" t="s">
        <v>43</v>
      </c>
      <c r="M40" s="43" t="s">
        <v>55</v>
      </c>
      <c r="N40" s="3" t="s">
        <v>83</v>
      </c>
      <c r="O40" s="44" t="s">
        <v>85</v>
      </c>
      <c r="P40" s="43" t="s">
        <v>1917</v>
      </c>
      <c r="Q40" s="43" t="s">
        <v>29</v>
      </c>
      <c r="R40" s="28" t="s">
        <v>87</v>
      </c>
      <c r="S40" s="29">
        <v>553000</v>
      </c>
      <c r="T40" s="2" t="s">
        <v>42</v>
      </c>
      <c r="U40" s="30">
        <v>1.9006957</v>
      </c>
      <c r="V40" s="30">
        <v>0.90069568157196001</v>
      </c>
      <c r="W40" s="31">
        <v>9.0069568157195995E-2</v>
      </c>
      <c r="X40" s="32">
        <v>49808.471190929398</v>
      </c>
    </row>
    <row r="41" spans="1:24" x14ac:dyDescent="0.3">
      <c r="A41" s="22" t="s">
        <v>1693</v>
      </c>
      <c r="B41" s="43" t="s">
        <v>1716</v>
      </c>
      <c r="C41" s="43" t="s">
        <v>1725</v>
      </c>
      <c r="D41" s="43" t="s">
        <v>1762</v>
      </c>
      <c r="E41" s="43" t="s">
        <v>1816</v>
      </c>
      <c r="F41" s="23" t="str">
        <f>HYPERLINK("https://mapwv.gov/flood/map/?wkid=102100&amp;x=-9160896.377451673&amp;y=4610437.046110291&amp;l=13&amp;v=2","FT")</f>
        <v>FT</v>
      </c>
      <c r="G41" s="28" t="s">
        <v>37</v>
      </c>
      <c r="H41" s="28" t="s">
        <v>24</v>
      </c>
      <c r="I41" s="43" t="s">
        <v>1867</v>
      </c>
      <c r="J41" s="22" t="s">
        <v>35</v>
      </c>
      <c r="K41" s="44" t="s">
        <v>73</v>
      </c>
      <c r="L41" s="44"/>
      <c r="M41" s="43" t="s">
        <v>55</v>
      </c>
      <c r="N41" s="3" t="s">
        <v>83</v>
      </c>
      <c r="O41" s="44" t="s">
        <v>85</v>
      </c>
      <c r="P41" s="43" t="s">
        <v>1918</v>
      </c>
      <c r="Q41" s="43" t="s">
        <v>29</v>
      </c>
      <c r="R41" s="28" t="s">
        <v>87</v>
      </c>
      <c r="S41" s="29">
        <v>513966</v>
      </c>
      <c r="T41" s="2" t="s">
        <v>89</v>
      </c>
      <c r="U41" s="30">
        <v>0</v>
      </c>
      <c r="V41" s="30">
        <v>-1</v>
      </c>
      <c r="W41" s="31">
        <v>0</v>
      </c>
      <c r="X41" s="32">
        <v>0</v>
      </c>
    </row>
    <row r="42" spans="1:24" x14ac:dyDescent="0.3">
      <c r="A42" s="22" t="s">
        <v>1694</v>
      </c>
      <c r="B42" s="43" t="s">
        <v>1716</v>
      </c>
      <c r="C42" s="43" t="s">
        <v>1725</v>
      </c>
      <c r="D42" s="43" t="s">
        <v>1763</v>
      </c>
      <c r="E42" s="43" t="s">
        <v>1817</v>
      </c>
      <c r="F42" s="23" t="str">
        <f>HYPERLINK("https://mapwv.gov/flood/map/?wkid=102100&amp;x=-9166763.28041233&amp;y=4623020.452776352&amp;l=13&amp;v=2","FT")</f>
        <v>FT</v>
      </c>
      <c r="G42" s="28" t="s">
        <v>37</v>
      </c>
      <c r="H42" s="28" t="s">
        <v>24</v>
      </c>
      <c r="I42" s="43" t="s">
        <v>1868</v>
      </c>
      <c r="J42" s="22" t="s">
        <v>35</v>
      </c>
      <c r="K42" s="44" t="s">
        <v>73</v>
      </c>
      <c r="L42" s="44"/>
      <c r="M42" s="43" t="s">
        <v>27</v>
      </c>
      <c r="N42" s="3" t="s">
        <v>82</v>
      </c>
      <c r="O42" s="44" t="s">
        <v>85</v>
      </c>
      <c r="P42" s="43" t="s">
        <v>1919</v>
      </c>
      <c r="Q42" s="43" t="s">
        <v>29</v>
      </c>
      <c r="R42" s="28" t="s">
        <v>87</v>
      </c>
      <c r="S42" s="29">
        <v>496266</v>
      </c>
      <c r="T42" s="2" t="s">
        <v>89</v>
      </c>
      <c r="U42" s="30">
        <v>24.146996000000001</v>
      </c>
      <c r="V42" s="30">
        <v>23.146995544433501</v>
      </c>
      <c r="W42" s="31">
        <v>0.95440986633300695</v>
      </c>
      <c r="X42" s="32">
        <v>473641.16672561603</v>
      </c>
    </row>
    <row r="43" spans="1:24" x14ac:dyDescent="0.3">
      <c r="A43" s="22" t="s">
        <v>1695</v>
      </c>
      <c r="B43" s="43" t="s">
        <v>1718</v>
      </c>
      <c r="C43" s="43" t="s">
        <v>219</v>
      </c>
      <c r="D43" s="43" t="s">
        <v>1764</v>
      </c>
      <c r="E43" s="43" t="s">
        <v>1818</v>
      </c>
      <c r="F43" s="23" t="str">
        <f>HYPERLINK("https://mapwv.gov/flood/map/?wkid=102100&amp;x=-9190172.16365382&amp;y=4635115.02362604&amp;l=13&amp;v=2","FT")</f>
        <v>FT</v>
      </c>
      <c r="G43" s="28" t="s">
        <v>31</v>
      </c>
      <c r="H43" s="28" t="s">
        <v>24</v>
      </c>
      <c r="I43" s="43" t="s">
        <v>1869</v>
      </c>
      <c r="J43" s="22" t="s">
        <v>38</v>
      </c>
      <c r="K43" s="44" t="s">
        <v>124</v>
      </c>
      <c r="L43" s="44" t="s">
        <v>26</v>
      </c>
      <c r="M43" s="43" t="s">
        <v>33</v>
      </c>
      <c r="N43" s="3" t="s">
        <v>84</v>
      </c>
      <c r="O43" s="44" t="s">
        <v>85</v>
      </c>
      <c r="P43" s="43" t="s">
        <v>1920</v>
      </c>
      <c r="Q43" s="43" t="s">
        <v>29</v>
      </c>
      <c r="R43" s="28" t="s">
        <v>87</v>
      </c>
      <c r="S43" s="29">
        <v>463600</v>
      </c>
      <c r="T43" s="2" t="s">
        <v>42</v>
      </c>
      <c r="U43" s="30">
        <v>0.92706299999999997</v>
      </c>
      <c r="V43" s="30">
        <v>-7.293701171875E-2</v>
      </c>
      <c r="W43" s="31">
        <v>9.2706298828124905E-3</v>
      </c>
      <c r="X43" s="32">
        <v>4297.8640136718705</v>
      </c>
    </row>
    <row r="44" spans="1:24" x14ac:dyDescent="0.3">
      <c r="A44" s="22" t="s">
        <v>1696</v>
      </c>
      <c r="B44" s="43" t="s">
        <v>1719</v>
      </c>
      <c r="C44" s="43" t="s">
        <v>1720</v>
      </c>
      <c r="D44" s="43" t="s">
        <v>1765</v>
      </c>
      <c r="E44" s="43" t="s">
        <v>1819</v>
      </c>
      <c r="F44" s="23" t="str">
        <f>HYPERLINK("https://mapwv.gov/flood/map/?wkid=102100&amp;x=-9178236.15378117&amp;y=4610027.437886754&amp;l=13&amp;v=2","FT")</f>
        <v>FT</v>
      </c>
      <c r="G44" s="28" t="s">
        <v>31</v>
      </c>
      <c r="H44" s="28" t="s">
        <v>121</v>
      </c>
      <c r="I44" s="43" t="s">
        <v>1870</v>
      </c>
      <c r="J44" s="22" t="s">
        <v>25</v>
      </c>
      <c r="K44" s="44" t="s">
        <v>74</v>
      </c>
      <c r="L44" s="44" t="s">
        <v>37</v>
      </c>
      <c r="M44" s="43" t="s">
        <v>55</v>
      </c>
      <c r="N44" s="3" t="s">
        <v>83</v>
      </c>
      <c r="O44" s="44" t="s">
        <v>85</v>
      </c>
      <c r="P44" s="43" t="s">
        <v>1921</v>
      </c>
      <c r="Q44" s="43" t="s">
        <v>29</v>
      </c>
      <c r="R44" s="28" t="s">
        <v>87</v>
      </c>
      <c r="S44" s="29">
        <v>444900</v>
      </c>
      <c r="T44" s="2" t="s">
        <v>42</v>
      </c>
      <c r="U44" s="30">
        <v>1</v>
      </c>
      <c r="V44" s="30">
        <v>0</v>
      </c>
      <c r="W44" s="31">
        <v>0</v>
      </c>
      <c r="X44" s="32">
        <v>0</v>
      </c>
    </row>
    <row r="45" spans="1:24" x14ac:dyDescent="0.3">
      <c r="A45" s="22" t="s">
        <v>1697</v>
      </c>
      <c r="B45" s="43" t="s">
        <v>215</v>
      </c>
      <c r="C45" s="43" t="s">
        <v>219</v>
      </c>
      <c r="D45" s="43" t="s">
        <v>1766</v>
      </c>
      <c r="E45" s="43" t="s">
        <v>1820</v>
      </c>
      <c r="F45" s="23" t="str">
        <f>HYPERLINK("https://mapwv.gov/flood/map/?wkid=102100&amp;x=-9185858.838734942&amp;y=4635800.590798313&amp;l=13&amp;v=2","FT")</f>
        <v>FT</v>
      </c>
      <c r="G45" s="28" t="s">
        <v>31</v>
      </c>
      <c r="H45" s="28" t="s">
        <v>24</v>
      </c>
      <c r="I45" s="43" t="s">
        <v>1871</v>
      </c>
      <c r="J45" s="22" t="s">
        <v>38</v>
      </c>
      <c r="K45" s="44" t="s">
        <v>428</v>
      </c>
      <c r="L45" s="44" t="s">
        <v>26</v>
      </c>
      <c r="M45" s="43" t="s">
        <v>55</v>
      </c>
      <c r="N45" s="3" t="s">
        <v>83</v>
      </c>
      <c r="O45" s="44" t="s">
        <v>85</v>
      </c>
      <c r="P45" s="43" t="s">
        <v>1922</v>
      </c>
      <c r="Q45" s="43" t="s">
        <v>29</v>
      </c>
      <c r="R45" s="28" t="s">
        <v>87</v>
      </c>
      <c r="S45" s="29">
        <v>443300</v>
      </c>
      <c r="T45" s="2" t="s">
        <v>42</v>
      </c>
      <c r="U45" s="30">
        <v>0.64575194999999996</v>
      </c>
      <c r="V45" s="30">
        <v>-0.354248046875</v>
      </c>
      <c r="W45" s="31">
        <v>0</v>
      </c>
      <c r="X45" s="32">
        <v>0</v>
      </c>
    </row>
    <row r="46" spans="1:24" x14ac:dyDescent="0.3">
      <c r="A46" s="22" t="s">
        <v>1698</v>
      </c>
      <c r="B46" s="43" t="s">
        <v>1716</v>
      </c>
      <c r="C46" s="43" t="s">
        <v>1726</v>
      </c>
      <c r="D46" s="43" t="s">
        <v>1767</v>
      </c>
      <c r="E46" s="43" t="s">
        <v>1821</v>
      </c>
      <c r="F46" s="23" t="str">
        <f>HYPERLINK("https://mapwv.gov/flood/map/?wkid=102100&amp;x=-9180311.764797661&amp;y=4632799.6082353555&amp;l=13&amp;v=2","FT")</f>
        <v>FT</v>
      </c>
      <c r="G46" s="28" t="s">
        <v>364</v>
      </c>
      <c r="H46" s="28" t="s">
        <v>24</v>
      </c>
      <c r="I46" s="43" t="s">
        <v>1872</v>
      </c>
      <c r="J46" s="22" t="s">
        <v>102</v>
      </c>
      <c r="K46" s="44" t="s">
        <v>92</v>
      </c>
      <c r="L46" s="44" t="s">
        <v>50</v>
      </c>
      <c r="M46" s="43" t="s">
        <v>48</v>
      </c>
      <c r="N46" s="3" t="s">
        <v>34</v>
      </c>
      <c r="O46" s="44" t="s">
        <v>85</v>
      </c>
      <c r="P46" s="43" t="s">
        <v>1923</v>
      </c>
      <c r="Q46" s="43" t="s">
        <v>29</v>
      </c>
      <c r="R46" s="28" t="s">
        <v>87</v>
      </c>
      <c r="S46" s="29">
        <v>436200</v>
      </c>
      <c r="T46" s="2" t="s">
        <v>42</v>
      </c>
      <c r="U46" s="30">
        <v>0.35043649999999998</v>
      </c>
      <c r="V46" s="30">
        <v>-0.64956349134445102</v>
      </c>
      <c r="W46" s="31">
        <v>3.50436508655548E-3</v>
      </c>
      <c r="X46" s="32">
        <v>1528.6040507555001</v>
      </c>
    </row>
    <row r="47" spans="1:24" x14ac:dyDescent="0.3">
      <c r="A47" s="22" t="s">
        <v>1699</v>
      </c>
      <c r="B47" s="43" t="s">
        <v>1718</v>
      </c>
      <c r="C47" s="43" t="s">
        <v>1720</v>
      </c>
      <c r="D47" s="43" t="s">
        <v>1768</v>
      </c>
      <c r="E47" s="43" t="s">
        <v>1822</v>
      </c>
      <c r="F47" s="23" t="str">
        <f>HYPERLINK("https://mapwv.gov/flood/map/?wkid=102100&amp;x=-9190361.546828084&amp;y=4634777.358581302&amp;l=13&amp;v=2","FT")</f>
        <v>FT</v>
      </c>
      <c r="G47" s="28" t="s">
        <v>31</v>
      </c>
      <c r="H47" s="28" t="s">
        <v>24</v>
      </c>
      <c r="I47" s="43" t="s">
        <v>1873</v>
      </c>
      <c r="J47" s="22" t="s">
        <v>25</v>
      </c>
      <c r="K47" s="44" t="s">
        <v>72</v>
      </c>
      <c r="L47" s="44" t="s">
        <v>50</v>
      </c>
      <c r="M47" s="43" t="s">
        <v>33</v>
      </c>
      <c r="N47" s="3" t="s">
        <v>84</v>
      </c>
      <c r="O47" s="44" t="s">
        <v>85</v>
      </c>
      <c r="P47" s="43" t="s">
        <v>1924</v>
      </c>
      <c r="Q47" s="43" t="s">
        <v>29</v>
      </c>
      <c r="R47" s="28" t="s">
        <v>87</v>
      </c>
      <c r="S47" s="29">
        <v>400000</v>
      </c>
      <c r="T47" s="2" t="s">
        <v>42</v>
      </c>
      <c r="U47" s="30">
        <v>0</v>
      </c>
      <c r="V47" s="30">
        <v>-1</v>
      </c>
      <c r="W47" s="31">
        <v>0</v>
      </c>
      <c r="X47" s="32">
        <v>0</v>
      </c>
    </row>
    <row r="48" spans="1:24" x14ac:dyDescent="0.3">
      <c r="A48" s="22" t="s">
        <v>1700</v>
      </c>
      <c r="B48" s="43" t="s">
        <v>1716</v>
      </c>
      <c r="C48" s="43" t="s">
        <v>1720</v>
      </c>
      <c r="D48" s="43" t="s">
        <v>1769</v>
      </c>
      <c r="E48" s="43" t="s">
        <v>1823</v>
      </c>
      <c r="F48" s="23" t="str">
        <f>HYPERLINK("https://mapwv.gov/flood/map/?wkid=102100&amp;x=-9178343.880769353&amp;y=4625836.806606131&amp;l=13&amp;v=2","FT")</f>
        <v>FT</v>
      </c>
      <c r="G48" s="28" t="s">
        <v>31</v>
      </c>
      <c r="H48" s="28" t="s">
        <v>24</v>
      </c>
      <c r="I48" s="43" t="s">
        <v>1874</v>
      </c>
      <c r="J48" s="22" t="s">
        <v>38</v>
      </c>
      <c r="K48" s="44" t="s">
        <v>1567</v>
      </c>
      <c r="L48" s="44" t="s">
        <v>44</v>
      </c>
      <c r="M48" s="43" t="s">
        <v>45</v>
      </c>
      <c r="N48" s="3" t="s">
        <v>34</v>
      </c>
      <c r="O48" s="44" t="s">
        <v>85</v>
      </c>
      <c r="P48" s="43" t="s">
        <v>1925</v>
      </c>
      <c r="Q48" s="43" t="s">
        <v>29</v>
      </c>
      <c r="R48" s="28" t="s">
        <v>87</v>
      </c>
      <c r="S48" s="29">
        <v>392600</v>
      </c>
      <c r="T48" s="2" t="s">
        <v>42</v>
      </c>
      <c r="U48" s="30">
        <v>1.5797730000000001</v>
      </c>
      <c r="V48" s="30">
        <v>0.57977294921875</v>
      </c>
      <c r="W48" s="31">
        <v>5.6381835937499999E-2</v>
      </c>
      <c r="X48" s="32">
        <v>22135.5087890625</v>
      </c>
    </row>
    <row r="49" spans="1:24" x14ac:dyDescent="0.3">
      <c r="A49" s="22" t="s">
        <v>1701</v>
      </c>
      <c r="B49" s="43" t="s">
        <v>1716</v>
      </c>
      <c r="C49" s="43" t="s">
        <v>1720</v>
      </c>
      <c r="D49" s="43" t="s">
        <v>1770</v>
      </c>
      <c r="E49" s="43" t="s">
        <v>1824</v>
      </c>
      <c r="F49" s="23" t="str">
        <f>HYPERLINK("https://mapwv.gov/flood/map/?wkid=102100&amp;x=-9177937.644889317&amp;y=4617694.151990978&amp;l=13&amp;v=2","FT")</f>
        <v>FT</v>
      </c>
      <c r="G49" s="28" t="s">
        <v>31</v>
      </c>
      <c r="H49" s="28" t="s">
        <v>24</v>
      </c>
      <c r="I49" s="43" t="s">
        <v>1875</v>
      </c>
      <c r="J49" s="22" t="s">
        <v>38</v>
      </c>
      <c r="K49" s="44" t="s">
        <v>972</v>
      </c>
      <c r="L49" s="44" t="s">
        <v>62</v>
      </c>
      <c r="M49" s="43" t="s">
        <v>27</v>
      </c>
      <c r="N49" s="3" t="s">
        <v>82</v>
      </c>
      <c r="O49" s="44" t="s">
        <v>85</v>
      </c>
      <c r="P49" s="43" t="s">
        <v>1926</v>
      </c>
      <c r="Q49" s="43" t="s">
        <v>29</v>
      </c>
      <c r="R49" s="28" t="s">
        <v>87</v>
      </c>
      <c r="S49" s="29">
        <v>389600</v>
      </c>
      <c r="T49" s="2" t="s">
        <v>42</v>
      </c>
      <c r="U49" s="30">
        <v>0</v>
      </c>
      <c r="V49" s="30">
        <v>-1</v>
      </c>
      <c r="W49" s="31">
        <v>0</v>
      </c>
      <c r="X49" s="32">
        <v>0</v>
      </c>
    </row>
    <row r="50" spans="1:24" x14ac:dyDescent="0.3">
      <c r="A50" s="22" t="s">
        <v>1702</v>
      </c>
      <c r="B50" s="43" t="s">
        <v>1716</v>
      </c>
      <c r="C50" s="43" t="s">
        <v>1727</v>
      </c>
      <c r="D50" s="43" t="s">
        <v>1771</v>
      </c>
      <c r="E50" s="43" t="s">
        <v>1825</v>
      </c>
      <c r="F50" s="23" t="str">
        <f>HYPERLINK("https://mapwv.gov/flood/map/?wkid=102100&amp;x=-9169596.410099633&amp;y=4604500.008454237&amp;l=13&amp;v=2","FT")</f>
        <v>FT</v>
      </c>
      <c r="G50" s="28" t="s">
        <v>37</v>
      </c>
      <c r="H50" s="28" t="s">
        <v>24</v>
      </c>
      <c r="I50" s="43" t="s">
        <v>1876</v>
      </c>
      <c r="J50" s="22" t="s">
        <v>25</v>
      </c>
      <c r="K50" s="44" t="s">
        <v>111</v>
      </c>
      <c r="L50" s="44" t="s">
        <v>26</v>
      </c>
      <c r="M50" s="43" t="s">
        <v>55</v>
      </c>
      <c r="N50" s="3" t="s">
        <v>83</v>
      </c>
      <c r="O50" s="44" t="s">
        <v>85</v>
      </c>
      <c r="P50" s="43" t="s">
        <v>1927</v>
      </c>
      <c r="Q50" s="43" t="s">
        <v>29</v>
      </c>
      <c r="R50" s="28" t="s">
        <v>87</v>
      </c>
      <c r="S50" s="29">
        <v>379300</v>
      </c>
      <c r="T50" s="2" t="s">
        <v>42</v>
      </c>
      <c r="U50" s="30">
        <v>1.0214350999999999</v>
      </c>
      <c r="V50" s="30">
        <v>2.14351415634155E-2</v>
      </c>
      <c r="W50" s="31">
        <v>2.14351415634155E-3</v>
      </c>
      <c r="X50" s="32">
        <v>813.03491950035004</v>
      </c>
    </row>
    <row r="51" spans="1:24" x14ac:dyDescent="0.3">
      <c r="A51" s="22" t="s">
        <v>1703</v>
      </c>
      <c r="B51" s="43" t="s">
        <v>1718</v>
      </c>
      <c r="C51" s="43" t="s">
        <v>219</v>
      </c>
      <c r="D51" s="43" t="s">
        <v>1772</v>
      </c>
      <c r="E51" s="43" t="s">
        <v>1826</v>
      </c>
      <c r="F51" s="23" t="str">
        <f>HYPERLINK("https://mapwv.gov/flood/map/?wkid=102100&amp;x=-9190276.98097315&amp;y=4635730.59678074&amp;l=13&amp;v=2","FT")</f>
        <v>FT</v>
      </c>
      <c r="G51" s="28" t="s">
        <v>70</v>
      </c>
      <c r="H51" s="28" t="s">
        <v>24</v>
      </c>
      <c r="I51" s="43" t="s">
        <v>1877</v>
      </c>
      <c r="J51" s="22" t="s">
        <v>38</v>
      </c>
      <c r="K51" s="44" t="s">
        <v>109</v>
      </c>
      <c r="L51" s="44"/>
      <c r="M51" s="43" t="s">
        <v>61</v>
      </c>
      <c r="N51" s="3" t="s">
        <v>82</v>
      </c>
      <c r="O51" s="44" t="s">
        <v>85</v>
      </c>
      <c r="P51" s="43" t="s">
        <v>1928</v>
      </c>
      <c r="Q51" s="43" t="s">
        <v>29</v>
      </c>
      <c r="R51" s="28" t="s">
        <v>87</v>
      </c>
      <c r="S51" s="29">
        <v>360495</v>
      </c>
      <c r="T51" s="2" t="s">
        <v>89</v>
      </c>
      <c r="U51" s="30">
        <v>0</v>
      </c>
      <c r="V51" s="30">
        <v>-1</v>
      </c>
      <c r="W51" s="31">
        <v>0</v>
      </c>
      <c r="X51" s="32">
        <v>0</v>
      </c>
    </row>
    <row r="52" spans="1:24" x14ac:dyDescent="0.3">
      <c r="A52" s="22" t="s">
        <v>1704</v>
      </c>
      <c r="B52" s="43" t="s">
        <v>1716</v>
      </c>
      <c r="C52" s="43" t="s">
        <v>1720</v>
      </c>
      <c r="D52" s="43" t="s">
        <v>1773</v>
      </c>
      <c r="E52" s="43" t="s">
        <v>1827</v>
      </c>
      <c r="F52" s="23" t="str">
        <f>HYPERLINK("https://mapwv.gov/flood/map/?wkid=102100&amp;x=-9178732.787878225&amp;y=4626890.1021482395&amp;l=13&amp;v=2","FT")</f>
        <v>FT</v>
      </c>
      <c r="G52" s="28" t="s">
        <v>31</v>
      </c>
      <c r="H52" s="28" t="s">
        <v>24</v>
      </c>
      <c r="I52" s="43" t="s">
        <v>1853</v>
      </c>
      <c r="J52" s="22" t="s">
        <v>25</v>
      </c>
      <c r="K52" s="44" t="s">
        <v>116</v>
      </c>
      <c r="L52" s="44" t="s">
        <v>46</v>
      </c>
      <c r="M52" s="43" t="s">
        <v>45</v>
      </c>
      <c r="N52" s="3" t="s">
        <v>34</v>
      </c>
      <c r="O52" s="44" t="s">
        <v>85</v>
      </c>
      <c r="P52" s="43" t="s">
        <v>1929</v>
      </c>
      <c r="Q52" s="43" t="s">
        <v>29</v>
      </c>
      <c r="R52" s="28" t="s">
        <v>87</v>
      </c>
      <c r="S52" s="29">
        <v>354200</v>
      </c>
      <c r="T52" s="2" t="s">
        <v>30</v>
      </c>
      <c r="U52" s="30">
        <v>9.0209960000000006E-2</v>
      </c>
      <c r="V52" s="30">
        <v>-0.9097900390625</v>
      </c>
      <c r="W52" s="31">
        <v>9.0209960937499996E-4</v>
      </c>
      <c r="X52" s="32">
        <v>319.523681640625</v>
      </c>
    </row>
    <row r="53" spans="1:24" x14ac:dyDescent="0.3">
      <c r="A53" s="22" t="s">
        <v>1705</v>
      </c>
      <c r="B53" s="43" t="s">
        <v>1719</v>
      </c>
      <c r="C53" s="43" t="s">
        <v>1720</v>
      </c>
      <c r="D53" s="43" t="s">
        <v>1774</v>
      </c>
      <c r="E53" s="43" t="s">
        <v>1828</v>
      </c>
      <c r="F53" s="23" t="str">
        <f>HYPERLINK("https://mapwv.gov/flood/map/?wkid=102100&amp;x=-9177618.391499028&amp;y=4610261.757269073&amp;l=13&amp;v=2","FT")</f>
        <v>FT</v>
      </c>
      <c r="G53" s="28" t="s">
        <v>31</v>
      </c>
      <c r="H53" s="28" t="s">
        <v>24</v>
      </c>
      <c r="I53" s="43" t="s">
        <v>1878</v>
      </c>
      <c r="J53" s="22" t="s">
        <v>25</v>
      </c>
      <c r="K53" s="44" t="s">
        <v>72</v>
      </c>
      <c r="L53" s="44" t="s">
        <v>46</v>
      </c>
      <c r="M53" s="43" t="s">
        <v>59</v>
      </c>
      <c r="N53" s="3" t="s">
        <v>40</v>
      </c>
      <c r="O53" s="44" t="s">
        <v>127</v>
      </c>
      <c r="P53" s="43" t="s">
        <v>1930</v>
      </c>
      <c r="Q53" s="43" t="s">
        <v>29</v>
      </c>
      <c r="R53" s="28" t="s">
        <v>87</v>
      </c>
      <c r="S53" s="29">
        <v>343900</v>
      </c>
      <c r="T53" s="2" t="s">
        <v>42</v>
      </c>
      <c r="U53" s="30">
        <v>0</v>
      </c>
      <c r="V53" s="30">
        <v>-1</v>
      </c>
      <c r="W53" s="31">
        <v>0</v>
      </c>
      <c r="X53" s="32">
        <v>0</v>
      </c>
    </row>
    <row r="54" spans="1:24" x14ac:dyDescent="0.3">
      <c r="A54" s="22" t="s">
        <v>1706</v>
      </c>
      <c r="B54" s="43" t="s">
        <v>1716</v>
      </c>
      <c r="C54" s="43" t="s">
        <v>1720</v>
      </c>
      <c r="D54" s="43" t="s">
        <v>1775</v>
      </c>
      <c r="E54" s="43" t="s">
        <v>1829</v>
      </c>
      <c r="F54" s="23" t="str">
        <f>HYPERLINK("https://mapwv.gov/flood/map/?wkid=102100&amp;x=-9185001.867565012&amp;y=4630726.376449311&amp;l=13&amp;v=2","FT")</f>
        <v>FT</v>
      </c>
      <c r="G54" s="28" t="s">
        <v>31</v>
      </c>
      <c r="H54" s="28" t="s">
        <v>24</v>
      </c>
      <c r="I54" s="43" t="s">
        <v>1879</v>
      </c>
      <c r="J54" s="22" t="s">
        <v>25</v>
      </c>
      <c r="K54" s="44" t="s">
        <v>105</v>
      </c>
      <c r="L54" s="44" t="s">
        <v>26</v>
      </c>
      <c r="M54" s="43" t="s">
        <v>125</v>
      </c>
      <c r="N54" s="3" t="s">
        <v>40</v>
      </c>
      <c r="O54" s="44" t="s">
        <v>86</v>
      </c>
      <c r="P54" s="43" t="s">
        <v>1931</v>
      </c>
      <c r="Q54" s="43" t="s">
        <v>29</v>
      </c>
      <c r="R54" s="28" t="s">
        <v>87</v>
      </c>
      <c r="S54" s="29">
        <v>341200</v>
      </c>
      <c r="T54" s="2" t="s">
        <v>42</v>
      </c>
      <c r="U54" s="30">
        <v>0.56744384999999997</v>
      </c>
      <c r="V54" s="30">
        <v>-0.43255615234375</v>
      </c>
      <c r="W54" s="31">
        <v>8.5116577148437497E-2</v>
      </c>
      <c r="X54" s="32">
        <v>29041.776123046799</v>
      </c>
    </row>
    <row r="55" spans="1:24" x14ac:dyDescent="0.3">
      <c r="A55" s="22" t="s">
        <v>1707</v>
      </c>
      <c r="B55" s="43" t="s">
        <v>1716</v>
      </c>
      <c r="C55" s="43" t="s">
        <v>1728</v>
      </c>
      <c r="D55" s="43" t="s">
        <v>1776</v>
      </c>
      <c r="E55" s="43" t="s">
        <v>1830</v>
      </c>
      <c r="F55" s="23" t="str">
        <f>HYPERLINK("https://mapwv.gov/flood/map/?wkid=102100&amp;x=-9177310.215065997&amp;y=4626862.883523449&amp;l=13&amp;v=2","FT")</f>
        <v>FT</v>
      </c>
      <c r="G55" s="28" t="s">
        <v>37</v>
      </c>
      <c r="H55" s="28" t="s">
        <v>24</v>
      </c>
      <c r="I55" s="43" t="s">
        <v>1880</v>
      </c>
      <c r="J55" s="22" t="s">
        <v>38</v>
      </c>
      <c r="K55" s="44" t="s">
        <v>1885</v>
      </c>
      <c r="L55" s="44" t="s">
        <v>46</v>
      </c>
      <c r="M55" s="43" t="s">
        <v>55</v>
      </c>
      <c r="N55" s="3" t="s">
        <v>83</v>
      </c>
      <c r="O55" s="44" t="s">
        <v>85</v>
      </c>
      <c r="P55" s="43" t="s">
        <v>1932</v>
      </c>
      <c r="Q55" s="43" t="s">
        <v>29</v>
      </c>
      <c r="R55" s="28" t="s">
        <v>87</v>
      </c>
      <c r="S55" s="29">
        <v>339700</v>
      </c>
      <c r="T55" s="2" t="s">
        <v>42</v>
      </c>
      <c r="U55" s="30">
        <v>0.75179463999999996</v>
      </c>
      <c r="V55" s="30">
        <v>-0.24820536375045699</v>
      </c>
      <c r="W55" s="31">
        <v>0</v>
      </c>
      <c r="X55" s="32">
        <v>0</v>
      </c>
    </row>
    <row r="56" spans="1:24" x14ac:dyDescent="0.3">
      <c r="A56" s="22" t="s">
        <v>1708</v>
      </c>
      <c r="B56" s="43" t="s">
        <v>1716</v>
      </c>
      <c r="C56" s="43" t="s">
        <v>1344</v>
      </c>
      <c r="D56" s="43" t="s">
        <v>1777</v>
      </c>
      <c r="E56" s="43" t="s">
        <v>1831</v>
      </c>
      <c r="F56" s="23" t="str">
        <f>HYPERLINK("https://mapwv.gov/flood/map/?wkid=102100&amp;x=-9174466.523385402&amp;y=4560159.146096792&amp;l=13&amp;v=2","FT")</f>
        <v>FT</v>
      </c>
      <c r="G56" s="28" t="s">
        <v>31</v>
      </c>
      <c r="H56" s="28" t="s">
        <v>24</v>
      </c>
      <c r="I56" s="43" t="s">
        <v>1881</v>
      </c>
      <c r="J56" s="22" t="s">
        <v>38</v>
      </c>
      <c r="K56" s="44" t="s">
        <v>79</v>
      </c>
      <c r="L56" s="44" t="s">
        <v>50</v>
      </c>
      <c r="M56" s="43" t="s">
        <v>52</v>
      </c>
      <c r="N56" s="3" t="s">
        <v>34</v>
      </c>
      <c r="O56" s="44" t="s">
        <v>85</v>
      </c>
      <c r="P56" s="43" t="s">
        <v>1023</v>
      </c>
      <c r="Q56" s="43" t="s">
        <v>29</v>
      </c>
      <c r="R56" s="28" t="s">
        <v>87</v>
      </c>
      <c r="S56" s="29">
        <v>337086</v>
      </c>
      <c r="T56" s="2" t="s">
        <v>89</v>
      </c>
      <c r="U56" s="30">
        <v>1.0708617</v>
      </c>
      <c r="V56" s="30">
        <v>7.0861697196960394E-2</v>
      </c>
      <c r="W56" s="31">
        <v>2.63775527477264E-2</v>
      </c>
      <c r="X56" s="32">
        <v>8891.5037455201109</v>
      </c>
    </row>
    <row r="57" spans="1:24" x14ac:dyDescent="0.3">
      <c r="A57" s="22" t="s">
        <v>1709</v>
      </c>
      <c r="B57" s="43" t="s">
        <v>1715</v>
      </c>
      <c r="C57" s="43" t="s">
        <v>1344</v>
      </c>
      <c r="D57" s="43" t="s">
        <v>1778</v>
      </c>
      <c r="E57" s="43" t="s">
        <v>1832</v>
      </c>
      <c r="F57" s="23" t="str">
        <f>HYPERLINK("https://mapwv.gov/flood/map/?wkid=102100&amp;x=-9194308.517299013&amp;y=4596100.45697347&amp;l=13&amp;v=2","FT")</f>
        <v>FT</v>
      </c>
      <c r="G57" s="28" t="s">
        <v>70</v>
      </c>
      <c r="H57" s="28" t="s">
        <v>24</v>
      </c>
      <c r="I57" s="43"/>
      <c r="J57" s="22" t="s">
        <v>38</v>
      </c>
      <c r="K57" s="44" t="s">
        <v>109</v>
      </c>
      <c r="L57" s="44"/>
      <c r="M57" s="43" t="s">
        <v>61</v>
      </c>
      <c r="N57" s="3" t="s">
        <v>82</v>
      </c>
      <c r="O57" s="44" t="s">
        <v>86</v>
      </c>
      <c r="P57" s="43" t="s">
        <v>1037</v>
      </c>
      <c r="Q57" s="43" t="s">
        <v>29</v>
      </c>
      <c r="R57" s="28" t="s">
        <v>87</v>
      </c>
      <c r="S57" s="29">
        <v>327723</v>
      </c>
      <c r="T57" s="2" t="s">
        <v>89</v>
      </c>
      <c r="U57" s="30">
        <v>0</v>
      </c>
      <c r="V57" s="30">
        <v>-1</v>
      </c>
      <c r="W57" s="31">
        <v>0</v>
      </c>
      <c r="X57" s="32">
        <v>0</v>
      </c>
    </row>
    <row r="58" spans="1:24" x14ac:dyDescent="0.3">
      <c r="A58" s="22" t="s">
        <v>1710</v>
      </c>
      <c r="B58" s="43" t="s">
        <v>1716</v>
      </c>
      <c r="C58" s="43" t="s">
        <v>1729</v>
      </c>
      <c r="D58" s="43" t="s">
        <v>1779</v>
      </c>
      <c r="E58" s="43" t="s">
        <v>1833</v>
      </c>
      <c r="F58" s="23" t="str">
        <f>HYPERLINK("https://mapwv.gov/flood/map/?wkid=102100&amp;x=-9195563.9649352&amp;y=4599706.826324146&amp;l=13&amp;v=2","FT")</f>
        <v>FT</v>
      </c>
      <c r="G58" s="28" t="s">
        <v>37</v>
      </c>
      <c r="H58" s="28" t="s">
        <v>24</v>
      </c>
      <c r="I58" s="43" t="s">
        <v>1882</v>
      </c>
      <c r="J58" s="22" t="s">
        <v>25</v>
      </c>
      <c r="K58" s="44" t="s">
        <v>71</v>
      </c>
      <c r="L58" s="44" t="s">
        <v>37</v>
      </c>
      <c r="M58" s="43" t="s">
        <v>39</v>
      </c>
      <c r="N58" s="3" t="s">
        <v>40</v>
      </c>
      <c r="O58" s="44" t="s">
        <v>85</v>
      </c>
      <c r="P58" s="43" t="s">
        <v>1933</v>
      </c>
      <c r="Q58" s="43" t="s">
        <v>41</v>
      </c>
      <c r="R58" s="28" t="s">
        <v>88</v>
      </c>
      <c r="S58" s="29">
        <v>321400</v>
      </c>
      <c r="T58" s="2" t="s">
        <v>42</v>
      </c>
      <c r="U58" s="30">
        <v>0</v>
      </c>
      <c r="V58" s="30">
        <v>-4</v>
      </c>
      <c r="W58" s="31">
        <v>0</v>
      </c>
      <c r="X58" s="32">
        <v>0</v>
      </c>
    </row>
    <row r="59" spans="1:24" x14ac:dyDescent="0.3">
      <c r="A59" s="22" t="s">
        <v>1711</v>
      </c>
      <c r="B59" s="43" t="s">
        <v>1716</v>
      </c>
      <c r="C59" s="43" t="s">
        <v>1720</v>
      </c>
      <c r="D59" s="43" t="s">
        <v>1773</v>
      </c>
      <c r="E59" s="43" t="s">
        <v>1834</v>
      </c>
      <c r="F59" s="23" t="str">
        <f>HYPERLINK("https://mapwv.gov/flood/map/?wkid=102100&amp;x=-9178712.778088437&amp;y=4626840.315728888&amp;l=13&amp;v=2","FT")</f>
        <v>FT</v>
      </c>
      <c r="G59" s="28" t="s">
        <v>31</v>
      </c>
      <c r="H59" s="28" t="s">
        <v>24</v>
      </c>
      <c r="I59" s="43" t="s">
        <v>1853</v>
      </c>
      <c r="J59" s="22" t="s">
        <v>25</v>
      </c>
      <c r="K59" s="44" t="s">
        <v>78</v>
      </c>
      <c r="L59" s="44" t="s">
        <v>46</v>
      </c>
      <c r="M59" s="43" t="s">
        <v>45</v>
      </c>
      <c r="N59" s="3" t="s">
        <v>34</v>
      </c>
      <c r="O59" s="44" t="s">
        <v>85</v>
      </c>
      <c r="P59" s="43" t="s">
        <v>1934</v>
      </c>
      <c r="Q59" s="43" t="s">
        <v>29</v>
      </c>
      <c r="R59" s="28" t="s">
        <v>87</v>
      </c>
      <c r="S59" s="29">
        <v>314100</v>
      </c>
      <c r="T59" s="2" t="s">
        <v>30</v>
      </c>
      <c r="U59" s="30">
        <v>1</v>
      </c>
      <c r="V59" s="30">
        <v>0</v>
      </c>
      <c r="W59" s="31">
        <v>0.01</v>
      </c>
      <c r="X59" s="32">
        <v>3141</v>
      </c>
    </row>
    <row r="60" spans="1:24" x14ac:dyDescent="0.3">
      <c r="A60" s="22" t="s">
        <v>1712</v>
      </c>
      <c r="B60" s="43" t="s">
        <v>1716</v>
      </c>
      <c r="C60" s="43" t="s">
        <v>1730</v>
      </c>
      <c r="D60" s="43" t="s">
        <v>1780</v>
      </c>
      <c r="E60" s="43" t="s">
        <v>1835</v>
      </c>
      <c r="F60" s="23" t="str">
        <f>HYPERLINK("https://mapwv.gov/flood/map/?wkid=102100&amp;x=-9190413.384864042&amp;y=4598264.028222971&amp;l=13&amp;v=2","FT")</f>
        <v>FT</v>
      </c>
      <c r="G60" s="28" t="s">
        <v>37</v>
      </c>
      <c r="H60" s="28" t="s">
        <v>24</v>
      </c>
      <c r="I60" s="43" t="s">
        <v>1883</v>
      </c>
      <c r="J60" s="22" t="s">
        <v>25</v>
      </c>
      <c r="K60" s="44" t="s">
        <v>108</v>
      </c>
      <c r="L60" s="44"/>
      <c r="M60" s="43" t="s">
        <v>39</v>
      </c>
      <c r="N60" s="3" t="s">
        <v>40</v>
      </c>
      <c r="O60" s="44" t="s">
        <v>85</v>
      </c>
      <c r="P60" s="43" t="s">
        <v>1935</v>
      </c>
      <c r="Q60" s="43" t="s">
        <v>29</v>
      </c>
      <c r="R60" s="28" t="s">
        <v>87</v>
      </c>
      <c r="S60" s="29">
        <v>314100</v>
      </c>
      <c r="T60" s="2" t="s">
        <v>28</v>
      </c>
      <c r="U60" s="30">
        <v>0</v>
      </c>
      <c r="V60" s="30">
        <v>-1</v>
      </c>
      <c r="W60" s="31">
        <v>0</v>
      </c>
      <c r="X60" s="32">
        <v>0</v>
      </c>
    </row>
    <row r="61" spans="1:24" x14ac:dyDescent="0.3">
      <c r="A61" s="22" t="s">
        <v>1713</v>
      </c>
      <c r="B61" s="43" t="s">
        <v>1719</v>
      </c>
      <c r="C61" s="43" t="s">
        <v>1720</v>
      </c>
      <c r="D61" s="43" t="s">
        <v>1781</v>
      </c>
      <c r="E61" s="43" t="s">
        <v>1836</v>
      </c>
      <c r="F61" s="23" t="str">
        <f>HYPERLINK("https://mapwv.gov/flood/map/?wkid=102100&amp;x=-9177315.814325064&amp;y=4611762.055626876&amp;l=13&amp;v=2","FT")</f>
        <v>FT</v>
      </c>
      <c r="G61" s="28" t="s">
        <v>31</v>
      </c>
      <c r="H61" s="28" t="s">
        <v>24</v>
      </c>
      <c r="I61" s="43" t="s">
        <v>1878</v>
      </c>
      <c r="J61" s="22" t="s">
        <v>25</v>
      </c>
      <c r="K61" s="44" t="s">
        <v>110</v>
      </c>
      <c r="L61" s="44" t="s">
        <v>26</v>
      </c>
      <c r="M61" s="43" t="s">
        <v>668</v>
      </c>
      <c r="N61" s="3" t="s">
        <v>40</v>
      </c>
      <c r="O61" s="44" t="s">
        <v>86</v>
      </c>
      <c r="P61" s="43" t="s">
        <v>1936</v>
      </c>
      <c r="Q61" s="43" t="s">
        <v>29</v>
      </c>
      <c r="R61" s="28" t="s">
        <v>87</v>
      </c>
      <c r="S61" s="29">
        <v>307100</v>
      </c>
      <c r="T61" s="2" t="s">
        <v>42</v>
      </c>
      <c r="U61" s="30">
        <v>0.27075195000000002</v>
      </c>
      <c r="V61" s="30">
        <v>-0.729248046875</v>
      </c>
      <c r="W61" s="31">
        <v>4.0612792968749999E-2</v>
      </c>
      <c r="X61" s="32">
        <v>12472.1887207031</v>
      </c>
    </row>
    <row r="62" spans="1:24" x14ac:dyDescent="0.3">
      <c r="A62" s="22" t="s">
        <v>1714</v>
      </c>
      <c r="B62" s="43" t="s">
        <v>215</v>
      </c>
      <c r="C62" s="43" t="s">
        <v>219</v>
      </c>
      <c r="D62" s="43" t="s">
        <v>1782</v>
      </c>
      <c r="E62" s="43" t="s">
        <v>1837</v>
      </c>
      <c r="F62" s="23" t="str">
        <f>HYPERLINK("https://mapwv.gov/flood/map/?wkid=102100&amp;x=-9185813.55374345&amp;y=4635803.196109471&amp;l=13&amp;v=2","FT")</f>
        <v>FT</v>
      </c>
      <c r="G62" s="28" t="s">
        <v>31</v>
      </c>
      <c r="H62" s="28" t="s">
        <v>24</v>
      </c>
      <c r="I62" s="43" t="s">
        <v>1884</v>
      </c>
      <c r="J62" s="22" t="s">
        <v>35</v>
      </c>
      <c r="K62" s="44" t="s">
        <v>73</v>
      </c>
      <c r="L62" s="44"/>
      <c r="M62" s="43" t="s">
        <v>48</v>
      </c>
      <c r="N62" s="3" t="s">
        <v>34</v>
      </c>
      <c r="O62" s="44" t="s">
        <v>85</v>
      </c>
      <c r="P62" s="43" t="s">
        <v>1937</v>
      </c>
      <c r="Q62" s="43" t="s">
        <v>29</v>
      </c>
      <c r="R62" s="28" t="s">
        <v>87</v>
      </c>
      <c r="S62" s="29">
        <v>305800</v>
      </c>
      <c r="T62" s="2" t="s">
        <v>42</v>
      </c>
      <c r="U62" s="30">
        <v>0.44757079999999999</v>
      </c>
      <c r="V62" s="30">
        <v>-0.55242919921875</v>
      </c>
      <c r="W62" s="31">
        <v>4.4757080078124999E-3</v>
      </c>
      <c r="X62" s="32">
        <v>1368.67150878906</v>
      </c>
    </row>
  </sheetData>
  <hyperlinks>
    <hyperlink ref="J3" r:id="rId1" xr:uid="{03C24902-886B-4E71-B8A4-7B072E262890}"/>
    <hyperlink ref="M3" r:id="rId2" xr:uid="{AC94B2B1-76E0-4B74-928E-00F5205B7D17}"/>
    <hyperlink ref="Q3" r:id="rId3" xr:uid="{4A1832BD-9FE1-4445-97BA-EAAB44A72C9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B21B-C4EF-4CB3-8E7D-D8E23B2F3F6A}">
  <sheetPr filterMode="1"/>
  <dimension ref="B1:G29"/>
  <sheetViews>
    <sheetView workbookViewId="0">
      <selection activeCell="K6" sqref="K6"/>
    </sheetView>
  </sheetViews>
  <sheetFormatPr defaultRowHeight="14.4" x14ac:dyDescent="0.3"/>
  <cols>
    <col min="2" max="2" width="17" style="46" bestFit="1" customWidth="1"/>
    <col min="3" max="3" width="8.88671875" style="46"/>
    <col min="4" max="4" width="25.5546875" style="46" bestFit="1" customWidth="1"/>
    <col min="5" max="6" width="8.88671875" style="46"/>
    <col min="7" max="7" width="9.77734375" style="46" bestFit="1" customWidth="1"/>
  </cols>
  <sheetData>
    <row r="1" spans="2:7" x14ac:dyDescent="0.3">
      <c r="G1" s="33" t="s">
        <v>1946</v>
      </c>
    </row>
    <row r="2" spans="2:7" ht="36" x14ac:dyDescent="0.3">
      <c r="B2" s="36" t="s">
        <v>1</v>
      </c>
      <c r="C2" s="36" t="s">
        <v>5</v>
      </c>
      <c r="D2" s="36" t="s">
        <v>107</v>
      </c>
      <c r="E2" s="37" t="s">
        <v>12</v>
      </c>
      <c r="F2" s="34" t="s">
        <v>13</v>
      </c>
      <c r="G2" s="35" t="s">
        <v>18</v>
      </c>
    </row>
    <row r="3" spans="2:7" x14ac:dyDescent="0.3">
      <c r="B3" s="51" t="s">
        <v>1942</v>
      </c>
      <c r="C3" s="40" t="str">
        <f>HYPERLINK("https://mapwv.gov/flood/map/?wkid=102100&amp;x=-9151277.775995426&amp;y=4640175.848220188&amp;l=13&amp;v=2","FT")</f>
        <v>FT</v>
      </c>
      <c r="D3" s="51" t="s">
        <v>56</v>
      </c>
      <c r="E3" s="45" t="s">
        <v>57</v>
      </c>
      <c r="F3" s="41" t="s">
        <v>28</v>
      </c>
      <c r="G3" s="42">
        <v>60947644</v>
      </c>
    </row>
    <row r="4" spans="2:7" x14ac:dyDescent="0.3">
      <c r="B4" s="51" t="s">
        <v>1943</v>
      </c>
      <c r="C4" s="40" t="str">
        <f>HYPERLINK("https://mapwv.gov/flood/map/?wkid=102100&amp;x=-9172784.338492513&amp;y=4640493.822500558&amp;l=13&amp;v=2","FT")</f>
        <v>FT</v>
      </c>
      <c r="D4" s="51" t="s">
        <v>365</v>
      </c>
      <c r="E4" s="45" t="s">
        <v>138</v>
      </c>
      <c r="F4" s="41" t="s">
        <v>34</v>
      </c>
      <c r="G4" s="42">
        <v>30000000</v>
      </c>
    </row>
    <row r="5" spans="2:7" x14ac:dyDescent="0.3">
      <c r="B5" s="51" t="s">
        <v>1943</v>
      </c>
      <c r="C5" s="40" t="str">
        <f>HYPERLINK("https://mapwv.gov/flood/map/?wkid=102100&amp;x=-9176243.811858865&amp;y=4637771.315458343&amp;l=13&amp;v=2","FT")</f>
        <v>FT</v>
      </c>
      <c r="D5" s="51" t="s">
        <v>366</v>
      </c>
      <c r="E5" s="45" t="s">
        <v>436</v>
      </c>
      <c r="F5" s="41" t="s">
        <v>28</v>
      </c>
      <c r="G5" s="42">
        <v>13252075</v>
      </c>
    </row>
    <row r="6" spans="2:7" x14ac:dyDescent="0.3">
      <c r="B6" s="51" t="s">
        <v>1944</v>
      </c>
      <c r="C6" s="40" t="str">
        <f>HYPERLINK("https://mapwv.gov/flood/map/?wkid=102100&amp;x=-9143798.260485923&amp;y=4640755.6171744745&amp;l=13&amp;v=2","FT")</f>
        <v>FT</v>
      </c>
      <c r="D6" s="51" t="s">
        <v>56</v>
      </c>
      <c r="E6" s="45" t="s">
        <v>27</v>
      </c>
      <c r="F6" s="41" t="s">
        <v>28</v>
      </c>
      <c r="G6" s="42">
        <v>12957516</v>
      </c>
    </row>
    <row r="7" spans="2:7" x14ac:dyDescent="0.3">
      <c r="B7" s="51" t="s">
        <v>1943</v>
      </c>
      <c r="C7" s="40" t="str">
        <f>HYPERLINK("https://mapwv.gov/flood/map/?wkid=102100&amp;x=-9182838.487809198&amp;y=4637564.221496771&amp;l=13&amp;v=2","FT")</f>
        <v>FT</v>
      </c>
      <c r="D7" s="51" t="s">
        <v>56</v>
      </c>
      <c r="E7" s="45" t="s">
        <v>57</v>
      </c>
      <c r="F7" s="41" t="s">
        <v>28</v>
      </c>
      <c r="G7" s="42">
        <v>12921762</v>
      </c>
    </row>
    <row r="8" spans="2:7" x14ac:dyDescent="0.3">
      <c r="B8" s="51" t="s">
        <v>1943</v>
      </c>
      <c r="C8" s="40" t="str">
        <f>HYPERLINK("https://mapwv.gov/flood/map/?wkid=102100&amp;x=-9176101.139233489&amp;y=4637711.9204161195&amp;l=13&amp;v=2","FT")</f>
        <v>FT</v>
      </c>
      <c r="D8" s="51" t="s">
        <v>366</v>
      </c>
      <c r="E8" s="45" t="s">
        <v>138</v>
      </c>
      <c r="F8" s="41" t="s">
        <v>34</v>
      </c>
      <c r="G8" s="42">
        <v>9868760</v>
      </c>
    </row>
    <row r="9" spans="2:7" x14ac:dyDescent="0.3">
      <c r="B9" s="51" t="s">
        <v>1944</v>
      </c>
      <c r="C9" s="40" t="str">
        <f>HYPERLINK("https://mapwv.gov/flood/map/?wkid=102100&amp;x=-9143365.861297278&amp;y=4641408.782675063&amp;l=13&amp;v=2","FT")</f>
        <v>FT</v>
      </c>
      <c r="D9" s="51" t="s">
        <v>56</v>
      </c>
      <c r="E9" s="45" t="s">
        <v>57</v>
      </c>
      <c r="F9" s="41" t="s">
        <v>28</v>
      </c>
      <c r="G9" s="42">
        <v>9164113</v>
      </c>
    </row>
    <row r="10" spans="2:7" x14ac:dyDescent="0.3">
      <c r="B10" s="51" t="s">
        <v>1943</v>
      </c>
      <c r="C10" s="40" t="str">
        <f>HYPERLINK("https://mapwv.gov/flood/map/?wkid=102100&amp;x=-9171019.73854857&amp;y=4639860.911024421&amp;l=13&amp;v=2","FT")</f>
        <v>FT</v>
      </c>
      <c r="D10" s="51" t="s">
        <v>56</v>
      </c>
      <c r="E10" s="45" t="s">
        <v>57</v>
      </c>
      <c r="F10" s="41" t="s">
        <v>28</v>
      </c>
      <c r="G10" s="42">
        <v>8776460</v>
      </c>
    </row>
    <row r="11" spans="2:7" x14ac:dyDescent="0.3">
      <c r="B11" s="51" t="s">
        <v>1943</v>
      </c>
      <c r="C11" s="40" t="str">
        <f>HYPERLINK("https://mapwv.gov/flood/map/?wkid=102100&amp;x=-9176127.083465334&amp;y=4637600.577587312&amp;l=13&amp;v=2","FT")</f>
        <v>FT</v>
      </c>
      <c r="D11" s="51" t="s">
        <v>366</v>
      </c>
      <c r="E11" s="45" t="s">
        <v>138</v>
      </c>
      <c r="F11" s="41" t="s">
        <v>34</v>
      </c>
      <c r="G11" s="42">
        <v>8612117</v>
      </c>
    </row>
    <row r="12" spans="2:7" x14ac:dyDescent="0.3">
      <c r="B12" s="51" t="s">
        <v>1942</v>
      </c>
      <c r="C12" s="40" t="str">
        <f>HYPERLINK("https://mapwv.gov/flood/map/?wkid=102100&amp;x=-9152838.392879924&amp;y=4624767.411436048&amp;l=13&amp;v=2","FT")</f>
        <v>FT</v>
      </c>
      <c r="D12" s="51" t="s">
        <v>56</v>
      </c>
      <c r="E12" s="45" t="s">
        <v>57</v>
      </c>
      <c r="F12" s="41" t="s">
        <v>28</v>
      </c>
      <c r="G12" s="42">
        <v>8493474</v>
      </c>
    </row>
    <row r="13" spans="2:7" x14ac:dyDescent="0.3">
      <c r="B13" s="51" t="s">
        <v>1942</v>
      </c>
      <c r="C13" s="40" t="str">
        <f>HYPERLINK("https://mapwv.gov/flood/map/?wkid=102100&amp;x=-9169849.583015667&amp;y=4637138.60351309&amp;l=13&amp;v=2","FT")</f>
        <v>FT</v>
      </c>
      <c r="D13" s="51" t="s">
        <v>367</v>
      </c>
      <c r="E13" s="45" t="s">
        <v>45</v>
      </c>
      <c r="F13" s="41" t="s">
        <v>34</v>
      </c>
      <c r="G13" s="42">
        <v>6774400</v>
      </c>
    </row>
    <row r="14" spans="2:7" x14ac:dyDescent="0.3">
      <c r="B14" s="51" t="s">
        <v>1943</v>
      </c>
      <c r="C14" s="40" t="str">
        <f>HYPERLINK("https://mapwv.gov/flood/map/?wkid=102100&amp;x=-9168727.914245458&amp;y=4638286.509228793&amp;l=13&amp;v=2","FT")</f>
        <v>FT</v>
      </c>
      <c r="D14" s="51" t="s">
        <v>56</v>
      </c>
      <c r="E14" s="45" t="s">
        <v>57</v>
      </c>
      <c r="F14" s="41" t="s">
        <v>28</v>
      </c>
      <c r="G14" s="42">
        <v>6329510</v>
      </c>
    </row>
    <row r="15" spans="2:7" hidden="1" x14ac:dyDescent="0.3">
      <c r="B15" s="51" t="s">
        <v>214</v>
      </c>
      <c r="C15" s="40" t="str">
        <f>HYPERLINK("https://mapwv.gov/flood/map/?wkid=102100&amp;x=-9150702.028694741&amp;y=4639582.84790826&amp;l=13&amp;v=2","FT")</f>
        <v>FT</v>
      </c>
      <c r="D15" s="51" t="s">
        <v>368</v>
      </c>
      <c r="E15" s="45" t="s">
        <v>437</v>
      </c>
      <c r="F15" s="41" t="s">
        <v>40</v>
      </c>
      <c r="G15" s="42">
        <v>5272400</v>
      </c>
    </row>
    <row r="16" spans="2:7" x14ac:dyDescent="0.3">
      <c r="B16" s="51" t="s">
        <v>1943</v>
      </c>
      <c r="C16" s="40" t="str">
        <f>HYPERLINK("https://mapwv.gov/flood/map/?wkid=102100&amp;x=-9175799.34329971&amp;y=4636632.127980359&amp;l=13&amp;v=2","FT")</f>
        <v>FT</v>
      </c>
      <c r="D16" s="51" t="s">
        <v>56</v>
      </c>
      <c r="E16" s="45" t="s">
        <v>57</v>
      </c>
      <c r="F16" s="41" t="s">
        <v>28</v>
      </c>
      <c r="G16" s="42">
        <v>5013428</v>
      </c>
    </row>
    <row r="17" spans="2:7" x14ac:dyDescent="0.3">
      <c r="B17" s="51" t="s">
        <v>1942</v>
      </c>
      <c r="C17" s="40" t="str">
        <f>HYPERLINK("https://mapwv.gov/flood/map/?wkid=102100&amp;x=-9165194.302320877&amp;y=4634039.747806358&amp;l=13&amp;v=2","FT")</f>
        <v>FT</v>
      </c>
      <c r="D17" s="51" t="s">
        <v>56</v>
      </c>
      <c r="E17" s="45" t="s">
        <v>57</v>
      </c>
      <c r="F17" s="41" t="s">
        <v>28</v>
      </c>
      <c r="G17" s="42">
        <v>4967771</v>
      </c>
    </row>
    <row r="18" spans="2:7" x14ac:dyDescent="0.3">
      <c r="B18" s="51" t="s">
        <v>1942</v>
      </c>
      <c r="C18" s="40" t="str">
        <f>HYPERLINK("https://mapwv.gov/flood/map/?wkid=102100&amp;x=-9165921.449806336&amp;y=4638714.357174464&amp;l=13&amp;v=2","FT")</f>
        <v>FT</v>
      </c>
      <c r="D18" s="51" t="s">
        <v>369</v>
      </c>
      <c r="E18" s="45" t="s">
        <v>138</v>
      </c>
      <c r="F18" s="41" t="s">
        <v>34</v>
      </c>
      <c r="G18" s="42">
        <v>3829300</v>
      </c>
    </row>
    <row r="19" spans="2:7" x14ac:dyDescent="0.3">
      <c r="B19" s="51" t="s">
        <v>1945</v>
      </c>
      <c r="C19" s="40" t="str">
        <f>HYPERLINK("https://mapwv.gov/flood/map/?wkid=102100&amp;x=-9157945.5653628&amp;y=4638544.108280696&amp;l=13&amp;v=2","FT")</f>
        <v>FT</v>
      </c>
      <c r="D19" s="51" t="s">
        <v>370</v>
      </c>
      <c r="E19" s="45" t="s">
        <v>45</v>
      </c>
      <c r="F19" s="41" t="s">
        <v>34</v>
      </c>
      <c r="G19" s="42">
        <v>2865800</v>
      </c>
    </row>
    <row r="20" spans="2:7" hidden="1" x14ac:dyDescent="0.3">
      <c r="B20" s="51" t="s">
        <v>215</v>
      </c>
      <c r="C20" s="40" t="str">
        <f>HYPERLINK("https://mapwv.gov/flood/map/?wkid=102100&amp;x=-9174495.689982545&amp;y=4635312.107347755&amp;l=13&amp;v=2","FT")</f>
        <v>FT</v>
      </c>
      <c r="D20" s="51" t="s">
        <v>371</v>
      </c>
      <c r="E20" s="45" t="s">
        <v>59</v>
      </c>
      <c r="F20" s="41" t="s">
        <v>40</v>
      </c>
      <c r="G20" s="42">
        <v>1762100</v>
      </c>
    </row>
    <row r="21" spans="2:7" hidden="1" x14ac:dyDescent="0.3">
      <c r="B21" s="51" t="s">
        <v>214</v>
      </c>
      <c r="C21" s="40" t="str">
        <f>HYPERLINK("https://mapwv.gov/flood/map/?wkid=102100&amp;x=-9156867.356501032&amp;y=4638237.750870614&amp;l=13&amp;v=2","FT")</f>
        <v>FT</v>
      </c>
      <c r="D21" s="51" t="s">
        <v>372</v>
      </c>
      <c r="E21" s="45" t="s">
        <v>59</v>
      </c>
      <c r="F21" s="41" t="s">
        <v>40</v>
      </c>
      <c r="G21" s="42">
        <v>1577200</v>
      </c>
    </row>
    <row r="22" spans="2:7" hidden="1" x14ac:dyDescent="0.3">
      <c r="B22" s="51" t="s">
        <v>215</v>
      </c>
      <c r="C22" s="40" t="str">
        <f>HYPERLINK("https://mapwv.gov/flood/map/?wkid=102100&amp;x=-9177113.310256377&amp;y=4639545.994292412&amp;l=13&amp;v=2","FT")</f>
        <v>FT</v>
      </c>
      <c r="D22" s="51" t="s">
        <v>373</v>
      </c>
      <c r="E22" s="45" t="s">
        <v>437</v>
      </c>
      <c r="F22" s="41" t="s">
        <v>40</v>
      </c>
      <c r="G22" s="42">
        <v>1525200</v>
      </c>
    </row>
    <row r="23" spans="2:7" x14ac:dyDescent="0.3">
      <c r="B23" s="51" t="s">
        <v>1944</v>
      </c>
      <c r="C23" s="40" t="str">
        <f>HYPERLINK("https://mapwv.gov/flood/map/?wkid=102100&amp;x=-9143230.870607324&amp;y=4641166.363617899&amp;l=13&amp;v=2","FT")</f>
        <v>FT</v>
      </c>
      <c r="D23" s="51" t="s">
        <v>374</v>
      </c>
      <c r="E23" s="45" t="s">
        <v>55</v>
      </c>
      <c r="F23" s="41" t="s">
        <v>28</v>
      </c>
      <c r="G23" s="42">
        <v>1263000</v>
      </c>
    </row>
    <row r="24" spans="2:7" x14ac:dyDescent="0.3">
      <c r="B24" s="51" t="s">
        <v>1942</v>
      </c>
      <c r="C24" s="40" t="str">
        <f>HYPERLINK("https://mapwv.gov/flood/map/?wkid=102100&amp;x=-9142813.749239553&amp;y=4640357.245504857&amp;l=13&amp;v=2","FT")</f>
        <v>FT</v>
      </c>
      <c r="D24" s="51" t="s">
        <v>375</v>
      </c>
      <c r="E24" s="45" t="s">
        <v>135</v>
      </c>
      <c r="F24" s="41" t="s">
        <v>34</v>
      </c>
      <c r="G24" s="42">
        <v>1241900</v>
      </c>
    </row>
    <row r="25" spans="2:7" x14ac:dyDescent="0.3">
      <c r="B25" s="51" t="s">
        <v>1943</v>
      </c>
      <c r="C25" s="40" t="str">
        <f>HYPERLINK("https://mapwv.gov/flood/map/?wkid=102100&amp;x=-9181189.481913174&amp;y=4637891.803311441&amp;l=13&amp;v=2","FT")</f>
        <v>FT</v>
      </c>
      <c r="D25" s="51" t="s">
        <v>376</v>
      </c>
      <c r="E25" s="45" t="s">
        <v>57</v>
      </c>
      <c r="F25" s="41" t="s">
        <v>28</v>
      </c>
      <c r="G25" s="42">
        <v>1114400</v>
      </c>
    </row>
    <row r="26" spans="2:7" x14ac:dyDescent="0.3">
      <c r="B26" s="51" t="s">
        <v>1943</v>
      </c>
      <c r="C26" s="40" t="str">
        <f>HYPERLINK("https://mapwv.gov/flood/map/?wkid=102100&amp;x=-9171480.98896624&amp;y=4637896.606261239&amp;l=13&amp;v=2","FT")</f>
        <v>FT</v>
      </c>
      <c r="D26" s="51" t="s">
        <v>377</v>
      </c>
      <c r="E26" s="45" t="s">
        <v>45</v>
      </c>
      <c r="F26" s="41" t="s">
        <v>34</v>
      </c>
      <c r="G26" s="42">
        <v>1082600</v>
      </c>
    </row>
    <row r="27" spans="2:7" x14ac:dyDescent="0.3">
      <c r="B27" s="51" t="s">
        <v>1942</v>
      </c>
      <c r="C27" s="40" t="str">
        <f>HYPERLINK("https://mapwv.gov/flood/map/?wkid=102100&amp;x=-9168649.336377257&amp;y=4637748.407163715&amp;l=13&amp;v=2","FT")</f>
        <v>FT</v>
      </c>
      <c r="D27" s="51" t="s">
        <v>378</v>
      </c>
      <c r="E27" s="45" t="s">
        <v>55</v>
      </c>
      <c r="F27" s="41" t="s">
        <v>28</v>
      </c>
      <c r="G27" s="42">
        <v>1075900</v>
      </c>
    </row>
    <row r="28" spans="2:7" x14ac:dyDescent="0.3">
      <c r="B28" s="51" t="s">
        <v>1942</v>
      </c>
      <c r="C28" s="40" t="str">
        <f>HYPERLINK("https://mapwv.gov/flood/map/?wkid=102100&amp;x=-9161567.46789248&amp;y=4637724.8208327815&amp;l=13&amp;v=2","FT")</f>
        <v>FT</v>
      </c>
      <c r="D28" s="51" t="s">
        <v>379</v>
      </c>
      <c r="E28" s="45" t="s">
        <v>60</v>
      </c>
      <c r="F28" s="41" t="s">
        <v>34</v>
      </c>
      <c r="G28" s="42">
        <v>1020100</v>
      </c>
    </row>
    <row r="29" spans="2:7" x14ac:dyDescent="0.3">
      <c r="B29" s="51" t="s">
        <v>1942</v>
      </c>
      <c r="C29" s="40" t="str">
        <f>HYPERLINK("https://mapwv.gov/flood/map/?wkid=102100&amp;x=-9162198.001748478&amp;y=4646658.738567549&amp;l=13&amp;v=2","FT")</f>
        <v>FT</v>
      </c>
      <c r="D29" s="51" t="s">
        <v>380</v>
      </c>
      <c r="E29" s="45" t="s">
        <v>57</v>
      </c>
      <c r="F29" s="41" t="s">
        <v>28</v>
      </c>
      <c r="G29" s="42">
        <v>1000000</v>
      </c>
    </row>
  </sheetData>
  <autoFilter ref="B2:G29" xr:uid="{E863B2D2-913D-44B8-8A56-D68739BC7759}">
    <filterColumn colId="4">
      <filters>
        <filter val="Commercial"/>
        <filter val="Other"/>
      </filters>
    </filterColumn>
  </autoFilter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B6B4-6D18-46C8-A95E-27AED1E05174}">
  <sheetPr filterMode="1"/>
  <dimension ref="B1:G25"/>
  <sheetViews>
    <sheetView workbookViewId="0">
      <selection activeCell="J12" sqref="J12"/>
    </sheetView>
  </sheetViews>
  <sheetFormatPr defaultRowHeight="14.4" x14ac:dyDescent="0.3"/>
  <cols>
    <col min="2" max="2" width="16.21875" style="46" bestFit="1" customWidth="1"/>
    <col min="3" max="3" width="11.88671875" style="46" bestFit="1" customWidth="1"/>
    <col min="4" max="4" width="45.5546875" style="46" bestFit="1" customWidth="1"/>
    <col min="5" max="5" width="8.88671875" style="46"/>
    <col min="6" max="6" width="12.5546875" style="46" bestFit="1" customWidth="1"/>
    <col min="7" max="7" width="10.6640625" style="46" customWidth="1"/>
  </cols>
  <sheetData>
    <row r="1" spans="2:7" x14ac:dyDescent="0.3">
      <c r="G1" s="33" t="s">
        <v>1946</v>
      </c>
    </row>
    <row r="2" spans="2:7" ht="36" x14ac:dyDescent="0.3">
      <c r="B2" s="36" t="s">
        <v>1</v>
      </c>
      <c r="C2" s="36" t="s">
        <v>5</v>
      </c>
      <c r="D2" s="36" t="s">
        <v>107</v>
      </c>
      <c r="E2" s="37" t="s">
        <v>12</v>
      </c>
      <c r="F2" s="34" t="s">
        <v>13</v>
      </c>
      <c r="G2" s="35" t="s">
        <v>18</v>
      </c>
    </row>
    <row r="3" spans="2:7" x14ac:dyDescent="0.3">
      <c r="B3" s="51" t="s">
        <v>1949</v>
      </c>
      <c r="C3" s="40" t="str">
        <f>HYPERLINK("https://mapwv.gov/flood/map/?wkid=102100&amp;x=-9131072.882768225&amp;y=4576244.977473921&amp;l=13&amp;v=2","FT")</f>
        <v>FT</v>
      </c>
      <c r="D3" s="45" t="s">
        <v>920</v>
      </c>
      <c r="E3" s="45" t="s">
        <v>57</v>
      </c>
      <c r="F3" s="41" t="s">
        <v>28</v>
      </c>
      <c r="G3" s="42">
        <v>27642788</v>
      </c>
    </row>
    <row r="4" spans="2:7" x14ac:dyDescent="0.3">
      <c r="B4" s="51" t="s">
        <v>1947</v>
      </c>
      <c r="C4" s="40" t="str">
        <f>HYPERLINK("https://mapwv.gov/flood/map/?wkid=102100&amp;x=-9127757.531407017&amp;y=4558150.200378408&amp;l=13&amp;v=2","FT")</f>
        <v>FT</v>
      </c>
      <c r="D4" s="45" t="s">
        <v>921</v>
      </c>
      <c r="E4" s="45" t="s">
        <v>57</v>
      </c>
      <c r="F4" s="41" t="s">
        <v>28</v>
      </c>
      <c r="G4" s="42">
        <v>17972876</v>
      </c>
    </row>
    <row r="5" spans="2:7" x14ac:dyDescent="0.3">
      <c r="B5" s="51" t="s">
        <v>1949</v>
      </c>
      <c r="C5" s="40" t="str">
        <f>HYPERLINK("https://mapwv.gov/flood/map/?wkid=102100&amp;x=-9131543.771784004&amp;y=4575874.109921356&amp;l=13&amp;v=2","FT")</f>
        <v>FT</v>
      </c>
      <c r="D5" s="45" t="s">
        <v>920</v>
      </c>
      <c r="E5" s="45" t="s">
        <v>57</v>
      </c>
      <c r="F5" s="41" t="s">
        <v>28</v>
      </c>
      <c r="G5" s="42">
        <v>16910169</v>
      </c>
    </row>
    <row r="6" spans="2:7" x14ac:dyDescent="0.3">
      <c r="B6" s="51" t="s">
        <v>1948</v>
      </c>
      <c r="C6" s="40" t="str">
        <f>HYPERLINK("https://mapwv.gov/flood/map/?wkid=102100&amp;x=-9112098.143385151&amp;y=4540943.329808692&amp;l=13&amp;v=2","FT")</f>
        <v>FT</v>
      </c>
      <c r="D6" s="45" t="s">
        <v>922</v>
      </c>
      <c r="E6" s="45" t="s">
        <v>57</v>
      </c>
      <c r="F6" s="41" t="s">
        <v>28</v>
      </c>
      <c r="G6" s="42">
        <v>10287610</v>
      </c>
    </row>
    <row r="7" spans="2:7" x14ac:dyDescent="0.3">
      <c r="B7" s="51" t="s">
        <v>1948</v>
      </c>
      <c r="C7" s="40" t="str">
        <f>HYPERLINK("https://mapwv.gov/flood/map/?wkid=102100&amp;x=-9126982.341991555&amp;y=4547017.891880051&amp;l=13&amp;v=2","FT")</f>
        <v>FT</v>
      </c>
      <c r="D7" s="45" t="s">
        <v>56</v>
      </c>
      <c r="E7" s="45" t="s">
        <v>57</v>
      </c>
      <c r="F7" s="41" t="s">
        <v>28</v>
      </c>
      <c r="G7" s="42">
        <v>6822815</v>
      </c>
    </row>
    <row r="8" spans="2:7" x14ac:dyDescent="0.3">
      <c r="B8" s="51" t="s">
        <v>1948</v>
      </c>
      <c r="C8" s="40" t="str">
        <f>HYPERLINK("https://mapwv.gov/flood/map/?wkid=102100&amp;x=-9136786.210917855&amp;y=4555107.103157783&amp;l=13&amp;v=2","FT")</f>
        <v>FT</v>
      </c>
      <c r="D8" s="45" t="s">
        <v>923</v>
      </c>
      <c r="E8" s="45" t="s">
        <v>57</v>
      </c>
      <c r="F8" s="41" t="s">
        <v>28</v>
      </c>
      <c r="G8" s="42">
        <v>6188413</v>
      </c>
    </row>
    <row r="9" spans="2:7" x14ac:dyDescent="0.3">
      <c r="B9" s="51" t="s">
        <v>1948</v>
      </c>
      <c r="C9" s="40" t="str">
        <f>HYPERLINK("https://mapwv.gov/flood/map/?wkid=102100&amp;x=-9130885.46672068&amp;y=4558403.635380448&amp;l=13&amp;v=2","FT")</f>
        <v>FT</v>
      </c>
      <c r="D9" s="45" t="s">
        <v>924</v>
      </c>
      <c r="E9" s="45" t="s">
        <v>436</v>
      </c>
      <c r="F9" s="41" t="s">
        <v>28</v>
      </c>
      <c r="G9" s="42">
        <v>4599800</v>
      </c>
    </row>
    <row r="10" spans="2:7" x14ac:dyDescent="0.3">
      <c r="B10" s="51" t="s">
        <v>1948</v>
      </c>
      <c r="C10" s="40" t="str">
        <f>HYPERLINK("https://mapwv.gov/flood/map/?wkid=102100&amp;x=-9122382.61974142&amp;y=4557115.389789056&amp;l=13&amp;v=2","FT")</f>
        <v>FT</v>
      </c>
      <c r="D10" s="45" t="s">
        <v>925</v>
      </c>
      <c r="E10" s="45" t="s">
        <v>45</v>
      </c>
      <c r="F10" s="41" t="s">
        <v>34</v>
      </c>
      <c r="G10" s="42">
        <v>4060214</v>
      </c>
    </row>
    <row r="11" spans="2:7" x14ac:dyDescent="0.3">
      <c r="B11" s="51" t="s">
        <v>1948</v>
      </c>
      <c r="C11" s="40" t="str">
        <f>HYPERLINK("https://mapwv.gov/flood/map/?wkid=102100&amp;x=-9143627.011701984&amp;y=4576362.30855336&amp;l=13&amp;v=2","FT")</f>
        <v>FT</v>
      </c>
      <c r="D11" s="45" t="s">
        <v>56</v>
      </c>
      <c r="E11" s="45" t="s">
        <v>57</v>
      </c>
      <c r="F11" s="41" t="s">
        <v>28</v>
      </c>
      <c r="G11" s="42">
        <v>4046644</v>
      </c>
    </row>
    <row r="12" spans="2:7" x14ac:dyDescent="0.3">
      <c r="B12" s="51" t="s">
        <v>1948</v>
      </c>
      <c r="C12" s="40" t="str">
        <f>HYPERLINK("https://mapwv.gov/flood/map/?wkid=102100&amp;x=-9127280.044151058&amp;y=4564410.132629504&amp;l=13&amp;v=2","FT")</f>
        <v>FT</v>
      </c>
      <c r="D12" s="45" t="s">
        <v>56</v>
      </c>
      <c r="E12" s="45" t="s">
        <v>57</v>
      </c>
      <c r="F12" s="41" t="s">
        <v>28</v>
      </c>
      <c r="G12" s="42">
        <v>3089013</v>
      </c>
    </row>
    <row r="13" spans="2:7" x14ac:dyDescent="0.3">
      <c r="B13" s="51" t="s">
        <v>1949</v>
      </c>
      <c r="C13" s="40" t="str">
        <f>HYPERLINK("https://mapwv.gov/flood/map/?wkid=102100&amp;x=-9130127.6986942&amp;y=4575621.676688517&amp;l=13&amp;v=2","FT")</f>
        <v>FT</v>
      </c>
      <c r="D13" s="45" t="s">
        <v>926</v>
      </c>
      <c r="E13" s="45" t="s">
        <v>53</v>
      </c>
      <c r="F13" s="41" t="s">
        <v>34</v>
      </c>
      <c r="G13" s="42">
        <v>2632500</v>
      </c>
    </row>
    <row r="14" spans="2:7" x14ac:dyDescent="0.3">
      <c r="B14" s="51" t="s">
        <v>1948</v>
      </c>
      <c r="C14" s="40" t="str">
        <f>HYPERLINK("https://mapwv.gov/flood/map/?wkid=102100&amp;x=-9132227.291268596&amp;y=4555853.8346003285&amp;l=13&amp;v=2","FT")</f>
        <v>FT</v>
      </c>
      <c r="D14" s="45" t="s">
        <v>927</v>
      </c>
      <c r="E14" s="45" t="s">
        <v>52</v>
      </c>
      <c r="F14" s="41" t="s">
        <v>34</v>
      </c>
      <c r="G14" s="42">
        <v>2022900</v>
      </c>
    </row>
    <row r="15" spans="2:7" hidden="1" x14ac:dyDescent="0.3">
      <c r="B15" s="51" t="s">
        <v>839</v>
      </c>
      <c r="C15" s="40" t="str">
        <f>HYPERLINK("https://mapwv.gov/flood/map/?wkid=102100&amp;x=-9130140.78407771&amp;y=4575733.528444743&amp;l=13&amp;v=2","FT")</f>
        <v>FT</v>
      </c>
      <c r="D15" s="45" t="s">
        <v>928</v>
      </c>
      <c r="E15" s="45" t="s">
        <v>977</v>
      </c>
      <c r="F15" s="41" t="s">
        <v>40</v>
      </c>
      <c r="G15" s="42">
        <v>1955900</v>
      </c>
    </row>
    <row r="16" spans="2:7" hidden="1" x14ac:dyDescent="0.3">
      <c r="B16" s="51" t="s">
        <v>841</v>
      </c>
      <c r="C16" s="40" t="str">
        <f>HYPERLINK("https://mapwv.gov/flood/map/?wkid=102100&amp;x=-9130676.197432572&amp;y=4574521.94022123&amp;l=13&amp;v=2","FT")</f>
        <v>FT</v>
      </c>
      <c r="D16" s="45" t="s">
        <v>929</v>
      </c>
      <c r="E16" s="45" t="s">
        <v>59</v>
      </c>
      <c r="F16" s="41" t="s">
        <v>40</v>
      </c>
      <c r="G16" s="42">
        <v>1761300</v>
      </c>
    </row>
    <row r="17" spans="2:7" x14ac:dyDescent="0.3">
      <c r="B17" s="51" t="s">
        <v>1948</v>
      </c>
      <c r="C17" s="40" t="str">
        <f>HYPERLINK("https://mapwv.gov/flood/map/?wkid=102100&amp;x=-9127797.494436298&amp;y=4553059.244473101&amp;l=13&amp;v=2","FT")</f>
        <v>FT</v>
      </c>
      <c r="D17" s="45" t="s">
        <v>930</v>
      </c>
      <c r="E17" s="45" t="s">
        <v>53</v>
      </c>
      <c r="F17" s="41" t="s">
        <v>34</v>
      </c>
      <c r="G17" s="42">
        <v>1685431</v>
      </c>
    </row>
    <row r="18" spans="2:7" hidden="1" x14ac:dyDescent="0.3">
      <c r="B18" s="51" t="s">
        <v>841</v>
      </c>
      <c r="C18" s="40" t="str">
        <f>HYPERLINK("https://mapwv.gov/flood/map/?wkid=102100&amp;x=-9126488.602201255&amp;y=4550958.274693293&amp;l=13&amp;v=2","FT")</f>
        <v>FT</v>
      </c>
      <c r="D18" s="45" t="s">
        <v>931</v>
      </c>
      <c r="E18" s="45" t="s">
        <v>978</v>
      </c>
      <c r="F18" s="41" t="s">
        <v>40</v>
      </c>
      <c r="G18" s="42">
        <v>1561000</v>
      </c>
    </row>
    <row r="19" spans="2:7" x14ac:dyDescent="0.3">
      <c r="B19" s="51" t="s">
        <v>1948</v>
      </c>
      <c r="C19" s="40" t="str">
        <f>HYPERLINK("https://mapwv.gov/flood/map/?wkid=102100&amp;x=-9119536.032195589&amp;y=4552748.040270999&amp;l=13&amp;v=2","FT")</f>
        <v>FT</v>
      </c>
      <c r="D19" s="45" t="s">
        <v>925</v>
      </c>
      <c r="E19" s="45" t="s">
        <v>53</v>
      </c>
      <c r="F19" s="41" t="s">
        <v>34</v>
      </c>
      <c r="G19" s="42">
        <v>1498161</v>
      </c>
    </row>
    <row r="20" spans="2:7" x14ac:dyDescent="0.3">
      <c r="B20" s="51" t="s">
        <v>1947</v>
      </c>
      <c r="C20" s="40" t="str">
        <f>HYPERLINK("https://mapwv.gov/flood/map/?wkid=102100&amp;x=-9127461.437480193&amp;y=4557713.465215954&amp;l=13&amp;v=2","FT")</f>
        <v>FT</v>
      </c>
      <c r="D20" s="45" t="s">
        <v>932</v>
      </c>
      <c r="E20" s="45" t="s">
        <v>138</v>
      </c>
      <c r="F20" s="41" t="s">
        <v>34</v>
      </c>
      <c r="G20" s="42">
        <v>1404526</v>
      </c>
    </row>
    <row r="21" spans="2:7" hidden="1" x14ac:dyDescent="0.3">
      <c r="B21" s="51" t="s">
        <v>841</v>
      </c>
      <c r="C21" s="40" t="str">
        <f>HYPERLINK("https://mapwv.gov/flood/map/?wkid=102100&amp;x=-9126515.936368262&amp;y=4550914.257210949&amp;l=13&amp;v=2","FT")</f>
        <v>FT</v>
      </c>
      <c r="D21" s="45" t="s">
        <v>931</v>
      </c>
      <c r="E21" s="45" t="s">
        <v>978</v>
      </c>
      <c r="F21" s="41" t="s">
        <v>40</v>
      </c>
      <c r="G21" s="42">
        <v>1366700</v>
      </c>
    </row>
    <row r="22" spans="2:7" x14ac:dyDescent="0.3">
      <c r="B22" s="51" t="s">
        <v>1948</v>
      </c>
      <c r="C22" s="40" t="str">
        <f>HYPERLINK("https://mapwv.gov/flood/map/?wkid=102100&amp;x=-9129966.5598351&amp;y=4557922.139238735&amp;l=13&amp;v=2","FT")</f>
        <v>FT</v>
      </c>
      <c r="D22" s="45" t="s">
        <v>933</v>
      </c>
      <c r="E22" s="45" t="s">
        <v>55</v>
      </c>
      <c r="F22" s="41" t="s">
        <v>28</v>
      </c>
      <c r="G22" s="42">
        <v>1356400</v>
      </c>
    </row>
    <row r="23" spans="2:7" x14ac:dyDescent="0.3">
      <c r="B23" s="51" t="s">
        <v>1948</v>
      </c>
      <c r="C23" s="40" t="str">
        <f>HYPERLINK("https://mapwv.gov/flood/map/?wkid=102100&amp;x=-9109953.252460927&amp;y=4546961.3950291155&amp;l=13&amp;v=2","FT")</f>
        <v>FT</v>
      </c>
      <c r="D23" s="45" t="s">
        <v>56</v>
      </c>
      <c r="E23" s="45" t="s">
        <v>57</v>
      </c>
      <c r="F23" s="41" t="s">
        <v>28</v>
      </c>
      <c r="G23" s="42">
        <v>1250620</v>
      </c>
    </row>
    <row r="24" spans="2:7" x14ac:dyDescent="0.3">
      <c r="B24" s="51" t="s">
        <v>1948</v>
      </c>
      <c r="C24" s="40" t="str">
        <f>HYPERLINK("https://mapwv.gov/flood/map/?wkid=102100&amp;x=-9094990.725564621&amp;y=4552077.264839699&amp;l=13&amp;v=2","FT")</f>
        <v>FT</v>
      </c>
      <c r="D24" s="45" t="s">
        <v>934</v>
      </c>
      <c r="E24" s="45" t="s">
        <v>979</v>
      </c>
      <c r="F24" s="41" t="s">
        <v>34</v>
      </c>
      <c r="G24" s="42">
        <v>1238010</v>
      </c>
    </row>
    <row r="25" spans="2:7" x14ac:dyDescent="0.3">
      <c r="B25" s="51" t="s">
        <v>1948</v>
      </c>
      <c r="C25" s="40" t="str">
        <f>HYPERLINK("https://mapwv.gov/flood/map/?wkid=102100&amp;x=-9110205.547400141&amp;y=4541387.993830175&amp;l=13&amp;v=2","FT")</f>
        <v>FT</v>
      </c>
      <c r="D25" s="45" t="s">
        <v>56</v>
      </c>
      <c r="E25" s="45" t="s">
        <v>55</v>
      </c>
      <c r="F25" s="41" t="s">
        <v>28</v>
      </c>
      <c r="G25" s="42">
        <v>1054920</v>
      </c>
    </row>
  </sheetData>
  <autoFilter ref="B2:G25" xr:uid="{1FE885C6-6885-4AD5-8EED-E6D723ED0C1C}">
    <filterColumn colId="4">
      <filters>
        <filter val="Commercial"/>
        <filter val="Other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CABELL</vt:lpstr>
      <vt:lpstr>LINCOLN</vt:lpstr>
      <vt:lpstr>LOGAN</vt:lpstr>
      <vt:lpstr>MASON</vt:lpstr>
      <vt:lpstr>MINGO</vt:lpstr>
      <vt:lpstr>WAYNE</vt:lpstr>
      <vt:lpstr>CABELL (NON_RES &gt; 1M)</vt:lpstr>
      <vt:lpstr>LOGAN (NON_RES &gt; 1M)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2022-02-03T19:22:27Z</dcterms:modified>
</cp:coreProperties>
</file>