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Y:\userFiles\Behrang\Building_Inventory\Exposure_Reports\R2\"/>
    </mc:Choice>
  </mc:AlternateContent>
  <xr:revisionPtr revIDLastSave="0" documentId="13_ncr:1_{E754B517-FFEB-40F0-B12E-FF6C0C8A5AB1}" xr6:coauthVersionLast="44" xr6:coauthVersionMax="44" xr10:uidLastSave="{00000000-0000-0000-0000-000000000000}"/>
  <bookViews>
    <workbookView xWindow="-108" yWindow="-108" windowWidth="23256" windowHeight="12576" tabRatio="880" xr2:uid="{00000000-000D-0000-FFFF-FFFF00000000}"/>
  </bookViews>
  <sheets>
    <sheet name="20210825" sheetId="2" r:id="rId1"/>
    <sheet name="Metadata" sheetId="3" r:id="rId2"/>
    <sheet name="FIRM_Status_Freeboard" sheetId="4" r:id="rId3"/>
    <sheet name="Pre-FIRM &amp; Post-FIRM Div. Line" sheetId="5" r:id="rId4"/>
    <sheet name="Hazus Bldg. Year Built" sheetId="8" r:id="rId5"/>
    <sheet name="Flood Study Status" sheetId="6" r:id="rId6"/>
    <sheet name="R2 Bldg Year " sheetId="26" r:id="rId7"/>
    <sheet name="R2 FIRM Status" sheetId="27" r:id="rId8"/>
  </sheets>
  <externalReferences>
    <externalReference r:id="rId9"/>
    <externalReference r:id="rId10"/>
  </externalReferences>
  <definedNames>
    <definedName name="_xlnm._FilterDatabase" localSheetId="0" hidden="1">'20210825'!$A$5:$AP$336</definedName>
    <definedName name="_xlnm._FilterDatabase" localSheetId="2" hidden="1">FIRM_Status_Freeboard!$A$3:$L$282</definedName>
    <definedName name="_xlnm._FilterDatabase" localSheetId="3" hidden="1">'Pre-FIRM &amp; Post-FIRM Div. Line'!$A$2:$F$279</definedName>
    <definedName name="_xlnm._FilterDatabase" localSheetId="6" hidden="1">'R2 Bldg Year '!$B$2:$I$45</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6" l="1"/>
  <c r="A8" i="6" s="1"/>
  <c r="A6" i="6"/>
  <c r="A7" i="6"/>
  <c r="A10" i="6"/>
  <c r="A12" i="6" s="1"/>
  <c r="A11" i="6"/>
  <c r="I4" i="4"/>
  <c r="F5" i="4"/>
  <c r="I5" i="4"/>
  <c r="F6" i="4"/>
  <c r="I6" i="4"/>
  <c r="F7" i="4"/>
  <c r="I7" i="4"/>
  <c r="I8" i="4"/>
  <c r="F9" i="4"/>
  <c r="F10" i="4"/>
  <c r="I10" i="4"/>
  <c r="I11" i="4"/>
  <c r="F12" i="4"/>
  <c r="I12" i="4"/>
  <c r="I13" i="4"/>
  <c r="I14" i="4"/>
  <c r="F15" i="4"/>
  <c r="I15" i="4"/>
  <c r="F16" i="4"/>
  <c r="I16" i="4"/>
  <c r="F17" i="4"/>
  <c r="I17" i="4"/>
  <c r="F18" i="4"/>
  <c r="I18" i="4"/>
  <c r="F19" i="4"/>
  <c r="I19" i="4"/>
  <c r="I21" i="4"/>
  <c r="F22" i="4"/>
  <c r="I22" i="4"/>
  <c r="F23" i="4"/>
  <c r="I23" i="4"/>
  <c r="F24" i="4"/>
  <c r="I24" i="4"/>
  <c r="F25" i="4"/>
  <c r="F26" i="4"/>
  <c r="I26" i="4"/>
  <c r="F27" i="4"/>
  <c r="I27" i="4"/>
  <c r="F28" i="4"/>
  <c r="I28" i="4"/>
  <c r="I29" i="4"/>
  <c r="F30" i="4"/>
  <c r="I30" i="4"/>
  <c r="F31" i="4"/>
  <c r="I31" i="4"/>
  <c r="I32" i="4"/>
  <c r="I33" i="4"/>
  <c r="F34" i="4"/>
  <c r="I34" i="4"/>
  <c r="F35" i="4"/>
  <c r="I35" i="4"/>
  <c r="F36" i="4"/>
  <c r="F37" i="4"/>
  <c r="I37" i="4"/>
  <c r="I38" i="4"/>
  <c r="I39" i="4"/>
  <c r="F40" i="4"/>
  <c r="I40" i="4"/>
  <c r="F41" i="4"/>
  <c r="I41" i="4"/>
  <c r="F42" i="4"/>
  <c r="I42" i="4"/>
  <c r="I43" i="4"/>
  <c r="F44" i="4"/>
  <c r="I44" i="4"/>
  <c r="F45" i="4"/>
  <c r="I45" i="4"/>
  <c r="F46" i="4"/>
  <c r="I46" i="4"/>
  <c r="F47" i="4"/>
  <c r="I47" i="4"/>
  <c r="F48" i="4"/>
  <c r="I48" i="4"/>
  <c r="I49" i="4"/>
  <c r="F50" i="4"/>
  <c r="I50" i="4"/>
  <c r="F51" i="4"/>
  <c r="I51" i="4"/>
  <c r="F52" i="4"/>
  <c r="I52" i="4"/>
  <c r="I53" i="4"/>
  <c r="F54" i="4"/>
  <c r="I54" i="4"/>
  <c r="I55" i="4"/>
  <c r="F56" i="4"/>
  <c r="F57" i="4"/>
  <c r="I57" i="4"/>
  <c r="F58" i="4"/>
  <c r="I58" i="4"/>
  <c r="F59" i="4"/>
  <c r="I59" i="4"/>
  <c r="F60" i="4"/>
  <c r="I60" i="4"/>
  <c r="F61" i="4"/>
  <c r="I61" i="4"/>
  <c r="F62" i="4"/>
  <c r="I62" i="4"/>
  <c r="F63" i="4"/>
  <c r="I63" i="4"/>
  <c r="F64" i="4"/>
  <c r="F65" i="4"/>
  <c r="I65" i="4"/>
  <c r="F66" i="4"/>
  <c r="I66" i="4"/>
  <c r="F67" i="4"/>
  <c r="I67" i="4"/>
  <c r="I68" i="4"/>
  <c r="F69" i="4"/>
  <c r="I69" i="4"/>
  <c r="F70" i="4"/>
  <c r="I70" i="4"/>
  <c r="F71" i="4"/>
  <c r="I71" i="4"/>
  <c r="I72" i="4"/>
  <c r="F73" i="4"/>
  <c r="I73" i="4"/>
  <c r="F74" i="4"/>
  <c r="I74" i="4"/>
  <c r="F75" i="4"/>
  <c r="I75" i="4"/>
  <c r="F77" i="4"/>
  <c r="I77" i="4"/>
  <c r="F78" i="4"/>
  <c r="I78" i="4"/>
  <c r="F79" i="4"/>
  <c r="I79" i="4"/>
  <c r="F80" i="4"/>
  <c r="I80" i="4"/>
  <c r="I81" i="4"/>
  <c r="F82" i="4"/>
  <c r="I82" i="4"/>
  <c r="I84" i="4"/>
  <c r="F85" i="4"/>
  <c r="F86" i="4"/>
  <c r="I86" i="4"/>
  <c r="F87" i="4"/>
  <c r="I87" i="4"/>
  <c r="F88" i="4"/>
  <c r="I88" i="4"/>
  <c r="F89" i="4"/>
  <c r="I89" i="4"/>
  <c r="I90" i="4"/>
  <c r="F91" i="4"/>
  <c r="I91" i="4"/>
  <c r="F92" i="4"/>
  <c r="I92" i="4"/>
  <c r="F93" i="4"/>
  <c r="I93" i="4"/>
  <c r="F94" i="4"/>
  <c r="I94" i="4"/>
  <c r="F95" i="4"/>
  <c r="I95" i="4"/>
  <c r="F96" i="4"/>
  <c r="I96" i="4"/>
  <c r="F97" i="4"/>
  <c r="I97" i="4"/>
  <c r="F98" i="4"/>
  <c r="I98" i="4"/>
  <c r="F99" i="4"/>
  <c r="I99" i="4"/>
  <c r="F100" i="4"/>
  <c r="I100" i="4"/>
  <c r="F101" i="4"/>
  <c r="I101" i="4"/>
  <c r="I102" i="4"/>
  <c r="F103" i="4"/>
  <c r="I103" i="4"/>
  <c r="F104" i="4"/>
  <c r="I104" i="4"/>
  <c r="F105" i="4"/>
  <c r="I105" i="4"/>
  <c r="F106" i="4"/>
  <c r="I106" i="4"/>
  <c r="F107" i="4"/>
  <c r="I107" i="4"/>
  <c r="F108" i="4"/>
  <c r="I108" i="4"/>
  <c r="F109" i="4"/>
  <c r="I109" i="4"/>
  <c r="I110" i="4"/>
  <c r="F111" i="4"/>
  <c r="I111" i="4"/>
  <c r="F112" i="4"/>
  <c r="I112" i="4"/>
  <c r="F113" i="4"/>
  <c r="I113" i="4"/>
  <c r="F114" i="4"/>
  <c r="I114" i="4"/>
  <c r="F115" i="4"/>
  <c r="I115" i="4"/>
  <c r="F116" i="4"/>
  <c r="I116" i="4"/>
  <c r="F117" i="4"/>
  <c r="I117" i="4"/>
  <c r="F118" i="4"/>
  <c r="I118" i="4"/>
  <c r="F119" i="4"/>
  <c r="I119" i="4"/>
  <c r="F120" i="4"/>
  <c r="I120" i="4"/>
  <c r="F121" i="4"/>
  <c r="I121" i="4"/>
  <c r="F122" i="4"/>
  <c r="F123" i="4"/>
  <c r="I123" i="4"/>
  <c r="I124" i="4"/>
  <c r="F125" i="4"/>
  <c r="I125" i="4"/>
  <c r="F126" i="4"/>
  <c r="I126" i="4"/>
  <c r="I127" i="4"/>
  <c r="F128" i="4"/>
  <c r="I128" i="4"/>
  <c r="I129" i="4"/>
  <c r="F130" i="4"/>
  <c r="I130" i="4"/>
  <c r="F131" i="4"/>
  <c r="I131" i="4"/>
  <c r="F132" i="4"/>
  <c r="I132" i="4"/>
  <c r="F133" i="4"/>
  <c r="I133" i="4"/>
  <c r="I134" i="4"/>
  <c r="I135" i="4"/>
  <c r="F136" i="4"/>
  <c r="I136" i="4"/>
  <c r="I137" i="4"/>
  <c r="I138" i="4"/>
  <c r="F139" i="4"/>
  <c r="I139" i="4"/>
  <c r="F140" i="4"/>
  <c r="I140" i="4"/>
  <c r="F141" i="4"/>
  <c r="I141" i="4"/>
  <c r="I142" i="4"/>
  <c r="F143" i="4"/>
  <c r="I143" i="4"/>
  <c r="F144" i="4"/>
  <c r="I144" i="4"/>
  <c r="F145" i="4"/>
  <c r="I145" i="4"/>
  <c r="F146" i="4"/>
  <c r="I146" i="4"/>
  <c r="F147" i="4"/>
  <c r="I147" i="4"/>
  <c r="F148" i="4"/>
  <c r="I148" i="4"/>
  <c r="F149" i="4"/>
  <c r="I149" i="4"/>
  <c r="F150" i="4"/>
  <c r="I150" i="4"/>
  <c r="I151" i="4"/>
  <c r="I152" i="4"/>
  <c r="I153" i="4"/>
  <c r="F154" i="4"/>
  <c r="F155" i="4"/>
  <c r="F157" i="4"/>
  <c r="I157" i="4"/>
  <c r="F158" i="4"/>
  <c r="I158" i="4"/>
  <c r="F159" i="4"/>
  <c r="I159" i="4"/>
  <c r="F160" i="4"/>
  <c r="I160" i="4"/>
  <c r="F161" i="4"/>
  <c r="I161" i="4"/>
  <c r="F163" i="4"/>
  <c r="I163" i="4"/>
  <c r="F164" i="4"/>
  <c r="I164" i="4"/>
  <c r="F165" i="4"/>
  <c r="I165" i="4"/>
  <c r="I166" i="4"/>
  <c r="F167" i="4"/>
  <c r="I167" i="4"/>
  <c r="I168" i="4"/>
  <c r="F171" i="4"/>
  <c r="I171" i="4"/>
  <c r="I172" i="4"/>
  <c r="I173" i="4"/>
  <c r="F174" i="4"/>
  <c r="I174" i="4"/>
  <c r="F175" i="4"/>
  <c r="I175" i="4"/>
  <c r="F176" i="4"/>
  <c r="I176" i="4"/>
  <c r="F178" i="4"/>
  <c r="I178" i="4"/>
  <c r="F179" i="4"/>
  <c r="I179" i="4"/>
  <c r="F181" i="4"/>
  <c r="I181" i="4"/>
  <c r="F182" i="4"/>
  <c r="I182" i="4"/>
  <c r="F183" i="4"/>
  <c r="I183" i="4"/>
  <c r="I184" i="4"/>
  <c r="I185" i="4"/>
  <c r="I186" i="4"/>
  <c r="F187" i="4"/>
  <c r="I187" i="4"/>
  <c r="F188" i="4"/>
  <c r="I188" i="4"/>
  <c r="I189" i="4"/>
  <c r="I190" i="4"/>
  <c r="F191" i="4"/>
  <c r="I191" i="4"/>
  <c r="F192" i="4"/>
  <c r="I192" i="4"/>
  <c r="F193" i="4"/>
  <c r="I193" i="4"/>
  <c r="F194" i="4"/>
  <c r="I194" i="4"/>
  <c r="F195" i="4"/>
  <c r="I195" i="4"/>
  <c r="F196" i="4"/>
  <c r="F197" i="4"/>
  <c r="I197" i="4"/>
  <c r="F198" i="4"/>
  <c r="F199" i="4"/>
  <c r="I199" i="4"/>
  <c r="I200" i="4"/>
  <c r="F201" i="4"/>
  <c r="I201" i="4"/>
  <c r="F202" i="4"/>
  <c r="I203" i="4"/>
  <c r="I204" i="4"/>
  <c r="I205" i="4"/>
  <c r="F206" i="4"/>
  <c r="I206" i="4"/>
  <c r="I207" i="4"/>
  <c r="I208" i="4"/>
  <c r="F209" i="4"/>
  <c r="I209" i="4"/>
  <c r="F210" i="4"/>
  <c r="F211" i="4"/>
  <c r="I212" i="4"/>
  <c r="F213" i="4"/>
  <c r="I213" i="4"/>
  <c r="F214" i="4"/>
  <c r="I214" i="4"/>
  <c r="F215" i="4"/>
  <c r="F217" i="4"/>
  <c r="F218" i="4"/>
  <c r="F219" i="4"/>
  <c r="I219" i="4"/>
  <c r="I220" i="4"/>
  <c r="F221" i="4"/>
  <c r="I221" i="4"/>
  <c r="F222" i="4"/>
  <c r="I222" i="4"/>
  <c r="F223" i="4"/>
  <c r="I223" i="4"/>
  <c r="F225" i="4"/>
  <c r="I225" i="4"/>
  <c r="F226" i="4"/>
  <c r="I226" i="4"/>
  <c r="I227" i="4"/>
  <c r="F228" i="4"/>
  <c r="I228" i="4"/>
  <c r="I229" i="4"/>
  <c r="F230" i="4"/>
  <c r="I230" i="4"/>
  <c r="F231" i="4"/>
  <c r="I231" i="4"/>
  <c r="F232" i="4"/>
  <c r="I232" i="4"/>
  <c r="F233" i="4"/>
  <c r="I233" i="4"/>
  <c r="F234" i="4"/>
  <c r="I234" i="4"/>
  <c r="F235" i="4"/>
  <c r="I235" i="4"/>
  <c r="F236" i="4"/>
  <c r="I236" i="4"/>
  <c r="F237" i="4"/>
  <c r="I237" i="4"/>
  <c r="F238" i="4"/>
  <c r="I238" i="4"/>
  <c r="F239" i="4"/>
  <c r="F240" i="4"/>
  <c r="I240" i="4"/>
  <c r="F241" i="4"/>
  <c r="F242" i="4"/>
  <c r="I242" i="4"/>
  <c r="I243" i="4"/>
  <c r="F244" i="4"/>
  <c r="F245" i="4"/>
  <c r="I245" i="4"/>
  <c r="I246" i="4"/>
  <c r="I247" i="4"/>
  <c r="F248" i="4"/>
  <c r="I248" i="4"/>
  <c r="I249" i="4"/>
  <c r="F250" i="4"/>
  <c r="I250" i="4"/>
  <c r="I251" i="4"/>
  <c r="F254" i="4"/>
  <c r="F255" i="4"/>
  <c r="F256" i="4"/>
  <c r="I256" i="4"/>
  <c r="F257" i="4"/>
  <c r="I257" i="4"/>
  <c r="F258" i="4"/>
  <c r="I258" i="4"/>
  <c r="F259" i="4"/>
  <c r="I259" i="4"/>
  <c r="F260" i="4"/>
  <c r="I260" i="4"/>
  <c r="F261" i="4"/>
  <c r="I261" i="4"/>
  <c r="F262" i="4"/>
  <c r="I262" i="4"/>
  <c r="F263" i="4"/>
  <c r="I263" i="4"/>
  <c r="I264" i="4"/>
  <c r="F265" i="4"/>
  <c r="I265" i="4"/>
  <c r="F266" i="4"/>
  <c r="I266" i="4"/>
  <c r="I267" i="4"/>
  <c r="I268" i="4"/>
  <c r="F269" i="4"/>
  <c r="I269" i="4"/>
  <c r="F270" i="4"/>
  <c r="I270" i="4"/>
  <c r="F271" i="4"/>
  <c r="I271" i="4"/>
  <c r="I272" i="4"/>
  <c r="F273" i="4"/>
  <c r="I273" i="4"/>
  <c r="F274" i="4"/>
  <c r="I274" i="4"/>
  <c r="F275" i="4"/>
  <c r="I275" i="4"/>
  <c r="F276" i="4"/>
  <c r="I276" i="4"/>
  <c r="F278" i="4"/>
  <c r="F279" i="4"/>
  <c r="I279" i="4"/>
  <c r="F280" i="4"/>
  <c r="I280" i="4"/>
  <c r="F281" i="4"/>
  <c r="F282" i="4"/>
  <c r="I282" i="4"/>
  <c r="AH6" i="2"/>
  <c r="AI6" i="2"/>
  <c r="AJ6" i="2"/>
  <c r="AK6" i="2"/>
  <c r="AL6" i="2"/>
  <c r="AM6" i="2"/>
  <c r="AN6" i="2"/>
  <c r="AO6" i="2"/>
  <c r="AH7" i="2"/>
  <c r="AI7" i="2"/>
  <c r="AJ7" i="2"/>
  <c r="AK7" i="2"/>
  <c r="AL7" i="2"/>
  <c r="AM7" i="2"/>
  <c r="AN7" i="2"/>
  <c r="AO7" i="2"/>
  <c r="AH8" i="2"/>
  <c r="AI8" i="2"/>
  <c r="AJ8" i="2"/>
  <c r="AK8" i="2"/>
  <c r="AL8" i="2"/>
  <c r="AM8" i="2"/>
  <c r="AN8" i="2"/>
  <c r="AO8" i="2"/>
  <c r="AH9" i="2"/>
  <c r="AI9" i="2"/>
  <c r="AJ9" i="2"/>
  <c r="AK9" i="2"/>
  <c r="AL9" i="2"/>
  <c r="AM9" i="2"/>
  <c r="AN9" i="2"/>
  <c r="AO9" i="2"/>
  <c r="AH10" i="2"/>
  <c r="AI10" i="2"/>
  <c r="AJ10" i="2"/>
  <c r="AK10" i="2"/>
  <c r="AL10" i="2"/>
  <c r="AM10" i="2"/>
  <c r="AN10" i="2"/>
  <c r="AO10" i="2"/>
  <c r="AH11" i="2"/>
  <c r="AI11" i="2"/>
  <c r="AJ11" i="2"/>
  <c r="AK11" i="2"/>
  <c r="AL11" i="2"/>
  <c r="AM11" i="2"/>
  <c r="AN11" i="2"/>
  <c r="AO11" i="2"/>
  <c r="AH12" i="2"/>
  <c r="AI12" i="2"/>
  <c r="AJ12" i="2"/>
  <c r="AK12" i="2"/>
  <c r="AL12" i="2"/>
  <c r="AM12" i="2"/>
  <c r="AN12" i="2"/>
  <c r="AO12" i="2"/>
  <c r="AH13" i="2"/>
  <c r="AI13" i="2"/>
  <c r="AJ13" i="2"/>
  <c r="AK13" i="2"/>
  <c r="AL13" i="2"/>
  <c r="AM13" i="2"/>
  <c r="AN13" i="2"/>
  <c r="AO13" i="2"/>
  <c r="AH14" i="2"/>
  <c r="AI14" i="2"/>
  <c r="AJ14" i="2"/>
  <c r="AK14" i="2"/>
  <c r="AL14" i="2"/>
  <c r="AM14" i="2"/>
  <c r="AN14" i="2"/>
  <c r="AO14" i="2"/>
  <c r="AH15" i="2"/>
  <c r="AI15" i="2"/>
  <c r="AJ15" i="2"/>
  <c r="AK15" i="2"/>
  <c r="AL15" i="2"/>
  <c r="AM15" i="2"/>
  <c r="AN15" i="2"/>
  <c r="AO15" i="2"/>
  <c r="AH16" i="2"/>
  <c r="AI16" i="2"/>
  <c r="AJ16" i="2"/>
  <c r="AK16" i="2"/>
  <c r="AL16" i="2"/>
  <c r="AM16" i="2"/>
  <c r="AN16" i="2"/>
  <c r="AO16" i="2"/>
  <c r="AH17" i="2"/>
  <c r="AI17" i="2"/>
  <c r="AJ17" i="2"/>
  <c r="AK17" i="2"/>
  <c r="AL17" i="2"/>
  <c r="AM17" i="2"/>
  <c r="AN17" i="2"/>
  <c r="AO17" i="2"/>
  <c r="AH18" i="2"/>
  <c r="AI18" i="2"/>
  <c r="AJ18" i="2"/>
  <c r="AK18" i="2"/>
  <c r="AL18" i="2"/>
  <c r="AM18" i="2"/>
  <c r="AN18" i="2"/>
  <c r="AO18" i="2"/>
  <c r="AH19" i="2"/>
  <c r="AI19" i="2"/>
  <c r="AJ19" i="2"/>
  <c r="AK19" i="2"/>
  <c r="AL19" i="2"/>
  <c r="AM19" i="2"/>
  <c r="AN19" i="2"/>
  <c r="AO19" i="2"/>
  <c r="AH20" i="2"/>
  <c r="AI20" i="2"/>
  <c r="AJ20" i="2"/>
  <c r="AK20" i="2"/>
  <c r="AL20" i="2"/>
  <c r="AM20" i="2"/>
  <c r="AN20" i="2"/>
  <c r="AO20" i="2"/>
  <c r="AH21" i="2"/>
  <c r="AI21" i="2"/>
  <c r="AJ21" i="2"/>
  <c r="AK21" i="2"/>
  <c r="AL21" i="2"/>
  <c r="AM21" i="2"/>
  <c r="AN21" i="2"/>
  <c r="AO21" i="2"/>
  <c r="AH22" i="2"/>
  <c r="AI22" i="2"/>
  <c r="AJ22" i="2"/>
  <c r="AK22" i="2"/>
  <c r="AL22" i="2"/>
  <c r="AM22" i="2"/>
  <c r="AN22" i="2"/>
  <c r="AO22" i="2"/>
  <c r="AH23" i="2"/>
  <c r="AI23" i="2"/>
  <c r="AJ23" i="2"/>
  <c r="AK23" i="2"/>
  <c r="AL23" i="2"/>
  <c r="AM23" i="2"/>
  <c r="AN23" i="2"/>
  <c r="AO23" i="2"/>
  <c r="AH24" i="2"/>
  <c r="AI24" i="2"/>
  <c r="AJ24" i="2"/>
  <c r="AK24" i="2"/>
  <c r="AL24" i="2"/>
  <c r="AM24" i="2"/>
  <c r="AN24" i="2"/>
  <c r="AO24" i="2"/>
  <c r="AH25" i="2"/>
  <c r="AI25" i="2"/>
  <c r="AJ25" i="2"/>
  <c r="AK25" i="2"/>
  <c r="AL25" i="2"/>
  <c r="AM25" i="2"/>
  <c r="AN25" i="2"/>
  <c r="AO25" i="2"/>
  <c r="AH26" i="2"/>
  <c r="AI26" i="2"/>
  <c r="AJ26" i="2"/>
  <c r="AK26" i="2"/>
  <c r="AL26" i="2"/>
  <c r="AM26" i="2"/>
  <c r="AN26" i="2"/>
  <c r="AO26" i="2"/>
  <c r="AH27" i="2"/>
  <c r="AI27" i="2"/>
  <c r="AJ27" i="2"/>
  <c r="AK27" i="2"/>
  <c r="AL27" i="2"/>
  <c r="AM27" i="2"/>
  <c r="AN27" i="2"/>
  <c r="AO27" i="2"/>
  <c r="AH28" i="2"/>
  <c r="AI28" i="2"/>
  <c r="AJ28" i="2"/>
  <c r="AK28" i="2"/>
  <c r="AL28" i="2"/>
  <c r="AM28" i="2"/>
  <c r="AN28" i="2"/>
  <c r="AO28" i="2"/>
  <c r="AH29" i="2"/>
  <c r="AI29" i="2"/>
  <c r="AJ29" i="2"/>
  <c r="AK29" i="2"/>
  <c r="AL29" i="2"/>
  <c r="AM29" i="2"/>
  <c r="AN29" i="2"/>
  <c r="AO29" i="2"/>
  <c r="AH30" i="2"/>
  <c r="AI30" i="2"/>
  <c r="AJ30" i="2"/>
  <c r="AK30" i="2"/>
  <c r="AL30" i="2"/>
  <c r="AM30" i="2"/>
  <c r="AN30" i="2"/>
  <c r="AO30" i="2"/>
  <c r="AH31" i="2"/>
  <c r="AI31" i="2"/>
  <c r="AJ31" i="2"/>
  <c r="AK31" i="2"/>
  <c r="AL31" i="2"/>
  <c r="AM31" i="2"/>
  <c r="AN31" i="2"/>
  <c r="AO31" i="2"/>
  <c r="AH32" i="2"/>
  <c r="AI32" i="2"/>
  <c r="AJ32" i="2"/>
  <c r="AK32" i="2"/>
  <c r="AL32" i="2"/>
  <c r="AM32" i="2"/>
  <c r="AN32" i="2"/>
  <c r="AO32" i="2"/>
  <c r="AH33" i="2"/>
  <c r="AI33" i="2"/>
  <c r="AJ33" i="2"/>
  <c r="AK33" i="2"/>
  <c r="AL33" i="2"/>
  <c r="AM33" i="2"/>
  <c r="AN33" i="2"/>
  <c r="AO33" i="2"/>
  <c r="AH34" i="2"/>
  <c r="AI34" i="2"/>
  <c r="AJ34" i="2"/>
  <c r="AK34" i="2"/>
  <c r="AL34" i="2"/>
  <c r="AM34" i="2"/>
  <c r="AN34" i="2"/>
  <c r="AO34" i="2"/>
  <c r="AH35" i="2"/>
  <c r="AI35" i="2"/>
  <c r="AJ35" i="2"/>
  <c r="AK35" i="2"/>
  <c r="AL35" i="2"/>
  <c r="AM35" i="2"/>
  <c r="AN35" i="2"/>
  <c r="AO35" i="2"/>
  <c r="AH36" i="2"/>
  <c r="AI36" i="2"/>
  <c r="AJ36" i="2"/>
  <c r="AK36" i="2"/>
  <c r="AL36" i="2"/>
  <c r="AM36" i="2"/>
  <c r="AN36" i="2"/>
  <c r="AO36" i="2"/>
  <c r="AH37" i="2"/>
  <c r="AI37" i="2"/>
  <c r="AJ37" i="2"/>
  <c r="AK37" i="2"/>
  <c r="AL37" i="2"/>
  <c r="AM37" i="2"/>
  <c r="AN37" i="2"/>
  <c r="AO37" i="2"/>
  <c r="AH38" i="2"/>
  <c r="AI38" i="2"/>
  <c r="AJ38" i="2"/>
  <c r="AK38" i="2"/>
  <c r="AL38" i="2"/>
  <c r="AM38" i="2"/>
  <c r="AN38" i="2"/>
  <c r="AO38" i="2"/>
  <c r="AH39" i="2"/>
  <c r="AI39" i="2"/>
  <c r="AJ39" i="2"/>
  <c r="AK39" i="2"/>
  <c r="AL39" i="2"/>
  <c r="AM39" i="2"/>
  <c r="AN39" i="2"/>
  <c r="AO39" i="2"/>
  <c r="AH40" i="2"/>
  <c r="AI40" i="2"/>
  <c r="AJ40" i="2"/>
  <c r="AK40" i="2"/>
  <c r="AL40" i="2"/>
  <c r="AM40" i="2"/>
  <c r="AN40" i="2"/>
  <c r="AO40" i="2"/>
  <c r="AH41" i="2"/>
  <c r="AI41" i="2"/>
  <c r="AJ41" i="2"/>
  <c r="AK41" i="2"/>
  <c r="AL41" i="2"/>
  <c r="AM41" i="2"/>
  <c r="AN41" i="2"/>
  <c r="AO41" i="2"/>
  <c r="AH42" i="2"/>
  <c r="AI42" i="2"/>
  <c r="AJ42" i="2"/>
  <c r="AK42" i="2"/>
  <c r="AL42" i="2"/>
  <c r="AM42" i="2"/>
  <c r="AN42" i="2"/>
  <c r="AO42" i="2"/>
  <c r="AH43" i="2"/>
  <c r="AI43" i="2"/>
  <c r="AJ43" i="2"/>
  <c r="AK43" i="2"/>
  <c r="AL43" i="2"/>
  <c r="AM43" i="2"/>
  <c r="AN43" i="2"/>
  <c r="AO43" i="2"/>
  <c r="AH44" i="2"/>
  <c r="AI44" i="2"/>
  <c r="AJ44" i="2"/>
  <c r="AK44" i="2"/>
  <c r="AL44" i="2"/>
  <c r="AM44" i="2"/>
  <c r="AN44" i="2"/>
  <c r="AO44" i="2"/>
  <c r="AH45" i="2"/>
  <c r="AI45" i="2"/>
  <c r="AJ45" i="2"/>
  <c r="AK45" i="2"/>
  <c r="AL45" i="2"/>
  <c r="AM45" i="2"/>
  <c r="AN45" i="2"/>
  <c r="AO45" i="2"/>
  <c r="AH46" i="2"/>
  <c r="AI46" i="2"/>
  <c r="AJ46" i="2"/>
  <c r="AK46" i="2"/>
  <c r="AL46" i="2"/>
  <c r="AM46" i="2"/>
  <c r="AN46" i="2"/>
  <c r="AO46" i="2"/>
  <c r="AH47" i="2"/>
  <c r="AI47" i="2"/>
  <c r="AJ47" i="2"/>
  <c r="AK47" i="2"/>
  <c r="AL47" i="2"/>
  <c r="AM47" i="2"/>
  <c r="AN47" i="2"/>
  <c r="AO47" i="2"/>
  <c r="AH48" i="2"/>
  <c r="AI48" i="2"/>
  <c r="AJ48" i="2"/>
  <c r="AK48" i="2"/>
  <c r="AL48" i="2"/>
  <c r="AM48" i="2"/>
  <c r="AN48" i="2"/>
  <c r="AO48" i="2"/>
  <c r="AH49" i="2"/>
  <c r="AI49" i="2"/>
  <c r="AJ49" i="2"/>
  <c r="AK49" i="2"/>
  <c r="AL49" i="2"/>
  <c r="AM49" i="2"/>
  <c r="AN49" i="2"/>
  <c r="AO49" i="2"/>
  <c r="AH50" i="2"/>
  <c r="AI50" i="2"/>
  <c r="AJ50" i="2"/>
  <c r="AK50" i="2"/>
  <c r="AL50" i="2"/>
  <c r="AM50" i="2"/>
  <c r="AN50" i="2"/>
  <c r="AO50" i="2"/>
  <c r="AH51" i="2"/>
  <c r="AI51" i="2"/>
  <c r="AJ51" i="2"/>
  <c r="AK51" i="2"/>
  <c r="AL51" i="2"/>
  <c r="AM51" i="2"/>
  <c r="AN51" i="2"/>
  <c r="AO51" i="2"/>
  <c r="AH52" i="2"/>
  <c r="AI52" i="2"/>
  <c r="AJ52" i="2"/>
  <c r="AK52" i="2"/>
  <c r="AL52" i="2"/>
  <c r="AM52" i="2"/>
  <c r="AN52" i="2"/>
  <c r="AO52" i="2"/>
  <c r="AH53" i="2"/>
  <c r="AI53" i="2"/>
  <c r="AJ53" i="2"/>
  <c r="AK53" i="2"/>
  <c r="AL53" i="2"/>
  <c r="AM53" i="2"/>
  <c r="AN53" i="2"/>
  <c r="AO53" i="2"/>
  <c r="AH54" i="2"/>
  <c r="AI54" i="2"/>
  <c r="AJ54" i="2"/>
  <c r="AK54" i="2"/>
  <c r="AL54" i="2"/>
  <c r="AM54" i="2"/>
  <c r="AN54" i="2"/>
  <c r="AO54" i="2"/>
  <c r="AH55" i="2"/>
  <c r="AI55" i="2"/>
  <c r="AJ55" i="2"/>
  <c r="AK55" i="2"/>
  <c r="AL55" i="2"/>
  <c r="AM55" i="2"/>
  <c r="AN55" i="2"/>
  <c r="AO55" i="2"/>
  <c r="AH56" i="2"/>
  <c r="AI56" i="2"/>
  <c r="AJ56" i="2"/>
  <c r="AK56" i="2"/>
  <c r="AL56" i="2"/>
  <c r="AM56" i="2"/>
  <c r="AN56" i="2"/>
  <c r="AO56" i="2"/>
  <c r="AH57" i="2"/>
  <c r="AI57" i="2"/>
  <c r="AJ57" i="2"/>
  <c r="AK57" i="2"/>
  <c r="AL57" i="2"/>
  <c r="AM57" i="2"/>
  <c r="AN57" i="2"/>
  <c r="AO57" i="2"/>
  <c r="AH58" i="2"/>
  <c r="AI58" i="2"/>
  <c r="AJ58" i="2"/>
  <c r="AK58" i="2"/>
  <c r="AL58" i="2"/>
  <c r="AM58" i="2"/>
  <c r="AN58" i="2"/>
  <c r="AO58" i="2"/>
  <c r="AH59" i="2"/>
  <c r="AI59" i="2"/>
  <c r="AJ59" i="2"/>
  <c r="AK59" i="2"/>
  <c r="AL59" i="2"/>
  <c r="AM59" i="2"/>
  <c r="AN59" i="2"/>
  <c r="AO59" i="2"/>
  <c r="AH60" i="2"/>
  <c r="AI60" i="2"/>
  <c r="AJ60" i="2"/>
  <c r="AK60" i="2"/>
  <c r="AL60" i="2"/>
  <c r="AM60" i="2"/>
  <c r="AN60" i="2"/>
  <c r="AO60" i="2"/>
  <c r="AH61" i="2"/>
  <c r="AI61" i="2"/>
  <c r="AJ61" i="2"/>
  <c r="AK61" i="2"/>
  <c r="AL61" i="2"/>
  <c r="AM61" i="2"/>
  <c r="AN61" i="2"/>
  <c r="AO61" i="2"/>
  <c r="AH62" i="2"/>
  <c r="AI62" i="2"/>
  <c r="AJ62" i="2"/>
  <c r="AK62" i="2"/>
  <c r="AL62" i="2"/>
  <c r="AM62" i="2"/>
  <c r="AN62" i="2"/>
  <c r="AO62" i="2"/>
  <c r="AH63" i="2"/>
  <c r="AI63" i="2"/>
  <c r="AJ63" i="2"/>
  <c r="AK63" i="2"/>
  <c r="AL63" i="2"/>
  <c r="AM63" i="2"/>
  <c r="AN63" i="2"/>
  <c r="AO63" i="2"/>
  <c r="AH64" i="2"/>
  <c r="AI64" i="2"/>
  <c r="AJ64" i="2"/>
  <c r="AK64" i="2"/>
  <c r="AL64" i="2"/>
  <c r="AM64" i="2"/>
  <c r="AN64" i="2"/>
  <c r="AO64" i="2"/>
  <c r="AH65" i="2"/>
  <c r="AI65" i="2"/>
  <c r="AJ65" i="2"/>
  <c r="AK65" i="2"/>
  <c r="AL65" i="2"/>
  <c r="AM65" i="2"/>
  <c r="AN65" i="2"/>
  <c r="AO65" i="2"/>
  <c r="AH66" i="2"/>
  <c r="AI66" i="2"/>
  <c r="AJ66" i="2"/>
  <c r="AK66" i="2"/>
  <c r="AL66" i="2"/>
  <c r="AM66" i="2"/>
  <c r="AN66" i="2"/>
  <c r="AO66" i="2"/>
  <c r="AH67" i="2"/>
  <c r="AI67" i="2"/>
  <c r="AJ67" i="2"/>
  <c r="AK67" i="2"/>
  <c r="AL67" i="2"/>
  <c r="AM67" i="2"/>
  <c r="AN67" i="2"/>
  <c r="AO67" i="2"/>
  <c r="AH68" i="2"/>
  <c r="AI68" i="2"/>
  <c r="AJ68" i="2"/>
  <c r="AK68" i="2"/>
  <c r="AL68" i="2"/>
  <c r="AM68" i="2"/>
  <c r="AN68" i="2"/>
  <c r="AO68" i="2"/>
  <c r="AH69" i="2"/>
  <c r="AI69" i="2"/>
  <c r="AJ69" i="2"/>
  <c r="AK69" i="2"/>
  <c r="AL69" i="2"/>
  <c r="AM69" i="2"/>
  <c r="AN69" i="2"/>
  <c r="AO69" i="2"/>
  <c r="AH70" i="2"/>
  <c r="AI70" i="2"/>
  <c r="AJ70" i="2"/>
  <c r="AK70" i="2"/>
  <c r="AL70" i="2"/>
  <c r="AM70" i="2"/>
  <c r="AN70" i="2"/>
  <c r="AO70" i="2"/>
  <c r="AH71" i="2"/>
  <c r="AI71" i="2"/>
  <c r="AJ71" i="2"/>
  <c r="AK71" i="2"/>
  <c r="AL71" i="2"/>
  <c r="AM71" i="2"/>
  <c r="AN71" i="2"/>
  <c r="AO71" i="2"/>
  <c r="AH72" i="2"/>
  <c r="AI72" i="2"/>
  <c r="AJ72" i="2"/>
  <c r="AK72" i="2"/>
  <c r="AL72" i="2"/>
  <c r="AM72" i="2"/>
  <c r="AN72" i="2"/>
  <c r="AO72" i="2"/>
  <c r="AH73" i="2"/>
  <c r="AI73" i="2"/>
  <c r="AJ73" i="2"/>
  <c r="AK73" i="2"/>
  <c r="AL73" i="2"/>
  <c r="AM73" i="2"/>
  <c r="AN73" i="2"/>
  <c r="AO73" i="2"/>
  <c r="AH74" i="2"/>
  <c r="AI74" i="2"/>
  <c r="AJ74" i="2"/>
  <c r="AK74" i="2"/>
  <c r="AL74" i="2"/>
  <c r="AM74" i="2"/>
  <c r="AN74" i="2"/>
  <c r="AO74" i="2"/>
  <c r="AH75" i="2"/>
  <c r="AI75" i="2"/>
  <c r="AJ75" i="2"/>
  <c r="AK75" i="2"/>
  <c r="AL75" i="2"/>
  <c r="AM75" i="2"/>
  <c r="AN75" i="2"/>
  <c r="AO75" i="2"/>
  <c r="AH76" i="2"/>
  <c r="AI76" i="2"/>
  <c r="AJ76" i="2"/>
  <c r="AK76" i="2"/>
  <c r="AL76" i="2"/>
  <c r="AM76" i="2"/>
  <c r="AN76" i="2"/>
  <c r="AO76" i="2"/>
  <c r="AH77" i="2"/>
  <c r="AI77" i="2"/>
  <c r="AJ77" i="2"/>
  <c r="AK77" i="2"/>
  <c r="AL77" i="2"/>
  <c r="AM77" i="2"/>
  <c r="AN77" i="2"/>
  <c r="AO77" i="2"/>
  <c r="AH78" i="2"/>
  <c r="AI78" i="2"/>
  <c r="AJ78" i="2"/>
  <c r="AK78" i="2"/>
  <c r="AL78" i="2"/>
  <c r="AM78" i="2"/>
  <c r="AN78" i="2"/>
  <c r="AO78" i="2"/>
  <c r="AH79" i="2"/>
  <c r="AI79" i="2"/>
  <c r="AJ79" i="2"/>
  <c r="AK79" i="2"/>
  <c r="AL79" i="2"/>
  <c r="AM79" i="2"/>
  <c r="AN79" i="2"/>
  <c r="AO79" i="2"/>
  <c r="AH80" i="2"/>
  <c r="AI80" i="2"/>
  <c r="AJ80" i="2"/>
  <c r="AK80" i="2"/>
  <c r="AL80" i="2"/>
  <c r="AM80" i="2"/>
  <c r="AN80" i="2"/>
  <c r="AO80" i="2"/>
  <c r="AH81" i="2"/>
  <c r="AI81" i="2"/>
  <c r="AJ81" i="2"/>
  <c r="AK81" i="2"/>
  <c r="AL81" i="2"/>
  <c r="AM81" i="2"/>
  <c r="AN81" i="2"/>
  <c r="AO81" i="2"/>
  <c r="AH82" i="2"/>
  <c r="AI82" i="2"/>
  <c r="AJ82" i="2"/>
  <c r="AK82" i="2"/>
  <c r="AL82" i="2"/>
  <c r="AM82" i="2"/>
  <c r="AN82" i="2"/>
  <c r="AO82" i="2"/>
  <c r="AH83" i="2"/>
  <c r="AI83" i="2"/>
  <c r="AJ83" i="2"/>
  <c r="AK83" i="2"/>
  <c r="AL83" i="2"/>
  <c r="AM83" i="2"/>
  <c r="AN83" i="2"/>
  <c r="AO83" i="2"/>
  <c r="AH84" i="2"/>
  <c r="AI84" i="2"/>
  <c r="AJ84" i="2"/>
  <c r="AK84" i="2"/>
  <c r="AL84" i="2"/>
  <c r="AM84" i="2"/>
  <c r="AN84" i="2"/>
  <c r="AO84" i="2"/>
  <c r="AH85" i="2"/>
  <c r="AI85" i="2"/>
  <c r="AJ85" i="2"/>
  <c r="AK85" i="2"/>
  <c r="AL85" i="2"/>
  <c r="AM85" i="2"/>
  <c r="AN85" i="2"/>
  <c r="AO85" i="2"/>
  <c r="AH86" i="2"/>
  <c r="AI86" i="2"/>
  <c r="AJ86" i="2"/>
  <c r="AK86" i="2"/>
  <c r="AL86" i="2"/>
  <c r="AM86" i="2"/>
  <c r="AN86" i="2"/>
  <c r="AO86" i="2"/>
  <c r="AH87" i="2"/>
  <c r="AI87" i="2"/>
  <c r="AJ87" i="2"/>
  <c r="AK87" i="2"/>
  <c r="AL87" i="2"/>
  <c r="AM87" i="2"/>
  <c r="AN87" i="2"/>
  <c r="AO87" i="2"/>
  <c r="AH88" i="2"/>
  <c r="AI88" i="2"/>
  <c r="AJ88" i="2"/>
  <c r="AK88" i="2"/>
  <c r="AL88" i="2"/>
  <c r="AM88" i="2"/>
  <c r="AN88" i="2"/>
  <c r="AO88" i="2"/>
  <c r="AH89" i="2"/>
  <c r="AI89" i="2"/>
  <c r="AJ89" i="2"/>
  <c r="AK89" i="2"/>
  <c r="AL89" i="2"/>
  <c r="AM89" i="2"/>
  <c r="AN89" i="2"/>
  <c r="AO89" i="2"/>
  <c r="AH90" i="2"/>
  <c r="AI90" i="2"/>
  <c r="AJ90" i="2"/>
  <c r="AK90" i="2"/>
  <c r="AL90" i="2"/>
  <c r="AM90" i="2"/>
  <c r="AN90" i="2"/>
  <c r="AO90" i="2"/>
  <c r="AH91" i="2"/>
  <c r="AI91" i="2"/>
  <c r="AJ91" i="2"/>
  <c r="AK91" i="2"/>
  <c r="AL91" i="2"/>
  <c r="AM91" i="2"/>
  <c r="AN91" i="2"/>
  <c r="AO91" i="2"/>
  <c r="AH92" i="2"/>
  <c r="AI92" i="2"/>
  <c r="AJ92" i="2"/>
  <c r="AK92" i="2"/>
  <c r="AL92" i="2"/>
  <c r="AM92" i="2"/>
  <c r="AN92" i="2"/>
  <c r="AO92" i="2"/>
  <c r="AH93" i="2"/>
  <c r="AI93" i="2"/>
  <c r="AJ93" i="2"/>
  <c r="AK93" i="2"/>
  <c r="AL93" i="2"/>
  <c r="AM93" i="2"/>
  <c r="AN93" i="2"/>
  <c r="AO93" i="2"/>
  <c r="AH94" i="2"/>
  <c r="AI94" i="2"/>
  <c r="AJ94" i="2"/>
  <c r="AK94" i="2"/>
  <c r="AL94" i="2"/>
  <c r="AM94" i="2"/>
  <c r="AN94" i="2"/>
  <c r="AO94" i="2"/>
  <c r="AH95" i="2"/>
  <c r="AI95" i="2"/>
  <c r="AJ95" i="2"/>
  <c r="AK95" i="2"/>
  <c r="AL95" i="2"/>
  <c r="AM95" i="2"/>
  <c r="AN95" i="2"/>
  <c r="AO95" i="2"/>
  <c r="AH96" i="2"/>
  <c r="AI96" i="2"/>
  <c r="AJ96" i="2"/>
  <c r="AK96" i="2"/>
  <c r="AL96" i="2"/>
  <c r="AM96" i="2"/>
  <c r="AN96" i="2"/>
  <c r="AO96" i="2"/>
  <c r="AH97" i="2"/>
  <c r="AI97" i="2"/>
  <c r="AJ97" i="2"/>
  <c r="AK97" i="2"/>
  <c r="AL97" i="2"/>
  <c r="AM97" i="2"/>
  <c r="AN97" i="2"/>
  <c r="AO97" i="2"/>
  <c r="AH98" i="2"/>
  <c r="AI98" i="2"/>
  <c r="AJ98" i="2"/>
  <c r="AK98" i="2"/>
  <c r="AL98" i="2"/>
  <c r="AM98" i="2"/>
  <c r="AN98" i="2"/>
  <c r="AO98" i="2"/>
  <c r="AH99" i="2"/>
  <c r="AI99" i="2"/>
  <c r="AJ99" i="2"/>
  <c r="AK99" i="2"/>
  <c r="AL99" i="2"/>
  <c r="AM99" i="2"/>
  <c r="AN99" i="2"/>
  <c r="AO99" i="2"/>
  <c r="AH100" i="2"/>
  <c r="AI100" i="2"/>
  <c r="AJ100" i="2"/>
  <c r="AK100" i="2"/>
  <c r="AL100" i="2"/>
  <c r="AM100" i="2"/>
  <c r="AN100" i="2"/>
  <c r="AO100" i="2"/>
  <c r="AH101" i="2"/>
  <c r="AI101" i="2"/>
  <c r="AJ101" i="2"/>
  <c r="AK101" i="2"/>
  <c r="AL101" i="2"/>
  <c r="AM101" i="2"/>
  <c r="AN101" i="2"/>
  <c r="AO101" i="2"/>
  <c r="AH102" i="2"/>
  <c r="AI102" i="2"/>
  <c r="AJ102" i="2"/>
  <c r="AK102" i="2"/>
  <c r="AL102" i="2"/>
  <c r="AM102" i="2"/>
  <c r="AN102" i="2"/>
  <c r="AO102" i="2"/>
  <c r="AH103" i="2"/>
  <c r="AI103" i="2"/>
  <c r="AJ103" i="2"/>
  <c r="AK103" i="2"/>
  <c r="AL103" i="2"/>
  <c r="AM103" i="2"/>
  <c r="AN103" i="2"/>
  <c r="AO103" i="2"/>
  <c r="AH104" i="2"/>
  <c r="AI104" i="2"/>
  <c r="AJ104" i="2"/>
  <c r="AK104" i="2"/>
  <c r="AL104" i="2"/>
  <c r="AM104" i="2"/>
  <c r="AN104" i="2"/>
  <c r="AO104" i="2"/>
  <c r="AH105" i="2"/>
  <c r="AI105" i="2"/>
  <c r="AJ105" i="2"/>
  <c r="AK105" i="2"/>
  <c r="AL105" i="2"/>
  <c r="AM105" i="2"/>
  <c r="AN105" i="2"/>
  <c r="AO105" i="2"/>
  <c r="AH106" i="2"/>
  <c r="AI106" i="2"/>
  <c r="AJ106" i="2"/>
  <c r="AK106" i="2"/>
  <c r="AL106" i="2"/>
  <c r="AM106" i="2"/>
  <c r="AN106" i="2"/>
  <c r="AO106" i="2"/>
  <c r="AH107" i="2"/>
  <c r="AI107" i="2"/>
  <c r="AJ107" i="2"/>
  <c r="AK107" i="2"/>
  <c r="AL107" i="2"/>
  <c r="AM107" i="2"/>
  <c r="AN107" i="2"/>
  <c r="AO107" i="2"/>
  <c r="AH108" i="2"/>
  <c r="AI108" i="2"/>
  <c r="AJ108" i="2"/>
  <c r="AK108" i="2"/>
  <c r="AL108" i="2"/>
  <c r="AM108" i="2"/>
  <c r="AN108" i="2"/>
  <c r="AO108" i="2"/>
  <c r="AH109" i="2"/>
  <c r="AI109" i="2"/>
  <c r="AJ109" i="2"/>
  <c r="AK109" i="2"/>
  <c r="AL109" i="2"/>
  <c r="AM109" i="2"/>
  <c r="AN109" i="2"/>
  <c r="AO109" i="2"/>
  <c r="AH110" i="2"/>
  <c r="AI110" i="2"/>
  <c r="AJ110" i="2"/>
  <c r="AK110" i="2"/>
  <c r="AL110" i="2"/>
  <c r="AM110" i="2"/>
  <c r="AN110" i="2"/>
  <c r="AO110" i="2"/>
  <c r="AH111" i="2"/>
  <c r="AI111" i="2"/>
  <c r="AJ111" i="2"/>
  <c r="AK111" i="2"/>
  <c r="AL111" i="2"/>
  <c r="AM111" i="2"/>
  <c r="AN111" i="2"/>
  <c r="AO111" i="2"/>
  <c r="AH112" i="2"/>
  <c r="AI112" i="2"/>
  <c r="AJ112" i="2"/>
  <c r="AK112" i="2"/>
  <c r="AL112" i="2"/>
  <c r="AM112" i="2"/>
  <c r="AN112" i="2"/>
  <c r="AO112" i="2"/>
  <c r="AH113" i="2"/>
  <c r="AI113" i="2"/>
  <c r="AJ113" i="2"/>
  <c r="AK113" i="2"/>
  <c r="AL113" i="2"/>
  <c r="AM113" i="2"/>
  <c r="AN113" i="2"/>
  <c r="AO113" i="2"/>
  <c r="AH114" i="2"/>
  <c r="AI114" i="2"/>
  <c r="AJ114" i="2"/>
  <c r="AK114" i="2"/>
  <c r="AL114" i="2"/>
  <c r="AM114" i="2"/>
  <c r="AN114" i="2"/>
  <c r="AO114" i="2"/>
  <c r="AH115" i="2"/>
  <c r="AI115" i="2"/>
  <c r="AJ115" i="2"/>
  <c r="AK115" i="2"/>
  <c r="AL115" i="2"/>
  <c r="AM115" i="2"/>
  <c r="AN115" i="2"/>
  <c r="AO115" i="2"/>
  <c r="AH116" i="2"/>
  <c r="AI116" i="2"/>
  <c r="AJ116" i="2"/>
  <c r="AK116" i="2"/>
  <c r="AL116" i="2"/>
  <c r="AM116" i="2"/>
  <c r="AN116" i="2"/>
  <c r="AO116" i="2"/>
  <c r="AH117" i="2"/>
  <c r="AI117" i="2"/>
  <c r="AJ117" i="2"/>
  <c r="AK117" i="2"/>
  <c r="AL117" i="2"/>
  <c r="AM117" i="2"/>
  <c r="AN117" i="2"/>
  <c r="AO117" i="2"/>
  <c r="AH118" i="2"/>
  <c r="AI118" i="2"/>
  <c r="AJ118" i="2"/>
  <c r="AK118" i="2"/>
  <c r="AL118" i="2"/>
  <c r="AM118" i="2"/>
  <c r="AN118" i="2"/>
  <c r="AO118" i="2"/>
  <c r="AH119" i="2"/>
  <c r="AI119" i="2"/>
  <c r="AJ119" i="2"/>
  <c r="AK119" i="2"/>
  <c r="AL119" i="2"/>
  <c r="AM119" i="2"/>
  <c r="AN119" i="2"/>
  <c r="AO119" i="2"/>
  <c r="AH120" i="2"/>
  <c r="AI120" i="2"/>
  <c r="AJ120" i="2"/>
  <c r="AK120" i="2"/>
  <c r="AL120" i="2"/>
  <c r="AM120" i="2"/>
  <c r="AN120" i="2"/>
  <c r="AO120" i="2"/>
  <c r="AH121" i="2"/>
  <c r="AI121" i="2"/>
  <c r="AJ121" i="2"/>
  <c r="AK121" i="2"/>
  <c r="AL121" i="2"/>
  <c r="AM121" i="2"/>
  <c r="AN121" i="2"/>
  <c r="AO121" i="2"/>
  <c r="AH122" i="2"/>
  <c r="AI122" i="2"/>
  <c r="AJ122" i="2"/>
  <c r="AK122" i="2"/>
  <c r="AL122" i="2"/>
  <c r="AM122" i="2"/>
  <c r="AN122" i="2"/>
  <c r="AO122" i="2"/>
  <c r="AH123" i="2"/>
  <c r="AI123" i="2"/>
  <c r="AJ123" i="2"/>
  <c r="AK123" i="2"/>
  <c r="AL123" i="2"/>
  <c r="AM123" i="2"/>
  <c r="AN123" i="2"/>
  <c r="AO123" i="2"/>
  <c r="AH124" i="2"/>
  <c r="AI124" i="2"/>
  <c r="AJ124" i="2"/>
  <c r="AK124" i="2"/>
  <c r="AL124" i="2"/>
  <c r="AM124" i="2"/>
  <c r="AN124" i="2"/>
  <c r="AO124" i="2"/>
  <c r="AH125" i="2"/>
  <c r="AI125" i="2"/>
  <c r="AJ125" i="2"/>
  <c r="AK125" i="2"/>
  <c r="AL125" i="2"/>
  <c r="AM125" i="2"/>
  <c r="AN125" i="2"/>
  <c r="AO125" i="2"/>
  <c r="AH126" i="2"/>
  <c r="AI126" i="2"/>
  <c r="AJ126" i="2"/>
  <c r="AK126" i="2"/>
  <c r="AL126" i="2"/>
  <c r="AM126" i="2"/>
  <c r="AN126" i="2"/>
  <c r="AO126" i="2"/>
  <c r="AH127" i="2"/>
  <c r="AI127" i="2"/>
  <c r="AJ127" i="2"/>
  <c r="AK127" i="2"/>
  <c r="AL127" i="2"/>
  <c r="AM127" i="2"/>
  <c r="AN127" i="2"/>
  <c r="AO127" i="2"/>
  <c r="AH128" i="2"/>
  <c r="AI128" i="2"/>
  <c r="AJ128" i="2"/>
  <c r="AK128" i="2"/>
  <c r="AL128" i="2"/>
  <c r="AM128" i="2"/>
  <c r="AN128" i="2"/>
  <c r="AO128" i="2"/>
  <c r="AH129" i="2"/>
  <c r="AI129" i="2"/>
  <c r="AJ129" i="2"/>
  <c r="AK129" i="2"/>
  <c r="AL129" i="2"/>
  <c r="AM129" i="2"/>
  <c r="AN129" i="2"/>
  <c r="AO129" i="2"/>
  <c r="AH130" i="2"/>
  <c r="AI130" i="2"/>
  <c r="AJ130" i="2"/>
  <c r="AK130" i="2"/>
  <c r="AL130" i="2"/>
  <c r="AM130" i="2"/>
  <c r="AN130" i="2"/>
  <c r="AO130" i="2"/>
  <c r="AH131" i="2"/>
  <c r="AI131" i="2"/>
  <c r="AJ131" i="2"/>
  <c r="AK131" i="2"/>
  <c r="AL131" i="2"/>
  <c r="AM131" i="2"/>
  <c r="AN131" i="2"/>
  <c r="AO131" i="2"/>
  <c r="AH132" i="2"/>
  <c r="AI132" i="2"/>
  <c r="AJ132" i="2"/>
  <c r="AK132" i="2"/>
  <c r="AL132" i="2"/>
  <c r="AM132" i="2"/>
  <c r="AN132" i="2"/>
  <c r="AO132" i="2"/>
  <c r="AH133" i="2"/>
  <c r="AI133" i="2"/>
  <c r="AJ133" i="2"/>
  <c r="AK133" i="2"/>
  <c r="AL133" i="2"/>
  <c r="AM133" i="2"/>
  <c r="AN133" i="2"/>
  <c r="AO133" i="2"/>
  <c r="AH134" i="2"/>
  <c r="AI134" i="2"/>
  <c r="AJ134" i="2"/>
  <c r="AK134" i="2"/>
  <c r="AL134" i="2"/>
  <c r="AM134" i="2"/>
  <c r="AN134" i="2"/>
  <c r="AO134" i="2"/>
  <c r="AH135" i="2"/>
  <c r="AI135" i="2"/>
  <c r="AJ135" i="2"/>
  <c r="AK135" i="2"/>
  <c r="AL135" i="2"/>
  <c r="AM135" i="2"/>
  <c r="AN135" i="2"/>
  <c r="AO135" i="2"/>
  <c r="AH136" i="2"/>
  <c r="AI136" i="2"/>
  <c r="AJ136" i="2"/>
  <c r="AK136" i="2"/>
  <c r="AL136" i="2"/>
  <c r="AM136" i="2"/>
  <c r="AN136" i="2"/>
  <c r="AO136" i="2"/>
  <c r="AH137" i="2"/>
  <c r="AI137" i="2"/>
  <c r="AJ137" i="2"/>
  <c r="AK137" i="2"/>
  <c r="AL137" i="2"/>
  <c r="AM137" i="2"/>
  <c r="AN137" i="2"/>
  <c r="AO137" i="2"/>
  <c r="AH138" i="2"/>
  <c r="AI138" i="2"/>
  <c r="AJ138" i="2"/>
  <c r="AK138" i="2"/>
  <c r="AL138" i="2"/>
  <c r="AM138" i="2"/>
  <c r="AN138" i="2"/>
  <c r="AO138" i="2"/>
  <c r="AH139" i="2"/>
  <c r="AI139" i="2"/>
  <c r="AJ139" i="2"/>
  <c r="AK139" i="2"/>
  <c r="AL139" i="2"/>
  <c r="AM139" i="2"/>
  <c r="AN139" i="2"/>
  <c r="AO139" i="2"/>
  <c r="AH140" i="2"/>
  <c r="AI140" i="2"/>
  <c r="AJ140" i="2"/>
  <c r="AK140" i="2"/>
  <c r="AL140" i="2"/>
  <c r="AM140" i="2"/>
  <c r="AN140" i="2"/>
  <c r="AO140" i="2"/>
  <c r="AH141" i="2"/>
  <c r="AI141" i="2"/>
  <c r="AJ141" i="2"/>
  <c r="AK141" i="2"/>
  <c r="AL141" i="2"/>
  <c r="AM141" i="2"/>
  <c r="AN141" i="2"/>
  <c r="AO141" i="2"/>
  <c r="AH142" i="2"/>
  <c r="AI142" i="2"/>
  <c r="AJ142" i="2"/>
  <c r="AK142" i="2"/>
  <c r="AL142" i="2"/>
  <c r="AM142" i="2"/>
  <c r="AN142" i="2"/>
  <c r="AO142" i="2"/>
  <c r="AH143" i="2"/>
  <c r="AI143" i="2"/>
  <c r="AJ143" i="2"/>
  <c r="AK143" i="2"/>
  <c r="AL143" i="2"/>
  <c r="AM143" i="2"/>
  <c r="AN143" i="2"/>
  <c r="AO143" i="2"/>
  <c r="AH144" i="2"/>
  <c r="AI144" i="2"/>
  <c r="AJ144" i="2"/>
  <c r="AK144" i="2"/>
  <c r="AL144" i="2"/>
  <c r="AM144" i="2"/>
  <c r="AN144" i="2"/>
  <c r="AO144" i="2"/>
  <c r="AH145" i="2"/>
  <c r="AI145" i="2"/>
  <c r="AJ145" i="2"/>
  <c r="AK145" i="2"/>
  <c r="AL145" i="2"/>
  <c r="AM145" i="2"/>
  <c r="AN145" i="2"/>
  <c r="AO145" i="2"/>
  <c r="AH146" i="2"/>
  <c r="AI146" i="2"/>
  <c r="AJ146" i="2"/>
  <c r="AK146" i="2"/>
  <c r="AL146" i="2"/>
  <c r="AM146" i="2"/>
  <c r="AN146" i="2"/>
  <c r="AO146" i="2"/>
  <c r="AH147" i="2"/>
  <c r="AI147" i="2"/>
  <c r="AJ147" i="2"/>
  <c r="AK147" i="2"/>
  <c r="AL147" i="2"/>
  <c r="AM147" i="2"/>
  <c r="AN147" i="2"/>
  <c r="AO147" i="2"/>
  <c r="AH148" i="2"/>
  <c r="AI148" i="2"/>
  <c r="AJ148" i="2"/>
  <c r="AK148" i="2"/>
  <c r="AL148" i="2"/>
  <c r="AM148" i="2"/>
  <c r="AN148" i="2"/>
  <c r="AO148" i="2"/>
  <c r="AH149" i="2"/>
  <c r="AI149" i="2"/>
  <c r="AJ149" i="2"/>
  <c r="AK149" i="2"/>
  <c r="AL149" i="2"/>
  <c r="AM149" i="2"/>
  <c r="AN149" i="2"/>
  <c r="AO149" i="2"/>
  <c r="AH150" i="2"/>
  <c r="AI150" i="2"/>
  <c r="AJ150" i="2"/>
  <c r="AK150" i="2"/>
  <c r="AL150" i="2"/>
  <c r="AM150" i="2"/>
  <c r="AN150" i="2"/>
  <c r="AO150" i="2"/>
  <c r="AH151" i="2"/>
  <c r="AI151" i="2"/>
  <c r="AJ151" i="2"/>
  <c r="AK151" i="2"/>
  <c r="AL151" i="2"/>
  <c r="AM151" i="2"/>
  <c r="AN151" i="2"/>
  <c r="AO151" i="2"/>
  <c r="AH152" i="2"/>
  <c r="AI152" i="2"/>
  <c r="AJ152" i="2"/>
  <c r="AK152" i="2"/>
  <c r="AL152" i="2"/>
  <c r="AM152" i="2"/>
  <c r="AN152" i="2"/>
  <c r="AO152" i="2"/>
  <c r="AH153" i="2"/>
  <c r="AI153" i="2"/>
  <c r="AJ153" i="2"/>
  <c r="AK153" i="2"/>
  <c r="AL153" i="2"/>
  <c r="AM153" i="2"/>
  <c r="AN153" i="2"/>
  <c r="AO153" i="2"/>
  <c r="AH154" i="2"/>
  <c r="AI154" i="2"/>
  <c r="AJ154" i="2"/>
  <c r="AK154" i="2"/>
  <c r="AL154" i="2"/>
  <c r="AM154" i="2"/>
  <c r="AN154" i="2"/>
  <c r="AO154" i="2"/>
  <c r="AH155" i="2"/>
  <c r="AI155" i="2"/>
  <c r="AJ155" i="2"/>
  <c r="AK155" i="2"/>
  <c r="AL155" i="2"/>
  <c r="AM155" i="2"/>
  <c r="AN155" i="2"/>
  <c r="AO155" i="2"/>
  <c r="AH156" i="2"/>
  <c r="AI156" i="2"/>
  <c r="AJ156" i="2"/>
  <c r="AK156" i="2"/>
  <c r="AL156" i="2"/>
  <c r="AM156" i="2"/>
  <c r="AN156" i="2"/>
  <c r="AO156" i="2"/>
  <c r="AH157" i="2"/>
  <c r="AI157" i="2"/>
  <c r="AJ157" i="2"/>
  <c r="AK157" i="2"/>
  <c r="AL157" i="2"/>
  <c r="AM157" i="2"/>
  <c r="AN157" i="2"/>
  <c r="AO157" i="2"/>
  <c r="AH158" i="2"/>
  <c r="AI158" i="2"/>
  <c r="AJ158" i="2"/>
  <c r="AK158" i="2"/>
  <c r="AL158" i="2"/>
  <c r="AM158" i="2"/>
  <c r="AN158" i="2"/>
  <c r="AO158" i="2"/>
  <c r="AH159" i="2"/>
  <c r="AI159" i="2"/>
  <c r="AJ159" i="2"/>
  <c r="AK159" i="2"/>
  <c r="AL159" i="2"/>
  <c r="AM159" i="2"/>
  <c r="AN159" i="2"/>
  <c r="AO159" i="2"/>
  <c r="AH160" i="2"/>
  <c r="AI160" i="2"/>
  <c r="AJ160" i="2"/>
  <c r="AK160" i="2"/>
  <c r="AL160" i="2"/>
  <c r="AM160" i="2"/>
  <c r="AN160" i="2"/>
  <c r="AO160" i="2"/>
  <c r="AH161" i="2"/>
  <c r="AI161" i="2"/>
  <c r="AJ161" i="2"/>
  <c r="AK161" i="2"/>
  <c r="AL161" i="2"/>
  <c r="AM161" i="2"/>
  <c r="AN161" i="2"/>
  <c r="AO161" i="2"/>
  <c r="AH162" i="2"/>
  <c r="AI162" i="2"/>
  <c r="AJ162" i="2"/>
  <c r="AK162" i="2"/>
  <c r="AL162" i="2"/>
  <c r="AM162" i="2"/>
  <c r="AN162" i="2"/>
  <c r="AO162" i="2"/>
  <c r="AH163" i="2"/>
  <c r="AI163" i="2"/>
  <c r="AJ163" i="2"/>
  <c r="AK163" i="2"/>
  <c r="AL163" i="2"/>
  <c r="AM163" i="2"/>
  <c r="AN163" i="2"/>
  <c r="AO163" i="2"/>
  <c r="AH164" i="2"/>
  <c r="AI164" i="2"/>
  <c r="AJ164" i="2"/>
  <c r="AK164" i="2"/>
  <c r="AL164" i="2"/>
  <c r="AM164" i="2"/>
  <c r="AN164" i="2"/>
  <c r="AO164" i="2"/>
  <c r="AH165" i="2"/>
  <c r="AI165" i="2"/>
  <c r="AJ165" i="2"/>
  <c r="AK165" i="2"/>
  <c r="AL165" i="2"/>
  <c r="AM165" i="2"/>
  <c r="AN165" i="2"/>
  <c r="AO165" i="2"/>
  <c r="AH166" i="2"/>
  <c r="AI166" i="2"/>
  <c r="AJ166" i="2"/>
  <c r="AK166" i="2"/>
  <c r="AL166" i="2"/>
  <c r="AM166" i="2"/>
  <c r="AN166" i="2"/>
  <c r="AO166" i="2"/>
  <c r="AH167" i="2"/>
  <c r="AI167" i="2"/>
  <c r="AJ167" i="2"/>
  <c r="AK167" i="2"/>
  <c r="AL167" i="2"/>
  <c r="AM167" i="2"/>
  <c r="AN167" i="2"/>
  <c r="AO167" i="2"/>
  <c r="AH168" i="2"/>
  <c r="AI168" i="2"/>
  <c r="AJ168" i="2"/>
  <c r="AK168" i="2"/>
  <c r="AL168" i="2"/>
  <c r="AM168" i="2"/>
  <c r="AN168" i="2"/>
  <c r="AO168" i="2"/>
  <c r="AH169" i="2"/>
  <c r="AI169" i="2"/>
  <c r="AJ169" i="2"/>
  <c r="AK169" i="2"/>
  <c r="AL169" i="2"/>
  <c r="AM169" i="2"/>
  <c r="AN169" i="2"/>
  <c r="AO169" i="2"/>
  <c r="AH170" i="2"/>
  <c r="AI170" i="2"/>
  <c r="AJ170" i="2"/>
  <c r="AK170" i="2"/>
  <c r="AL170" i="2"/>
  <c r="AM170" i="2"/>
  <c r="AN170" i="2"/>
  <c r="AO170" i="2"/>
  <c r="AH171" i="2"/>
  <c r="AI171" i="2"/>
  <c r="AJ171" i="2"/>
  <c r="AK171" i="2"/>
  <c r="AL171" i="2"/>
  <c r="AM171" i="2"/>
  <c r="AN171" i="2"/>
  <c r="AO171" i="2"/>
  <c r="AH172" i="2"/>
  <c r="AI172" i="2"/>
  <c r="AJ172" i="2"/>
  <c r="AK172" i="2"/>
  <c r="AL172" i="2"/>
  <c r="AM172" i="2"/>
  <c r="AN172" i="2"/>
  <c r="AO172" i="2"/>
  <c r="AH173" i="2"/>
  <c r="AI173" i="2"/>
  <c r="AJ173" i="2"/>
  <c r="AK173" i="2"/>
  <c r="AL173" i="2"/>
  <c r="AM173" i="2"/>
  <c r="AN173" i="2"/>
  <c r="AO173" i="2"/>
  <c r="AH174" i="2"/>
  <c r="AI174" i="2"/>
  <c r="AJ174" i="2"/>
  <c r="AK174" i="2"/>
  <c r="AL174" i="2"/>
  <c r="AM174" i="2"/>
  <c r="AN174" i="2"/>
  <c r="AO174" i="2"/>
  <c r="AH175" i="2"/>
  <c r="AI175" i="2"/>
  <c r="AJ175" i="2"/>
  <c r="AK175" i="2"/>
  <c r="AL175" i="2"/>
  <c r="AM175" i="2"/>
  <c r="AN175" i="2"/>
  <c r="AO175" i="2"/>
  <c r="AH176" i="2"/>
  <c r="AI176" i="2"/>
  <c r="AJ176" i="2"/>
  <c r="AK176" i="2"/>
  <c r="AL176" i="2"/>
  <c r="AM176" i="2"/>
  <c r="AN176" i="2"/>
  <c r="AO176" i="2"/>
  <c r="AH177" i="2"/>
  <c r="AI177" i="2"/>
  <c r="AJ177" i="2"/>
  <c r="AK177" i="2"/>
  <c r="AL177" i="2"/>
  <c r="AM177" i="2"/>
  <c r="AN177" i="2"/>
  <c r="AO177" i="2"/>
  <c r="AH178" i="2"/>
  <c r="AI178" i="2"/>
  <c r="AJ178" i="2"/>
  <c r="AK178" i="2"/>
  <c r="AL178" i="2"/>
  <c r="AM178" i="2"/>
  <c r="AN178" i="2"/>
  <c r="AO178" i="2"/>
  <c r="AH179" i="2"/>
  <c r="AI179" i="2"/>
  <c r="AJ179" i="2"/>
  <c r="AK179" i="2"/>
  <c r="AL179" i="2"/>
  <c r="AM179" i="2"/>
  <c r="AN179" i="2"/>
  <c r="AO179" i="2"/>
  <c r="AH180" i="2"/>
  <c r="AI180" i="2"/>
  <c r="AJ180" i="2"/>
  <c r="AK180" i="2"/>
  <c r="AL180" i="2"/>
  <c r="AM180" i="2"/>
  <c r="AN180" i="2"/>
  <c r="AO180" i="2"/>
  <c r="AH181" i="2"/>
  <c r="AI181" i="2"/>
  <c r="AJ181" i="2"/>
  <c r="AK181" i="2"/>
  <c r="AL181" i="2"/>
  <c r="AM181" i="2"/>
  <c r="AN181" i="2"/>
  <c r="AO181" i="2"/>
  <c r="AH182" i="2"/>
  <c r="AI182" i="2"/>
  <c r="AJ182" i="2"/>
  <c r="AK182" i="2"/>
  <c r="AL182" i="2"/>
  <c r="AM182" i="2"/>
  <c r="AN182" i="2"/>
  <c r="AO182" i="2"/>
  <c r="AH183" i="2"/>
  <c r="AI183" i="2"/>
  <c r="AJ183" i="2"/>
  <c r="AK183" i="2"/>
  <c r="AL183" i="2"/>
  <c r="AM183" i="2"/>
  <c r="AN183" i="2"/>
  <c r="AO183" i="2"/>
  <c r="AH184" i="2"/>
  <c r="AI184" i="2"/>
  <c r="AJ184" i="2"/>
  <c r="AK184" i="2"/>
  <c r="AL184" i="2"/>
  <c r="AM184" i="2"/>
  <c r="AN184" i="2"/>
  <c r="AO184" i="2"/>
  <c r="AH185" i="2"/>
  <c r="AI185" i="2"/>
  <c r="AJ185" i="2"/>
  <c r="AK185" i="2"/>
  <c r="AL185" i="2"/>
  <c r="AM185" i="2"/>
  <c r="AN185" i="2"/>
  <c r="AO185" i="2"/>
  <c r="AH186" i="2"/>
  <c r="AI186" i="2"/>
  <c r="AJ186" i="2"/>
  <c r="AK186" i="2"/>
  <c r="AL186" i="2"/>
  <c r="AM186" i="2"/>
  <c r="AN186" i="2"/>
  <c r="AO186" i="2"/>
  <c r="AH187" i="2"/>
  <c r="AI187" i="2"/>
  <c r="AJ187" i="2"/>
  <c r="AK187" i="2"/>
  <c r="AL187" i="2"/>
  <c r="AM187" i="2"/>
  <c r="AN187" i="2"/>
  <c r="AO187" i="2"/>
  <c r="AH188" i="2"/>
  <c r="AI188" i="2"/>
  <c r="AJ188" i="2"/>
  <c r="AK188" i="2"/>
  <c r="AL188" i="2"/>
  <c r="AM188" i="2"/>
  <c r="AN188" i="2"/>
  <c r="AO188" i="2"/>
  <c r="AH189" i="2"/>
  <c r="AI189" i="2"/>
  <c r="AJ189" i="2"/>
  <c r="AK189" i="2"/>
  <c r="AL189" i="2"/>
  <c r="AM189" i="2"/>
  <c r="AN189" i="2"/>
  <c r="AO189" i="2"/>
  <c r="AH190" i="2"/>
  <c r="AI190" i="2"/>
  <c r="AJ190" i="2"/>
  <c r="AK190" i="2"/>
  <c r="AL190" i="2"/>
  <c r="AM190" i="2"/>
  <c r="AN190" i="2"/>
  <c r="AO190" i="2"/>
  <c r="AH191" i="2"/>
  <c r="AI191" i="2"/>
  <c r="AJ191" i="2"/>
  <c r="AK191" i="2"/>
  <c r="AL191" i="2"/>
  <c r="AM191" i="2"/>
  <c r="AN191" i="2"/>
  <c r="AO191" i="2"/>
  <c r="AH192" i="2"/>
  <c r="AI192" i="2"/>
  <c r="AJ192" i="2"/>
  <c r="AK192" i="2"/>
  <c r="AL192" i="2"/>
  <c r="AM192" i="2"/>
  <c r="AN192" i="2"/>
  <c r="AO192" i="2"/>
  <c r="AH193" i="2"/>
  <c r="AI193" i="2"/>
  <c r="AJ193" i="2"/>
  <c r="AK193" i="2"/>
  <c r="AL193" i="2"/>
  <c r="AM193" i="2"/>
  <c r="AN193" i="2"/>
  <c r="AO193" i="2"/>
  <c r="AH194" i="2"/>
  <c r="AI194" i="2"/>
  <c r="AJ194" i="2"/>
  <c r="AK194" i="2"/>
  <c r="AL194" i="2"/>
  <c r="AM194" i="2"/>
  <c r="AN194" i="2"/>
  <c r="AO194" i="2"/>
  <c r="AH195" i="2"/>
  <c r="AI195" i="2"/>
  <c r="AJ195" i="2"/>
  <c r="AK195" i="2"/>
  <c r="AL195" i="2"/>
  <c r="AM195" i="2"/>
  <c r="AN195" i="2"/>
  <c r="AO195" i="2"/>
  <c r="AH196" i="2"/>
  <c r="AI196" i="2"/>
  <c r="AJ196" i="2"/>
  <c r="AK196" i="2"/>
  <c r="AL196" i="2"/>
  <c r="AM196" i="2"/>
  <c r="AN196" i="2"/>
  <c r="AO196" i="2"/>
  <c r="AH197" i="2"/>
  <c r="AI197" i="2"/>
  <c r="AJ197" i="2"/>
  <c r="AK197" i="2"/>
  <c r="AL197" i="2"/>
  <c r="AM197" i="2"/>
  <c r="AN197" i="2"/>
  <c r="AO197" i="2"/>
  <c r="AH198" i="2"/>
  <c r="AI198" i="2"/>
  <c r="AJ198" i="2"/>
  <c r="AK198" i="2"/>
  <c r="AL198" i="2"/>
  <c r="AM198" i="2"/>
  <c r="AN198" i="2"/>
  <c r="AO198" i="2"/>
  <c r="AH199" i="2"/>
  <c r="AI199" i="2"/>
  <c r="AJ199" i="2"/>
  <c r="AK199" i="2"/>
  <c r="AL199" i="2"/>
  <c r="AM199" i="2"/>
  <c r="AN199" i="2"/>
  <c r="AO199" i="2"/>
  <c r="AH200" i="2"/>
  <c r="AI200" i="2"/>
  <c r="AJ200" i="2"/>
  <c r="AK200" i="2"/>
  <c r="AL200" i="2"/>
  <c r="AM200" i="2"/>
  <c r="AN200" i="2"/>
  <c r="AO200" i="2"/>
  <c r="AH201" i="2"/>
  <c r="AI201" i="2"/>
  <c r="AJ201" i="2"/>
  <c r="AK201" i="2"/>
  <c r="AL201" i="2"/>
  <c r="AM201" i="2"/>
  <c r="AN201" i="2"/>
  <c r="AO201" i="2"/>
  <c r="AH202" i="2"/>
  <c r="AI202" i="2"/>
  <c r="AJ202" i="2"/>
  <c r="AK202" i="2"/>
  <c r="AL202" i="2"/>
  <c r="AM202" i="2"/>
  <c r="AN202" i="2"/>
  <c r="AO202" i="2"/>
  <c r="AH203" i="2"/>
  <c r="AI203" i="2"/>
  <c r="AJ203" i="2"/>
  <c r="AK203" i="2"/>
  <c r="AL203" i="2"/>
  <c r="AM203" i="2"/>
  <c r="AN203" i="2"/>
  <c r="AO203" i="2"/>
  <c r="AH204" i="2"/>
  <c r="AI204" i="2"/>
  <c r="AJ204" i="2"/>
  <c r="AK204" i="2"/>
  <c r="AL204" i="2"/>
  <c r="AM204" i="2"/>
  <c r="AN204" i="2"/>
  <c r="AO204" i="2"/>
  <c r="AH205" i="2"/>
  <c r="AI205" i="2"/>
  <c r="AJ205" i="2"/>
  <c r="AK205" i="2"/>
  <c r="AL205" i="2"/>
  <c r="AM205" i="2"/>
  <c r="AN205" i="2"/>
  <c r="AO205" i="2"/>
  <c r="AH206" i="2"/>
  <c r="AI206" i="2"/>
  <c r="AJ206" i="2"/>
  <c r="AK206" i="2"/>
  <c r="AL206" i="2"/>
  <c r="AM206" i="2"/>
  <c r="AN206" i="2"/>
  <c r="AO206" i="2"/>
  <c r="AH207" i="2"/>
  <c r="AI207" i="2"/>
  <c r="AJ207" i="2"/>
  <c r="AK207" i="2"/>
  <c r="AL207" i="2"/>
  <c r="AM207" i="2"/>
  <c r="AN207" i="2"/>
  <c r="AO207" i="2"/>
  <c r="AH208" i="2"/>
  <c r="AI208" i="2"/>
  <c r="AJ208" i="2"/>
  <c r="AK208" i="2"/>
  <c r="AL208" i="2"/>
  <c r="AM208" i="2"/>
  <c r="AN208" i="2"/>
  <c r="AO208" i="2"/>
  <c r="AH209" i="2"/>
  <c r="AI209" i="2"/>
  <c r="AJ209" i="2"/>
  <c r="AK209" i="2"/>
  <c r="AL209" i="2"/>
  <c r="AM209" i="2"/>
  <c r="AN209" i="2"/>
  <c r="AO209" i="2"/>
  <c r="AH210" i="2"/>
  <c r="AI210" i="2"/>
  <c r="AJ210" i="2"/>
  <c r="AK210" i="2"/>
  <c r="AL210" i="2"/>
  <c r="AM210" i="2"/>
  <c r="AN210" i="2"/>
  <c r="AO210" i="2"/>
  <c r="AH211" i="2"/>
  <c r="AI211" i="2"/>
  <c r="AJ211" i="2"/>
  <c r="AK211" i="2"/>
  <c r="AL211" i="2"/>
  <c r="AM211" i="2"/>
  <c r="AN211" i="2"/>
  <c r="AO211" i="2"/>
  <c r="AH212" i="2"/>
  <c r="AI212" i="2"/>
  <c r="AJ212" i="2"/>
  <c r="AK212" i="2"/>
  <c r="AL212" i="2"/>
  <c r="AM212" i="2"/>
  <c r="AN212" i="2"/>
  <c r="AO212" i="2"/>
  <c r="AH213" i="2"/>
  <c r="AI213" i="2"/>
  <c r="AJ213" i="2"/>
  <c r="AK213" i="2"/>
  <c r="AL213" i="2"/>
  <c r="AM213" i="2"/>
  <c r="AN213" i="2"/>
  <c r="AO213" i="2"/>
  <c r="AH214" i="2"/>
  <c r="AI214" i="2"/>
  <c r="AJ214" i="2"/>
  <c r="AK214" i="2"/>
  <c r="AL214" i="2"/>
  <c r="AM214" i="2"/>
  <c r="AN214" i="2"/>
  <c r="AO214" i="2"/>
  <c r="AH215" i="2"/>
  <c r="AI215" i="2"/>
  <c r="AJ215" i="2"/>
  <c r="AK215" i="2"/>
  <c r="AL215" i="2"/>
  <c r="AM215" i="2"/>
  <c r="AN215" i="2"/>
  <c r="AO215" i="2"/>
  <c r="AH216" i="2"/>
  <c r="AI216" i="2"/>
  <c r="AJ216" i="2"/>
  <c r="AK216" i="2"/>
  <c r="AL216" i="2"/>
  <c r="AM216" i="2"/>
  <c r="AN216" i="2"/>
  <c r="AO216" i="2"/>
  <c r="AH217" i="2"/>
  <c r="AI217" i="2"/>
  <c r="AJ217" i="2"/>
  <c r="AK217" i="2"/>
  <c r="AL217" i="2"/>
  <c r="AM217" i="2"/>
  <c r="AN217" i="2"/>
  <c r="AO217" i="2"/>
  <c r="AH218" i="2"/>
  <c r="AI218" i="2"/>
  <c r="AJ218" i="2"/>
  <c r="AK218" i="2"/>
  <c r="AL218" i="2"/>
  <c r="AM218" i="2"/>
  <c r="AN218" i="2"/>
  <c r="AO218" i="2"/>
  <c r="AH219" i="2"/>
  <c r="AI219" i="2"/>
  <c r="AJ219" i="2"/>
  <c r="AK219" i="2"/>
  <c r="AL219" i="2"/>
  <c r="AM219" i="2"/>
  <c r="AN219" i="2"/>
  <c r="AO219" i="2"/>
  <c r="AH220" i="2"/>
  <c r="AI220" i="2"/>
  <c r="AJ220" i="2"/>
  <c r="AK220" i="2"/>
  <c r="AL220" i="2"/>
  <c r="AM220" i="2"/>
  <c r="AN220" i="2"/>
  <c r="AO220" i="2"/>
  <c r="AH221" i="2"/>
  <c r="AI221" i="2"/>
  <c r="AJ221" i="2"/>
  <c r="AK221" i="2"/>
  <c r="AL221" i="2"/>
  <c r="AM221" i="2"/>
  <c r="AN221" i="2"/>
  <c r="AO221" i="2"/>
  <c r="AH222" i="2"/>
  <c r="AI222" i="2"/>
  <c r="AJ222" i="2"/>
  <c r="AK222" i="2"/>
  <c r="AL222" i="2"/>
  <c r="AM222" i="2"/>
  <c r="AN222" i="2"/>
  <c r="AO222" i="2"/>
  <c r="AH223" i="2"/>
  <c r="AI223" i="2"/>
  <c r="AJ223" i="2"/>
  <c r="AK223" i="2"/>
  <c r="AL223" i="2"/>
  <c r="AM223" i="2"/>
  <c r="AN223" i="2"/>
  <c r="AO223" i="2"/>
  <c r="AH224" i="2"/>
  <c r="AI224" i="2"/>
  <c r="AJ224" i="2"/>
  <c r="AK224" i="2"/>
  <c r="AL224" i="2"/>
  <c r="AM224" i="2"/>
  <c r="AN224" i="2"/>
  <c r="AO224" i="2"/>
  <c r="AH225" i="2"/>
  <c r="AI225" i="2"/>
  <c r="AJ225" i="2"/>
  <c r="AK225" i="2"/>
  <c r="AL225" i="2"/>
  <c r="AM225" i="2"/>
  <c r="AN225" i="2"/>
  <c r="AO225" i="2"/>
  <c r="AH226" i="2"/>
  <c r="AI226" i="2"/>
  <c r="AJ226" i="2"/>
  <c r="AK226" i="2"/>
  <c r="AL226" i="2"/>
  <c r="AM226" i="2"/>
  <c r="AN226" i="2"/>
  <c r="AO226" i="2"/>
  <c r="AH227" i="2"/>
  <c r="AI227" i="2"/>
  <c r="AJ227" i="2"/>
  <c r="AK227" i="2"/>
  <c r="AL227" i="2"/>
  <c r="AM227" i="2"/>
  <c r="AN227" i="2"/>
  <c r="AO227" i="2"/>
  <c r="AH228" i="2"/>
  <c r="AI228" i="2"/>
  <c r="AJ228" i="2"/>
  <c r="AK228" i="2"/>
  <c r="AL228" i="2"/>
  <c r="AM228" i="2"/>
  <c r="AN228" i="2"/>
  <c r="AO228" i="2"/>
  <c r="AH229" i="2"/>
  <c r="AI229" i="2"/>
  <c r="AJ229" i="2"/>
  <c r="AK229" i="2"/>
  <c r="AL229" i="2"/>
  <c r="AM229" i="2"/>
  <c r="AN229" i="2"/>
  <c r="AO229" i="2"/>
  <c r="AH230" i="2"/>
  <c r="AI230" i="2"/>
  <c r="AJ230" i="2"/>
  <c r="AK230" i="2"/>
  <c r="AL230" i="2"/>
  <c r="AM230" i="2"/>
  <c r="AN230" i="2"/>
  <c r="AO230" i="2"/>
  <c r="AH231" i="2"/>
  <c r="AI231" i="2"/>
  <c r="AJ231" i="2"/>
  <c r="AK231" i="2"/>
  <c r="AL231" i="2"/>
  <c r="AM231" i="2"/>
  <c r="AN231" i="2"/>
  <c r="AO231" i="2"/>
  <c r="AH232" i="2"/>
  <c r="AI232" i="2"/>
  <c r="AJ232" i="2"/>
  <c r="AK232" i="2"/>
  <c r="AL232" i="2"/>
  <c r="AM232" i="2"/>
  <c r="AN232" i="2"/>
  <c r="AO232" i="2"/>
  <c r="AH233" i="2"/>
  <c r="AI233" i="2"/>
  <c r="AJ233" i="2"/>
  <c r="AK233" i="2"/>
  <c r="AL233" i="2"/>
  <c r="AM233" i="2"/>
  <c r="AN233" i="2"/>
  <c r="AO233" i="2"/>
  <c r="AH234" i="2"/>
  <c r="AI234" i="2"/>
  <c r="AJ234" i="2"/>
  <c r="AK234" i="2"/>
  <c r="AL234" i="2"/>
  <c r="AM234" i="2"/>
  <c r="AN234" i="2"/>
  <c r="AO234" i="2"/>
  <c r="AH235" i="2"/>
  <c r="AI235" i="2"/>
  <c r="AJ235" i="2"/>
  <c r="AK235" i="2"/>
  <c r="AL235" i="2"/>
  <c r="AM235" i="2"/>
  <c r="AN235" i="2"/>
  <c r="AO235" i="2"/>
  <c r="AH236" i="2"/>
  <c r="AI236" i="2"/>
  <c r="AJ236" i="2"/>
  <c r="AK236" i="2"/>
  <c r="AL236" i="2"/>
  <c r="AM236" i="2"/>
  <c r="AN236" i="2"/>
  <c r="AO236" i="2"/>
  <c r="AH237" i="2"/>
  <c r="AI237" i="2"/>
  <c r="AJ237" i="2"/>
  <c r="AK237" i="2"/>
  <c r="AL237" i="2"/>
  <c r="AM237" i="2"/>
  <c r="AN237" i="2"/>
  <c r="AO237" i="2"/>
  <c r="AH238" i="2"/>
  <c r="AI238" i="2"/>
  <c r="AJ238" i="2"/>
  <c r="AK238" i="2"/>
  <c r="AL238" i="2"/>
  <c r="AM238" i="2"/>
  <c r="AN238" i="2"/>
  <c r="AO238" i="2"/>
  <c r="AH239" i="2"/>
  <c r="AI239" i="2"/>
  <c r="AJ239" i="2"/>
  <c r="AK239" i="2"/>
  <c r="AL239" i="2"/>
  <c r="AM239" i="2"/>
  <c r="AN239" i="2"/>
  <c r="AO239" i="2"/>
  <c r="AH240" i="2"/>
  <c r="AI240" i="2"/>
  <c r="AJ240" i="2"/>
  <c r="AK240" i="2"/>
  <c r="AL240" i="2"/>
  <c r="AM240" i="2"/>
  <c r="AN240" i="2"/>
  <c r="AO240" i="2"/>
  <c r="AH241" i="2"/>
  <c r="AI241" i="2"/>
  <c r="AJ241" i="2"/>
  <c r="AK241" i="2"/>
  <c r="AL241" i="2"/>
  <c r="AM241" i="2"/>
  <c r="AN241" i="2"/>
  <c r="AO241" i="2"/>
  <c r="AH242" i="2"/>
  <c r="AI242" i="2"/>
  <c r="AJ242" i="2"/>
  <c r="AK242" i="2"/>
  <c r="AL242" i="2"/>
  <c r="AM242" i="2"/>
  <c r="AN242" i="2"/>
  <c r="AO242" i="2"/>
  <c r="AH243" i="2"/>
  <c r="AI243" i="2"/>
  <c r="AJ243" i="2"/>
  <c r="AK243" i="2"/>
  <c r="AL243" i="2"/>
  <c r="AM243" i="2"/>
  <c r="AN243" i="2"/>
  <c r="AO243" i="2"/>
  <c r="AH244" i="2"/>
  <c r="AI244" i="2"/>
  <c r="AJ244" i="2"/>
  <c r="AK244" i="2"/>
  <c r="AL244" i="2"/>
  <c r="AM244" i="2"/>
  <c r="AN244" i="2"/>
  <c r="AO244" i="2"/>
  <c r="AH245" i="2"/>
  <c r="AI245" i="2"/>
  <c r="AJ245" i="2"/>
  <c r="AK245" i="2"/>
  <c r="AL245" i="2"/>
  <c r="AM245" i="2"/>
  <c r="AN245" i="2"/>
  <c r="AO245" i="2"/>
  <c r="AH246" i="2"/>
  <c r="AI246" i="2"/>
  <c r="AJ246" i="2"/>
  <c r="AK246" i="2"/>
  <c r="AL246" i="2"/>
  <c r="AM246" i="2"/>
  <c r="AN246" i="2"/>
  <c r="AO246" i="2"/>
  <c r="AH247" i="2"/>
  <c r="AI247" i="2"/>
  <c r="AJ247" i="2"/>
  <c r="AK247" i="2"/>
  <c r="AL247" i="2"/>
  <c r="AM247" i="2"/>
  <c r="AN247" i="2"/>
  <c r="AO247" i="2"/>
  <c r="AH248" i="2"/>
  <c r="AI248" i="2"/>
  <c r="AJ248" i="2"/>
  <c r="AK248" i="2"/>
  <c r="AL248" i="2"/>
  <c r="AM248" i="2"/>
  <c r="AN248" i="2"/>
  <c r="AO248" i="2"/>
  <c r="AH249" i="2"/>
  <c r="AI249" i="2"/>
  <c r="AJ249" i="2"/>
  <c r="AK249" i="2"/>
  <c r="AL249" i="2"/>
  <c r="AM249" i="2"/>
  <c r="AN249" i="2"/>
  <c r="AO249" i="2"/>
  <c r="AH250" i="2"/>
  <c r="AI250" i="2"/>
  <c r="AJ250" i="2"/>
  <c r="AK250" i="2"/>
  <c r="AL250" i="2"/>
  <c r="AM250" i="2"/>
  <c r="AN250" i="2"/>
  <c r="AO250" i="2"/>
  <c r="AH251" i="2"/>
  <c r="AI251" i="2"/>
  <c r="AJ251" i="2"/>
  <c r="AK251" i="2"/>
  <c r="AL251" i="2"/>
  <c r="AM251" i="2"/>
  <c r="AN251" i="2"/>
  <c r="AO251" i="2"/>
  <c r="AH252" i="2"/>
  <c r="AI252" i="2"/>
  <c r="AJ252" i="2"/>
  <c r="AK252" i="2"/>
  <c r="AL252" i="2"/>
  <c r="AM252" i="2"/>
  <c r="AN252" i="2"/>
  <c r="AO252" i="2"/>
  <c r="AH253" i="2"/>
  <c r="AI253" i="2"/>
  <c r="AJ253" i="2"/>
  <c r="AK253" i="2"/>
  <c r="AL253" i="2"/>
  <c r="AM253" i="2"/>
  <c r="AN253" i="2"/>
  <c r="AO253" i="2"/>
  <c r="AH254" i="2"/>
  <c r="AI254" i="2"/>
  <c r="AJ254" i="2"/>
  <c r="AK254" i="2"/>
  <c r="AL254" i="2"/>
  <c r="AM254" i="2"/>
  <c r="AN254" i="2"/>
  <c r="AO254" i="2"/>
  <c r="AH255" i="2"/>
  <c r="AI255" i="2"/>
  <c r="AJ255" i="2"/>
  <c r="AK255" i="2"/>
  <c r="AL255" i="2"/>
  <c r="AM255" i="2"/>
  <c r="AN255" i="2"/>
  <c r="AO255" i="2"/>
  <c r="AH256" i="2"/>
  <c r="AI256" i="2"/>
  <c r="AJ256" i="2"/>
  <c r="AK256" i="2"/>
  <c r="AL256" i="2"/>
  <c r="AM256" i="2"/>
  <c r="AN256" i="2"/>
  <c r="AO256" i="2"/>
  <c r="AH257" i="2"/>
  <c r="AI257" i="2"/>
  <c r="AJ257" i="2"/>
  <c r="AK257" i="2"/>
  <c r="AL257" i="2"/>
  <c r="AM257" i="2"/>
  <c r="AN257" i="2"/>
  <c r="AO257" i="2"/>
  <c r="AH258" i="2"/>
  <c r="AI258" i="2"/>
  <c r="AJ258" i="2"/>
  <c r="AK258" i="2"/>
  <c r="AL258" i="2"/>
  <c r="AM258" i="2"/>
  <c r="AN258" i="2"/>
  <c r="AO258" i="2"/>
  <c r="AH259" i="2"/>
  <c r="AI259" i="2"/>
  <c r="AJ259" i="2"/>
  <c r="AK259" i="2"/>
  <c r="AL259" i="2"/>
  <c r="AM259" i="2"/>
  <c r="AN259" i="2"/>
  <c r="AO259" i="2"/>
  <c r="AH260" i="2"/>
  <c r="AI260" i="2"/>
  <c r="AJ260" i="2"/>
  <c r="AK260" i="2"/>
  <c r="AL260" i="2"/>
  <c r="AM260" i="2"/>
  <c r="AN260" i="2"/>
  <c r="AO260" i="2"/>
  <c r="AH261" i="2"/>
  <c r="AI261" i="2"/>
  <c r="AJ261" i="2"/>
  <c r="AK261" i="2"/>
  <c r="AL261" i="2"/>
  <c r="AM261" i="2"/>
  <c r="AN261" i="2"/>
  <c r="AO261" i="2"/>
  <c r="AH262" i="2"/>
  <c r="AI262" i="2"/>
  <c r="AJ262" i="2"/>
  <c r="AK262" i="2"/>
  <c r="AL262" i="2"/>
  <c r="AM262" i="2"/>
  <c r="AN262" i="2"/>
  <c r="AO262" i="2"/>
  <c r="AH263" i="2"/>
  <c r="AI263" i="2"/>
  <c r="AJ263" i="2"/>
  <c r="AK263" i="2"/>
  <c r="AL263" i="2"/>
  <c r="AM263" i="2"/>
  <c r="AN263" i="2"/>
  <c r="AO263" i="2"/>
  <c r="AH264" i="2"/>
  <c r="AI264" i="2"/>
  <c r="AJ264" i="2"/>
  <c r="AK264" i="2"/>
  <c r="AL264" i="2"/>
  <c r="AM264" i="2"/>
  <c r="AN264" i="2"/>
  <c r="AO264" i="2"/>
  <c r="AH265" i="2"/>
  <c r="AI265" i="2"/>
  <c r="AJ265" i="2"/>
  <c r="AK265" i="2"/>
  <c r="AL265" i="2"/>
  <c r="AM265" i="2"/>
  <c r="AN265" i="2"/>
  <c r="AO265" i="2"/>
  <c r="AH266" i="2"/>
  <c r="AI266" i="2"/>
  <c r="AJ266" i="2"/>
  <c r="AK266" i="2"/>
  <c r="AL266" i="2"/>
  <c r="AM266" i="2"/>
  <c r="AN266" i="2"/>
  <c r="AO266" i="2"/>
  <c r="AH267" i="2"/>
  <c r="AI267" i="2"/>
  <c r="AJ267" i="2"/>
  <c r="AK267" i="2"/>
  <c r="AL267" i="2"/>
  <c r="AM267" i="2"/>
  <c r="AN267" i="2"/>
  <c r="AO267" i="2"/>
  <c r="AH268" i="2"/>
  <c r="AI268" i="2"/>
  <c r="AJ268" i="2"/>
  <c r="AK268" i="2"/>
  <c r="AL268" i="2"/>
  <c r="AM268" i="2"/>
  <c r="AN268" i="2"/>
  <c r="AO268" i="2"/>
  <c r="AH269" i="2"/>
  <c r="AI269" i="2"/>
  <c r="AJ269" i="2"/>
  <c r="AK269" i="2"/>
  <c r="AL269" i="2"/>
  <c r="AM269" i="2"/>
  <c r="AN269" i="2"/>
  <c r="AO269" i="2"/>
  <c r="AH270" i="2"/>
  <c r="AI270" i="2"/>
  <c r="AJ270" i="2"/>
  <c r="AK270" i="2"/>
  <c r="AL270" i="2"/>
  <c r="AM270" i="2"/>
  <c r="AN270" i="2"/>
  <c r="AO270" i="2"/>
  <c r="AH271" i="2"/>
  <c r="AI271" i="2"/>
  <c r="AJ271" i="2"/>
  <c r="AK271" i="2"/>
  <c r="AL271" i="2"/>
  <c r="AM271" i="2"/>
  <c r="AN271" i="2"/>
  <c r="AO271" i="2"/>
  <c r="AH272" i="2"/>
  <c r="AI272" i="2"/>
  <c r="AJ272" i="2"/>
  <c r="AK272" i="2"/>
  <c r="AL272" i="2"/>
  <c r="AM272" i="2"/>
  <c r="AN272" i="2"/>
  <c r="AO272" i="2"/>
  <c r="AH273" i="2"/>
  <c r="AI273" i="2"/>
  <c r="AJ273" i="2"/>
  <c r="AK273" i="2"/>
  <c r="AL273" i="2"/>
  <c r="AM273" i="2"/>
  <c r="AN273" i="2"/>
  <c r="AO273" i="2"/>
  <c r="AH274" i="2"/>
  <c r="AI274" i="2"/>
  <c r="AJ274" i="2"/>
  <c r="AK274" i="2"/>
  <c r="AL274" i="2"/>
  <c r="AM274" i="2"/>
  <c r="AN274" i="2"/>
  <c r="AO274" i="2"/>
  <c r="AH275" i="2"/>
  <c r="AI275" i="2"/>
  <c r="AJ275" i="2"/>
  <c r="AK275" i="2"/>
  <c r="AL275" i="2"/>
  <c r="AM275" i="2"/>
  <c r="AN275" i="2"/>
  <c r="AO275" i="2"/>
  <c r="AH276" i="2"/>
  <c r="AI276" i="2"/>
  <c r="AJ276" i="2"/>
  <c r="AK276" i="2"/>
  <c r="AL276" i="2"/>
  <c r="AM276" i="2"/>
  <c r="AN276" i="2"/>
  <c r="AO276" i="2"/>
  <c r="AH277" i="2"/>
  <c r="AI277" i="2"/>
  <c r="AJ277" i="2"/>
  <c r="AK277" i="2"/>
  <c r="AL277" i="2"/>
  <c r="AM277" i="2"/>
  <c r="AN277" i="2"/>
  <c r="AO277" i="2"/>
  <c r="AH278" i="2"/>
  <c r="AI278" i="2"/>
  <c r="AJ278" i="2"/>
  <c r="AK278" i="2"/>
  <c r="AL278" i="2"/>
  <c r="AM278" i="2"/>
  <c r="AN278" i="2"/>
  <c r="AO278" i="2"/>
  <c r="AH279" i="2"/>
  <c r="AI279" i="2"/>
  <c r="AJ279" i="2"/>
  <c r="AK279" i="2"/>
  <c r="AL279" i="2"/>
  <c r="AM279" i="2"/>
  <c r="AN279" i="2"/>
  <c r="AO279" i="2"/>
  <c r="AH280" i="2"/>
  <c r="AI280" i="2"/>
  <c r="AJ280" i="2"/>
  <c r="AK280" i="2"/>
  <c r="AL280" i="2"/>
  <c r="AM280" i="2"/>
  <c r="AN280" i="2"/>
  <c r="AO280" i="2"/>
  <c r="AH281" i="2"/>
  <c r="AI281" i="2"/>
  <c r="AJ281" i="2"/>
  <c r="AK281" i="2"/>
  <c r="AL281" i="2"/>
  <c r="AM281" i="2"/>
  <c r="AN281" i="2"/>
  <c r="AO281" i="2"/>
  <c r="AH282" i="2"/>
  <c r="AI282" i="2"/>
  <c r="AJ282" i="2"/>
  <c r="AK282" i="2"/>
  <c r="AL282" i="2"/>
  <c r="AM282" i="2"/>
  <c r="AN282" i="2"/>
  <c r="AO282" i="2"/>
  <c r="AH283" i="2"/>
  <c r="AI283" i="2"/>
  <c r="AJ283" i="2"/>
  <c r="AK283" i="2"/>
  <c r="AL283" i="2"/>
  <c r="AM283" i="2"/>
  <c r="AN283" i="2"/>
  <c r="AO283" i="2"/>
  <c r="AH284" i="2"/>
  <c r="AI284" i="2"/>
  <c r="AJ284" i="2"/>
  <c r="AK284" i="2"/>
  <c r="AL284" i="2"/>
  <c r="AM284" i="2"/>
  <c r="AN284" i="2"/>
  <c r="AO284" i="2"/>
  <c r="AH285" i="2"/>
  <c r="AI285" i="2"/>
  <c r="AJ285" i="2"/>
  <c r="AK285" i="2"/>
  <c r="AL285" i="2"/>
  <c r="AM285" i="2"/>
  <c r="AN285" i="2"/>
  <c r="AO285" i="2"/>
  <c r="AH286" i="2"/>
  <c r="AI286" i="2"/>
  <c r="AJ286" i="2"/>
  <c r="AK286" i="2"/>
  <c r="AL286" i="2"/>
  <c r="AM286" i="2"/>
  <c r="AN286" i="2"/>
  <c r="AO286" i="2"/>
  <c r="AH287" i="2"/>
  <c r="AI287" i="2"/>
  <c r="AJ287" i="2"/>
  <c r="AK287" i="2"/>
  <c r="AL287" i="2"/>
  <c r="AM287" i="2"/>
  <c r="AN287" i="2"/>
  <c r="AO287" i="2"/>
  <c r="AH288" i="2"/>
  <c r="AI288" i="2"/>
  <c r="AJ288" i="2"/>
  <c r="AK288" i="2"/>
  <c r="AL288" i="2"/>
  <c r="AM288" i="2"/>
  <c r="AN288" i="2"/>
  <c r="AO288" i="2"/>
  <c r="AH289" i="2"/>
  <c r="AI289" i="2"/>
  <c r="AJ289" i="2"/>
  <c r="AK289" i="2"/>
  <c r="AL289" i="2"/>
  <c r="AM289" i="2"/>
  <c r="AN289" i="2"/>
  <c r="AO289" i="2"/>
  <c r="AH290" i="2"/>
  <c r="AI290" i="2"/>
  <c r="AJ290" i="2"/>
  <c r="AK290" i="2"/>
  <c r="AL290" i="2"/>
  <c r="AM290" i="2"/>
  <c r="AN290" i="2"/>
  <c r="AO290" i="2"/>
  <c r="AH291" i="2"/>
  <c r="AI291" i="2"/>
  <c r="AJ291" i="2"/>
  <c r="AK291" i="2"/>
  <c r="AL291" i="2"/>
  <c r="AM291" i="2"/>
  <c r="AN291" i="2"/>
  <c r="AO291" i="2"/>
  <c r="AH292" i="2"/>
  <c r="AI292" i="2"/>
  <c r="AJ292" i="2"/>
  <c r="AK292" i="2"/>
  <c r="AL292" i="2"/>
  <c r="AM292" i="2"/>
  <c r="AN292" i="2"/>
  <c r="AO292" i="2"/>
  <c r="AH293" i="2"/>
  <c r="AI293" i="2"/>
  <c r="AJ293" i="2"/>
  <c r="AK293" i="2"/>
  <c r="AL293" i="2"/>
  <c r="AM293" i="2"/>
  <c r="AN293" i="2"/>
  <c r="AO293" i="2"/>
  <c r="AH294" i="2"/>
  <c r="AI294" i="2"/>
  <c r="AJ294" i="2"/>
  <c r="AK294" i="2"/>
  <c r="AL294" i="2"/>
  <c r="AM294" i="2"/>
  <c r="AN294" i="2"/>
  <c r="AO294" i="2"/>
  <c r="AH295" i="2"/>
  <c r="AI295" i="2"/>
  <c r="AJ295" i="2"/>
  <c r="AK295" i="2"/>
  <c r="AL295" i="2"/>
  <c r="AM295" i="2"/>
  <c r="AN295" i="2"/>
  <c r="AO295" i="2"/>
  <c r="AH296" i="2"/>
  <c r="AI296" i="2"/>
  <c r="AJ296" i="2"/>
  <c r="AK296" i="2"/>
  <c r="AL296" i="2"/>
  <c r="AM296" i="2"/>
  <c r="AN296" i="2"/>
  <c r="AO296" i="2"/>
  <c r="AH297" i="2"/>
  <c r="AI297" i="2"/>
  <c r="AJ297" i="2"/>
  <c r="AK297" i="2"/>
  <c r="AL297" i="2"/>
  <c r="AM297" i="2"/>
  <c r="AN297" i="2"/>
  <c r="AO297" i="2"/>
  <c r="AH298" i="2"/>
  <c r="AI298" i="2"/>
  <c r="AJ298" i="2"/>
  <c r="AK298" i="2"/>
  <c r="AL298" i="2"/>
  <c r="AM298" i="2"/>
  <c r="AN298" i="2"/>
  <c r="AO298" i="2"/>
  <c r="AH299" i="2"/>
  <c r="AI299" i="2"/>
  <c r="AJ299" i="2"/>
  <c r="AK299" i="2"/>
  <c r="AL299" i="2"/>
  <c r="AM299" i="2"/>
  <c r="AN299" i="2"/>
  <c r="AO299" i="2"/>
  <c r="AH300" i="2"/>
  <c r="AI300" i="2"/>
  <c r="AJ300" i="2"/>
  <c r="AK300" i="2"/>
  <c r="AL300" i="2"/>
  <c r="AM300" i="2"/>
  <c r="AN300" i="2"/>
  <c r="AO300" i="2"/>
  <c r="AH301" i="2"/>
  <c r="AI301" i="2"/>
  <c r="AJ301" i="2"/>
  <c r="AK301" i="2"/>
  <c r="AL301" i="2"/>
  <c r="AM301" i="2"/>
  <c r="AN301" i="2"/>
  <c r="AO301" i="2"/>
  <c r="AH302" i="2"/>
  <c r="AI302" i="2"/>
  <c r="AJ302" i="2"/>
  <c r="AK302" i="2"/>
  <c r="AL302" i="2"/>
  <c r="AM302" i="2"/>
  <c r="AN302" i="2"/>
  <c r="AO302" i="2"/>
  <c r="AH303" i="2"/>
  <c r="AI303" i="2"/>
  <c r="AJ303" i="2"/>
  <c r="AK303" i="2"/>
  <c r="AL303" i="2"/>
  <c r="AM303" i="2"/>
  <c r="AN303" i="2"/>
  <c r="AO303" i="2"/>
  <c r="AH304" i="2"/>
  <c r="AI304" i="2"/>
  <c r="AJ304" i="2"/>
  <c r="AK304" i="2"/>
  <c r="AL304" i="2"/>
  <c r="AM304" i="2"/>
  <c r="AN304" i="2"/>
  <c r="AO304" i="2"/>
  <c r="AH305" i="2"/>
  <c r="AI305" i="2"/>
  <c r="AJ305" i="2"/>
  <c r="AK305" i="2"/>
  <c r="AL305" i="2"/>
  <c r="AM305" i="2"/>
  <c r="AN305" i="2"/>
  <c r="AO305" i="2"/>
  <c r="AH306" i="2"/>
  <c r="AI306" i="2"/>
  <c r="AJ306" i="2"/>
  <c r="AK306" i="2"/>
  <c r="AL306" i="2"/>
  <c r="AM306" i="2"/>
  <c r="AN306" i="2"/>
  <c r="AO306" i="2"/>
  <c r="AH307" i="2"/>
  <c r="AI307" i="2"/>
  <c r="AJ307" i="2"/>
  <c r="AK307" i="2"/>
  <c r="AL307" i="2"/>
  <c r="AM307" i="2"/>
  <c r="AN307" i="2"/>
  <c r="AO307" i="2"/>
  <c r="AH308" i="2"/>
  <c r="AI308" i="2"/>
  <c r="AJ308" i="2"/>
  <c r="AK308" i="2"/>
  <c r="AL308" i="2"/>
  <c r="AM308" i="2"/>
  <c r="AN308" i="2"/>
  <c r="AO308" i="2"/>
  <c r="AH309" i="2"/>
  <c r="AI309" i="2"/>
  <c r="AJ309" i="2"/>
  <c r="AK309" i="2"/>
  <c r="AL309" i="2"/>
  <c r="AM309" i="2"/>
  <c r="AN309" i="2"/>
  <c r="AO309" i="2"/>
  <c r="AH310" i="2"/>
  <c r="AI310" i="2"/>
  <c r="AJ310" i="2"/>
  <c r="AK310" i="2"/>
  <c r="AL310" i="2"/>
  <c r="AM310" i="2"/>
  <c r="AN310" i="2"/>
  <c r="AO310" i="2"/>
  <c r="AH311" i="2"/>
  <c r="AI311" i="2"/>
  <c r="AJ311" i="2"/>
  <c r="AK311" i="2"/>
  <c r="AL311" i="2"/>
  <c r="AM311" i="2"/>
  <c r="AN311" i="2"/>
  <c r="AO311" i="2"/>
  <c r="AH312" i="2"/>
  <c r="AI312" i="2"/>
  <c r="AJ312" i="2"/>
  <c r="AK312" i="2"/>
  <c r="AL312" i="2"/>
  <c r="AM312" i="2"/>
  <c r="AN312" i="2"/>
  <c r="AO312" i="2"/>
  <c r="AH313" i="2"/>
  <c r="AI313" i="2"/>
  <c r="AJ313" i="2"/>
  <c r="AK313" i="2"/>
  <c r="AL313" i="2"/>
  <c r="AM313" i="2"/>
  <c r="AN313" i="2"/>
  <c r="AO313" i="2"/>
  <c r="AH314" i="2"/>
  <c r="AI314" i="2"/>
  <c r="AJ314" i="2"/>
  <c r="AK314" i="2"/>
  <c r="AL314" i="2"/>
  <c r="AM314" i="2"/>
  <c r="AN314" i="2"/>
  <c r="AO314" i="2"/>
  <c r="AH315" i="2"/>
  <c r="AI315" i="2"/>
  <c r="AJ315" i="2"/>
  <c r="AK315" i="2"/>
  <c r="AL315" i="2"/>
  <c r="AM315" i="2"/>
  <c r="AN315" i="2"/>
  <c r="AO315" i="2"/>
  <c r="AH316" i="2"/>
  <c r="AI316" i="2"/>
  <c r="AJ316" i="2"/>
  <c r="AK316" i="2"/>
  <c r="AL316" i="2"/>
  <c r="AM316" i="2"/>
  <c r="AN316" i="2"/>
  <c r="AO316" i="2"/>
  <c r="AH317" i="2"/>
  <c r="AI317" i="2"/>
  <c r="AJ317" i="2"/>
  <c r="AK317" i="2"/>
  <c r="AL317" i="2"/>
  <c r="AM317" i="2"/>
  <c r="AN317" i="2"/>
  <c r="AO317" i="2"/>
  <c r="AH318" i="2"/>
  <c r="AI318" i="2"/>
  <c r="AJ318" i="2"/>
  <c r="AK318" i="2"/>
  <c r="AL318" i="2"/>
  <c r="AM318" i="2"/>
  <c r="AN318" i="2"/>
  <c r="AO318" i="2"/>
  <c r="AH319" i="2"/>
  <c r="AI319" i="2"/>
  <c r="AJ319" i="2"/>
  <c r="AK319" i="2"/>
  <c r="AL319" i="2"/>
  <c r="AM319" i="2"/>
  <c r="AN319" i="2"/>
  <c r="AO319" i="2"/>
  <c r="AH320" i="2"/>
  <c r="AI320" i="2"/>
  <c r="AJ320" i="2"/>
  <c r="AK320" i="2"/>
  <c r="AL320" i="2"/>
  <c r="AM320" i="2"/>
  <c r="AN320" i="2"/>
  <c r="AO320" i="2"/>
  <c r="AH321" i="2"/>
  <c r="AI321" i="2"/>
  <c r="AJ321" i="2"/>
  <c r="AK321" i="2"/>
  <c r="AL321" i="2"/>
  <c r="AM321" i="2"/>
  <c r="AN321" i="2"/>
  <c r="AO321" i="2"/>
  <c r="AH322" i="2"/>
  <c r="AI322" i="2"/>
  <c r="AJ322" i="2"/>
  <c r="AK322" i="2"/>
  <c r="AL322" i="2"/>
  <c r="AM322" i="2"/>
  <c r="AN322" i="2"/>
  <c r="AO322" i="2"/>
  <c r="AH323" i="2"/>
  <c r="AI323" i="2"/>
  <c r="AJ323" i="2"/>
  <c r="AK323" i="2"/>
  <c r="AL323" i="2"/>
  <c r="AM323" i="2"/>
  <c r="AN323" i="2"/>
  <c r="AO323" i="2"/>
  <c r="AH324" i="2"/>
  <c r="AI324" i="2"/>
  <c r="AJ324" i="2"/>
  <c r="AK324" i="2"/>
  <c r="AL324" i="2"/>
  <c r="AM324" i="2"/>
  <c r="AN324" i="2"/>
  <c r="AO324" i="2"/>
  <c r="AH325" i="2"/>
  <c r="AI325" i="2"/>
  <c r="AJ325" i="2"/>
  <c r="AK325" i="2"/>
  <c r="AL325" i="2"/>
  <c r="AM325" i="2"/>
  <c r="AN325" i="2"/>
  <c r="AO325" i="2"/>
  <c r="AH326" i="2"/>
  <c r="AI326" i="2"/>
  <c r="AJ326" i="2"/>
  <c r="AK326" i="2"/>
  <c r="AL326" i="2"/>
  <c r="AM326" i="2"/>
  <c r="AN326" i="2"/>
  <c r="AO326" i="2"/>
  <c r="AH327" i="2"/>
  <c r="AI327" i="2"/>
  <c r="AJ327" i="2"/>
  <c r="AK327" i="2"/>
  <c r="AL327" i="2"/>
  <c r="AM327" i="2"/>
  <c r="AN327" i="2"/>
  <c r="AO327" i="2"/>
  <c r="AH328" i="2"/>
  <c r="AI328" i="2"/>
  <c r="AJ328" i="2"/>
  <c r="AK328" i="2"/>
  <c r="AL328" i="2"/>
  <c r="AM328" i="2"/>
  <c r="AN328" i="2"/>
  <c r="AO328" i="2"/>
  <c r="AH329" i="2"/>
  <c r="AI329" i="2"/>
  <c r="AJ329" i="2"/>
  <c r="AK329" i="2"/>
  <c r="AL329" i="2"/>
  <c r="AM329" i="2"/>
  <c r="AN329" i="2"/>
  <c r="AO329" i="2"/>
  <c r="AH330" i="2"/>
  <c r="AI330" i="2"/>
  <c r="AJ330" i="2"/>
  <c r="AK330" i="2"/>
  <c r="AL330" i="2"/>
  <c r="AM330" i="2"/>
  <c r="AN330" i="2"/>
  <c r="AO330" i="2"/>
  <c r="AH331" i="2"/>
  <c r="AI331" i="2"/>
  <c r="AJ331" i="2"/>
  <c r="AK331" i="2"/>
  <c r="AL331" i="2"/>
  <c r="AM331" i="2"/>
  <c r="AN331" i="2"/>
  <c r="AO331" i="2"/>
  <c r="AH332" i="2"/>
  <c r="AI332" i="2"/>
  <c r="AJ332" i="2"/>
  <c r="AK332" i="2"/>
  <c r="AL332" i="2"/>
  <c r="AM332" i="2"/>
  <c r="AN332" i="2"/>
  <c r="AO332" i="2"/>
  <c r="AH333" i="2"/>
  <c r="AI333" i="2"/>
  <c r="AJ333" i="2"/>
  <c r="AK333" i="2"/>
  <c r="AL333" i="2"/>
  <c r="AM333" i="2"/>
  <c r="AN333" i="2"/>
  <c r="AO333" i="2"/>
  <c r="AH334" i="2"/>
  <c r="AI334" i="2"/>
  <c r="AJ334" i="2"/>
  <c r="AK334" i="2"/>
  <c r="AL334" i="2"/>
  <c r="AM334" i="2"/>
  <c r="AN334" i="2"/>
  <c r="AO334" i="2"/>
  <c r="AH335" i="2"/>
  <c r="AI335" i="2"/>
  <c r="AJ335" i="2"/>
  <c r="AK335" i="2"/>
  <c r="AL335" i="2"/>
  <c r="AM335" i="2"/>
  <c r="AN335" i="2"/>
  <c r="AO335" i="2"/>
  <c r="AH336" i="2"/>
  <c r="AI336" i="2"/>
  <c r="AJ336" i="2"/>
  <c r="AK336" i="2"/>
  <c r="AL336" i="2"/>
  <c r="AM336" i="2"/>
  <c r="AN336" i="2"/>
  <c r="AO336" i="2"/>
  <c r="AH339" i="2"/>
  <c r="AI339" i="2"/>
  <c r="AJ339" i="2"/>
  <c r="AK339" i="2"/>
  <c r="AL339" i="2"/>
  <c r="AM339" i="2"/>
  <c r="AN339" i="2"/>
  <c r="AO339" i="2"/>
  <c r="AH340" i="2"/>
  <c r="AI340" i="2"/>
  <c r="AJ340" i="2"/>
  <c r="AK340" i="2"/>
  <c r="AL340" i="2"/>
  <c r="AM340" i="2"/>
  <c r="AN340" i="2"/>
  <c r="AO340" i="2"/>
  <c r="AH341" i="2"/>
  <c r="AI341" i="2"/>
  <c r="AJ341" i="2"/>
  <c r="AK341" i="2"/>
  <c r="AL341" i="2"/>
  <c r="AM341" i="2"/>
  <c r="AN341" i="2"/>
  <c r="AO341" i="2"/>
  <c r="AH342" i="2"/>
  <c r="AI342" i="2"/>
  <c r="AJ342" i="2"/>
  <c r="AK342" i="2"/>
  <c r="AL342" i="2"/>
  <c r="AM342" i="2"/>
  <c r="AN342" i="2"/>
  <c r="AO342" i="2"/>
  <c r="AH343" i="2"/>
  <c r="AI343" i="2"/>
  <c r="AJ343" i="2"/>
  <c r="AK343" i="2"/>
  <c r="AL343" i="2"/>
  <c r="AM343" i="2"/>
  <c r="AN343" i="2"/>
  <c r="AO343" i="2"/>
  <c r="AH344" i="2"/>
  <c r="AI344" i="2"/>
  <c r="AJ344" i="2"/>
  <c r="AK344" i="2"/>
  <c r="AL344" i="2"/>
  <c r="AM344" i="2"/>
  <c r="AN344" i="2"/>
  <c r="AO344" i="2"/>
  <c r="AH345" i="2"/>
  <c r="AI345" i="2"/>
  <c r="AJ345" i="2"/>
  <c r="AK345" i="2"/>
  <c r="AL345" i="2"/>
  <c r="AM345" i="2"/>
  <c r="AN345" i="2"/>
  <c r="AO345" i="2"/>
  <c r="AH346" i="2"/>
  <c r="AI346" i="2"/>
  <c r="AJ346" i="2"/>
  <c r="AK346" i="2"/>
  <c r="AL346" i="2"/>
  <c r="AM346" i="2"/>
  <c r="AN346" i="2"/>
  <c r="AO346" i="2"/>
  <c r="A14" i="6" l="1"/>
</calcChain>
</file>

<file path=xl/sharedStrings.xml><?xml version="1.0" encoding="utf-8"?>
<sst xmlns="http://schemas.openxmlformats.org/spreadsheetml/2006/main" count="3562" uniqueCount="1207">
  <si>
    <t>Statewide Statistics</t>
  </si>
  <si>
    <t>10 &amp; 10</t>
  </si>
  <si>
    <t>Incorporated</t>
  </si>
  <si>
    <t>MARSHALL &amp; OHIO</t>
  </si>
  <si>
    <t>Wheeling**</t>
  </si>
  <si>
    <t>N/A</t>
  </si>
  <si>
    <t>11 &amp; 11</t>
  </si>
  <si>
    <t>BROOKE &amp; HANCOCK</t>
  </si>
  <si>
    <t>Weirton**</t>
  </si>
  <si>
    <t>4 &amp; 3</t>
  </si>
  <si>
    <t>FAYETTE &amp; KANAWHA</t>
  </si>
  <si>
    <t>Smithers**</t>
  </si>
  <si>
    <t>5 &amp; 10</t>
  </si>
  <si>
    <t>TYLER &amp; WETZEL</t>
  </si>
  <si>
    <t>Paden City**</t>
  </si>
  <si>
    <t>3 &amp; 3</t>
  </si>
  <si>
    <t>KANAWHA &amp; PUTNAM</t>
  </si>
  <si>
    <t>Nitro**</t>
  </si>
  <si>
    <t>Montgomery**</t>
  </si>
  <si>
    <t>2 &amp; 2</t>
  </si>
  <si>
    <t>CABELL &amp; WAYNE</t>
  </si>
  <si>
    <t>Huntington**</t>
  </si>
  <si>
    <t>4 &amp; 1</t>
  </si>
  <si>
    <t>GREENBRIER &amp; MONROE</t>
  </si>
  <si>
    <t>Alderson**</t>
  </si>
  <si>
    <t>SPLIT COMMUNITIES</t>
  </si>
  <si>
    <t>County</t>
  </si>
  <si>
    <t>WYOMING</t>
  </si>
  <si>
    <t>3/15/1984</t>
  </si>
  <si>
    <t>Unincorporated</t>
  </si>
  <si>
    <t>Wyoming County*</t>
  </si>
  <si>
    <t>8/1/1979</t>
  </si>
  <si>
    <t>Mullens</t>
  </si>
  <si>
    <t>9/30/1983</t>
  </si>
  <si>
    <t>Pineville</t>
  </si>
  <si>
    <t>10/16/1979</t>
  </si>
  <si>
    <t>Oceana</t>
  </si>
  <si>
    <t>WOOD</t>
  </si>
  <si>
    <t>10/18/1983</t>
  </si>
  <si>
    <t>Williamstown</t>
  </si>
  <si>
    <t>12/18/1985</t>
  </si>
  <si>
    <t>Vienna</t>
  </si>
  <si>
    <t>9/4/1986</t>
  </si>
  <si>
    <t>Parkersburg</t>
  </si>
  <si>
    <t>3/4/1985</t>
  </si>
  <si>
    <t>Wood County*</t>
  </si>
  <si>
    <t>WIRT</t>
  </si>
  <si>
    <t>1/17/1991</t>
  </si>
  <si>
    <t>Elizabeth</t>
  </si>
  <si>
    <t>4/1/1988</t>
  </si>
  <si>
    <t>Wirt County*</t>
  </si>
  <si>
    <t>WETZEL</t>
  </si>
  <si>
    <t>Smithfield</t>
  </si>
  <si>
    <t>Hundred</t>
  </si>
  <si>
    <t>Pine Grove</t>
  </si>
  <si>
    <t>9/2/1982</t>
  </si>
  <si>
    <t>New Martinsville</t>
  </si>
  <si>
    <t>3/16/1989</t>
  </si>
  <si>
    <t>Split</t>
  </si>
  <si>
    <t>4/4/1983</t>
  </si>
  <si>
    <t>Wetzel County*</t>
  </si>
  <si>
    <t>WEBSTER</t>
  </si>
  <si>
    <t>8/24/1984</t>
  </si>
  <si>
    <t>Cowen</t>
  </si>
  <si>
    <t>Camden-On-Gauley</t>
  </si>
  <si>
    <t>2/16/1990</t>
  </si>
  <si>
    <t>Addison</t>
  </si>
  <si>
    <t>Webster County*</t>
  </si>
  <si>
    <t>WAYNE</t>
  </si>
  <si>
    <t>5/17/1989</t>
  </si>
  <si>
    <t>Ceredo</t>
  </si>
  <si>
    <t>9/30/1987</t>
  </si>
  <si>
    <t>Wayne</t>
  </si>
  <si>
    <t>Kenova</t>
  </si>
  <si>
    <t>1/3/1979</t>
  </si>
  <si>
    <t>Fort Gay</t>
  </si>
  <si>
    <t>1/17/1990</t>
  </si>
  <si>
    <t>9/18/1987</t>
  </si>
  <si>
    <t>Wayne County*</t>
  </si>
  <si>
    <t>UPSHUR</t>
  </si>
  <si>
    <t>Buckhannon</t>
  </si>
  <si>
    <t>7/1/1987</t>
  </si>
  <si>
    <t>Upshur County*</t>
  </si>
  <si>
    <t>TYLER</t>
  </si>
  <si>
    <t>11/4/1988</t>
  </si>
  <si>
    <t>Friendly</t>
  </si>
  <si>
    <t>Sistersville</t>
  </si>
  <si>
    <t>Middlebourne</t>
  </si>
  <si>
    <t>Tyler County*</t>
  </si>
  <si>
    <t>TUCKER</t>
  </si>
  <si>
    <t>7/20/1984</t>
  </si>
  <si>
    <t>Davis</t>
  </si>
  <si>
    <t>9/10/1984</t>
  </si>
  <si>
    <t>Thomas</t>
  </si>
  <si>
    <t>8/15/1979</t>
  </si>
  <si>
    <t>Parsons</t>
  </si>
  <si>
    <t>Hambleton</t>
  </si>
  <si>
    <t>8/1/1987</t>
  </si>
  <si>
    <t>Hendricks</t>
  </si>
  <si>
    <t>Tucker County*</t>
  </si>
  <si>
    <t>TAYLOR</t>
  </si>
  <si>
    <t>Grafton</t>
  </si>
  <si>
    <t>9/25/2009</t>
  </si>
  <si>
    <t>Flemington</t>
  </si>
  <si>
    <t>Taylor County*</t>
  </si>
  <si>
    <t>SUMMERS</t>
  </si>
  <si>
    <t>Hinton</t>
  </si>
  <si>
    <t>11/5/1980</t>
  </si>
  <si>
    <t>Summers County*</t>
  </si>
  <si>
    <t>ROANE</t>
  </si>
  <si>
    <t>Spencer</t>
  </si>
  <si>
    <t>12/1/1978</t>
  </si>
  <si>
    <t>Reedy</t>
  </si>
  <si>
    <t>Roane County*</t>
  </si>
  <si>
    <t>RITCHIE</t>
  </si>
  <si>
    <t>Pullman</t>
  </si>
  <si>
    <t>9/24/1984</t>
  </si>
  <si>
    <t>Auburn</t>
  </si>
  <si>
    <t>9/16/1988</t>
  </si>
  <si>
    <t>Pennsboro</t>
  </si>
  <si>
    <t>Ellenboro</t>
  </si>
  <si>
    <t>3/18/1991</t>
  </si>
  <si>
    <t>Cairo</t>
  </si>
  <si>
    <t>2/7/2006</t>
  </si>
  <si>
    <t>Harrisville</t>
  </si>
  <si>
    <t>1/1/1991</t>
  </si>
  <si>
    <t>Ritchie County*</t>
  </si>
  <si>
    <t>RANDOLPH</t>
  </si>
  <si>
    <t>9/27/1991</t>
  </si>
  <si>
    <t>Randolph County*</t>
  </si>
  <si>
    <t>4/3/1987</t>
  </si>
  <si>
    <t>Elkins</t>
  </si>
  <si>
    <t>12/3/1991</t>
  </si>
  <si>
    <t>Beverly</t>
  </si>
  <si>
    <t>Mill Creek</t>
  </si>
  <si>
    <t>Montrose</t>
  </si>
  <si>
    <t>Huttonsville</t>
  </si>
  <si>
    <t>Harman</t>
  </si>
  <si>
    <t>Womelsdorf (Coalton)</t>
  </si>
  <si>
    <t>RALEIGH</t>
  </si>
  <si>
    <t>Mabscott</t>
  </si>
  <si>
    <t>4/16/1991</t>
  </si>
  <si>
    <t>Sophia</t>
  </si>
  <si>
    <t>9/1/1987</t>
  </si>
  <si>
    <t>Rhodell</t>
  </si>
  <si>
    <t>Lester</t>
  </si>
  <si>
    <t>11/1/1984</t>
  </si>
  <si>
    <t>Beckley</t>
  </si>
  <si>
    <t>12/18/1984</t>
  </si>
  <si>
    <t>Raleigh County*</t>
  </si>
  <si>
    <t>PUTNAM</t>
  </si>
  <si>
    <t>3/29/1974</t>
  </si>
  <si>
    <t>Poca</t>
  </si>
  <si>
    <t>6/18/1987</t>
  </si>
  <si>
    <t>Putnam County*</t>
  </si>
  <si>
    <t>Winfield</t>
  </si>
  <si>
    <t>2/6/1984</t>
  </si>
  <si>
    <t>Eleanor</t>
  </si>
  <si>
    <t>3/4/1986</t>
  </si>
  <si>
    <t>Hurricane</t>
  </si>
  <si>
    <t>Buffalo</t>
  </si>
  <si>
    <t>Bancroft</t>
  </si>
  <si>
    <t>4/15/1982</t>
  </si>
  <si>
    <t>PRESTON</t>
  </si>
  <si>
    <t>6/5/2012</t>
  </si>
  <si>
    <t>Masontown</t>
  </si>
  <si>
    <t>Reedsville</t>
  </si>
  <si>
    <t>Newburg</t>
  </si>
  <si>
    <t>Terra Alta</t>
  </si>
  <si>
    <t>Kingwood</t>
  </si>
  <si>
    <t>Rowlesburg</t>
  </si>
  <si>
    <t>Bruceton Mills</t>
  </si>
  <si>
    <t>Albright</t>
  </si>
  <si>
    <t>3/1/1987</t>
  </si>
  <si>
    <t>Preston County*</t>
  </si>
  <si>
    <t>POCAHONTAS</t>
  </si>
  <si>
    <t>10/17/1989</t>
  </si>
  <si>
    <t>Marlinton</t>
  </si>
  <si>
    <t>Durbin</t>
  </si>
  <si>
    <t>Pocahontas County*</t>
  </si>
  <si>
    <t>PLEASANTS</t>
  </si>
  <si>
    <t>6/3/1991</t>
  </si>
  <si>
    <t>Belmont</t>
  </si>
  <si>
    <t>St. Mary's</t>
  </si>
  <si>
    <t>Pleasants County*</t>
  </si>
  <si>
    <t>PENDLETON</t>
  </si>
  <si>
    <t>Franklin</t>
  </si>
  <si>
    <t>Pendleton County*</t>
  </si>
  <si>
    <t>OHIO</t>
  </si>
  <si>
    <t>2/18/1981</t>
  </si>
  <si>
    <t>9/28/1979</t>
  </si>
  <si>
    <t>Valley Grove</t>
  </si>
  <si>
    <t>1/18/1984</t>
  </si>
  <si>
    <t>Triadelphia</t>
  </si>
  <si>
    <t>7/17/2006</t>
  </si>
  <si>
    <t>West Liberty</t>
  </si>
  <si>
    <t>Ohio County*</t>
  </si>
  <si>
    <t>NICHOLAS</t>
  </si>
  <si>
    <t>Summersville</t>
  </si>
  <si>
    <t>Richwood</t>
  </si>
  <si>
    <t>11/6/1991</t>
  </si>
  <si>
    <t>Nicholas County*</t>
  </si>
  <si>
    <t>MORGAN</t>
  </si>
  <si>
    <t>11/2/1984</t>
  </si>
  <si>
    <t>Paw Paw</t>
  </si>
  <si>
    <t>1/2/1980</t>
  </si>
  <si>
    <t>Bath</t>
  </si>
  <si>
    <t>Morgan County*</t>
  </si>
  <si>
    <t>MONROE</t>
  </si>
  <si>
    <t>Peterstown</t>
  </si>
  <si>
    <t>1/14/1983</t>
  </si>
  <si>
    <t>Monroe County*</t>
  </si>
  <si>
    <t>MONONGALIA</t>
  </si>
  <si>
    <t>8/1/1978</t>
  </si>
  <si>
    <t>Westover</t>
  </si>
  <si>
    <t>Star City</t>
  </si>
  <si>
    <t>12/15/1983</t>
  </si>
  <si>
    <t>Granville</t>
  </si>
  <si>
    <t>Morgantown</t>
  </si>
  <si>
    <t>1/20/2010</t>
  </si>
  <si>
    <t>Blacksville</t>
  </si>
  <si>
    <t>5/1/1984</t>
  </si>
  <si>
    <t>Monongalia County*</t>
  </si>
  <si>
    <t>MINGO</t>
  </si>
  <si>
    <t>2/3/1970</t>
  </si>
  <si>
    <t>Matewan</t>
  </si>
  <si>
    <t>1/16/1981</t>
  </si>
  <si>
    <t>Williamson</t>
  </si>
  <si>
    <t>3/1/1978</t>
  </si>
  <si>
    <t>Kermit</t>
  </si>
  <si>
    <t>5/2/1977</t>
  </si>
  <si>
    <t>Gilbert</t>
  </si>
  <si>
    <t>3/15/1977</t>
  </si>
  <si>
    <t>Delbarton</t>
  </si>
  <si>
    <t>12/2/1980</t>
  </si>
  <si>
    <t>Mingo County*</t>
  </si>
  <si>
    <t>MINERAL</t>
  </si>
  <si>
    <t>Ridgeley</t>
  </si>
  <si>
    <t>Piedmont</t>
  </si>
  <si>
    <t>Keyser</t>
  </si>
  <si>
    <t>Mineral County*</t>
  </si>
  <si>
    <t>MERCER</t>
  </si>
  <si>
    <t>3/2/2005</t>
  </si>
  <si>
    <t>Bluefield</t>
  </si>
  <si>
    <t>2/1/1984</t>
  </si>
  <si>
    <t>Princeton</t>
  </si>
  <si>
    <t>Oakvale</t>
  </si>
  <si>
    <t>12/1/1983</t>
  </si>
  <si>
    <t>Bramwell</t>
  </si>
  <si>
    <t>2/1/1985</t>
  </si>
  <si>
    <t>Mercer County*</t>
  </si>
  <si>
    <t>MCDOWELL</t>
  </si>
  <si>
    <t>9/18/1986</t>
  </si>
  <si>
    <t>Bradshaw</t>
  </si>
  <si>
    <t>9/1/1983</t>
  </si>
  <si>
    <t>Welch</t>
  </si>
  <si>
    <t>9/28/1984</t>
  </si>
  <si>
    <t>War</t>
  </si>
  <si>
    <t>4/3/1985</t>
  </si>
  <si>
    <t>Northfork</t>
  </si>
  <si>
    <t>Kimball</t>
  </si>
  <si>
    <t>Keystone</t>
  </si>
  <si>
    <t>Iaeger</t>
  </si>
  <si>
    <t>Gary</t>
  </si>
  <si>
    <t>Davy</t>
  </si>
  <si>
    <t>Anawalt</t>
  </si>
  <si>
    <t>McDowell County*</t>
  </si>
  <si>
    <t>MASON</t>
  </si>
  <si>
    <t>5/15/1978</t>
  </si>
  <si>
    <t>Henderson</t>
  </si>
  <si>
    <t>Point Pleasant</t>
  </si>
  <si>
    <t>7/3/1978</t>
  </si>
  <si>
    <t>New Haven</t>
  </si>
  <si>
    <t>2/15/1978</t>
  </si>
  <si>
    <t>Mason</t>
  </si>
  <si>
    <t>Hartford</t>
  </si>
  <si>
    <t>8/15/1978</t>
  </si>
  <si>
    <t>Leon</t>
  </si>
  <si>
    <t>Mason County*</t>
  </si>
  <si>
    <t>MARSHALL</t>
  </si>
  <si>
    <t>Cameron</t>
  </si>
  <si>
    <t>3/22/1974</t>
  </si>
  <si>
    <t>Moundsville</t>
  </si>
  <si>
    <t>Mcmechen</t>
  </si>
  <si>
    <t>6/28/1974</t>
  </si>
  <si>
    <t>Glen Dale</t>
  </si>
  <si>
    <t>5/1/1980</t>
  </si>
  <si>
    <t>Benwood</t>
  </si>
  <si>
    <t>12/20/1974</t>
  </si>
  <si>
    <t>Marshall County*</t>
  </si>
  <si>
    <t>MARION</t>
  </si>
  <si>
    <t>6/19/2012</t>
  </si>
  <si>
    <t>Pleasant Valley</t>
  </si>
  <si>
    <t>3/16/1988</t>
  </si>
  <si>
    <t>Worthington</t>
  </si>
  <si>
    <t>Rivesville</t>
  </si>
  <si>
    <t>Monongah</t>
  </si>
  <si>
    <t>11/19/1986</t>
  </si>
  <si>
    <t>Mannington</t>
  </si>
  <si>
    <t>3/4/1988</t>
  </si>
  <si>
    <t>Grant</t>
  </si>
  <si>
    <t>Farmington</t>
  </si>
  <si>
    <t>Fairview</t>
  </si>
  <si>
    <t>7/2/1987</t>
  </si>
  <si>
    <t>Fairmont</t>
  </si>
  <si>
    <t>Barrackville</t>
  </si>
  <si>
    <t>7/4/1988</t>
  </si>
  <si>
    <t>Marion County*</t>
  </si>
  <si>
    <t>LOGAN</t>
  </si>
  <si>
    <t>6/2/1972</t>
  </si>
  <si>
    <t>West Logan</t>
  </si>
  <si>
    <t>9/10/1971</t>
  </si>
  <si>
    <t>Man</t>
  </si>
  <si>
    <t>7/16/1971</t>
  </si>
  <si>
    <t>Logan</t>
  </si>
  <si>
    <t>8/13/1971</t>
  </si>
  <si>
    <t>Mitchell Heights</t>
  </si>
  <si>
    <t>8/27/1971</t>
  </si>
  <si>
    <t>Chapmanville</t>
  </si>
  <si>
    <t>4/7/1972</t>
  </si>
  <si>
    <t>Logan County*</t>
  </si>
  <si>
    <t>LINCOLN</t>
  </si>
  <si>
    <t>9/4/1987</t>
  </si>
  <si>
    <t>West Hamlin</t>
  </si>
  <si>
    <t>Hamlin</t>
  </si>
  <si>
    <t>Lincoln County*</t>
  </si>
  <si>
    <t>LEWIS</t>
  </si>
  <si>
    <t>Weston</t>
  </si>
  <si>
    <t>Jane Lew</t>
  </si>
  <si>
    <t>Lewis County*</t>
  </si>
  <si>
    <t>KANAWHA</t>
  </si>
  <si>
    <t>7/5/1984</t>
  </si>
  <si>
    <t>Handley</t>
  </si>
  <si>
    <t>6/15/1982</t>
  </si>
  <si>
    <t>South Charleston</t>
  </si>
  <si>
    <t>St. Albans</t>
  </si>
  <si>
    <t>Pratt</t>
  </si>
  <si>
    <t>Marmet</t>
  </si>
  <si>
    <t>Glasgow</t>
  </si>
  <si>
    <t>6/1/1982</t>
  </si>
  <si>
    <t>East Bank</t>
  </si>
  <si>
    <t>Dunbar</t>
  </si>
  <si>
    <t>7/16/1984</t>
  </si>
  <si>
    <t>Clendenin</t>
  </si>
  <si>
    <t>Chesapeake</t>
  </si>
  <si>
    <t>6/15/1983</t>
  </si>
  <si>
    <t>Charleston</t>
  </si>
  <si>
    <t>Cedar Grove</t>
  </si>
  <si>
    <t>Belle</t>
  </si>
  <si>
    <t>3/18/1985</t>
  </si>
  <si>
    <t>Kanawha County*</t>
  </si>
  <si>
    <t>JEFFERSON</t>
  </si>
  <si>
    <t>3/18/1980</t>
  </si>
  <si>
    <t>Shepherdstown</t>
  </si>
  <si>
    <t>6/15/1979</t>
  </si>
  <si>
    <t>Ranson</t>
  </si>
  <si>
    <t>Harpers Ferry</t>
  </si>
  <si>
    <t>12/4/1979</t>
  </si>
  <si>
    <t>Charles Town</t>
  </si>
  <si>
    <t>12/18/2009</t>
  </si>
  <si>
    <t>Bolivar</t>
  </si>
  <si>
    <t>10/15/1980</t>
  </si>
  <si>
    <t>Jefferson County*</t>
  </si>
  <si>
    <t>JACKSON</t>
  </si>
  <si>
    <t>Ravenswood</t>
  </si>
  <si>
    <t>9/1/1977</t>
  </si>
  <si>
    <t>Ripley</t>
  </si>
  <si>
    <t>5/1/1985</t>
  </si>
  <si>
    <t>Jackson County*</t>
  </si>
  <si>
    <t>HARRISON</t>
  </si>
  <si>
    <t>12/4/1985</t>
  </si>
  <si>
    <t>Salem</t>
  </si>
  <si>
    <t>West Milford</t>
  </si>
  <si>
    <t>9/5/1979</t>
  </si>
  <si>
    <t>Stonewood</t>
  </si>
  <si>
    <t>Shinnston</t>
  </si>
  <si>
    <t>9/17/1980</t>
  </si>
  <si>
    <t>Nutter Fort</t>
  </si>
  <si>
    <t>Lumberport</t>
  </si>
  <si>
    <t>Lost Creek</t>
  </si>
  <si>
    <t>Clarksburg</t>
  </si>
  <si>
    <t>Bridgeport</t>
  </si>
  <si>
    <t>9/3/1980</t>
  </si>
  <si>
    <t>Anmoore</t>
  </si>
  <si>
    <t>Harrison County*</t>
  </si>
  <si>
    <t>HARDY</t>
  </si>
  <si>
    <t>Wardensville</t>
  </si>
  <si>
    <t>12/15/1990</t>
  </si>
  <si>
    <t>Moorefield</t>
  </si>
  <si>
    <t>6/19/1985</t>
  </si>
  <si>
    <t>Hardy County*</t>
  </si>
  <si>
    <t>HANCOCK</t>
  </si>
  <si>
    <t>5/15/1980</t>
  </si>
  <si>
    <t>New Cumberland</t>
  </si>
  <si>
    <t>12/1/1982</t>
  </si>
  <si>
    <t>Chester</t>
  </si>
  <si>
    <t>6/15/1984</t>
  </si>
  <si>
    <t>Hancock County*</t>
  </si>
  <si>
    <t>HAMPSHIRE</t>
  </si>
  <si>
    <t>6/15/1988</t>
  </si>
  <si>
    <t>Romney</t>
  </si>
  <si>
    <t>Capon Bridge</t>
  </si>
  <si>
    <t>Hampshire County*</t>
  </si>
  <si>
    <t>GREENBRIER</t>
  </si>
  <si>
    <t>Falling Springs</t>
  </si>
  <si>
    <t>11/19/1987</t>
  </si>
  <si>
    <t>Rainelle</t>
  </si>
  <si>
    <t>White Sulphur Springs</t>
  </si>
  <si>
    <t>Rupert</t>
  </si>
  <si>
    <t>5/17/1990</t>
  </si>
  <si>
    <t>Ronceverte</t>
  </si>
  <si>
    <t>1/15/1988</t>
  </si>
  <si>
    <t>Greenbrier County*</t>
  </si>
  <si>
    <t>GRANT</t>
  </si>
  <si>
    <t>8/10/1979</t>
  </si>
  <si>
    <t>Bayard</t>
  </si>
  <si>
    <t>5/3/1990</t>
  </si>
  <si>
    <t>Petersburg</t>
  </si>
  <si>
    <t>Grant County*</t>
  </si>
  <si>
    <t>GILMER</t>
  </si>
  <si>
    <t>Sand Fork</t>
  </si>
  <si>
    <t>Glenville</t>
  </si>
  <si>
    <t>Gilmer County*</t>
  </si>
  <si>
    <t>FAYETTE</t>
  </si>
  <si>
    <t>Fayette County*</t>
  </si>
  <si>
    <t>Mount Hope</t>
  </si>
  <si>
    <t>9/18/1991</t>
  </si>
  <si>
    <t>Gauley Bridge</t>
  </si>
  <si>
    <t>Pax</t>
  </si>
  <si>
    <t>1/18/1980</t>
  </si>
  <si>
    <t>Oak Hill</t>
  </si>
  <si>
    <t>1/2/1991</t>
  </si>
  <si>
    <t>Meadow Bridge</t>
  </si>
  <si>
    <t>10/30/1981</t>
  </si>
  <si>
    <t>Ansted</t>
  </si>
  <si>
    <t>DODDRIDGE</t>
  </si>
  <si>
    <t>West Union</t>
  </si>
  <si>
    <t>Doddridge County*</t>
  </si>
  <si>
    <t>CLAY</t>
  </si>
  <si>
    <t>Clay</t>
  </si>
  <si>
    <t>Clay County*</t>
  </si>
  <si>
    <t>CALHOUN</t>
  </si>
  <si>
    <t>Grantsville</t>
  </si>
  <si>
    <t>Calhoun County*</t>
  </si>
  <si>
    <t>CABELL</t>
  </si>
  <si>
    <t>Milton</t>
  </si>
  <si>
    <t>6/3/1988</t>
  </si>
  <si>
    <t>Barboursville</t>
  </si>
  <si>
    <t>Cabell County*</t>
  </si>
  <si>
    <t>BROOKE</t>
  </si>
  <si>
    <t>4/19/2010</t>
  </si>
  <si>
    <t>Beech Bottom</t>
  </si>
  <si>
    <t>11/17/1982</t>
  </si>
  <si>
    <t>Wellsburg</t>
  </si>
  <si>
    <t>9/30/1982</t>
  </si>
  <si>
    <t>Follansbee</t>
  </si>
  <si>
    <t>Bethany</t>
  </si>
  <si>
    <t>Brooke County*</t>
  </si>
  <si>
    <t>BRAXTON</t>
  </si>
  <si>
    <t>Gassaway</t>
  </si>
  <si>
    <t>Sutton</t>
  </si>
  <si>
    <t>Burnsville</t>
  </si>
  <si>
    <t>Braxton County*</t>
  </si>
  <si>
    <t>BOONE</t>
  </si>
  <si>
    <t>Sylvester</t>
  </si>
  <si>
    <t>Danville</t>
  </si>
  <si>
    <t>Whitesville</t>
  </si>
  <si>
    <t>Madison</t>
  </si>
  <si>
    <t>Boone County*</t>
  </si>
  <si>
    <t>BERKELEY</t>
  </si>
  <si>
    <t>12/18/1979</t>
  </si>
  <si>
    <t>Martinsburg</t>
  </si>
  <si>
    <t>8/4/1988</t>
  </si>
  <si>
    <t>Berkeley County*</t>
  </si>
  <si>
    <t>BARBOUR</t>
  </si>
  <si>
    <t>Philippi</t>
  </si>
  <si>
    <t>4/17/1987</t>
  </si>
  <si>
    <t>Junior</t>
  </si>
  <si>
    <t>Belington</t>
  </si>
  <si>
    <t>Barbour County*</t>
  </si>
  <si>
    <t>Rank AF</t>
  </si>
  <si>
    <t>Rank AD</t>
  </si>
  <si>
    <t>Rank AB</t>
  </si>
  <si>
    <t>Rank Z</t>
  </si>
  <si>
    <t>Rank X Ascending</t>
  </si>
  <si>
    <t>Rank T</t>
  </si>
  <si>
    <t>Rank S</t>
  </si>
  <si>
    <t>Rank N</t>
  </si>
  <si>
    <t>Median Dollar Damage</t>
  </si>
  <si>
    <t>Average Dollar Damage</t>
  </si>
  <si>
    <t>Median Percent Damage</t>
  </si>
  <si>
    <t>Average Percent Damage</t>
  </si>
  <si>
    <t>Median Building Value RES 1</t>
  </si>
  <si>
    <t>Average Building Value RES 1</t>
  </si>
  <si>
    <t>Median Building Value</t>
  </si>
  <si>
    <t>Average Building Value</t>
  </si>
  <si>
    <t>Median Building Year</t>
  </si>
  <si>
    <t>Average Building Year</t>
  </si>
  <si>
    <t>MINUS-RATED &gt; 2 &amp; BLDG YEAR UNKNOWN</t>
  </si>
  <si>
    <t>MINUS-RATED &gt; 2 &amp; POST-FIRM</t>
  </si>
  <si>
    <t>High Damage Count (BldgDmgPct &gt;= 50% OR BldgLossUSD &gt;  $10k)</t>
  </si>
  <si>
    <t>% Unknown Tax Exempt (Property Class X or Other Non-Residential)</t>
  </si>
  <si>
    <t>% Unknown RES2 Mobile Homes</t>
  </si>
  <si>
    <t>% Unknown</t>
  </si>
  <si>
    <t>% Post-FIRM</t>
  </si>
  <si>
    <t xml:space="preserve"> % Post-FIRM Regulated to Pre-FIRM</t>
  </si>
  <si>
    <t>% Pre-FIRM</t>
  </si>
  <si>
    <t xml:space="preserve">Total Building Count </t>
  </si>
  <si>
    <t>Unknown Bldg. Year / FIRM Status</t>
  </si>
  <si>
    <t>Post-FIRM</t>
  </si>
  <si>
    <t>Post-FIRM Regulated to Pre-FIRM</t>
  </si>
  <si>
    <t>Pre-FIRM</t>
  </si>
  <si>
    <t>Initial FIRM Effective Date</t>
  </si>
  <si>
    <t>Region</t>
  </si>
  <si>
    <t>Community Type</t>
  </si>
  <si>
    <t>Community Name</t>
  </si>
  <si>
    <t>CID</t>
  </si>
  <si>
    <t>Rank</t>
  </si>
  <si>
    <t>Split Community</t>
  </si>
  <si>
    <t>Incorp.</t>
  </si>
  <si>
    <t>Uninc.</t>
  </si>
  <si>
    <t xml:space="preserve">RANK on COMMUNITY TYPE:  </t>
  </si>
  <si>
    <t>FIRM Status</t>
  </si>
  <si>
    <t>Note:  For all average and median values in FIRM report table, buildings with zero values are filtered out</t>
  </si>
  <si>
    <t xml:space="preserve">Median Dollar Damage - Hazus 1% floodplain U.S. dollar damage loss estimate </t>
  </si>
  <si>
    <t xml:space="preserve">Average Dollar Damage - Hazus 1% floodplain U.S. dollar damage loss estimate </t>
  </si>
  <si>
    <t>Median Percent Damage - Hazus 1% floodplain damage loss percentage estimate</t>
  </si>
  <si>
    <t>Average Percent Damage - Hazus 1% floodplain damage loss percentage estimate</t>
  </si>
  <si>
    <t>Median Building Value - Single Family Home (RES 1 Hazus Specific Occupancy Code) for structures in 1% floodplain.</t>
  </si>
  <si>
    <t>Average Building Value - Single Family Home (RES 1 Hazus Specific Occupancy Code) for structures in 1% floodplain.</t>
  </si>
  <si>
    <t xml:space="preserve">Median Building Value for structures in the high-risk (effective and advisory) 1% floodplain. </t>
  </si>
  <si>
    <t xml:space="preserve">Average Building Value for structures in the high-risk (effective and advisory) 1% floodplain. </t>
  </si>
  <si>
    <t xml:space="preserve">Mean Building Year for structures in the high-risk (effective and advisory) 1% floodplain.  Minus buildings with modified FIRM status codes (Post-FIRM = 9999; Pre-FIRM = 1111; Post-FIRM regulated to Pre-FIRM = 3333).  </t>
  </si>
  <si>
    <t xml:space="preserve">Average Building Year for structures in the high-risk (effective and advisory) 1%-annual-chance (100-yr) floodplain.  Minus buildings with modified FIRM status codes (Post-FIRM = 9999; Pre-FIRM = 1111; Post-FIRM regulated to Pre-FIRM = 3333).  </t>
  </si>
  <si>
    <t>DESCRIPTION</t>
  </si>
  <si>
    <t>BUILDING YEAR / VALUE / DAMAGE STATISTICS</t>
  </si>
  <si>
    <t>A Post-FIRM or Unknown Building Year minus-rated structure (Water Depth in Structure) &gt;=  2 feet</t>
  </si>
  <si>
    <t xml:space="preserve">A minus rated structure (Water Depth in Structure) &gt;=  2 feet </t>
  </si>
  <si>
    <t>BldgDmgPct &gt;= 50% (substantial damage) OR BldgLossUSD (Building $ Damage Value)) &gt; $10,000.  A Hazus flood risk assessment using FEMA's Flood Risk Assessment Structure Tool for a 1%-annual-chance flood is the data source of the estimated building damage percent and dollar loss value.</t>
  </si>
  <si>
    <t>High Damage Count</t>
  </si>
  <si>
    <t>MINUS RATED and FIRM STATUS</t>
  </si>
  <si>
    <t>% of Unknown Tax Exempt (Property Class X or Other Non-Residential) buildings</t>
  </si>
  <si>
    <t>% of Unknown manufactured (Mobile) homes. Special buildings</t>
  </si>
  <si>
    <t>% of Unknown buildings where building year and FIRM status could not be determined.</t>
  </si>
  <si>
    <t>% of Post-FIRM buildings</t>
  </si>
  <si>
    <t>% of Post-FIRM Regulated to Pre-FIRM</t>
  </si>
  <si>
    <t>% of Pre-FIRM buildings</t>
  </si>
  <si>
    <t>Total buildings in the High-Risk Effective and Advisory floodplains</t>
  </si>
  <si>
    <t>Total Building County (Effective &amp; Advisory)</t>
  </si>
  <si>
    <t>Number of Unknown buildings where building year and FIRM status could not be determined.</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</si>
  <si>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</si>
  <si>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</si>
  <si>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</si>
  <si>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Effective date of the initial Flood Insurance Rate Map, or the year the community started participating in the National Flood Insurance Program (NFIP). </t>
  </si>
  <si>
    <t>FIRM STATUS</t>
  </si>
  <si>
    <t xml:space="preserve">WV Planning and Development Council (PDC) Regions.  There are 11 regions in the State. </t>
  </si>
  <si>
    <t>County, Unincorporated Area, Incorporated Area (municipality/corporation), Split Community across county boundary</t>
  </si>
  <si>
    <t>County.  55 counties in the State.</t>
  </si>
  <si>
    <t>Community Name.  286 WV Communities.  268 NFIP communities (213 incorporated areas, 55 unincorporated areas).  8 NFIP split communities across county boundary.  18 "No SFHA" communities.  Total 294 statistical geographies.</t>
  </si>
  <si>
    <t>FEMA community Identifier</t>
  </si>
  <si>
    <t>COMMUNITY IDENTIFICATION</t>
  </si>
  <si>
    <r>
      <rPr>
        <b/>
        <i/>
        <sz val="11"/>
        <color rgb="FF000000"/>
        <rFont val="Calibri"/>
        <family val="2"/>
      </rPr>
      <t>Post-FIRM Building:</t>
    </r>
    <r>
      <rPr>
        <i/>
        <sz val="11"/>
        <color rgb="FF000000"/>
        <rFont val="Calibri"/>
        <family val="2"/>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</si>
  <si>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r>
      <t xml:space="preserve">Pre-FIRM Building: </t>
    </r>
    <r>
      <rPr>
        <i/>
        <sz val="11"/>
        <color rgb="FF000000"/>
        <rFont val="Calibri"/>
        <family val="2"/>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</si>
  <si>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t>DEFINITIONS</t>
  </si>
  <si>
    <t>Logan County:   Chapmanville, Logan Incorporated, Logan County Unincorporated, Man, Mitchel Heights, West Logan</t>
  </si>
  <si>
    <t>Marshall County:  Marshall County Unincorporated, Glen Dale, Moundsville,</t>
  </si>
  <si>
    <t>Mingo County:  Matewan</t>
  </si>
  <si>
    <t>Table Note:  Red Highlighted Text:  10 Communities with Initial FIRM effective dates before December 31, 1974</t>
  </si>
  <si>
    <t>1 sq. mile</t>
  </si>
  <si>
    <t>Active Flood Study</t>
  </si>
  <si>
    <t>Wyoming County</t>
  </si>
  <si>
    <t>PINEVILLE, CITY OF</t>
  </si>
  <si>
    <t>OCEANA, TOWN OF</t>
  </si>
  <si>
    <t>MULLENS, CITY OF</t>
  </si>
  <si>
    <t>WYOMING COUNTY *</t>
  </si>
  <si>
    <t>Wood County</t>
  </si>
  <si>
    <t>WILLIAMSTOWN, CITY OF</t>
  </si>
  <si>
    <t>VIENNA, CITY OF</t>
  </si>
  <si>
    <t>PARKERSBURG, CITY OF</t>
  </si>
  <si>
    <t>WOOD COUNTY *</t>
  </si>
  <si>
    <t>Wirt County</t>
  </si>
  <si>
    <t>ELIZABETH, TOWN OF</t>
  </si>
  <si>
    <t>WIRT COUNTY*</t>
  </si>
  <si>
    <t>Wetzel County</t>
  </si>
  <si>
    <t>SMITHFIELD, TOWN OF</t>
  </si>
  <si>
    <t>PINE GROVE, TOWN OF</t>
  </si>
  <si>
    <t>PADEN CITY, CITY OF</t>
  </si>
  <si>
    <t>NEW MARTINSVILLE, CITY OF</t>
  </si>
  <si>
    <t>HUNDRED, TOWN OF</t>
  </si>
  <si>
    <t>WETZEL COUNTY *</t>
  </si>
  <si>
    <t>Webster County</t>
  </si>
  <si>
    <t>COWEN, TOWN OF</t>
  </si>
  <si>
    <t>2 sq. mile</t>
  </si>
  <si>
    <t>2016 Flood Study</t>
  </si>
  <si>
    <t>CAMDEN-ON-GAULEY, TOWN OF</t>
  </si>
  <si>
    <t>2016 Flood Study (P)</t>
  </si>
  <si>
    <t>WEBSTER COUNTY *</t>
  </si>
  <si>
    <t>Wayne County</t>
  </si>
  <si>
    <t>WAYNE, TOWN OF</t>
  </si>
  <si>
    <t>KENOVA, CITY OF</t>
  </si>
  <si>
    <t>HUNTINGTON, CITY OF</t>
  </si>
  <si>
    <t>FORT GAY, TOWN OF</t>
  </si>
  <si>
    <t>CEREDO, TOWN OF</t>
  </si>
  <si>
    <t>WAYNE COUNTY*</t>
  </si>
  <si>
    <t>Upshur County</t>
  </si>
  <si>
    <t>BUCKHANNON, CITY OF</t>
  </si>
  <si>
    <t>UPSHUR COUNTY*</t>
  </si>
  <si>
    <t>Tyler County</t>
  </si>
  <si>
    <t>SISTERSVILLE, CITY OF</t>
  </si>
  <si>
    <t>MIDDLEBOURNE, TOWN OF</t>
  </si>
  <si>
    <t>FRIENDLY, TOWN OF</t>
  </si>
  <si>
    <t>TYLER COUNTY *</t>
  </si>
  <si>
    <t>Tucker County</t>
  </si>
  <si>
    <t>THOMAS, CITY OF</t>
  </si>
  <si>
    <t>PARSONS, CITY OF</t>
  </si>
  <si>
    <t>HENDRICKS,TOWN OF</t>
  </si>
  <si>
    <t>HAMBLETON, TOWN OF</t>
  </si>
  <si>
    <t>DAVIS, TOWN OF</t>
  </si>
  <si>
    <t>TUCKER COUNTY*</t>
  </si>
  <si>
    <t>Taylor County</t>
  </si>
  <si>
    <t>GRAFTON, CITY OF</t>
  </si>
  <si>
    <t>FLEMINGTON, TOWN OF</t>
  </si>
  <si>
    <t>TAYLOR COUNTY*</t>
  </si>
  <si>
    <t>Summers County</t>
  </si>
  <si>
    <t>HINTON, CITY OF</t>
  </si>
  <si>
    <t>SUMMERS COUNTY *</t>
  </si>
  <si>
    <t>Roane County</t>
  </si>
  <si>
    <t>SPENCER, CITY OF</t>
  </si>
  <si>
    <t>REEDY, TOWN OF</t>
  </si>
  <si>
    <t>ROANE COUNTY *</t>
  </si>
  <si>
    <t>Ritchie County</t>
  </si>
  <si>
    <t>PULLMAN, TOWN OF</t>
  </si>
  <si>
    <t>PENNSBORO, CITY OF</t>
  </si>
  <si>
    <t>HARRISVILLE, TOWN OF</t>
  </si>
  <si>
    <t>ELLENBORO, TOWN OF</t>
  </si>
  <si>
    <t>CAIRO, TOWN OF</t>
  </si>
  <si>
    <t>AUBURN, TOWN OF</t>
  </si>
  <si>
    <t>RITCHIE COUNTY *</t>
  </si>
  <si>
    <t>Randolph County</t>
  </si>
  <si>
    <t>WOMELSDORF (COALTON), TOWN OF</t>
  </si>
  <si>
    <t>MONTROSE, TOWN OF</t>
  </si>
  <si>
    <t>MILL CREEK, TOWN OF</t>
  </si>
  <si>
    <t>HUTTONSVILLE, TOWN OF</t>
  </si>
  <si>
    <t>HARMAN, TOWN OF</t>
  </si>
  <si>
    <t>ELKINS, CITY OF</t>
  </si>
  <si>
    <t>BEVERLY, TOWN OF</t>
  </si>
  <si>
    <t>RANDOLPH COUNTY *</t>
  </si>
  <si>
    <t>Raleigh County</t>
  </si>
  <si>
    <t>SOPHIA, TOWN OF</t>
  </si>
  <si>
    <t xml:space="preserve">RHODELL, TOWN OF </t>
  </si>
  <si>
    <t>MABSCOTT, TOWN OF</t>
  </si>
  <si>
    <t>LESTER, TOWN OF</t>
  </si>
  <si>
    <t>BECKLEY, CITY OF</t>
  </si>
  <si>
    <t>Active Flood Study (P)</t>
  </si>
  <si>
    <t>RALEIGH COUNTY *</t>
  </si>
  <si>
    <t>Putnam County</t>
  </si>
  <si>
    <t>WINFIELD, TOWN OF</t>
  </si>
  <si>
    <t>POCA, TOWN OF</t>
  </si>
  <si>
    <t>NITRO, CITY OF</t>
  </si>
  <si>
    <t>HURRICANE, CITY OF</t>
  </si>
  <si>
    <t>ELEANOR, TOWN OF</t>
  </si>
  <si>
    <t>BUFFALO, TOWN OF</t>
  </si>
  <si>
    <t>BANCROFT, TOWN OF</t>
  </si>
  <si>
    <t>PUTNAM COUNTY*</t>
  </si>
  <si>
    <t>Preston County</t>
  </si>
  <si>
    <t>TUNNELTON, TOWN OF</t>
  </si>
  <si>
    <t>TERRA ALTA, TOWN OF</t>
  </si>
  <si>
    <t>ROWLESBURG, TOWN OF</t>
  </si>
  <si>
    <t>REEDSVILLE, TOWN OF</t>
  </si>
  <si>
    <t>NEWBURG,TOWN OF</t>
  </si>
  <si>
    <t>MASONTOWN, TOWN OF</t>
  </si>
  <si>
    <t>KINGWOOD, CITY OF</t>
  </si>
  <si>
    <t>BRUCETON MILLS, TOWN OF</t>
  </si>
  <si>
    <t>ALBRIGHT,TOWN OF</t>
  </si>
  <si>
    <t>PRESTON COUNTY*</t>
  </si>
  <si>
    <t>Pocahontas County</t>
  </si>
  <si>
    <t>MARLINTON, TOWN OF</t>
  </si>
  <si>
    <t>DURBIN, TOWN OF</t>
  </si>
  <si>
    <t>POCAHONTAS COUNTY *</t>
  </si>
  <si>
    <t>Pleasants County</t>
  </si>
  <si>
    <t>ST. MARY'S, CITY OF</t>
  </si>
  <si>
    <t>BELMONT, CITY OF</t>
  </si>
  <si>
    <t>PLEASANTS COUNTY *</t>
  </si>
  <si>
    <t>Pendleton County</t>
  </si>
  <si>
    <t>FRANKLIN, TOWN OF</t>
  </si>
  <si>
    <t>PENDLETON COUNTY*</t>
  </si>
  <si>
    <t>Ohio County</t>
  </si>
  <si>
    <t>WHEELING, CITY OF</t>
  </si>
  <si>
    <t>WEST LIBERTY, TOWN OF</t>
  </si>
  <si>
    <t>VALLEY GROVE, TOWN OF</t>
  </si>
  <si>
    <t>TRIADELPHIA, TOWN OF</t>
  </si>
  <si>
    <t xml:space="preserve">CLEARVIEW, VILLAGE OF </t>
  </si>
  <si>
    <t>BETHLEHEM, VILLAGE OF</t>
  </si>
  <si>
    <t>OHIO COUNTY *</t>
  </si>
  <si>
    <t>Nicholas County</t>
  </si>
  <si>
    <t>SUMMERSVILLE, CITY OF</t>
  </si>
  <si>
    <t>RICHWOOD, CITY OF</t>
  </si>
  <si>
    <t>NICHOLAS COUNTY*</t>
  </si>
  <si>
    <t>Morgan County</t>
  </si>
  <si>
    <t>PAW PAW, TOWN OF</t>
  </si>
  <si>
    <t>BATH, TOWN OF (Berkeley Springs)</t>
  </si>
  <si>
    <t>MORGAN COUNTY*</t>
  </si>
  <si>
    <t>Monroe County</t>
  </si>
  <si>
    <t>UNION, TOWN OF</t>
  </si>
  <si>
    <t>PETERSTOWN, TOWN OF</t>
  </si>
  <si>
    <t>ALDERSON, TOWN OF (SPLIT)</t>
  </si>
  <si>
    <t>MONROE COUNTY *</t>
  </si>
  <si>
    <t>Monongalia County</t>
  </si>
  <si>
    <t>WESTOVER, CITY OF</t>
  </si>
  <si>
    <t>STAR CITY, TOWN OF</t>
  </si>
  <si>
    <t>MORGANTOWN, CITY OF</t>
  </si>
  <si>
    <t>GRANVILLE, TOWN OF</t>
  </si>
  <si>
    <t>BLACKSVILLE, CITY OF</t>
  </si>
  <si>
    <t>MONONGALIA COUNTY *</t>
  </si>
  <si>
    <t>Mingo County</t>
  </si>
  <si>
    <t>WILLIAMSON, CITY OF</t>
  </si>
  <si>
    <t>540138B</t>
  </si>
  <si>
    <t>MATEWAN, TOWN OF</t>
  </si>
  <si>
    <t>545538B</t>
  </si>
  <si>
    <t>KERMIT, TOWN OF</t>
  </si>
  <si>
    <t>540136B</t>
  </si>
  <si>
    <t>GILBERT, TOWN OF</t>
  </si>
  <si>
    <t>DELBARTON, TOWN OF</t>
  </si>
  <si>
    <t>MINGO COUNTY *</t>
  </si>
  <si>
    <t>Mineral County</t>
  </si>
  <si>
    <t>RIDGELEY, TOWN OF</t>
  </si>
  <si>
    <t>PIEDMONT, CITY OF</t>
  </si>
  <si>
    <t>KEYSER, CITY OF</t>
  </si>
  <si>
    <t>MINERAL COUNTY *</t>
  </si>
  <si>
    <t>Mercer County</t>
  </si>
  <si>
    <t>PRINCETON, CITY OF</t>
  </si>
  <si>
    <t>OAKVALE, TOWN OF</t>
  </si>
  <si>
    <t>ActiveFlood Study</t>
  </si>
  <si>
    <t>MATOAKA, TOWN OF (Dissolved)</t>
  </si>
  <si>
    <t>BRAMWELL, TOWN OF</t>
  </si>
  <si>
    <t>BLUEFIELD, CITY OF</t>
  </si>
  <si>
    <t>ATHENS, TOWN OF</t>
  </si>
  <si>
    <t>MERCER COUNTY*</t>
  </si>
  <si>
    <t>McDowell County</t>
  </si>
  <si>
    <t>WELCH, CITY OF</t>
  </si>
  <si>
    <t>WAR, TOWN OF</t>
  </si>
  <si>
    <t>NORTHFORK, TOWN OF</t>
  </si>
  <si>
    <t>KIMBALL, TOWN OF</t>
  </si>
  <si>
    <t>KEYSTONE, TOWN OF</t>
  </si>
  <si>
    <t>IAEGER, TOWN OF</t>
  </si>
  <si>
    <t>GARY, CITY OF</t>
  </si>
  <si>
    <t>DAVY, TOWN OF</t>
  </si>
  <si>
    <t>BRADSHAW, TOWN OF</t>
  </si>
  <si>
    <t>ANAWALT, TOWN OF</t>
  </si>
  <si>
    <t>MCDOWELL COUNTY *</t>
  </si>
  <si>
    <t>Mason County</t>
  </si>
  <si>
    <t>POINT PLEASANT, CITY OF</t>
  </si>
  <si>
    <t>NEW HAVEN, TOWN OF</t>
  </si>
  <si>
    <t>MASON, TOWN OF</t>
  </si>
  <si>
    <t>LEON, TOWN OF</t>
  </si>
  <si>
    <t>HENDERSON, TOWN OF</t>
  </si>
  <si>
    <t>HARTFORD, TOWN OF</t>
  </si>
  <si>
    <t>MASON COUNTY *</t>
  </si>
  <si>
    <t>Marshall County</t>
  </si>
  <si>
    <t>MOUNDSVILLE, CITY OF</t>
  </si>
  <si>
    <t>MCMECHEN, TOWN OF</t>
  </si>
  <si>
    <t>GLEN DALE, CITY OF</t>
  </si>
  <si>
    <t>CAMERON, CITY OF</t>
  </si>
  <si>
    <t>BENWOOD, CITY OF</t>
  </si>
  <si>
    <t>MARSHALL COUNTY *</t>
  </si>
  <si>
    <t>Marion County</t>
  </si>
  <si>
    <t>WORTHINGTON, TOWN OF</t>
  </si>
  <si>
    <t>RIVESVILLE, TOWN OF</t>
  </si>
  <si>
    <t>PLEASANT VALLEY, CITY OF</t>
  </si>
  <si>
    <t>MONONGAH, TOWN OF</t>
  </si>
  <si>
    <t>MANNINGTON, CITY OF</t>
  </si>
  <si>
    <t>GRANT,  TOWN OF</t>
  </si>
  <si>
    <t>FARMINGTON, TOWN OF</t>
  </si>
  <si>
    <t>FAIRVIEW, TOWN OF</t>
  </si>
  <si>
    <t>FAIRMONT,CITY OF</t>
  </si>
  <si>
    <t>540099B</t>
  </si>
  <si>
    <t>BARRACKVILLE, TOWN OF</t>
  </si>
  <si>
    <t>MARION COUNTY*</t>
  </si>
  <si>
    <t>Logan County</t>
  </si>
  <si>
    <t>WEST LOGAN, TOWN OF</t>
  </si>
  <si>
    <t>MITCHELL HEIGHTS, TOWN OF</t>
  </si>
  <si>
    <t>MAN, TOWN OF</t>
  </si>
  <si>
    <t>LOGAN, CITY OF</t>
  </si>
  <si>
    <t>CHAPMANVILLE, TOWN OF</t>
  </si>
  <si>
    <t>LOGAN COUNTY *</t>
  </si>
  <si>
    <t>Lincoln County</t>
  </si>
  <si>
    <t>WEST HAMLIN, TOWN OF</t>
  </si>
  <si>
    <t>HAMLIN, TOWN OF</t>
  </si>
  <si>
    <t>LINCOLN COUNTY*</t>
  </si>
  <si>
    <t>Lewis County</t>
  </si>
  <si>
    <t>WESTON, CITY OF</t>
  </si>
  <si>
    <t>JANE LEW, TOWN OF</t>
  </si>
  <si>
    <t>LEWIS COUNTY*</t>
  </si>
  <si>
    <t>Kanawha County</t>
  </si>
  <si>
    <t>ST. ALBANS, CITY OF</t>
  </si>
  <si>
    <t>SOUTH CHARLESTON, CITY OF</t>
  </si>
  <si>
    <t>PRATT, TOWN OF</t>
  </si>
  <si>
    <t>MONTGOMERY, CITY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</si>
  <si>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</si>
  <si>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</si>
  <si>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</si>
  <si>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</si>
  <si>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</si>
  <si>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</si>
  <si>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</si>
  <si>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</si>
  <si>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</si>
  <si>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</si>
  <si>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</si>
  <si>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Jefferson County</t>
  </si>
  <si>
    <t>SHEPHERDSTOWN, TOWN OF</t>
  </si>
  <si>
    <t>RANSON, CITY OF</t>
  </si>
  <si>
    <t>HARPERS FERRY, TOWN OF</t>
  </si>
  <si>
    <t>CHARLES TOWN, CITY OF</t>
  </si>
  <si>
    <t>BOLIVAR, TOWN OF</t>
  </si>
  <si>
    <t>JEFFERSON COUNTY *</t>
  </si>
  <si>
    <t>Jackson County</t>
  </si>
  <si>
    <t>RIPLEY, CITY OF</t>
  </si>
  <si>
    <t>RAVENSWOOD, CITY OF</t>
  </si>
  <si>
    <t>JACKSON COUNTY *</t>
  </si>
  <si>
    <t>Harrison County</t>
  </si>
  <si>
    <t>WEST MILFORD, TOWN OF</t>
  </si>
  <si>
    <t>STONEWOOD, CITY OF</t>
  </si>
  <si>
    <t>SHINNSTON, CITY OF</t>
  </si>
  <si>
    <t>SALEM, CITY OF</t>
  </si>
  <si>
    <t>NUTTER FORT, TOWN OF</t>
  </si>
  <si>
    <t>LUMBERPORT, TOWN OF</t>
  </si>
  <si>
    <t>LOST CREEK, TOWN OF</t>
  </si>
  <si>
    <t>CLARKSBURG, CITY OF</t>
  </si>
  <si>
    <t>BRIDGEPORT, CITY OF</t>
  </si>
  <si>
    <t>ANMOORE, TOWN OF</t>
  </si>
  <si>
    <t>HARRISON COUNTY*</t>
  </si>
  <si>
    <t>Hardy County</t>
  </si>
  <si>
    <t>WARDENSVILLE, TOWN OF</t>
  </si>
  <si>
    <t>MOOREFIELD, TOWN OF</t>
  </si>
  <si>
    <t>HARDY COUNTY *</t>
  </si>
  <si>
    <t>Hancock County</t>
  </si>
  <si>
    <t>NEW CUMBERLAND, CITY OF</t>
  </si>
  <si>
    <t>CHESTER, CITY OF</t>
  </si>
  <si>
    <t>HANCOCK COUNTY *</t>
  </si>
  <si>
    <t>Hampshire County</t>
  </si>
  <si>
    <t>ROMNEY, TOWN OF</t>
  </si>
  <si>
    <t>CAPON BRIDGE TOWN</t>
  </si>
  <si>
    <t>HAMPSHIRE COUNTY*</t>
  </si>
  <si>
    <t>Greenbrier County</t>
  </si>
  <si>
    <t>WHITE SULPHUR SPRINGS, CITY OF</t>
  </si>
  <si>
    <t>RUPERT, TOWN OF</t>
  </si>
  <si>
    <t>RONCEVERTE, CITY OF</t>
  </si>
  <si>
    <t>RAINELLE, TOWN OF</t>
  </si>
  <si>
    <t>QUINWOOD, TOWN OF</t>
  </si>
  <si>
    <t>LEWISBURG, CITY OF</t>
  </si>
  <si>
    <t>FALLING SPRINGS CORPORATION, CITY OF (Renick)</t>
  </si>
  <si>
    <t>GREENBRIER COUNTY*</t>
  </si>
  <si>
    <t>Grant County</t>
  </si>
  <si>
    <t>PETERSBURG, CITYOF</t>
  </si>
  <si>
    <t>BAYARD, TOWN OF</t>
  </si>
  <si>
    <t>540240B</t>
  </si>
  <si>
    <t>GRANT COUNTY*</t>
  </si>
  <si>
    <t>Gilmer County</t>
  </si>
  <si>
    <t>SAND FORK, TOWN OF (Layopolis)</t>
  </si>
  <si>
    <t>GLENVILLE, CITY OF</t>
  </si>
  <si>
    <t>GILMER COUNTY *</t>
  </si>
  <si>
    <t>Fayette County</t>
  </si>
  <si>
    <t>SMITHERS, TOWN OF (SPLIT)</t>
  </si>
  <si>
    <t>PAX, TOWN OF</t>
  </si>
  <si>
    <t>OAK HILL, CITY OF</t>
  </si>
  <si>
    <t>MOUNT HOPE, CITY OF</t>
  </si>
  <si>
    <t>MONTGOMERY, CITY OF (SPLIT)</t>
  </si>
  <si>
    <t>MEADOW BRIDGE, TOWN OF</t>
  </si>
  <si>
    <t>GAULEY BRIDGE, TOWN OF</t>
  </si>
  <si>
    <t>FAYETTEVILLE, TOWN OF</t>
  </si>
  <si>
    <t>ANSTED, TOWN OF</t>
  </si>
  <si>
    <t>FAYETTE COUNTY*</t>
  </si>
  <si>
    <t>Doddridge County</t>
  </si>
  <si>
    <t>WEST UNION, TOWN OF</t>
  </si>
  <si>
    <t>DODDRIDGE COUNTY *</t>
  </si>
  <si>
    <t xml:space="preserve">Clay County </t>
  </si>
  <si>
    <t>CLAY, TOWN OF</t>
  </si>
  <si>
    <t>CLAY COUNTY *</t>
  </si>
  <si>
    <t>Calhoun County</t>
  </si>
  <si>
    <t>GRANTSVILLE, TOWN OF</t>
  </si>
  <si>
    <t>CALHOUN COUNTY *</t>
  </si>
  <si>
    <t>Cabell County</t>
  </si>
  <si>
    <t>MILTON, CITY OF</t>
  </si>
  <si>
    <t>BARBOURSVILLE, VILLAGE OF</t>
  </si>
  <si>
    <t>CABELL COUNTY*</t>
  </si>
  <si>
    <t>Brooke County</t>
  </si>
  <si>
    <t>WELLSBURG, CITY OF</t>
  </si>
  <si>
    <t>WEIRTON, CITY OF</t>
  </si>
  <si>
    <t>FOLLANSBEE, CITY OF</t>
  </si>
  <si>
    <t>BETHANY, TOWN OF</t>
  </si>
  <si>
    <t>BEECH BOTTOM, VILLAGE OF</t>
  </si>
  <si>
    <t>BROOKE COUNTY *</t>
  </si>
  <si>
    <t>Braxton County</t>
  </si>
  <si>
    <t>SUTTON, TOWN OF</t>
  </si>
  <si>
    <t>GASSAWAY, TOWN OF</t>
  </si>
  <si>
    <t>FLATWOODS, TOWN OF</t>
  </si>
  <si>
    <t>BURNSVILLE, TOWN OF</t>
  </si>
  <si>
    <t>BRAXTON COUNTY *</t>
  </si>
  <si>
    <t>Boone County</t>
  </si>
  <si>
    <t>WHITESVILLE, TOWN OF</t>
  </si>
  <si>
    <t>SYLVESTER, TOWN OF</t>
  </si>
  <si>
    <t>MADISON, TOWN OF</t>
  </si>
  <si>
    <t>DANVILLE, TOWN OF</t>
  </si>
  <si>
    <t>BOONE COUNTY *</t>
  </si>
  <si>
    <t>Berkeley County</t>
  </si>
  <si>
    <t>MARTINSBURG, CITY OF</t>
  </si>
  <si>
    <t>BERKELEY COUNTY *</t>
  </si>
  <si>
    <t>Barbour County</t>
  </si>
  <si>
    <t>PHILIPPI, CITY OF</t>
  </si>
  <si>
    <t>JUNIOR, TOWN OF</t>
  </si>
  <si>
    <t>BELINGTON, TOWN OF</t>
  </si>
  <si>
    <t>BARBOUR COUNTY*</t>
  </si>
  <si>
    <t>Drainage Area Resolution</t>
  </si>
  <si>
    <t xml:space="preserve">Flood Studies </t>
  </si>
  <si>
    <t>Freeboard (ft.)</t>
  </si>
  <si>
    <t>Reg-Emer Date</t>
  </si>
  <si>
    <t>Curr Eff Map Date</t>
  </si>
  <si>
    <t>Init FIRM Identified</t>
  </si>
  <si>
    <t>Init FHBM Identified</t>
  </si>
  <si>
    <t>PDC</t>
  </si>
  <si>
    <t>P = Partial</t>
  </si>
  <si>
    <t>PRE-FIRM / POST-FIRM DIVIDING LINE</t>
  </si>
  <si>
    <t>Community Status Book Report (Fall 2019)</t>
  </si>
  <si>
    <t>Post-FIRM Initial Effective Date, Freeboard, Active/Planned Flood Studies</t>
  </si>
  <si>
    <t>Pineville, City Of</t>
  </si>
  <si>
    <t>Oceana, Town Of</t>
  </si>
  <si>
    <t>Mullens, City Of</t>
  </si>
  <si>
    <t>Wyoming County *</t>
  </si>
  <si>
    <t>Williamstown, City Of</t>
  </si>
  <si>
    <t>Vienna, City Of</t>
  </si>
  <si>
    <t>Parkersburg, City Of</t>
  </si>
  <si>
    <t>Wood County *</t>
  </si>
  <si>
    <t>Elizabeth, Town Of</t>
  </si>
  <si>
    <t>Paden City, City Of</t>
  </si>
  <si>
    <t>Smithfield, Town Of</t>
  </si>
  <si>
    <t>Pine Grove, Town Of</t>
  </si>
  <si>
    <t>New Martinsville, City Of</t>
  </si>
  <si>
    <t>Hundred, Town Of</t>
  </si>
  <si>
    <t>Wetzel County *</t>
  </si>
  <si>
    <t>Cowen, Town Of</t>
  </si>
  <si>
    <t>Camden-On-Gauley, Town Of</t>
  </si>
  <si>
    <t>Webster County *</t>
  </si>
  <si>
    <t>Huntington, City Of</t>
  </si>
  <si>
    <t>Wayne, Town Of</t>
  </si>
  <si>
    <t>Kenova, City Of</t>
  </si>
  <si>
    <t>Fort Gay, Town Of</t>
  </si>
  <si>
    <t>Ceredo, Town Of</t>
  </si>
  <si>
    <t>Buckhannon, City Of</t>
  </si>
  <si>
    <t>Sistersville, City Of</t>
  </si>
  <si>
    <t>Middlebourne, Town Of</t>
  </si>
  <si>
    <t>Friendly, Town Of</t>
  </si>
  <si>
    <t>Tyler County *</t>
  </si>
  <si>
    <t>Thomas, City Of</t>
  </si>
  <si>
    <t>Parsons, City Of</t>
  </si>
  <si>
    <t>Hendricks,Town Of</t>
  </si>
  <si>
    <t>Hambleton, Town Of</t>
  </si>
  <si>
    <t>Davis, Town Of</t>
  </si>
  <si>
    <t>Grafton, City Of</t>
  </si>
  <si>
    <t>Flemington, Town Of</t>
  </si>
  <si>
    <t>Hinton, City Of</t>
  </si>
  <si>
    <t>Summers County *</t>
  </si>
  <si>
    <t>Spencer, City Of</t>
  </si>
  <si>
    <t>Reedy, Town Of</t>
  </si>
  <si>
    <t>Roane County *</t>
  </si>
  <si>
    <t>Pullman, Town Of</t>
  </si>
  <si>
    <t>Pennsboro, City Of</t>
  </si>
  <si>
    <t>Harrisville, Town Of</t>
  </si>
  <si>
    <t>Ellenboro, Town Of</t>
  </si>
  <si>
    <t>Cairo, Town Of</t>
  </si>
  <si>
    <t>Auburn, Town Of</t>
  </si>
  <si>
    <t>Ritchie County *</t>
  </si>
  <si>
    <t>Womelsdorf (Coalton), Town Of</t>
  </si>
  <si>
    <t>Montrose, Town Of</t>
  </si>
  <si>
    <t>Mill Creek, Town Of</t>
  </si>
  <si>
    <t>Huttonsville, Town Of</t>
  </si>
  <si>
    <t>Harman, Town Of</t>
  </si>
  <si>
    <t>Elkins, City Of</t>
  </si>
  <si>
    <t>Beverly, Town Of</t>
  </si>
  <si>
    <t>Randolph County *</t>
  </si>
  <si>
    <t>Sophia, Town Of</t>
  </si>
  <si>
    <t>Rhodell, Town Of</t>
  </si>
  <si>
    <t>RHODELL, TOWN OF</t>
  </si>
  <si>
    <t>Mabscott, Town Of</t>
  </si>
  <si>
    <t>Lester, Town Of</t>
  </si>
  <si>
    <t>Beckley, City Of</t>
  </si>
  <si>
    <t>Raleigh County *</t>
  </si>
  <si>
    <t>Nitro, City Of</t>
  </si>
  <si>
    <t>Winfield, Town Of</t>
  </si>
  <si>
    <t>Poca, Town Of</t>
  </si>
  <si>
    <t>Hurricane, City Of</t>
  </si>
  <si>
    <t>Eleanor, Town Of</t>
  </si>
  <si>
    <t>Buffalo, Town Of</t>
  </si>
  <si>
    <t>Bancroft, Town Of</t>
  </si>
  <si>
    <t>Tunnelton, Town Of</t>
  </si>
  <si>
    <t>Terra Alta, Town Of</t>
  </si>
  <si>
    <t>Rowlesburg, Town Of</t>
  </si>
  <si>
    <t>Reedsville, Town Of</t>
  </si>
  <si>
    <t>Newburg,Town Of</t>
  </si>
  <si>
    <t>Masontown, Town Of</t>
  </si>
  <si>
    <t>Kingwood, City Of</t>
  </si>
  <si>
    <t>Bruceton Mills, Town Of</t>
  </si>
  <si>
    <t>Albright,Town Of</t>
  </si>
  <si>
    <t>Marlinton, Town Of</t>
  </si>
  <si>
    <t>Durbin, Town Of</t>
  </si>
  <si>
    <t>Pocahontas County *</t>
  </si>
  <si>
    <t>St. Mary'S, City Of</t>
  </si>
  <si>
    <t>Belmont, City Of</t>
  </si>
  <si>
    <t>Pleasants County *</t>
  </si>
  <si>
    <t>Franklin, Town Of</t>
  </si>
  <si>
    <t>Wheeling, City Of</t>
  </si>
  <si>
    <t>West Liberty, Town Of</t>
  </si>
  <si>
    <t>Valley Grove, Town Of</t>
  </si>
  <si>
    <t>Triadelphia, Town Of</t>
  </si>
  <si>
    <t xml:space="preserve">Clearview, Village Of </t>
  </si>
  <si>
    <t>Bethlehem, Village Of</t>
  </si>
  <si>
    <t>Ohio County *</t>
  </si>
  <si>
    <t>Summersville, City Of</t>
  </si>
  <si>
    <t>Richwood, City Of</t>
  </si>
  <si>
    <t>Paw Paw, Town Of</t>
  </si>
  <si>
    <t>Bath, Town Of (Berkeley Springs)</t>
  </si>
  <si>
    <t>Alderson, Town Of</t>
  </si>
  <si>
    <t>ALDERSON, TOWN OF</t>
  </si>
  <si>
    <t>Union, Town Of</t>
  </si>
  <si>
    <t>Peterstown, Town Of</t>
  </si>
  <si>
    <t>Monroe County *</t>
  </si>
  <si>
    <t>Westover, City Of</t>
  </si>
  <si>
    <t>Star City, Town Of</t>
  </si>
  <si>
    <t>Morgantown, City Of</t>
  </si>
  <si>
    <t>Granville, Town Of</t>
  </si>
  <si>
    <t>Blacksville, City Of</t>
  </si>
  <si>
    <t>Monongalia County *</t>
  </si>
  <si>
    <t>Williamson, City Of</t>
  </si>
  <si>
    <t>Matewan, Town Of</t>
  </si>
  <si>
    <t>Kermit, Town Of</t>
  </si>
  <si>
    <t>Gilbert, Town Of</t>
  </si>
  <si>
    <t>Delbarton, Town Of</t>
  </si>
  <si>
    <t>Mingo County *</t>
  </si>
  <si>
    <t>Ridgeley, Town Of</t>
  </si>
  <si>
    <t>Piedmont, City Of</t>
  </si>
  <si>
    <t>Keyser, City Of</t>
  </si>
  <si>
    <t>Mineral County *</t>
  </si>
  <si>
    <t>Princeton, City Of</t>
  </si>
  <si>
    <t>Oakvale, Town Of</t>
  </si>
  <si>
    <t>Matoaka, Town Of</t>
  </si>
  <si>
    <t>MATOAKA, TOWN OF</t>
  </si>
  <si>
    <t>Bramwell, Town Of</t>
  </si>
  <si>
    <t>Bluefield, City Of</t>
  </si>
  <si>
    <t>Athens, Town of</t>
  </si>
  <si>
    <t>Welch, City Of</t>
  </si>
  <si>
    <t>War, Town Of</t>
  </si>
  <si>
    <t>Northfork, Town Of</t>
  </si>
  <si>
    <t>Kimball, Town Of</t>
  </si>
  <si>
    <t>Keystone, Town Of</t>
  </si>
  <si>
    <t>Iaeger, Town Of</t>
  </si>
  <si>
    <t>Gary, City Of</t>
  </si>
  <si>
    <t>Davy, Town Of</t>
  </si>
  <si>
    <t>Bradshaw, Town Of</t>
  </si>
  <si>
    <t>Anawalt, Town Of</t>
  </si>
  <si>
    <t>Mcdowell County *</t>
  </si>
  <si>
    <t>Point Pleasant, City Of</t>
  </si>
  <si>
    <t>New Haven, Town Of</t>
  </si>
  <si>
    <t>Mason, Town Of</t>
  </si>
  <si>
    <t>Leon, Town Of</t>
  </si>
  <si>
    <t>Henderson, Town Of</t>
  </si>
  <si>
    <t>Hartford, Town Of</t>
  </si>
  <si>
    <t>Mason County *</t>
  </si>
  <si>
    <t>Moundsville, City Of</t>
  </si>
  <si>
    <t>Mcmechen, Town Of</t>
  </si>
  <si>
    <t>Glen Dale, City Of</t>
  </si>
  <si>
    <t>Cameron, City Of</t>
  </si>
  <si>
    <t>Benwood, City Of</t>
  </si>
  <si>
    <t>Marshall County *</t>
  </si>
  <si>
    <t>Worthington, Town Of</t>
  </si>
  <si>
    <t>Rivesville, Town Of</t>
  </si>
  <si>
    <t>Pleasant Valley, City Of</t>
  </si>
  <si>
    <t>Monongah, Town Of</t>
  </si>
  <si>
    <t>Mannington, City Of</t>
  </si>
  <si>
    <t>Grant,  Town Of</t>
  </si>
  <si>
    <t>Farmington, Town Of</t>
  </si>
  <si>
    <t>Fairview, Town Of</t>
  </si>
  <si>
    <t>Fairmont,City Of</t>
  </si>
  <si>
    <t>Barrackville, Town Of</t>
  </si>
  <si>
    <t>West Logan, Town Of</t>
  </si>
  <si>
    <t>Mitchell Heights, Town Of</t>
  </si>
  <si>
    <t>Man, Town Of</t>
  </si>
  <si>
    <t>Logan, City Of</t>
  </si>
  <si>
    <t>Chapmanville, Town Of</t>
  </si>
  <si>
    <t>Logan County *</t>
  </si>
  <si>
    <t>West Hamlin, Town Of</t>
  </si>
  <si>
    <t>Hamlin, Town Of</t>
  </si>
  <si>
    <t>Weston, City Of</t>
  </si>
  <si>
    <t>Jane Lew, Town Of</t>
  </si>
  <si>
    <t>Montgomery, City Of</t>
  </si>
  <si>
    <t>St. Albans, City Of</t>
  </si>
  <si>
    <t>South Charleston, City Of</t>
  </si>
  <si>
    <t>Pratt, Town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</si>
  <si>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</si>
  <si>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</si>
  <si>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</si>
  <si>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</si>
  <si>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</si>
  <si>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</si>
  <si>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</si>
  <si>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</si>
  <si>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</si>
  <si>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</si>
  <si>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</si>
  <si>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Shepherdstown, Town Of</t>
  </si>
  <si>
    <t>Ranson, City Of</t>
  </si>
  <si>
    <t>Harpers Ferry, Town Of</t>
  </si>
  <si>
    <t>Charles Town, City Of</t>
  </si>
  <si>
    <t>Bolivar, Town Of</t>
  </si>
  <si>
    <t>Jefferson County *</t>
  </si>
  <si>
    <t>Ripley, City Of</t>
  </si>
  <si>
    <t>Ravenswood, City Of</t>
  </si>
  <si>
    <t>Jackson County *</t>
  </si>
  <si>
    <t>West Milford, Town Of</t>
  </si>
  <si>
    <t>Stonewood, City Of</t>
  </si>
  <si>
    <t>Shinnston, City Of</t>
  </si>
  <si>
    <t>Salem, City Of</t>
  </si>
  <si>
    <t>Nutter Fort, Town Of</t>
  </si>
  <si>
    <t>Lumberport, Town Of</t>
  </si>
  <si>
    <t>Lost Creek, Town Of</t>
  </si>
  <si>
    <t>Clarksburg, City Of</t>
  </si>
  <si>
    <t>Bridgeport, City Of</t>
  </si>
  <si>
    <t>Anmoore, Town Of</t>
  </si>
  <si>
    <t>Wardensville, Town Of</t>
  </si>
  <si>
    <t>Moorefield, Town Of</t>
  </si>
  <si>
    <t>Hardy County *</t>
  </si>
  <si>
    <t>New Cumberland, City Of</t>
  </si>
  <si>
    <t>Chester, City Of</t>
  </si>
  <si>
    <t>Hancock County *</t>
  </si>
  <si>
    <t>Romney, Town Of</t>
  </si>
  <si>
    <t>Capon Bridge Town</t>
  </si>
  <si>
    <t>White Sulphur Springs, City Of</t>
  </si>
  <si>
    <t>Rupert, Town Of</t>
  </si>
  <si>
    <t>Ronceverte, City Of</t>
  </si>
  <si>
    <t>Rainelle, Town Of</t>
  </si>
  <si>
    <t>Quinwood, Town Of</t>
  </si>
  <si>
    <t>Lewisburg, City Of</t>
  </si>
  <si>
    <t>Falling Springs Corporation, City Of (Renick)</t>
  </si>
  <si>
    <t>Petersburg, Cityof</t>
  </si>
  <si>
    <t>Bayard, Town Of</t>
  </si>
  <si>
    <t>Sand Fork, Town Of (Layopolis)</t>
  </si>
  <si>
    <t>Glenville, City Of</t>
  </si>
  <si>
    <t>Gilmer County *</t>
  </si>
  <si>
    <t>Smithers, Town Of</t>
  </si>
  <si>
    <t>SMITHERS, TOWN OF</t>
  </si>
  <si>
    <t>Pax, Town Of</t>
  </si>
  <si>
    <t>Oak Hill, City Of</t>
  </si>
  <si>
    <t>Mount Hope, City Of</t>
  </si>
  <si>
    <t>Meadow Bridge, Town Of</t>
  </si>
  <si>
    <t>Gauley Bridge, Town Of</t>
  </si>
  <si>
    <t>Fayetteville, Town Of</t>
  </si>
  <si>
    <t>Ansted, Town Of</t>
  </si>
  <si>
    <t>West Union, Town Of</t>
  </si>
  <si>
    <t>Doddridge County *</t>
  </si>
  <si>
    <t>Clay, Town Of</t>
  </si>
  <si>
    <t>Clay County *</t>
  </si>
  <si>
    <t>Grantsville, Town Of</t>
  </si>
  <si>
    <t>Calhoun County *</t>
  </si>
  <si>
    <t>Milton, City Of</t>
  </si>
  <si>
    <t>Barboursville, Village Of</t>
  </si>
  <si>
    <t>Weirton, City Of</t>
  </si>
  <si>
    <t>Wellsburg, City Of</t>
  </si>
  <si>
    <t>Follansbee, City Of</t>
  </si>
  <si>
    <t>Bethany, Town Of</t>
  </si>
  <si>
    <t>Beech Bottom, Village Of</t>
  </si>
  <si>
    <t>Brooke County *</t>
  </si>
  <si>
    <t>Sutton, Town Of</t>
  </si>
  <si>
    <t>Gassaway, Town Of</t>
  </si>
  <si>
    <t>Flatwoods, Town Of</t>
  </si>
  <si>
    <t>Burnsville, Town Of</t>
  </si>
  <si>
    <t>Braxton County *</t>
  </si>
  <si>
    <t>Whitesville, Town Of</t>
  </si>
  <si>
    <t>Sylvester, Town Of</t>
  </si>
  <si>
    <t>Madison, Town Of</t>
  </si>
  <si>
    <t>Danville, Town Of</t>
  </si>
  <si>
    <t>Boone County *</t>
  </si>
  <si>
    <t>Martinsburg, City Of</t>
  </si>
  <si>
    <t>Berkeley County *</t>
  </si>
  <si>
    <t>Philippi, City Of</t>
  </si>
  <si>
    <t>Junior, Town Of</t>
  </si>
  <si>
    <t>Belington, Town Of</t>
  </si>
  <si>
    <t>PRE-FIRM / POST-FIRM DIVIDING LINE DATE</t>
  </si>
  <si>
    <t>Unincorporated / Incorporated</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</si>
  <si>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</si>
  <si>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t>Total Communities (Active and Planned Studies - 33%)</t>
  </si>
  <si>
    <t>total planned studies</t>
  </si>
  <si>
    <r>
      <t>Planned Flood Study (</t>
    </r>
    <r>
      <rPr>
        <b/>
        <sz val="11"/>
        <color theme="1"/>
        <rFont val="Calibri"/>
        <family val="2"/>
        <scheme val="minor"/>
      </rPr>
      <t>P</t>
    </r>
    <r>
      <rPr>
        <sz val="11"/>
        <color theme="1"/>
        <rFont val="Calibri"/>
        <family val="2"/>
        <scheme val="minor"/>
      </rPr>
      <t>artial community coverage)</t>
    </r>
  </si>
  <si>
    <t>Planned Flood Study</t>
  </si>
  <si>
    <t>total active studies</t>
  </si>
  <si>
    <r>
      <t>2016 Flood Study (</t>
    </r>
    <r>
      <rPr>
        <b/>
        <sz val="11"/>
        <color theme="1"/>
        <rFont val="Calibri"/>
        <family val="2"/>
        <scheme val="minor"/>
      </rPr>
      <t>P</t>
    </r>
    <r>
      <rPr>
        <sz val="11"/>
        <color theme="1"/>
        <rFont val="Calibri"/>
        <family val="2"/>
        <scheme val="minor"/>
      </rPr>
      <t>artial community coverage)</t>
    </r>
  </si>
  <si>
    <t>Countwide Flood Study</t>
  </si>
  <si>
    <t>Flood Study Status</t>
  </si>
  <si>
    <t>#</t>
  </si>
  <si>
    <t>Flood Study Status (table needs updated)</t>
  </si>
  <si>
    <t>Page 3.25</t>
  </si>
  <si>
    <t>Source Publication: Multi-hazard Loss Estimation Methodology: Flood Model HAZUS-MH MR3 Technical</t>
  </si>
  <si>
    <t>https://www.hsdl.org/?abstract&amp;did=480580</t>
  </si>
  <si>
    <t>https://www.hsdl.org/?view&amp;did=480580</t>
  </si>
  <si>
    <t>Hazus Foundation Types</t>
  </si>
  <si>
    <t>* Unincorporated</t>
  </si>
  <si>
    <t>State Statistics</t>
  </si>
  <si>
    <t>** Split Community</t>
  </si>
  <si>
    <t xml:space="preserve">Parts of Huntington in each county represented separately above, here's the average &amp; median values for the entire city: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</si>
</sst>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K"/>
    <numFmt numFmtId="165" formatCode="yyyy\-mm\-dd;@"/>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9"/>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1"/>
      <color theme="1"/>
      <name val="Calibri"/>
      <family val="2"/>
    </font>
    <font>
      <i/>
      <sz val="11"/>
      <color rgb="FF000000"/>
      <name val="Calibri"/>
      <family val="2"/>
    </font>
    <font>
      <b/>
      <i/>
      <sz val="11"/>
      <color rgb="FF000000"/>
      <name val="Calibri"/>
      <family val="2"/>
    </font>
    <font>
      <u/>
      <sz val="11"/>
      <color rgb="FF000000"/>
      <name val="Calibri"/>
      <family val="2"/>
    </font>
    <font>
      <sz val="11"/>
      <color rgb="FFFF0000"/>
      <name val="Calibri"/>
      <family val="2"/>
    </font>
    <font>
      <b/>
      <sz val="11"/>
      <color rgb="FF000000"/>
      <name val="Calibri"/>
      <family val="2"/>
    </font>
    <font>
      <sz val="11"/>
      <color rgb="FFEA04DA"/>
      <name val="Calibri"/>
      <family val="2"/>
    </font>
    <font>
      <b/>
      <sz val="11"/>
      <color rgb="FFFF0000"/>
      <name val="Calibri"/>
      <family val="2"/>
    </font>
    <font>
      <b/>
      <sz val="9"/>
      <name val="Arial"/>
      <family val="2"/>
    </font>
    <font>
      <i/>
      <sz val="11"/>
      <color theme="1"/>
      <name val="Calibri"/>
      <family val="2"/>
      <scheme val="minor"/>
    </font>
    <font>
      <u/>
      <sz val="11"/>
      <color theme="1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2CC"/>
        <bgColor rgb="FF000000"/>
      </patternFill>
    </fill>
    <fill>
      <patternFill patternType="solid">
        <fgColor rgb="FFFFE699"/>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5" tint="0.59999389629810485"/>
        <bgColor indexed="64"/>
      </patternFill>
    </fill>
    <fill>
      <patternFill patternType="solid">
        <fgColor rgb="FF36609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0" fontId="21" fillId="0" borderId="0" applyNumberFormat="0" applyFill="0" applyBorder="0" applyAlignment="0" applyProtection="0"/>
  </cellStyleXfs>
  <cellXfs count="199">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164" fontId="4" fillId="0" borderId="0" xfId="0" applyNumberFormat="1" applyFont="1" applyAlignment="1">
      <alignment horizontal="center"/>
    </xf>
    <xf numFmtId="9" fontId="4" fillId="0" borderId="0" xfId="1" applyFont="1" applyAlignment="1">
      <alignment horizontal="center"/>
    </xf>
    <xf numFmtId="164" fontId="5" fillId="2" borderId="0" xfId="0" applyNumberFormat="1" applyFont="1" applyFill="1" applyAlignment="1">
      <alignment horizontal="center"/>
    </xf>
    <xf numFmtId="9" fontId="5" fillId="2" borderId="0" xfId="1" applyFont="1" applyFill="1" applyAlignment="1">
      <alignment horizontal="center"/>
    </xf>
    <xf numFmtId="0" fontId="5" fillId="2" borderId="0" xfId="0" applyFont="1" applyFill="1" applyAlignment="1">
      <alignment horizontal="center"/>
    </xf>
    <xf numFmtId="0" fontId="5" fillId="2" borderId="0" xfId="0" applyFont="1" applyFill="1"/>
    <xf numFmtId="0" fontId="4" fillId="3" borderId="1" xfId="0" applyFont="1" applyFill="1" applyBorder="1" applyAlignment="1">
      <alignment horizontal="center"/>
    </xf>
    <xf numFmtId="164" fontId="4" fillId="3" borderId="1" xfId="0" applyNumberFormat="1" applyFont="1" applyFill="1" applyBorder="1" applyAlignment="1">
      <alignment horizontal="center"/>
    </xf>
    <xf numFmtId="9" fontId="4" fillId="3" borderId="1" xfId="1" applyFont="1" applyFill="1" applyBorder="1" applyAlignment="1">
      <alignment horizontal="center"/>
    </xf>
    <xf numFmtId="0" fontId="4" fillId="3" borderId="1" xfId="0" applyFont="1" applyFill="1" applyBorder="1"/>
    <xf numFmtId="0" fontId="4" fillId="0" borderId="1" xfId="0" applyFont="1" applyFill="1" applyBorder="1" applyAlignment="1">
      <alignment horizontal="center"/>
    </xf>
    <xf numFmtId="164" fontId="4" fillId="0" borderId="1" xfId="0" applyNumberFormat="1" applyFont="1" applyFill="1" applyBorder="1" applyAlignment="1">
      <alignment horizontal="center"/>
    </xf>
    <xf numFmtId="9" fontId="4" fillId="0" borderId="1" xfId="1" applyFont="1" applyFill="1" applyBorder="1" applyAlignment="1">
      <alignment horizontal="center"/>
    </xf>
    <xf numFmtId="0" fontId="4" fillId="0" borderId="1" xfId="0" applyFont="1" applyFill="1" applyBorder="1"/>
    <xf numFmtId="0" fontId="4" fillId="0" borderId="1" xfId="0" applyFont="1" applyFill="1" applyBorder="1" applyAlignment="1">
      <alignment horizontal="left"/>
    </xf>
    <xf numFmtId="0" fontId="4" fillId="5" borderId="1" xfId="0" applyFont="1" applyFill="1" applyBorder="1" applyAlignment="1">
      <alignment horizontal="center"/>
    </xf>
    <xf numFmtId="164" fontId="4" fillId="5" borderId="1" xfId="0" applyNumberFormat="1" applyFont="1" applyFill="1" applyBorder="1" applyAlignment="1">
      <alignment horizontal="center"/>
    </xf>
    <xf numFmtId="9" fontId="4" fillId="5" borderId="1" xfId="1" applyFont="1" applyFill="1" applyBorder="1" applyAlignment="1">
      <alignment horizontal="center"/>
    </xf>
    <xf numFmtId="0" fontId="4" fillId="5" borderId="1" xfId="0" applyFont="1" applyFill="1" applyBorder="1"/>
    <xf numFmtId="164" fontId="4" fillId="0" borderId="1" xfId="0" applyNumberFormat="1" applyFont="1" applyBorder="1" applyAlignment="1">
      <alignment horizontal="center"/>
    </xf>
    <xf numFmtId="9" fontId="4" fillId="0" borderId="1" xfId="1"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0" xfId="0" applyFont="1" applyAlignment="1">
      <alignment wrapText="1"/>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9" fontId="4" fillId="7" borderId="2" xfId="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9" fontId="4" fillId="9" borderId="2" xfId="1" applyFont="1" applyFill="1" applyBorder="1" applyAlignment="1">
      <alignment horizontal="center" vertical="center" wrapText="1"/>
    </xf>
    <xf numFmtId="9" fontId="4" fillId="9" borderId="3" xfId="1" applyFont="1" applyFill="1" applyBorder="1" applyAlignment="1">
      <alignment horizontal="center" vertical="center" wrapText="1"/>
    </xf>
    <xf numFmtId="9" fontId="7" fillId="9" borderId="2" xfId="1" applyFont="1" applyFill="1" applyBorder="1" applyAlignment="1">
      <alignment horizontal="center" vertical="center" wrapText="1"/>
    </xf>
    <xf numFmtId="9" fontId="7" fillId="9" borderId="4" xfId="1"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4" fillId="0" borderId="0" xfId="0" applyNumberFormat="1" applyFont="1" applyAlignment="1">
      <alignment horizontal="center"/>
    </xf>
    <xf numFmtId="14" fontId="4" fillId="0" borderId="0" xfId="0" applyNumberFormat="1" applyFont="1" applyAlignment="1">
      <alignment horizontal="left"/>
    </xf>
    <xf numFmtId="9" fontId="0" fillId="3" borderId="0" xfId="1" applyFont="1" applyFill="1" applyAlignment="1">
      <alignment horizontal="center"/>
    </xf>
    <xf numFmtId="9" fontId="4" fillId="3" borderId="0" xfId="1" applyFont="1" applyFill="1" applyAlignment="1">
      <alignment horizontal="left"/>
    </xf>
    <xf numFmtId="164" fontId="4" fillId="5" borderId="0" xfId="0" applyNumberFormat="1" applyFont="1" applyFill="1" applyAlignment="1">
      <alignment horizontal="center"/>
    </xf>
    <xf numFmtId="164" fontId="4" fillId="4" borderId="0" xfId="0" applyNumberFormat="1" applyFont="1" applyFill="1" applyAlignment="1">
      <alignment horizontal="center"/>
    </xf>
    <xf numFmtId="0" fontId="3" fillId="0" borderId="0" xfId="0" applyFont="1" applyAlignment="1">
      <alignment horizontal="left"/>
    </xf>
    <xf numFmtId="0" fontId="0" fillId="0" borderId="0" xfId="0" applyAlignment="1">
      <alignment wrapText="1"/>
    </xf>
    <xf numFmtId="164" fontId="4" fillId="7" borderId="1" xfId="0" applyNumberFormat="1" applyFont="1" applyFill="1" applyBorder="1" applyAlignment="1">
      <alignment horizontal="left" wrapText="1"/>
    </xf>
    <xf numFmtId="9" fontId="4" fillId="7" borderId="1" xfId="1" applyFont="1" applyFill="1" applyBorder="1" applyAlignment="1">
      <alignment horizontal="left" wrapText="1"/>
    </xf>
    <xf numFmtId="0" fontId="4" fillId="7" borderId="1" xfId="0" applyFont="1" applyFill="1" applyBorder="1" applyAlignment="1">
      <alignment wrapText="1"/>
    </xf>
    <xf numFmtId="0" fontId="4" fillId="7" borderId="1" xfId="0" applyFont="1" applyFill="1" applyBorder="1" applyAlignment="1">
      <alignment horizontal="left" wrapText="1"/>
    </xf>
    <xf numFmtId="0" fontId="5" fillId="7" borderId="1" xfId="0" applyFont="1" applyFill="1" applyBorder="1" applyAlignment="1">
      <alignment horizontal="center" vertical="top" wrapText="1"/>
    </xf>
    <xf numFmtId="0" fontId="5" fillId="7" borderId="1" xfId="0" applyFont="1" applyFill="1" applyBorder="1" applyAlignment="1">
      <alignment horizontal="left" wrapText="1"/>
    </xf>
    <xf numFmtId="0" fontId="4" fillId="0" borderId="5" xfId="0" applyFont="1" applyBorder="1" applyAlignment="1">
      <alignment horizontal="left" wrapText="1"/>
    </xf>
    <xf numFmtId="0" fontId="4" fillId="8" borderId="1" xfId="0" applyFont="1" applyFill="1" applyBorder="1" applyAlignment="1">
      <alignment wrapText="1"/>
    </xf>
    <xf numFmtId="0" fontId="4" fillId="8" borderId="1" xfId="0" applyFont="1" applyFill="1" applyBorder="1" applyAlignment="1">
      <alignment horizontal="left" wrapText="1"/>
    </xf>
    <xf numFmtId="0" fontId="8" fillId="8" borderId="1" xfId="0" applyFont="1" applyFill="1" applyBorder="1" applyAlignment="1">
      <alignment horizontal="center" vertical="top" wrapText="1"/>
    </xf>
    <xf numFmtId="0" fontId="8" fillId="8" borderId="1" xfId="0" applyFont="1" applyFill="1" applyBorder="1" applyAlignment="1">
      <alignment horizontal="left" vertical="top" wrapText="1"/>
    </xf>
    <xf numFmtId="0" fontId="4" fillId="0" borderId="1" xfId="0" applyFont="1" applyBorder="1" applyAlignment="1">
      <alignment horizontal="left" wrapText="1"/>
    </xf>
    <xf numFmtId="0" fontId="4" fillId="9" borderId="1" xfId="0" applyFont="1" applyFill="1" applyBorder="1" applyAlignment="1">
      <alignment wrapText="1"/>
    </xf>
    <xf numFmtId="9" fontId="4" fillId="9" borderId="6" xfId="1" applyFont="1" applyFill="1" applyBorder="1" applyAlignment="1">
      <alignment horizontal="left" wrapText="1"/>
    </xf>
    <xf numFmtId="9" fontId="4" fillId="9" borderId="7" xfId="1" applyFont="1" applyFill="1" applyBorder="1" applyAlignment="1">
      <alignment horizontal="left" wrapText="1"/>
    </xf>
    <xf numFmtId="0" fontId="7" fillId="9" borderId="6" xfId="0" applyFont="1" applyFill="1" applyBorder="1" applyAlignment="1">
      <alignment horizontal="left" wrapText="1"/>
    </xf>
    <xf numFmtId="9" fontId="7" fillId="9" borderId="6" xfId="1" applyFont="1" applyFill="1" applyBorder="1" applyAlignment="1">
      <alignment horizontal="left" wrapText="1"/>
    </xf>
    <xf numFmtId="0" fontId="7" fillId="9" borderId="7" xfId="0" applyFont="1" applyFill="1" applyBorder="1" applyAlignment="1">
      <alignment horizontal="left" wrapText="1"/>
    </xf>
    <xf numFmtId="0" fontId="7" fillId="9" borderId="6"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9" borderId="1" xfId="0" applyFont="1" applyFill="1" applyBorder="1" applyAlignment="1">
      <alignment horizontal="left" wrapText="1"/>
    </xf>
    <xf numFmtId="0" fontId="8" fillId="9" borderId="1" xfId="0" applyFont="1" applyFill="1" applyBorder="1" applyAlignment="1">
      <alignment horizontal="center" vertical="top" wrapText="1"/>
    </xf>
    <xf numFmtId="0" fontId="8" fillId="9" borderId="1" xfId="0" applyFont="1" applyFill="1" applyBorder="1" applyAlignment="1">
      <alignment horizontal="left" vertical="top" wrapText="1"/>
    </xf>
    <xf numFmtId="0" fontId="4" fillId="5" borderId="1" xfId="0" applyFont="1" applyFill="1" applyBorder="1" applyAlignment="1">
      <alignment horizontal="left" wrapText="1"/>
    </xf>
    <xf numFmtId="0" fontId="9" fillId="10" borderId="1" xfId="0" applyFont="1" applyFill="1" applyBorder="1" applyAlignment="1">
      <alignment vertical="top" wrapText="1"/>
    </xf>
    <xf numFmtId="0" fontId="10" fillId="10" borderId="1" xfId="0" applyFont="1" applyFill="1" applyBorder="1" applyAlignment="1">
      <alignment horizontal="left" vertical="top" wrapText="1"/>
    </xf>
    <xf numFmtId="0" fontId="8" fillId="10" borderId="1" xfId="0" applyFont="1" applyFill="1" applyBorder="1" applyAlignment="1">
      <alignment horizontal="center" vertical="top" wrapText="1"/>
    </xf>
    <xf numFmtId="0" fontId="8" fillId="10" borderId="1" xfId="0" applyFont="1" applyFill="1" applyBorder="1" applyAlignment="1">
      <alignment horizontal="left" vertical="top" wrapText="1"/>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horizontal="left"/>
    </xf>
    <xf numFmtId="165" fontId="11" fillId="0" borderId="0" xfId="0" applyNumberFormat="1" applyFont="1" applyFill="1" applyBorder="1" applyAlignment="1">
      <alignment horizontal="left"/>
    </xf>
    <xf numFmtId="0" fontId="14" fillId="0" borderId="0" xfId="0" applyFont="1" applyFill="1" applyBorder="1"/>
    <xf numFmtId="0" fontId="14" fillId="0" borderId="0" xfId="0" applyFont="1" applyFill="1" applyBorder="1" applyAlignment="1">
      <alignment horizontal="left"/>
    </xf>
    <xf numFmtId="165" fontId="15" fillId="0" borderId="0" xfId="0" applyNumberFormat="1" applyFont="1" applyFill="1" applyBorder="1" applyAlignment="1">
      <alignment horizontal="left"/>
    </xf>
    <xf numFmtId="0" fontId="15" fillId="0" borderId="0" xfId="0" applyFont="1" applyFill="1" applyBorder="1" applyAlignment="1">
      <alignment horizontal="left"/>
    </xf>
    <xf numFmtId="0" fontId="15" fillId="0" borderId="0" xfId="0" applyFont="1" applyFill="1" applyBorder="1" applyAlignment="1">
      <alignment horizontal="center"/>
    </xf>
    <xf numFmtId="0" fontId="15" fillId="0" borderId="0" xfId="0" applyFont="1" applyFill="1" applyBorder="1"/>
    <xf numFmtId="0" fontId="15" fillId="0" borderId="0" xfId="0" applyFont="1" applyFill="1" applyBorder="1" applyAlignment="1">
      <alignment vertical="center"/>
    </xf>
    <xf numFmtId="0" fontId="11" fillId="0" borderId="1" xfId="0" applyFont="1" applyFill="1" applyBorder="1" applyAlignment="1">
      <alignment horizontal="center"/>
    </xf>
    <xf numFmtId="0" fontId="11" fillId="0" borderId="1" xfId="0" applyFont="1" applyFill="1" applyBorder="1"/>
    <xf numFmtId="0" fontId="11" fillId="0" borderId="1" xfId="0" applyFont="1" applyFill="1" applyBorder="1" applyAlignment="1">
      <alignment horizontal="center" vertical="center"/>
    </xf>
    <xf numFmtId="0" fontId="11" fillId="0" borderId="1" xfId="0" applyFont="1" applyFill="1" applyBorder="1" applyAlignment="1">
      <alignment horizontal="left"/>
    </xf>
    <xf numFmtId="165" fontId="11"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6" fillId="11" borderId="1" xfId="0" applyFont="1" applyFill="1" applyBorder="1" applyAlignment="1">
      <alignment horizontal="center"/>
    </xf>
    <xf numFmtId="0" fontId="16" fillId="11" borderId="1" xfId="0" applyFont="1" applyFill="1" applyBorder="1"/>
    <xf numFmtId="0" fontId="16" fillId="11" borderId="1" xfId="0" applyFont="1" applyFill="1" applyBorder="1" applyAlignment="1">
      <alignment horizontal="center" vertical="center"/>
    </xf>
    <xf numFmtId="0" fontId="16" fillId="11" borderId="1" xfId="0" applyFont="1" applyFill="1" applyBorder="1" applyAlignment="1">
      <alignment horizontal="left"/>
    </xf>
    <xf numFmtId="165" fontId="16" fillId="11" borderId="1" xfId="0" applyNumberFormat="1" applyFont="1" applyFill="1" applyBorder="1" applyAlignment="1">
      <alignment horizontal="left"/>
    </xf>
    <xf numFmtId="14" fontId="16" fillId="11" borderId="1" xfId="0" applyNumberFormat="1" applyFont="1" applyFill="1" applyBorder="1" applyAlignment="1">
      <alignment horizontal="left"/>
    </xf>
    <xf numFmtId="0" fontId="17" fillId="0" borderId="1" xfId="0" applyFont="1" applyFill="1" applyBorder="1" applyAlignment="1">
      <alignment horizontal="center"/>
    </xf>
    <xf numFmtId="0" fontId="17" fillId="0" borderId="1" xfId="0" applyFont="1" applyFill="1" applyBorder="1"/>
    <xf numFmtId="0" fontId="17" fillId="0" borderId="1" xfId="0" applyFont="1" applyFill="1" applyBorder="1" applyAlignment="1">
      <alignment horizontal="center" vertical="center"/>
    </xf>
    <xf numFmtId="0" fontId="17" fillId="0" borderId="1" xfId="0" applyFont="1" applyFill="1" applyBorder="1" applyAlignment="1">
      <alignment horizontal="left"/>
    </xf>
    <xf numFmtId="165" fontId="17" fillId="0" borderId="1" xfId="0" applyNumberFormat="1" applyFont="1" applyFill="1" applyBorder="1" applyAlignment="1">
      <alignment horizontal="left"/>
    </xf>
    <xf numFmtId="165" fontId="15" fillId="0" borderId="1" xfId="0" applyNumberFormat="1" applyFont="1" applyFill="1" applyBorder="1" applyAlignment="1">
      <alignment horizontal="left"/>
    </xf>
    <xf numFmtId="14" fontId="17" fillId="0" borderId="1" xfId="0" applyNumberFormat="1" applyFont="1" applyFill="1" applyBorder="1" applyAlignment="1">
      <alignment horizontal="left"/>
    </xf>
    <xf numFmtId="165" fontId="18" fillId="11" borderId="1" xfId="0" applyNumberFormat="1" applyFont="1" applyFill="1" applyBorder="1" applyAlignment="1">
      <alignment horizontal="left"/>
    </xf>
    <xf numFmtId="0" fontId="19" fillId="11" borderId="1" xfId="0" applyFont="1" applyFill="1" applyBorder="1" applyAlignment="1">
      <alignment horizontal="center"/>
    </xf>
    <xf numFmtId="0" fontId="16" fillId="12" borderId="1" xfId="0" applyFont="1" applyFill="1" applyBorder="1" applyAlignment="1">
      <alignment horizontal="center" wrapText="1"/>
    </xf>
    <xf numFmtId="165" fontId="16" fillId="12" borderId="1" xfId="0" applyNumberFormat="1" applyFont="1" applyFill="1" applyBorder="1" applyAlignment="1">
      <alignment horizontal="center" wrapText="1"/>
    </xf>
    <xf numFmtId="0" fontId="18" fillId="13" borderId="1" xfId="0" applyFont="1" applyFill="1" applyBorder="1" applyAlignment="1">
      <alignment horizontal="center" wrapText="1"/>
    </xf>
    <xf numFmtId="0" fontId="11" fillId="0" borderId="0" xfId="0" applyFont="1" applyFill="1" applyBorder="1" applyAlignment="1">
      <alignment vertical="top"/>
    </xf>
    <xf numFmtId="165" fontId="11" fillId="0" borderId="1" xfId="0" applyNumberFormat="1" applyFont="1" applyFill="1" applyBorder="1" applyAlignment="1">
      <alignment horizontal="center"/>
    </xf>
    <xf numFmtId="165" fontId="16" fillId="11" borderId="1" xfId="0" applyNumberFormat="1" applyFont="1" applyFill="1" applyBorder="1" applyAlignment="1">
      <alignment horizontal="center"/>
    </xf>
    <xf numFmtId="165" fontId="15" fillId="0" borderId="1" xfId="0" applyNumberFormat="1"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9" fillId="11" borderId="0" xfId="0" applyFont="1" applyFill="1" applyBorder="1" applyAlignment="1">
      <alignment horizontal="center"/>
    </xf>
    <xf numFmtId="0" fontId="0" fillId="0" borderId="0" xfId="0" applyAlignment="1">
      <alignment vertical="center"/>
    </xf>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20" fillId="0" borderId="1" xfId="0" applyFont="1" applyBorder="1"/>
    <xf numFmtId="0" fontId="3" fillId="14" borderId="1" xfId="0" applyFont="1" applyFill="1" applyBorder="1" applyAlignment="1">
      <alignment horizontal="center" wrapText="1"/>
    </xf>
    <xf numFmtId="0" fontId="2" fillId="0" borderId="0" xfId="0" applyFont="1"/>
    <xf numFmtId="0" fontId="21" fillId="0" borderId="0" xfId="2" applyAlignment="1">
      <alignment vertical="center"/>
    </xf>
    <xf numFmtId="0" fontId="5" fillId="15" borderId="1" xfId="0" applyFont="1" applyFill="1" applyBorder="1" applyAlignment="1">
      <alignment horizontal="center"/>
    </xf>
    <xf numFmtId="0" fontId="5" fillId="15" borderId="1" xfId="0" applyFont="1" applyFill="1" applyBorder="1"/>
    <xf numFmtId="9" fontId="5" fillId="15" borderId="1" xfId="1" applyFont="1" applyFill="1" applyBorder="1" applyAlignment="1">
      <alignment horizontal="center"/>
    </xf>
    <xf numFmtId="164" fontId="5" fillId="15" borderId="1" xfId="0" applyNumberFormat="1" applyFont="1" applyFill="1" applyBorder="1" applyAlignment="1">
      <alignment horizontal="center"/>
    </xf>
    <xf numFmtId="0" fontId="6" fillId="16" borderId="9" xfId="0" applyFont="1" applyFill="1" applyBorder="1" applyAlignment="1">
      <alignment horizontal="center" vertical="center" wrapText="1"/>
    </xf>
    <xf numFmtId="0" fontId="6" fillId="16" borderId="10" xfId="0" applyFont="1" applyFill="1" applyBorder="1" applyAlignment="1">
      <alignment horizontal="center" vertical="center" wrapText="1"/>
    </xf>
    <xf numFmtId="0" fontId="4" fillId="5" borderId="11" xfId="0" applyFont="1" applyFill="1" applyBorder="1"/>
    <xf numFmtId="0" fontId="4" fillId="5" borderId="12" xfId="0" applyFont="1" applyFill="1" applyBorder="1"/>
    <xf numFmtId="0" fontId="4" fillId="5" borderId="12" xfId="0" applyFont="1" applyFill="1" applyBorder="1" applyAlignment="1">
      <alignment horizontal="center"/>
    </xf>
    <xf numFmtId="0" fontId="4" fillId="5" borderId="11" xfId="0" applyFont="1" applyFill="1" applyBorder="1" applyAlignment="1">
      <alignment horizontal="center"/>
    </xf>
    <xf numFmtId="0" fontId="4" fillId="5" borderId="10" xfId="0" applyFont="1" applyFill="1" applyBorder="1"/>
    <xf numFmtId="0" fontId="4" fillId="5" borderId="10" xfId="0" applyFont="1" applyFill="1" applyBorder="1" applyAlignment="1">
      <alignment horizontal="center"/>
    </xf>
    <xf numFmtId="0" fontId="4" fillId="0" borderId="0" xfId="0" applyFont="1" applyAlignment="1">
      <alignment vertical="center"/>
    </xf>
    <xf numFmtId="0" fontId="6" fillId="16"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9" borderId="22" xfId="0" applyFont="1" applyFill="1" applyBorder="1" applyAlignment="1">
      <alignment horizontal="center" vertical="center" wrapText="1"/>
    </xf>
    <xf numFmtId="9" fontId="7" fillId="9" borderId="21" xfId="1" applyFont="1" applyFill="1" applyBorder="1" applyAlignment="1">
      <alignment horizontal="center" vertical="center" wrapText="1"/>
    </xf>
    <xf numFmtId="9" fontId="4" fillId="5" borderId="12" xfId="1" applyFont="1" applyFill="1" applyBorder="1" applyAlignment="1">
      <alignment horizontal="center"/>
    </xf>
    <xf numFmtId="0" fontId="4" fillId="0" borderId="11" xfId="0" applyFont="1" applyFill="1" applyBorder="1" applyAlignment="1">
      <alignment horizontal="center"/>
    </xf>
    <xf numFmtId="9" fontId="4" fillId="0" borderId="12" xfId="1" applyFont="1" applyFill="1" applyBorder="1" applyAlignment="1">
      <alignment horizontal="center"/>
    </xf>
    <xf numFmtId="0" fontId="5" fillId="15" borderId="11" xfId="0" applyFont="1" applyFill="1" applyBorder="1" applyAlignment="1">
      <alignment horizontal="center"/>
    </xf>
    <xf numFmtId="9" fontId="5" fillId="15" borderId="12" xfId="1" applyFont="1" applyFill="1" applyBorder="1" applyAlignment="1">
      <alignment horizontal="center"/>
    </xf>
    <xf numFmtId="0" fontId="5" fillId="15" borderId="13" xfId="0" applyFont="1" applyFill="1" applyBorder="1" applyAlignment="1">
      <alignment horizontal="center"/>
    </xf>
    <xf numFmtId="0" fontId="5" fillId="15" borderId="14" xfId="0" applyFont="1" applyFill="1" applyBorder="1"/>
    <xf numFmtId="0" fontId="5" fillId="15" borderId="14" xfId="0" applyFont="1" applyFill="1" applyBorder="1" applyAlignment="1">
      <alignment horizontal="center"/>
    </xf>
    <xf numFmtId="9" fontId="5" fillId="15" borderId="14" xfId="1" applyFont="1" applyFill="1" applyBorder="1" applyAlignment="1">
      <alignment horizontal="center"/>
    </xf>
    <xf numFmtId="9" fontId="5" fillId="15" borderId="15" xfId="1" applyFont="1" applyFill="1" applyBorder="1" applyAlignment="1">
      <alignment horizontal="center"/>
    </xf>
    <xf numFmtId="0" fontId="5" fillId="15" borderId="11" xfId="0" applyFont="1" applyFill="1" applyBorder="1"/>
    <xf numFmtId="0" fontId="5" fillId="15" borderId="12" xfId="0" applyFont="1" applyFill="1" applyBorder="1"/>
    <xf numFmtId="0" fontId="5" fillId="15" borderId="12" xfId="0" applyFont="1" applyFill="1" applyBorder="1" applyAlignment="1">
      <alignment horizontal="center"/>
    </xf>
    <xf numFmtId="0" fontId="5" fillId="15" borderId="15" xfId="0" applyFont="1" applyFill="1" applyBorder="1"/>
    <xf numFmtId="0" fontId="5" fillId="15" borderId="15" xfId="0" applyFont="1" applyFill="1" applyBorder="1" applyAlignment="1">
      <alignment horizontal="center"/>
    </xf>
    <xf numFmtId="0" fontId="6" fillId="16" borderId="16" xfId="0" applyFont="1" applyFill="1" applyBorder="1" applyAlignment="1">
      <alignment vertical="center"/>
    </xf>
    <xf numFmtId="0" fontId="6" fillId="16" borderId="17" xfId="0" applyFont="1" applyFill="1" applyBorder="1" applyAlignment="1">
      <alignment vertical="center"/>
    </xf>
    <xf numFmtId="0" fontId="6" fillId="16" borderId="16" xfId="0" applyFont="1" applyFill="1" applyBorder="1" applyAlignment="1">
      <alignment horizontal="center" vertical="center"/>
    </xf>
    <xf numFmtId="0" fontId="6" fillId="16" borderId="17" xfId="0" applyFont="1" applyFill="1" applyBorder="1" applyAlignment="1">
      <alignment horizontal="center" vertical="center"/>
    </xf>
    <xf numFmtId="164" fontId="6" fillId="16" borderId="16" xfId="0" applyNumberFormat="1" applyFont="1" applyFill="1" applyBorder="1" applyAlignment="1">
      <alignment horizontal="center" vertical="center"/>
    </xf>
    <xf numFmtId="164" fontId="6" fillId="16" borderId="17" xfId="0" applyNumberFormat="1" applyFont="1" applyFill="1" applyBorder="1" applyAlignment="1">
      <alignment horizontal="center" vertical="center"/>
    </xf>
    <xf numFmtId="164" fontId="6" fillId="16" borderId="18" xfId="0" applyNumberFormat="1" applyFont="1" applyFill="1" applyBorder="1" applyAlignment="1">
      <alignment horizontal="center" vertical="center"/>
    </xf>
    <xf numFmtId="164" fontId="4" fillId="5" borderId="12" xfId="0" applyNumberFormat="1" applyFont="1" applyFill="1" applyBorder="1" applyAlignment="1">
      <alignment horizontal="center"/>
    </xf>
    <xf numFmtId="0" fontId="4" fillId="0" borderId="11" xfId="0" applyFont="1" applyFill="1" applyBorder="1"/>
    <xf numFmtId="164" fontId="4" fillId="0" borderId="12" xfId="0" applyNumberFormat="1" applyFont="1" applyFill="1" applyBorder="1" applyAlignment="1">
      <alignment horizontal="center"/>
    </xf>
    <xf numFmtId="164" fontId="5" fillId="15" borderId="12" xfId="0" applyNumberFormat="1" applyFont="1" applyFill="1" applyBorder="1" applyAlignment="1">
      <alignment horizontal="center"/>
    </xf>
    <xf numFmtId="0" fontId="6" fillId="16" borderId="16" xfId="0" applyFont="1" applyFill="1" applyBorder="1" applyAlignment="1">
      <alignment horizontal="center" vertical="center" wrapText="1"/>
    </xf>
    <xf numFmtId="0" fontId="6" fillId="16" borderId="19" xfId="0" applyFont="1" applyFill="1" applyBorder="1" applyAlignment="1">
      <alignment horizontal="center" vertical="center" wrapText="1"/>
    </xf>
    <xf numFmtId="0" fontId="6" fillId="16" borderId="17" xfId="0" applyFont="1" applyFill="1" applyBorder="1" applyAlignment="1">
      <alignment horizontal="center" vertical="center" wrapText="1"/>
    </xf>
    <xf numFmtId="0" fontId="6" fillId="16" borderId="18" xfId="0" applyFont="1" applyFill="1" applyBorder="1" applyAlignment="1">
      <alignment horizontal="center" vertical="center" wrapText="1"/>
    </xf>
    <xf numFmtId="0" fontId="4" fillId="0" borderId="12" xfId="0" applyFont="1" applyFill="1" applyBorder="1"/>
    <xf numFmtId="164" fontId="4" fillId="0" borderId="8" xfId="0" applyNumberFormat="1" applyFont="1" applyFill="1" applyBorder="1" applyAlignment="1">
      <alignment horizontal="center"/>
    </xf>
    <xf numFmtId="164" fontId="5" fillId="15" borderId="8" xfId="0" applyNumberFormat="1" applyFont="1" applyFill="1" applyBorder="1" applyAlignment="1">
      <alignment horizontal="center"/>
    </xf>
    <xf numFmtId="164" fontId="4" fillId="5" borderId="8" xfId="0" applyNumberFormat="1" applyFont="1" applyFill="1" applyBorder="1" applyAlignment="1">
      <alignment horizontal="center"/>
    </xf>
    <xf numFmtId="0" fontId="4" fillId="0" borderId="12" xfId="0" applyFont="1" applyFill="1" applyBorder="1" applyAlignment="1">
      <alignment horizontal="center"/>
    </xf>
    <xf numFmtId="164" fontId="4" fillId="5" borderId="10" xfId="0" applyNumberFormat="1" applyFont="1" applyFill="1" applyBorder="1" applyAlignment="1">
      <alignment horizontal="center"/>
    </xf>
    <xf numFmtId="164" fontId="5" fillId="15" borderId="15" xfId="0" applyNumberFormat="1" applyFont="1" applyFill="1" applyBorder="1" applyAlignment="1">
      <alignment horizontal="center"/>
    </xf>
    <xf numFmtId="0" fontId="4" fillId="5" borderId="8" xfId="0" applyFont="1" applyFill="1" applyBorder="1" applyAlignment="1">
      <alignment horizontal="center"/>
    </xf>
    <xf numFmtId="0" fontId="4" fillId="0" borderId="8" xfId="0" applyFont="1" applyFill="1" applyBorder="1" applyAlignment="1">
      <alignment horizontal="center"/>
    </xf>
    <xf numFmtId="0" fontId="5" fillId="15" borderId="8" xfId="0" applyFont="1" applyFill="1" applyBorder="1" applyAlignment="1">
      <alignment horizontal="center"/>
    </xf>
    <xf numFmtId="0" fontId="7" fillId="0" borderId="0" xfId="0" applyFont="1" applyAlignment="1">
      <alignment vertical="center"/>
    </xf>
    <xf numFmtId="0" fontId="4" fillId="0" borderId="11" xfId="0" applyFont="1" applyBorder="1"/>
    <xf numFmtId="164" fontId="4" fillId="0" borderId="12" xfId="0" applyNumberFormat="1" applyFont="1" applyBorder="1" applyAlignment="1">
      <alignment horizontal="center"/>
    </xf>
    <xf numFmtId="0" fontId="4" fillId="0" borderId="8" xfId="0" applyFont="1" applyBorder="1" applyAlignment="1">
      <alignment horizontal="center"/>
    </xf>
    <xf numFmtId="0" fontId="4" fillId="0" borderId="12" xfId="0" applyFont="1" applyBorder="1"/>
    <xf numFmtId="164" fontId="4" fillId="0" borderId="8" xfId="0" applyNumberFormat="1" applyFont="1" applyBorder="1" applyAlignment="1">
      <alignment horizontal="center"/>
    </xf>
    <xf numFmtId="0" fontId="4" fillId="0" borderId="12" xfId="0" applyFont="1" applyBorder="1" applyAlignment="1">
      <alignment horizontal="center"/>
    </xf>
    <xf numFmtId="0" fontId="7" fillId="9" borderId="21"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4" fillId="0" borderId="11" xfId="0" applyFont="1" applyBorder="1" applyAlignment="1">
      <alignment horizontal="center"/>
    </xf>
    <xf numFmtId="9" fontId="4" fillId="0" borderId="12" xfId="1" applyFont="1" applyBorder="1" applyAlignment="1">
      <alignment horizontal="center"/>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298</xdr:row>
      <xdr:rowOff>142875</xdr:rowOff>
    </xdr:from>
    <xdr:ext cx="9432759" cy="5921532"/>
    <xdr:pic>
      <xdr:nvPicPr>
        <xdr:cNvPr id="2" name="Picture 1">
          <a:extLst>
            <a:ext uri="{FF2B5EF4-FFF2-40B4-BE49-F238E27FC236}">
              <a16:creationId xmlns:a16="http://schemas.microsoft.com/office/drawing/2014/main" id="{A7FE0B48-5FED-485C-9F66-A0A5C4EC8BA8}"/>
            </a:ext>
          </a:extLst>
        </xdr:cNvPr>
        <xdr:cNvPicPr>
          <a:picLocks noChangeAspect="1"/>
        </xdr:cNvPicPr>
      </xdr:nvPicPr>
      <xdr:blipFill>
        <a:blip xmlns:r="http://schemas.openxmlformats.org/officeDocument/2006/relationships" r:embed="rId1"/>
        <a:stretch>
          <a:fillRect/>
        </a:stretch>
      </xdr:blipFill>
      <xdr:spPr>
        <a:xfrm>
          <a:off x="0" y="56911875"/>
          <a:ext cx="9432759" cy="59215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6609524" cy="4895238"/>
    <xdr:pic>
      <xdr:nvPicPr>
        <xdr:cNvPr id="2" name="Picture 1">
          <a:extLst>
            <a:ext uri="{FF2B5EF4-FFF2-40B4-BE49-F238E27FC236}">
              <a16:creationId xmlns:a16="http://schemas.microsoft.com/office/drawing/2014/main" id="{90E6F60E-4A61-460F-A5AE-F8E650D4F1C9}"/>
            </a:ext>
          </a:extLst>
        </xdr:cNvPr>
        <xdr:cNvPicPr>
          <a:picLocks noChangeAspect="1"/>
        </xdr:cNvPicPr>
      </xdr:nvPicPr>
      <xdr:blipFill>
        <a:blip xmlns:r="http://schemas.openxmlformats.org/officeDocument/2006/relationships" r:embed="rId1"/>
        <a:stretch>
          <a:fillRect/>
        </a:stretch>
      </xdr:blipFill>
      <xdr:spPr>
        <a:xfrm>
          <a:off x="0" y="1333500"/>
          <a:ext cx="6609524" cy="489523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19</xdr:row>
      <xdr:rowOff>0</xdr:rowOff>
    </xdr:from>
    <xdr:ext cx="9704762" cy="7552381"/>
    <xdr:pic>
      <xdr:nvPicPr>
        <xdr:cNvPr id="2"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3619500"/>
          <a:ext cx="9704762" cy="75523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donalds\Desktop\2021-RiskMAP\Tables\Reference\CL-FRA_Bldg_FIRM-Status_Freeboard_FloodStudies_2021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_Status_Freeboard"/>
      <sheetName val="Flood Study Status"/>
      <sheetName val="Hazus Bldg. Year Built"/>
      <sheetName val="SPLIT COMMUNITIES"/>
      <sheetName val="Pre-FIRM &amp; Post-FIRM Div. Date"/>
    </sheetNames>
    <sheetDataSet>
      <sheetData sheetId="0">
        <row r="4">
          <cell r="K4"/>
        </row>
        <row r="5">
          <cell r="K5"/>
        </row>
        <row r="6">
          <cell r="K6"/>
        </row>
        <row r="7">
          <cell r="K7"/>
        </row>
        <row r="8">
          <cell r="K8" t="str">
            <v>Planned Flood Study</v>
          </cell>
        </row>
        <row r="9">
          <cell r="K9" t="str">
            <v>Planned Flood Study</v>
          </cell>
        </row>
        <row r="10">
          <cell r="K10"/>
        </row>
        <row r="11">
          <cell r="K11"/>
        </row>
        <row r="12">
          <cell r="K12"/>
        </row>
        <row r="13">
          <cell r="K13"/>
        </row>
        <row r="14">
          <cell r="K14"/>
        </row>
        <row r="15">
          <cell r="K15"/>
        </row>
        <row r="16">
          <cell r="K16"/>
        </row>
        <row r="17">
          <cell r="K17"/>
        </row>
        <row r="18">
          <cell r="K18"/>
        </row>
        <row r="19">
          <cell r="K19"/>
        </row>
        <row r="20">
          <cell r="K20"/>
        </row>
        <row r="21">
          <cell r="K21"/>
        </row>
        <row r="22">
          <cell r="K22"/>
        </row>
        <row r="23">
          <cell r="K23"/>
        </row>
        <row r="24">
          <cell r="K24"/>
        </row>
        <row r="25">
          <cell r="K25"/>
        </row>
        <row r="26">
          <cell r="K26" t="str">
            <v>Planned Flood Study</v>
          </cell>
        </row>
        <row r="27">
          <cell r="K27" t="str">
            <v>Planned Flood Study</v>
          </cell>
        </row>
        <row r="28">
          <cell r="K28" t="str">
            <v>Planned Flood Study</v>
          </cell>
        </row>
        <row r="29">
          <cell r="K29"/>
        </row>
        <row r="30">
          <cell r="K30"/>
        </row>
        <row r="31">
          <cell r="K31"/>
        </row>
        <row r="32">
          <cell r="K32"/>
        </row>
        <row r="33">
          <cell r="K33"/>
        </row>
        <row r="34">
          <cell r="K34"/>
        </row>
        <row r="35">
          <cell r="K35"/>
        </row>
        <row r="36">
          <cell r="K36"/>
        </row>
        <row r="37">
          <cell r="K37"/>
        </row>
        <row r="38">
          <cell r="K38"/>
        </row>
        <row r="39">
          <cell r="K39"/>
        </row>
        <row r="40">
          <cell r="K40"/>
        </row>
        <row r="41">
          <cell r="K41"/>
        </row>
        <row r="42">
          <cell r="K42"/>
        </row>
        <row r="43">
          <cell r="K43"/>
        </row>
        <row r="44">
          <cell r="K44"/>
        </row>
        <row r="45">
          <cell r="K45"/>
        </row>
        <row r="46">
          <cell r="K46"/>
        </row>
        <row r="47">
          <cell r="K47"/>
        </row>
        <row r="48">
          <cell r="K48"/>
        </row>
        <row r="49">
          <cell r="K49"/>
        </row>
        <row r="50">
          <cell r="K50"/>
        </row>
        <row r="51">
          <cell r="K51" t="str">
            <v>Countywide Flood Study</v>
          </cell>
        </row>
        <row r="52">
          <cell r="K52" t="str">
            <v>Countywide Flood Study (S)</v>
          </cell>
        </row>
        <row r="53">
          <cell r="K53" t="str">
            <v>Countywide Flood Study</v>
          </cell>
        </row>
        <row r="54">
          <cell r="K54" t="str">
            <v>Countywide Flood Study</v>
          </cell>
        </row>
        <row r="55">
          <cell r="K55" t="str">
            <v>Countywide Flood Study</v>
          </cell>
        </row>
        <row r="56">
          <cell r="K56" t="str">
            <v>Countywide Flood Study</v>
          </cell>
        </row>
        <row r="57">
          <cell r="K57" t="str">
            <v>Countywide Flood Study</v>
          </cell>
        </row>
        <row r="58">
          <cell r="K58" t="str">
            <v>Countywide Flood Study</v>
          </cell>
        </row>
        <row r="59">
          <cell r="K59" t="str">
            <v>Countywide Flood Study</v>
          </cell>
        </row>
        <row r="60">
          <cell r="K60" t="str">
            <v>Planned Flood Study</v>
          </cell>
        </row>
        <row r="61">
          <cell r="K61" t="str">
            <v>Planned Flood Study</v>
          </cell>
        </row>
        <row r="62">
          <cell r="K62" t="str">
            <v>Planned Flood Study</v>
          </cell>
        </row>
        <row r="63">
          <cell r="K63"/>
        </row>
        <row r="64">
          <cell r="K64"/>
        </row>
        <row r="65">
          <cell r="K65"/>
        </row>
        <row r="66">
          <cell r="K66" t="str">
            <v>Countywide Flood Study</v>
          </cell>
        </row>
        <row r="67">
          <cell r="K67" t="str">
            <v>Countywide Flood Study</v>
          </cell>
        </row>
        <row r="68">
          <cell r="K68" t="str">
            <v>Countywide Flood Study</v>
          </cell>
        </row>
        <row r="69">
          <cell r="K69"/>
        </row>
        <row r="70">
          <cell r="K70"/>
        </row>
        <row r="71">
          <cell r="K71"/>
        </row>
        <row r="72">
          <cell r="K72"/>
        </row>
        <row r="73">
          <cell r="K73"/>
        </row>
        <row r="74">
          <cell r="K74"/>
        </row>
        <row r="75">
          <cell r="K75"/>
        </row>
        <row r="76">
          <cell r="K76"/>
        </row>
        <row r="77">
          <cell r="K77"/>
        </row>
        <row r="78">
          <cell r="K78"/>
        </row>
        <row r="79">
          <cell r="K79"/>
        </row>
        <row r="80">
          <cell r="K80"/>
        </row>
        <row r="81">
          <cell r="K81"/>
        </row>
        <row r="82">
          <cell r="K82"/>
        </row>
        <row r="83">
          <cell r="K83" t="str">
            <v>Planned Flood Study</v>
          </cell>
        </row>
        <row r="84">
          <cell r="K84" t="str">
            <v>Planned Flood Study</v>
          </cell>
        </row>
        <row r="85">
          <cell r="K85" t="str">
            <v>Planned Flood Study</v>
          </cell>
        </row>
        <row r="86">
          <cell r="K86" t="str">
            <v>Planned Flood Study</v>
          </cell>
        </row>
        <row r="87">
          <cell r="K87" t="str">
            <v>Planned Flood Study</v>
          </cell>
        </row>
        <row r="88">
          <cell r="K88" t="str">
            <v>Planned Flood Study</v>
          </cell>
        </row>
        <row r="89">
          <cell r="K89" t="str">
            <v>2016 Flood Study (P)</v>
          </cell>
        </row>
        <row r="90">
          <cell r="K90"/>
        </row>
        <row r="91">
          <cell r="K91"/>
        </row>
        <row r="92">
          <cell r="K92"/>
        </row>
        <row r="93">
          <cell r="K93"/>
        </row>
        <row r="94">
          <cell r="K94" t="str">
            <v>2016 Flood Study</v>
          </cell>
        </row>
        <row r="95">
          <cell r="K95"/>
        </row>
        <row r="96">
          <cell r="K96"/>
        </row>
        <row r="97">
          <cell r="K97"/>
        </row>
        <row r="98">
          <cell r="K98"/>
        </row>
        <row r="99">
          <cell r="K99"/>
        </row>
        <row r="100">
          <cell r="K100"/>
        </row>
        <row r="101">
          <cell r="K101"/>
        </row>
        <row r="102">
          <cell r="K102"/>
        </row>
        <row r="103">
          <cell r="K103"/>
        </row>
        <row r="104">
          <cell r="K104"/>
        </row>
        <row r="105">
          <cell r="K105"/>
        </row>
        <row r="106">
          <cell r="K106"/>
        </row>
        <row r="107">
          <cell r="K107" t="str">
            <v>Planned Flood Study (P)</v>
          </cell>
        </row>
        <row r="108">
          <cell r="K108" t="str">
            <v>Planned Flood Study</v>
          </cell>
        </row>
        <row r="109">
          <cell r="K109" t="str">
            <v>Planned Flood Study</v>
          </cell>
        </row>
        <row r="110">
          <cell r="K110" t="str">
            <v>Planned Flood Study (P)</v>
          </cell>
        </row>
        <row r="111">
          <cell r="K111" t="str">
            <v>Planned Flood Study</v>
          </cell>
        </row>
        <row r="112">
          <cell r="K112" t="str">
            <v>Planned Flood Study</v>
          </cell>
        </row>
        <row r="113">
          <cell r="K113" t="str">
            <v>Planned Flood Study</v>
          </cell>
        </row>
        <row r="114">
          <cell r="K114" t="str">
            <v>Planned Flood Study</v>
          </cell>
        </row>
        <row r="115">
          <cell r="K115" t="str">
            <v>Planned Flood Study</v>
          </cell>
        </row>
        <row r="116">
          <cell r="K116"/>
        </row>
        <row r="117">
          <cell r="K117"/>
        </row>
        <row r="118">
          <cell r="K118"/>
        </row>
        <row r="119">
          <cell r="K119"/>
        </row>
        <row r="120">
          <cell r="K120"/>
        </row>
        <row r="121">
          <cell r="K121"/>
        </row>
        <row r="122">
          <cell r="K122"/>
        </row>
        <row r="123">
          <cell r="K123"/>
        </row>
        <row r="124">
          <cell r="K124"/>
        </row>
        <row r="125">
          <cell r="K125"/>
        </row>
        <row r="126">
          <cell r="K126"/>
        </row>
        <row r="127">
          <cell r="K127"/>
        </row>
        <row r="128">
          <cell r="K128"/>
        </row>
        <row r="129">
          <cell r="K129"/>
        </row>
        <row r="130">
          <cell r="K130"/>
        </row>
        <row r="131">
          <cell r="K131"/>
        </row>
        <row r="132">
          <cell r="K132"/>
        </row>
        <row r="133">
          <cell r="K133" t="str">
            <v>Planned Flood Study (P)</v>
          </cell>
        </row>
        <row r="134">
          <cell r="K134"/>
        </row>
        <row r="135">
          <cell r="K135" t="str">
            <v>Planned Flood Study (P)</v>
          </cell>
        </row>
        <row r="136">
          <cell r="K136"/>
        </row>
        <row r="137">
          <cell r="K137"/>
        </row>
        <row r="138">
          <cell r="K138"/>
        </row>
        <row r="139">
          <cell r="K139" t="str">
            <v>Planned Flood Study (P)</v>
          </cell>
        </row>
        <row r="140">
          <cell r="K140" t="str">
            <v>Planned Flood Study</v>
          </cell>
        </row>
        <row r="141">
          <cell r="K141" t="str">
            <v>Planned Flood Study</v>
          </cell>
        </row>
        <row r="142">
          <cell r="K142" t="str">
            <v>Planned Flood Study</v>
          </cell>
        </row>
        <row r="143">
          <cell r="K143" t="str">
            <v>Planned Flood Study</v>
          </cell>
        </row>
        <row r="144">
          <cell r="K144" t="str">
            <v>Planned Flood Study</v>
          </cell>
        </row>
        <row r="145">
          <cell r="K145" t="str">
            <v>Planned Flood Study</v>
          </cell>
        </row>
        <row r="146">
          <cell r="K146" t="str">
            <v>Planned Flood Study</v>
          </cell>
        </row>
        <row r="147">
          <cell r="K147" t="str">
            <v>Planned Flood Study</v>
          </cell>
        </row>
        <row r="148">
          <cell r="K148" t="str">
            <v>Planned Flood Study</v>
          </cell>
        </row>
        <row r="149">
          <cell r="K149" t="str">
            <v>Planned Flood Study</v>
          </cell>
        </row>
        <row r="150">
          <cell r="K150" t="str">
            <v>Planned Flood Study</v>
          </cell>
        </row>
        <row r="151">
          <cell r="K151" t="str">
            <v>Planned Flood Study</v>
          </cell>
        </row>
        <row r="152">
          <cell r="K152" t="str">
            <v>Planned Flood Study</v>
          </cell>
        </row>
        <row r="153">
          <cell r="K153" t="str">
            <v>Planned Flood Study</v>
          </cell>
        </row>
        <row r="154">
          <cell r="K154" t="str">
            <v>Planned Flood Study</v>
          </cell>
        </row>
        <row r="155">
          <cell r="K155" t="str">
            <v>Planned Flood Study</v>
          </cell>
        </row>
        <row r="156">
          <cell r="K156" t="str">
            <v>Planned Flood Study</v>
          </cell>
        </row>
        <row r="157">
          <cell r="K157" t="str">
            <v>Planned Flood Study</v>
          </cell>
        </row>
        <row r="158">
          <cell r="K158"/>
        </row>
        <row r="159">
          <cell r="K159"/>
        </row>
        <row r="160">
          <cell r="K160"/>
        </row>
        <row r="161">
          <cell r="K161"/>
        </row>
        <row r="162">
          <cell r="K162" t="str">
            <v>Planned Flood Study</v>
          </cell>
        </row>
        <row r="163">
          <cell r="K163" t="str">
            <v>Planned Flood Study</v>
          </cell>
        </row>
        <row r="164">
          <cell r="K164" t="str">
            <v>Planned Flood Study</v>
          </cell>
        </row>
        <row r="165">
          <cell r="K165" t="str">
            <v>Planned Flood Study</v>
          </cell>
        </row>
        <row r="166">
          <cell r="K166" t="str">
            <v>Planned Flood Study</v>
          </cell>
        </row>
        <row r="167">
          <cell r="K167" t="str">
            <v>Planned Flood Study</v>
          </cell>
        </row>
        <row r="168">
          <cell r="K168"/>
        </row>
        <row r="169">
          <cell r="K169"/>
        </row>
        <row r="170">
          <cell r="K170"/>
        </row>
        <row r="171">
          <cell r="K171"/>
        </row>
        <row r="172">
          <cell r="K172"/>
        </row>
        <row r="173">
          <cell r="K173"/>
        </row>
        <row r="174">
          <cell r="K174" t="str">
            <v>Countywide Flood Study</v>
          </cell>
        </row>
        <row r="175">
          <cell r="K175" t="str">
            <v>Countywide Flood Study</v>
          </cell>
        </row>
        <row r="176">
          <cell r="K176" t="str">
            <v>Countywide Flood Study</v>
          </cell>
        </row>
        <row r="177">
          <cell r="K177" t="str">
            <v>Countywide Flood Study</v>
          </cell>
        </row>
        <row r="178">
          <cell r="K178" t="str">
            <v>Planned Flood Study</v>
          </cell>
        </row>
        <row r="179">
          <cell r="K179" t="str">
            <v>Planned Flood Study</v>
          </cell>
        </row>
        <row r="180">
          <cell r="K180" t="str">
            <v>Planned Flood Study</v>
          </cell>
        </row>
        <row r="181">
          <cell r="K181" t="str">
            <v>2016 Flood Study (P)</v>
          </cell>
        </row>
        <row r="182">
          <cell r="K182" t="str">
            <v>2016 Flood Study</v>
          </cell>
        </row>
        <row r="183">
          <cell r="K183"/>
        </row>
        <row r="184">
          <cell r="K184"/>
        </row>
        <row r="185">
          <cell r="K185"/>
        </row>
        <row r="186">
          <cell r="K186"/>
        </row>
        <row r="187">
          <cell r="K187"/>
        </row>
        <row r="188">
          <cell r="K188"/>
        </row>
        <row r="189">
          <cell r="K189"/>
        </row>
        <row r="190">
          <cell r="K190"/>
        </row>
        <row r="191">
          <cell r="K191" t="str">
            <v>Countywide Flood Study</v>
          </cell>
        </row>
        <row r="192">
          <cell r="K192" t="str">
            <v>Countywide Flood Study</v>
          </cell>
        </row>
        <row r="193">
          <cell r="K193"/>
        </row>
        <row r="194">
          <cell r="K194"/>
        </row>
        <row r="195">
          <cell r="K195"/>
        </row>
        <row r="196">
          <cell r="K196" t="str">
            <v>Planned Flood Study</v>
          </cell>
        </row>
        <row r="197">
          <cell r="K197" t="str">
            <v>Planned Flood Study</v>
          </cell>
        </row>
        <row r="198">
          <cell r="K198" t="str">
            <v>Planned Flood Study</v>
          </cell>
        </row>
        <row r="199">
          <cell r="K199"/>
        </row>
        <row r="200">
          <cell r="K200"/>
        </row>
        <row r="201">
          <cell r="K201"/>
        </row>
        <row r="202">
          <cell r="K202"/>
        </row>
        <row r="203">
          <cell r="K203"/>
        </row>
        <row r="204">
          <cell r="K204"/>
        </row>
        <row r="205">
          <cell r="K205"/>
        </row>
        <row r="206">
          <cell r="K206"/>
        </row>
        <row r="207">
          <cell r="K207"/>
        </row>
        <row r="208">
          <cell r="K208"/>
        </row>
        <row r="209">
          <cell r="K209"/>
        </row>
        <row r="210">
          <cell r="K210"/>
        </row>
        <row r="211">
          <cell r="K211"/>
        </row>
        <row r="212">
          <cell r="K212"/>
        </row>
        <row r="213">
          <cell r="K213"/>
        </row>
        <row r="214">
          <cell r="K214"/>
        </row>
        <row r="215">
          <cell r="K215"/>
        </row>
        <row r="216">
          <cell r="K216"/>
        </row>
        <row r="217">
          <cell r="K217" t="str">
            <v>Planned Flood Study (P)</v>
          </cell>
        </row>
        <row r="218">
          <cell r="K218"/>
        </row>
        <row r="219">
          <cell r="K219"/>
        </row>
        <row r="220">
          <cell r="K220"/>
        </row>
        <row r="221">
          <cell r="K221" t="str">
            <v>Planned Flood Study</v>
          </cell>
        </row>
        <row r="222">
          <cell r="K222"/>
        </row>
        <row r="223">
          <cell r="K223"/>
        </row>
        <row r="224">
          <cell r="K224"/>
        </row>
        <row r="225">
          <cell r="K225"/>
        </row>
        <row r="226">
          <cell r="K226"/>
        </row>
        <row r="227">
          <cell r="K227"/>
        </row>
        <row r="228">
          <cell r="K228"/>
        </row>
        <row r="229">
          <cell r="K229"/>
        </row>
        <row r="230">
          <cell r="K230"/>
        </row>
        <row r="231">
          <cell r="K231"/>
        </row>
        <row r="232">
          <cell r="K232"/>
        </row>
        <row r="233">
          <cell r="K233"/>
        </row>
        <row r="234">
          <cell r="K234"/>
        </row>
        <row r="235">
          <cell r="K235"/>
        </row>
        <row r="236">
          <cell r="K236"/>
        </row>
        <row r="237">
          <cell r="K237"/>
        </row>
        <row r="238">
          <cell r="K238"/>
        </row>
        <row r="239">
          <cell r="K239"/>
        </row>
        <row r="240">
          <cell r="K240"/>
        </row>
        <row r="241">
          <cell r="K241" t="str">
            <v>Countywide Flood Study</v>
          </cell>
        </row>
        <row r="242">
          <cell r="K242" t="str">
            <v>Countywide Flood Study</v>
          </cell>
        </row>
        <row r="243">
          <cell r="K243"/>
        </row>
        <row r="244">
          <cell r="K244"/>
        </row>
        <row r="245">
          <cell r="K245"/>
        </row>
        <row r="246">
          <cell r="K246"/>
        </row>
        <row r="247">
          <cell r="K247"/>
        </row>
        <row r="248">
          <cell r="K248"/>
        </row>
        <row r="249">
          <cell r="K249"/>
        </row>
        <row r="250">
          <cell r="K250"/>
        </row>
        <row r="251">
          <cell r="K251"/>
        </row>
        <row r="252">
          <cell r="K252"/>
        </row>
        <row r="253">
          <cell r="K253"/>
        </row>
        <row r="254">
          <cell r="K254"/>
        </row>
        <row r="255">
          <cell r="K255"/>
        </row>
        <row r="256">
          <cell r="K256"/>
        </row>
        <row r="257">
          <cell r="K257"/>
        </row>
        <row r="258">
          <cell r="K258" t="str">
            <v>Planned Flood Study</v>
          </cell>
        </row>
        <row r="259">
          <cell r="K259" t="str">
            <v>Planned Flood Study</v>
          </cell>
        </row>
        <row r="260">
          <cell r="K260" t="str">
            <v>Planned Flood Study</v>
          </cell>
        </row>
        <row r="261">
          <cell r="K261" t="str">
            <v>Planned Flood Study</v>
          </cell>
        </row>
        <row r="262">
          <cell r="K262" t="str">
            <v>Planned Flood Study</v>
          </cell>
        </row>
        <row r="263">
          <cell r="K263" t="str">
            <v>Planned Flood Study</v>
          </cell>
        </row>
        <row r="264">
          <cell r="K264" t="str">
            <v>2016 Flood Study (P)</v>
          </cell>
        </row>
        <row r="265">
          <cell r="K265" t="str">
            <v>2016 Flood Study</v>
          </cell>
        </row>
        <row r="266">
          <cell r="K266"/>
        </row>
        <row r="267">
          <cell r="K267"/>
        </row>
        <row r="268">
          <cell r="K268"/>
        </row>
        <row r="269">
          <cell r="K269"/>
        </row>
        <row r="270">
          <cell r="K270"/>
        </row>
        <row r="271">
          <cell r="K271"/>
        </row>
        <row r="272">
          <cell r="K272"/>
        </row>
        <row r="273">
          <cell r="K273"/>
        </row>
        <row r="274">
          <cell r="K274"/>
        </row>
        <row r="275">
          <cell r="K275"/>
        </row>
        <row r="276">
          <cell r="K276"/>
        </row>
        <row r="277">
          <cell r="K277"/>
        </row>
        <row r="278">
          <cell r="K278"/>
        </row>
        <row r="279">
          <cell r="K279" t="str">
            <v>Planned Flood Study</v>
          </cell>
        </row>
        <row r="280">
          <cell r="K280" t="str">
            <v>Planned Flood Study</v>
          </cell>
        </row>
        <row r="281">
          <cell r="K281" t="str">
            <v>Planned Flood Study</v>
          </cell>
        </row>
        <row r="282">
          <cell r="K282" t="str">
            <v>Planned Flood Study</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O348"/>
  <sheetViews>
    <sheetView tabSelected="1" zoomScale="90" zoomScaleNormal="90" workbookViewId="0">
      <pane xSplit="5" ySplit="5" topLeftCell="F6" activePane="bottomRight" state="frozen"/>
      <selection pane="topRight" activeCell="F1" sqref="F1"/>
      <selection pane="bottomLeft" activeCell="A6" sqref="A6"/>
      <selection pane="bottomRight" activeCell="G3" sqref="G3"/>
    </sheetView>
  </sheetViews>
  <sheetFormatPr defaultColWidth="9.109375" defaultRowHeight="14.4" x14ac:dyDescent="0.3"/>
  <cols>
    <col min="1" max="1" width="9.109375" style="2"/>
    <col min="2" max="2" width="19" style="1" bestFit="1" customWidth="1"/>
    <col min="3" max="4" width="9.109375" style="1"/>
    <col min="5" max="11" width="9.109375" style="2"/>
    <col min="12" max="17" width="9.109375" style="5"/>
    <col min="18" max="18" width="2.88671875" customWidth="1"/>
    <col min="19" max="21" width="9.109375" style="2"/>
    <col min="22" max="22" width="2.109375" customWidth="1"/>
    <col min="23" max="24" width="9.109375" style="2"/>
    <col min="25" max="28" width="9.109375" style="4"/>
    <col min="29" max="30" width="9.109375" style="5"/>
    <col min="31" max="32" width="9.109375" style="4"/>
    <col min="33" max="33" width="3" customWidth="1"/>
    <col min="34" max="41" width="9.109375" style="2"/>
    <col min="42" max="16384" width="9.109375" style="1"/>
  </cols>
  <sheetData>
    <row r="1" spans="1:41" x14ac:dyDescent="0.3">
      <c r="A1" s="48" t="s">
        <v>522</v>
      </c>
      <c r="W1" s="2" t="s">
        <v>521</v>
      </c>
      <c r="Z1" s="47" t="s">
        <v>26</v>
      </c>
      <c r="AA1" s="46" t="s">
        <v>520</v>
      </c>
      <c r="AB1" s="4" t="s">
        <v>519</v>
      </c>
      <c r="AC1" s="45" t="s">
        <v>518</v>
      </c>
      <c r="AD1" s="44"/>
    </row>
    <row r="2" spans="1:41" x14ac:dyDescent="0.3">
      <c r="A2" s="43">
        <v>44433</v>
      </c>
    </row>
    <row r="3" spans="1:41" x14ac:dyDescent="0.3">
      <c r="A3" s="42"/>
    </row>
    <row r="4" spans="1:41" customFormat="1" ht="28.5" customHeight="1" x14ac:dyDescent="0.3">
      <c r="A4" s="2"/>
      <c r="B4" s="1"/>
      <c r="C4" s="1"/>
      <c r="D4" s="1"/>
      <c r="E4" s="2"/>
      <c r="F4" s="2"/>
      <c r="G4" s="2"/>
      <c r="H4" s="2"/>
      <c r="I4" s="2"/>
      <c r="J4" s="2"/>
      <c r="K4" s="2"/>
      <c r="L4" s="5"/>
      <c r="M4" s="5"/>
      <c r="N4" s="5" t="s">
        <v>517</v>
      </c>
      <c r="O4" s="5"/>
      <c r="P4" s="5"/>
      <c r="Q4" s="5"/>
      <c r="S4" s="2" t="s">
        <v>517</v>
      </c>
      <c r="T4" s="2" t="s">
        <v>517</v>
      </c>
      <c r="U4" s="2"/>
      <c r="W4" s="2"/>
      <c r="X4" s="2" t="s">
        <v>517</v>
      </c>
      <c r="Y4" s="4"/>
      <c r="Z4" s="4" t="s">
        <v>517</v>
      </c>
      <c r="AA4" s="4"/>
      <c r="AB4" s="4" t="s">
        <v>517</v>
      </c>
      <c r="AC4" s="5"/>
      <c r="AD4" s="5" t="s">
        <v>517</v>
      </c>
      <c r="AE4" s="4"/>
      <c r="AF4" s="4" t="s">
        <v>517</v>
      </c>
      <c r="AH4" s="2"/>
      <c r="AI4" s="2"/>
      <c r="AJ4" s="2"/>
      <c r="AK4" s="2"/>
      <c r="AL4" s="2"/>
      <c r="AM4" s="2"/>
      <c r="AN4" s="2"/>
      <c r="AO4" s="2"/>
    </row>
    <row r="5" spans="1:41" s="27" customFormat="1" ht="84" x14ac:dyDescent="0.3">
      <c r="A5" s="41" t="s">
        <v>516</v>
      </c>
      <c r="B5" s="41" t="s">
        <v>515</v>
      </c>
      <c r="C5" s="41" t="s">
        <v>26</v>
      </c>
      <c r="D5" s="41" t="s">
        <v>514</v>
      </c>
      <c r="E5" s="41" t="s">
        <v>513</v>
      </c>
      <c r="F5" s="41" t="s">
        <v>512</v>
      </c>
      <c r="G5" s="40" t="s">
        <v>511</v>
      </c>
      <c r="H5" s="38" t="s">
        <v>510</v>
      </c>
      <c r="I5" s="39" t="s">
        <v>509</v>
      </c>
      <c r="J5" s="38" t="s">
        <v>508</v>
      </c>
      <c r="K5" s="38" t="s">
        <v>507</v>
      </c>
      <c r="L5" s="37" t="s">
        <v>506</v>
      </c>
      <c r="M5" s="36" t="s">
        <v>505</v>
      </c>
      <c r="N5" s="35" t="s">
        <v>504</v>
      </c>
      <c r="O5" s="34" t="s">
        <v>503</v>
      </c>
      <c r="P5" s="34" t="s">
        <v>502</v>
      </c>
      <c r="Q5" s="34" t="s">
        <v>501</v>
      </c>
      <c r="R5"/>
      <c r="S5" s="33" t="s">
        <v>500</v>
      </c>
      <c r="T5" s="33" t="s">
        <v>499</v>
      </c>
      <c r="U5" s="33" t="s">
        <v>498</v>
      </c>
      <c r="V5"/>
      <c r="W5" s="32" t="s">
        <v>497</v>
      </c>
      <c r="X5" s="32" t="s">
        <v>496</v>
      </c>
      <c r="Y5" s="30" t="s">
        <v>495</v>
      </c>
      <c r="Z5" s="30" t="s">
        <v>494</v>
      </c>
      <c r="AA5" s="30" t="s">
        <v>493</v>
      </c>
      <c r="AB5" s="30" t="s">
        <v>492</v>
      </c>
      <c r="AC5" s="31" t="s">
        <v>491</v>
      </c>
      <c r="AD5" s="31" t="s">
        <v>490</v>
      </c>
      <c r="AE5" s="30" t="s">
        <v>489</v>
      </c>
      <c r="AF5" s="30" t="s">
        <v>488</v>
      </c>
      <c r="AG5"/>
      <c r="AH5" s="28" t="s">
        <v>487</v>
      </c>
      <c r="AI5" s="28" t="s">
        <v>486</v>
      </c>
      <c r="AJ5" s="28" t="s">
        <v>485</v>
      </c>
      <c r="AK5" s="29" t="s">
        <v>484</v>
      </c>
      <c r="AL5" s="28" t="s">
        <v>483</v>
      </c>
      <c r="AM5" s="28" t="s">
        <v>482</v>
      </c>
      <c r="AN5" s="28" t="s">
        <v>481</v>
      </c>
      <c r="AO5" s="28" t="s">
        <v>480</v>
      </c>
    </row>
    <row r="6" spans="1:41" ht="12" hidden="1" x14ac:dyDescent="0.25">
      <c r="A6" s="19">
        <v>540001</v>
      </c>
      <c r="B6" s="22" t="s">
        <v>479</v>
      </c>
      <c r="C6" s="22" t="s">
        <v>474</v>
      </c>
      <c r="D6" s="22" t="s">
        <v>29</v>
      </c>
      <c r="E6" s="19">
        <v>7</v>
      </c>
      <c r="F6" s="19" t="s">
        <v>81</v>
      </c>
      <c r="G6" s="19">
        <v>269</v>
      </c>
      <c r="H6" s="19">
        <v>18</v>
      </c>
      <c r="I6" s="19">
        <v>65</v>
      </c>
      <c r="J6" s="19">
        <v>58</v>
      </c>
      <c r="K6" s="19">
        <v>410</v>
      </c>
      <c r="L6" s="21">
        <v>0.65600000000000003</v>
      </c>
      <c r="M6" s="21">
        <v>4.3999999999999997E-2</v>
      </c>
      <c r="N6" s="21">
        <v>0.159</v>
      </c>
      <c r="O6" s="21">
        <v>0.14099999999999999</v>
      </c>
      <c r="P6" s="21">
        <v>5.0999999999999997E-2</v>
      </c>
      <c r="Q6" s="21">
        <v>4.1000000000000002E-2</v>
      </c>
      <c r="R6" s="2"/>
      <c r="S6" s="19">
        <v>131</v>
      </c>
      <c r="T6" s="19">
        <v>17</v>
      </c>
      <c r="U6" s="19">
        <v>21</v>
      </c>
      <c r="V6" s="2"/>
      <c r="W6" s="19">
        <v>1963.1</v>
      </c>
      <c r="X6" s="19">
        <v>1968</v>
      </c>
      <c r="Y6" s="20">
        <v>49141.3</v>
      </c>
      <c r="Z6" s="20">
        <v>35660</v>
      </c>
      <c r="AA6" s="20">
        <v>47419</v>
      </c>
      <c r="AB6" s="20">
        <v>34800</v>
      </c>
      <c r="AC6" s="21">
        <v>0.42199999999999999</v>
      </c>
      <c r="AD6" s="21">
        <v>0.45800000000000002</v>
      </c>
      <c r="AE6" s="20">
        <v>16041</v>
      </c>
      <c r="AF6" s="20">
        <v>11597</v>
      </c>
      <c r="AG6" s="2"/>
      <c r="AH6" s="19">
        <f t="shared" ref="AH6:AH69" si="0">IF($D6 = "SPLIT", "",COUNTIFS($D$7:$D$346,$D6,N$7:N$346,"&gt;"&amp;N6)+1)</f>
        <v>47</v>
      </c>
      <c r="AI6" s="19">
        <f t="shared" ref="AI6:AI69" si="1">IF($D6 = "SPLIT", "",COUNTIFS($D$7:$D$346,$D6,S$7:S$346,"&gt;"&amp;S6)+1)</f>
        <v>27</v>
      </c>
      <c r="AJ6" s="19">
        <f t="shared" ref="AJ6:AJ69" si="2">IF($D6 = "SPLIT", "",COUNTIFS($D$7:$D$346,$D6,T$7:T$346,"&gt;"&amp;T6)+1)</f>
        <v>31</v>
      </c>
      <c r="AK6" s="19">
        <f t="shared" ref="AK6:AK69" si="3">IF($D6 = "SPLIT", "",COUNTIFS($D$7:$D$346,$D6,X$7:X$346,"&lt;"&amp;X6)+1)</f>
        <v>16</v>
      </c>
      <c r="AL6" s="19">
        <f t="shared" ref="AL6:AL69" si="4">IF($D6 = "SPLIT", "",COUNTIFS($D$7:$D$346,$D6,Z$7:Z$346,"&gt;"&amp;Z6)+1)</f>
        <v>28</v>
      </c>
      <c r="AM6" s="19">
        <f t="shared" ref="AM6:AM69" si="5">IF($D6 = "SPLIT", "",COUNTIFS($D$7:$D$346,$D6,AB$7:AB$346,"&gt;"&amp;AB6)+1)</f>
        <v>28</v>
      </c>
      <c r="AN6" s="19">
        <f t="shared" ref="AN6:AN69" si="6">IF($D6 = "SPLIT", "",COUNTIFS($D$7:$D$346,$D6,AD$7:AD$346,"&gt;"&amp;AD6)+1)</f>
        <v>3</v>
      </c>
      <c r="AO6" s="19">
        <f t="shared" ref="AO6:AO69" si="7">IF($D6 = "SPLIT", "",COUNTIFS($D$7:$D$346,$D6,AF$7:AF$346,"&gt;"&amp;AF6)+1)</f>
        <v>8</v>
      </c>
    </row>
    <row r="7" spans="1:41" ht="12" hidden="1" x14ac:dyDescent="0.25">
      <c r="A7" s="14">
        <v>540002</v>
      </c>
      <c r="B7" s="17" t="s">
        <v>478</v>
      </c>
      <c r="C7" s="17" t="s">
        <v>474</v>
      </c>
      <c r="D7" s="17" t="s">
        <v>2</v>
      </c>
      <c r="E7" s="14">
        <v>7</v>
      </c>
      <c r="F7" s="14" t="s">
        <v>31</v>
      </c>
      <c r="G7" s="14">
        <v>63</v>
      </c>
      <c r="H7" s="14">
        <v>0</v>
      </c>
      <c r="I7" s="14">
        <v>34</v>
      </c>
      <c r="J7" s="14">
        <v>6</v>
      </c>
      <c r="K7" s="14">
        <v>103</v>
      </c>
      <c r="L7" s="16">
        <v>0.61199999999999999</v>
      </c>
      <c r="M7" s="16">
        <v>0</v>
      </c>
      <c r="N7" s="16">
        <v>0.33</v>
      </c>
      <c r="O7" s="16">
        <v>5.8000000000000003E-2</v>
      </c>
      <c r="P7" s="16">
        <v>0</v>
      </c>
      <c r="Q7" s="16">
        <v>0</v>
      </c>
      <c r="R7" s="2"/>
      <c r="S7" s="14">
        <v>0</v>
      </c>
      <c r="T7" s="14">
        <v>0</v>
      </c>
      <c r="U7" s="14">
        <v>0</v>
      </c>
      <c r="V7" s="2"/>
      <c r="W7" s="14">
        <v>1961.5</v>
      </c>
      <c r="X7" s="14">
        <v>1967</v>
      </c>
      <c r="Y7" s="15">
        <v>85788.9</v>
      </c>
      <c r="Z7" s="15">
        <v>52800</v>
      </c>
      <c r="AA7" s="15">
        <v>48454.8</v>
      </c>
      <c r="AB7" s="15">
        <v>43650</v>
      </c>
      <c r="AC7" s="16">
        <v>0.01</v>
      </c>
      <c r="AD7" s="16">
        <v>0.01</v>
      </c>
      <c r="AE7" s="15">
        <v>745.7</v>
      </c>
      <c r="AF7" s="15">
        <v>738</v>
      </c>
      <c r="AG7" s="2"/>
      <c r="AH7" s="14">
        <f t="shared" si="0"/>
        <v>30</v>
      </c>
      <c r="AI7" s="14">
        <f t="shared" si="1"/>
        <v>172</v>
      </c>
      <c r="AJ7" s="14">
        <f t="shared" si="2"/>
        <v>108</v>
      </c>
      <c r="AK7" s="14">
        <f t="shared" si="3"/>
        <v>156</v>
      </c>
      <c r="AL7" s="14">
        <f t="shared" si="4"/>
        <v>63</v>
      </c>
      <c r="AM7" s="14">
        <f t="shared" si="5"/>
        <v>82</v>
      </c>
      <c r="AN7" s="14">
        <f t="shared" si="6"/>
        <v>195</v>
      </c>
      <c r="AO7" s="14">
        <f t="shared" si="7"/>
        <v>193</v>
      </c>
    </row>
    <row r="8" spans="1:41" ht="12" hidden="1" x14ac:dyDescent="0.25">
      <c r="A8" s="14">
        <v>540003</v>
      </c>
      <c r="B8" s="17" t="s">
        <v>477</v>
      </c>
      <c r="C8" s="17" t="s">
        <v>474</v>
      </c>
      <c r="D8" s="17" t="s">
        <v>2</v>
      </c>
      <c r="E8" s="14">
        <v>7</v>
      </c>
      <c r="F8" s="14" t="s">
        <v>476</v>
      </c>
      <c r="G8" s="14">
        <v>15</v>
      </c>
      <c r="H8" s="14">
        <v>1</v>
      </c>
      <c r="I8" s="14">
        <v>2</v>
      </c>
      <c r="J8" s="14">
        <v>0</v>
      </c>
      <c r="K8" s="14">
        <v>18</v>
      </c>
      <c r="L8" s="16">
        <v>0.83299999999999996</v>
      </c>
      <c r="M8" s="16">
        <v>5.6000000000000001E-2</v>
      </c>
      <c r="N8" s="16">
        <v>0.111</v>
      </c>
      <c r="O8" s="16">
        <v>0</v>
      </c>
      <c r="P8" s="16">
        <v>0</v>
      </c>
      <c r="Q8" s="16">
        <v>0</v>
      </c>
      <c r="R8" s="2"/>
      <c r="S8" s="14">
        <v>5</v>
      </c>
      <c r="T8" s="14">
        <v>0</v>
      </c>
      <c r="U8" s="14">
        <v>0</v>
      </c>
      <c r="V8" s="2"/>
      <c r="W8" s="14">
        <v>1946.7</v>
      </c>
      <c r="X8" s="14">
        <v>1930</v>
      </c>
      <c r="Y8" s="15">
        <v>59535</v>
      </c>
      <c r="Z8" s="15">
        <v>24850</v>
      </c>
      <c r="AA8" s="15">
        <v>25913.5</v>
      </c>
      <c r="AB8" s="15">
        <v>24000</v>
      </c>
      <c r="AC8" s="16">
        <v>0.32600000000000001</v>
      </c>
      <c r="AD8" s="16">
        <v>0.24299999999999999</v>
      </c>
      <c r="AE8" s="15">
        <v>5856.5</v>
      </c>
      <c r="AF8" s="15">
        <v>3548.9</v>
      </c>
      <c r="AG8" s="2"/>
      <c r="AH8" s="14">
        <f t="shared" si="0"/>
        <v>113</v>
      </c>
      <c r="AI8" s="14">
        <f t="shared" si="1"/>
        <v>110</v>
      </c>
      <c r="AJ8" s="14">
        <f t="shared" si="2"/>
        <v>108</v>
      </c>
      <c r="AK8" s="14">
        <f t="shared" si="3"/>
        <v>48</v>
      </c>
      <c r="AL8" s="14">
        <f t="shared" si="4"/>
        <v>174</v>
      </c>
      <c r="AM8" s="14">
        <f t="shared" si="5"/>
        <v>169</v>
      </c>
      <c r="AN8" s="14">
        <f t="shared" si="6"/>
        <v>35</v>
      </c>
      <c r="AO8" s="14">
        <f t="shared" si="7"/>
        <v>123</v>
      </c>
    </row>
    <row r="9" spans="1:41" ht="12" hidden="1" x14ac:dyDescent="0.25">
      <c r="A9" s="14">
        <v>540004</v>
      </c>
      <c r="B9" s="17" t="s">
        <v>475</v>
      </c>
      <c r="C9" s="17" t="s">
        <v>474</v>
      </c>
      <c r="D9" s="17" t="s">
        <v>2</v>
      </c>
      <c r="E9" s="14">
        <v>7</v>
      </c>
      <c r="F9" s="14" t="s">
        <v>42</v>
      </c>
      <c r="G9" s="14">
        <v>267</v>
      </c>
      <c r="H9" s="14">
        <v>4</v>
      </c>
      <c r="I9" s="14">
        <v>30</v>
      </c>
      <c r="J9" s="14">
        <v>10</v>
      </c>
      <c r="K9" s="14">
        <v>311</v>
      </c>
      <c r="L9" s="16">
        <v>0.85899999999999999</v>
      </c>
      <c r="M9" s="16">
        <v>1.2999999999999999E-2</v>
      </c>
      <c r="N9" s="16">
        <v>9.6000000000000002E-2</v>
      </c>
      <c r="O9" s="16">
        <v>3.2000000000000001E-2</v>
      </c>
      <c r="P9" s="16">
        <v>3.0000000000000001E-3</v>
      </c>
      <c r="Q9" s="16">
        <v>1.2999999999999999E-2</v>
      </c>
      <c r="R9" s="2"/>
      <c r="S9" s="14">
        <v>53</v>
      </c>
      <c r="T9" s="14">
        <v>6</v>
      </c>
      <c r="U9" s="14">
        <v>4</v>
      </c>
      <c r="V9" s="2"/>
      <c r="W9" s="14">
        <v>1942.1</v>
      </c>
      <c r="X9" s="14">
        <v>1940</v>
      </c>
      <c r="Y9" s="15">
        <v>105791.9</v>
      </c>
      <c r="Z9" s="15">
        <v>51600</v>
      </c>
      <c r="AA9" s="15">
        <v>61047.7</v>
      </c>
      <c r="AB9" s="15">
        <v>46650</v>
      </c>
      <c r="AC9" s="16">
        <v>0.13700000000000001</v>
      </c>
      <c r="AD9" s="16">
        <v>0.112</v>
      </c>
      <c r="AE9" s="15">
        <v>11645.3</v>
      </c>
      <c r="AF9" s="15">
        <v>5281.7</v>
      </c>
      <c r="AG9" s="2"/>
      <c r="AH9" s="14">
        <f t="shared" si="0"/>
        <v>131</v>
      </c>
      <c r="AI9" s="14">
        <f t="shared" si="1"/>
        <v>28</v>
      </c>
      <c r="AJ9" s="14">
        <f t="shared" si="2"/>
        <v>27</v>
      </c>
      <c r="AK9" s="14">
        <f t="shared" si="3"/>
        <v>72</v>
      </c>
      <c r="AL9" s="14">
        <f t="shared" si="4"/>
        <v>68</v>
      </c>
      <c r="AM9" s="14">
        <f t="shared" si="5"/>
        <v>71</v>
      </c>
      <c r="AN9" s="14">
        <f t="shared" si="6"/>
        <v>102</v>
      </c>
      <c r="AO9" s="14">
        <f t="shared" si="7"/>
        <v>85</v>
      </c>
    </row>
    <row r="10" spans="1:41" hidden="1" x14ac:dyDescent="0.3">
      <c r="A10" s="129"/>
      <c r="B10" s="130"/>
      <c r="C10" s="130" t="s">
        <v>474</v>
      </c>
      <c r="D10" s="130" t="s">
        <v>26</v>
      </c>
      <c r="E10" s="129">
        <v>7</v>
      </c>
      <c r="F10" s="129"/>
      <c r="G10" s="129">
        <v>614</v>
      </c>
      <c r="H10" s="129">
        <v>23</v>
      </c>
      <c r="I10" s="129">
        <v>131</v>
      </c>
      <c r="J10" s="129">
        <v>74</v>
      </c>
      <c r="K10" s="129">
        <v>842</v>
      </c>
      <c r="L10" s="131">
        <v>0.72899999999999998</v>
      </c>
      <c r="M10" s="131">
        <v>2.7E-2</v>
      </c>
      <c r="N10" s="131">
        <v>0.156</v>
      </c>
      <c r="O10" s="131">
        <v>8.7999999999999995E-2</v>
      </c>
      <c r="P10" s="131">
        <v>2.5999999999999999E-2</v>
      </c>
      <c r="Q10" s="131">
        <v>2.5000000000000001E-2</v>
      </c>
      <c r="S10" s="129">
        <v>189</v>
      </c>
      <c r="T10" s="129">
        <v>23</v>
      </c>
      <c r="U10" s="129">
        <v>25</v>
      </c>
      <c r="W10" s="129">
        <v>1954.2</v>
      </c>
      <c r="X10" s="129">
        <v>1953</v>
      </c>
      <c r="Y10" s="132">
        <v>74770.899999999994</v>
      </c>
      <c r="Z10" s="132">
        <v>44150</v>
      </c>
      <c r="AA10" s="132">
        <v>53783.7</v>
      </c>
      <c r="AB10" s="132">
        <v>46650</v>
      </c>
      <c r="AC10" s="131">
        <v>0.28399999999999997</v>
      </c>
      <c r="AD10" s="131">
        <v>0.17</v>
      </c>
      <c r="AE10" s="132">
        <v>13603.4</v>
      </c>
      <c r="AF10" s="132">
        <v>7992.9</v>
      </c>
      <c r="AH10" s="129">
        <f t="shared" si="0"/>
        <v>43</v>
      </c>
      <c r="AI10" s="129">
        <f t="shared" si="1"/>
        <v>29</v>
      </c>
      <c r="AJ10" s="129">
        <f t="shared" si="2"/>
        <v>33</v>
      </c>
      <c r="AK10" s="129">
        <f t="shared" si="3"/>
        <v>9</v>
      </c>
      <c r="AL10" s="129">
        <f t="shared" si="4"/>
        <v>23</v>
      </c>
      <c r="AM10" s="129">
        <f t="shared" si="5"/>
        <v>28</v>
      </c>
      <c r="AN10" s="129">
        <f t="shared" si="6"/>
        <v>21</v>
      </c>
      <c r="AO10" s="129">
        <f t="shared" si="7"/>
        <v>16</v>
      </c>
    </row>
    <row r="11" spans="1:41" ht="12" hidden="1" x14ac:dyDescent="0.25">
      <c r="A11" s="19">
        <v>540282</v>
      </c>
      <c r="B11" s="22" t="s">
        <v>473</v>
      </c>
      <c r="C11" s="22" t="s">
        <v>469</v>
      </c>
      <c r="D11" s="22" t="s">
        <v>29</v>
      </c>
      <c r="E11" s="19">
        <v>9</v>
      </c>
      <c r="F11" s="19" t="s">
        <v>472</v>
      </c>
      <c r="G11" s="19">
        <v>368</v>
      </c>
      <c r="H11" s="19">
        <v>33</v>
      </c>
      <c r="I11" s="19">
        <v>172</v>
      </c>
      <c r="J11" s="19">
        <v>62</v>
      </c>
      <c r="K11" s="19">
        <v>635</v>
      </c>
      <c r="L11" s="21">
        <v>0.57999999999999996</v>
      </c>
      <c r="M11" s="21">
        <v>5.1999999999999998E-2</v>
      </c>
      <c r="N11" s="21">
        <v>0.27100000000000002</v>
      </c>
      <c r="O11" s="21">
        <v>9.8000000000000004E-2</v>
      </c>
      <c r="P11" s="21">
        <v>9.6000000000000002E-2</v>
      </c>
      <c r="Q11" s="21">
        <v>0</v>
      </c>
      <c r="R11" s="2"/>
      <c r="S11" s="19">
        <v>188</v>
      </c>
      <c r="T11" s="19">
        <v>27</v>
      </c>
      <c r="U11" s="19">
        <v>13</v>
      </c>
      <c r="V11" s="2"/>
      <c r="W11" s="19">
        <v>1969.6</v>
      </c>
      <c r="X11" s="19">
        <v>1978</v>
      </c>
      <c r="Y11" s="20">
        <v>83355.7</v>
      </c>
      <c r="Z11" s="20">
        <v>56900</v>
      </c>
      <c r="AA11" s="20">
        <v>81733.5</v>
      </c>
      <c r="AB11" s="20">
        <v>56000</v>
      </c>
      <c r="AC11" s="21">
        <v>0.51400000000000001</v>
      </c>
      <c r="AD11" s="21">
        <v>0.64500000000000002</v>
      </c>
      <c r="AE11" s="20">
        <v>23009.200000000001</v>
      </c>
      <c r="AF11" s="20">
        <v>14661</v>
      </c>
      <c r="AG11" s="2"/>
      <c r="AH11" s="19">
        <f t="shared" si="0"/>
        <v>19</v>
      </c>
      <c r="AI11" s="19">
        <f t="shared" si="1"/>
        <v>20</v>
      </c>
      <c r="AJ11" s="19">
        <f t="shared" si="2"/>
        <v>26</v>
      </c>
      <c r="AK11" s="19">
        <f t="shared" si="3"/>
        <v>44</v>
      </c>
      <c r="AL11" s="19">
        <f t="shared" si="4"/>
        <v>6</v>
      </c>
      <c r="AM11" s="19">
        <f t="shared" si="5"/>
        <v>4</v>
      </c>
      <c r="AN11" s="19">
        <f t="shared" si="6"/>
        <v>1</v>
      </c>
      <c r="AO11" s="19">
        <f t="shared" si="7"/>
        <v>5</v>
      </c>
    </row>
    <row r="12" spans="1:41" ht="12" hidden="1" x14ac:dyDescent="0.25">
      <c r="A12" s="14">
        <v>540006</v>
      </c>
      <c r="B12" s="17" t="s">
        <v>471</v>
      </c>
      <c r="C12" s="17" t="s">
        <v>469</v>
      </c>
      <c r="D12" s="17" t="s">
        <v>2</v>
      </c>
      <c r="E12" s="14">
        <v>9</v>
      </c>
      <c r="F12" s="14" t="s">
        <v>470</v>
      </c>
      <c r="G12" s="14">
        <v>59</v>
      </c>
      <c r="H12" s="14">
        <v>1</v>
      </c>
      <c r="I12" s="14">
        <v>15</v>
      </c>
      <c r="J12" s="14">
        <v>0</v>
      </c>
      <c r="K12" s="14">
        <v>75</v>
      </c>
      <c r="L12" s="16">
        <v>0.78700000000000003</v>
      </c>
      <c r="M12" s="16">
        <v>1.2999999999999999E-2</v>
      </c>
      <c r="N12" s="16">
        <v>0.2</v>
      </c>
      <c r="O12" s="16">
        <v>0</v>
      </c>
      <c r="P12" s="16">
        <v>0</v>
      </c>
      <c r="Q12" s="16">
        <v>0</v>
      </c>
      <c r="R12" s="2"/>
      <c r="S12" s="14">
        <v>8</v>
      </c>
      <c r="T12" s="14">
        <v>0</v>
      </c>
      <c r="U12" s="14">
        <v>0</v>
      </c>
      <c r="V12" s="2"/>
      <c r="W12" s="14">
        <v>1961.9</v>
      </c>
      <c r="X12" s="14">
        <v>1970</v>
      </c>
      <c r="Y12" s="15">
        <v>830991.4</v>
      </c>
      <c r="Z12" s="15">
        <v>103200</v>
      </c>
      <c r="AA12" s="15">
        <v>120079.5</v>
      </c>
      <c r="AB12" s="15">
        <v>103200</v>
      </c>
      <c r="AC12" s="16">
        <v>9.7000000000000003E-2</v>
      </c>
      <c r="AD12" s="16">
        <v>9.1999999999999998E-2</v>
      </c>
      <c r="AE12" s="15">
        <v>486373.4</v>
      </c>
      <c r="AF12" s="15">
        <v>3955.9</v>
      </c>
      <c r="AG12" s="2"/>
      <c r="AH12" s="14">
        <f t="shared" si="0"/>
        <v>61</v>
      </c>
      <c r="AI12" s="14">
        <f t="shared" si="1"/>
        <v>100</v>
      </c>
      <c r="AJ12" s="14">
        <f t="shared" si="2"/>
        <v>108</v>
      </c>
      <c r="AK12" s="14">
        <f t="shared" si="3"/>
        <v>164</v>
      </c>
      <c r="AL12" s="14">
        <f t="shared" si="4"/>
        <v>13</v>
      </c>
      <c r="AM12" s="14">
        <f t="shared" si="5"/>
        <v>8</v>
      </c>
      <c r="AN12" s="14">
        <f t="shared" si="6"/>
        <v>127</v>
      </c>
      <c r="AO12" s="14">
        <f t="shared" si="7"/>
        <v>114</v>
      </c>
    </row>
    <row r="13" spans="1:41" hidden="1" x14ac:dyDescent="0.3">
      <c r="A13" s="129"/>
      <c r="B13" s="130"/>
      <c r="C13" s="130" t="s">
        <v>469</v>
      </c>
      <c r="D13" s="130" t="s">
        <v>26</v>
      </c>
      <c r="E13" s="129">
        <v>9</v>
      </c>
      <c r="F13" s="129"/>
      <c r="G13" s="129">
        <v>427</v>
      </c>
      <c r="H13" s="129">
        <v>34</v>
      </c>
      <c r="I13" s="129">
        <v>187</v>
      </c>
      <c r="J13" s="129">
        <v>62</v>
      </c>
      <c r="K13" s="129">
        <v>710</v>
      </c>
      <c r="L13" s="131">
        <v>0.60099999999999998</v>
      </c>
      <c r="M13" s="131">
        <v>4.8000000000000001E-2</v>
      </c>
      <c r="N13" s="131">
        <v>0.26300000000000001</v>
      </c>
      <c r="O13" s="131">
        <v>8.6999999999999994E-2</v>
      </c>
      <c r="P13" s="131">
        <v>8.5999999999999993E-2</v>
      </c>
      <c r="Q13" s="131">
        <v>0</v>
      </c>
      <c r="S13" s="129">
        <v>196</v>
      </c>
      <c r="T13" s="129">
        <v>27</v>
      </c>
      <c r="U13" s="129">
        <v>13</v>
      </c>
      <c r="W13" s="129">
        <v>1968.7</v>
      </c>
      <c r="X13" s="129">
        <v>1977</v>
      </c>
      <c r="Y13" s="132">
        <v>162331.29999999999</v>
      </c>
      <c r="Z13" s="132">
        <v>62250</v>
      </c>
      <c r="AA13" s="132">
        <v>112260</v>
      </c>
      <c r="AB13" s="132">
        <v>95500</v>
      </c>
      <c r="AC13" s="131">
        <v>0.47</v>
      </c>
      <c r="AD13" s="131">
        <v>0.53500000000000003</v>
      </c>
      <c r="AE13" s="132">
        <v>71345.7</v>
      </c>
      <c r="AF13" s="132">
        <v>13231.2</v>
      </c>
      <c r="AH13" s="129">
        <f t="shared" si="0"/>
        <v>15</v>
      </c>
      <c r="AI13" s="129">
        <f t="shared" si="1"/>
        <v>28</v>
      </c>
      <c r="AJ13" s="129">
        <f t="shared" si="2"/>
        <v>32</v>
      </c>
      <c r="AK13" s="129">
        <f t="shared" si="3"/>
        <v>48</v>
      </c>
      <c r="AL13" s="129">
        <f t="shared" si="4"/>
        <v>4</v>
      </c>
      <c r="AM13" s="129">
        <f t="shared" si="5"/>
        <v>2</v>
      </c>
      <c r="AN13" s="129">
        <f t="shared" si="6"/>
        <v>1</v>
      </c>
      <c r="AO13" s="129">
        <f t="shared" si="7"/>
        <v>5</v>
      </c>
    </row>
    <row r="14" spans="1:41" ht="12" hidden="1" x14ac:dyDescent="0.25">
      <c r="A14" s="19">
        <v>540007</v>
      </c>
      <c r="B14" s="22" t="s">
        <v>468</v>
      </c>
      <c r="C14" s="22" t="s">
        <v>463</v>
      </c>
      <c r="D14" s="22" t="s">
        <v>29</v>
      </c>
      <c r="E14" s="19">
        <v>3</v>
      </c>
      <c r="F14" s="19" t="s">
        <v>141</v>
      </c>
      <c r="G14" s="19">
        <v>2187</v>
      </c>
      <c r="H14" s="19">
        <v>142</v>
      </c>
      <c r="I14" s="19">
        <v>583</v>
      </c>
      <c r="J14" s="19">
        <v>401</v>
      </c>
      <c r="K14" s="19">
        <v>3313</v>
      </c>
      <c r="L14" s="21">
        <v>0.66</v>
      </c>
      <c r="M14" s="21">
        <v>4.2999999999999997E-2</v>
      </c>
      <c r="N14" s="21">
        <v>0.17599999999999999</v>
      </c>
      <c r="O14" s="21">
        <v>0.121</v>
      </c>
      <c r="P14" s="21">
        <v>9.0999999999999998E-2</v>
      </c>
      <c r="Q14" s="21">
        <v>1.9E-2</v>
      </c>
      <c r="R14" s="2"/>
      <c r="S14" s="19">
        <v>661</v>
      </c>
      <c r="T14" s="19">
        <v>104</v>
      </c>
      <c r="U14" s="19">
        <v>80</v>
      </c>
      <c r="V14" s="2"/>
      <c r="W14" s="19">
        <v>1966.9</v>
      </c>
      <c r="X14" s="19">
        <v>1973</v>
      </c>
      <c r="Y14" s="20">
        <v>52568.9</v>
      </c>
      <c r="Z14" s="20">
        <v>29600</v>
      </c>
      <c r="AA14" s="20">
        <v>40073.699999999997</v>
      </c>
      <c r="AB14" s="20">
        <v>28700</v>
      </c>
      <c r="AC14" s="21">
        <v>0.29599999999999999</v>
      </c>
      <c r="AD14" s="21">
        <v>0.20899999999999999</v>
      </c>
      <c r="AE14" s="20">
        <v>11378.6</v>
      </c>
      <c r="AF14" s="20">
        <v>6919.7</v>
      </c>
      <c r="AG14" s="2"/>
      <c r="AH14" s="19">
        <f t="shared" si="0"/>
        <v>43</v>
      </c>
      <c r="AI14" s="19">
        <f t="shared" si="1"/>
        <v>3</v>
      </c>
      <c r="AJ14" s="19">
        <f t="shared" si="2"/>
        <v>6</v>
      </c>
      <c r="AK14" s="19">
        <f t="shared" si="3"/>
        <v>29</v>
      </c>
      <c r="AL14" s="19">
        <f t="shared" si="4"/>
        <v>38</v>
      </c>
      <c r="AM14" s="19">
        <f t="shared" si="5"/>
        <v>37</v>
      </c>
      <c r="AN14" s="19">
        <f t="shared" si="6"/>
        <v>20</v>
      </c>
      <c r="AO14" s="19">
        <f t="shared" si="7"/>
        <v>23</v>
      </c>
    </row>
    <row r="15" spans="1:41" ht="12" hidden="1" x14ac:dyDescent="0.25">
      <c r="A15" s="14">
        <v>540008</v>
      </c>
      <c r="B15" s="17" t="s">
        <v>467</v>
      </c>
      <c r="C15" s="17" t="s">
        <v>463</v>
      </c>
      <c r="D15" s="17" t="s">
        <v>2</v>
      </c>
      <c r="E15" s="14">
        <v>3</v>
      </c>
      <c r="F15" s="14" t="s">
        <v>141</v>
      </c>
      <c r="G15" s="14">
        <v>213</v>
      </c>
      <c r="H15" s="14">
        <v>2</v>
      </c>
      <c r="I15" s="14">
        <v>39</v>
      </c>
      <c r="J15" s="14">
        <v>45</v>
      </c>
      <c r="K15" s="14">
        <v>299</v>
      </c>
      <c r="L15" s="16">
        <v>0.71199999999999997</v>
      </c>
      <c r="M15" s="16">
        <v>7.0000000000000001E-3</v>
      </c>
      <c r="N15" s="16">
        <v>0.13</v>
      </c>
      <c r="O15" s="16">
        <v>0.151</v>
      </c>
      <c r="P15" s="16">
        <v>0.127</v>
      </c>
      <c r="Q15" s="16">
        <v>2.3E-2</v>
      </c>
      <c r="R15" s="2"/>
      <c r="S15" s="14">
        <v>138</v>
      </c>
      <c r="T15" s="14">
        <v>9</v>
      </c>
      <c r="U15" s="14">
        <v>21</v>
      </c>
      <c r="V15" s="2"/>
      <c r="W15" s="14">
        <v>1963.1</v>
      </c>
      <c r="X15" s="14">
        <v>1960</v>
      </c>
      <c r="Y15" s="15">
        <v>170629.1</v>
      </c>
      <c r="Z15" s="15">
        <v>45600</v>
      </c>
      <c r="AA15" s="15">
        <v>51053.5</v>
      </c>
      <c r="AB15" s="15">
        <v>41300</v>
      </c>
      <c r="AC15" s="16">
        <v>0.34499999999999997</v>
      </c>
      <c r="AD15" s="16">
        <v>0.27</v>
      </c>
      <c r="AE15" s="15">
        <v>16620.5</v>
      </c>
      <c r="AF15" s="15">
        <v>12576.1</v>
      </c>
      <c r="AG15" s="2"/>
      <c r="AH15" s="14">
        <f t="shared" si="0"/>
        <v>100</v>
      </c>
      <c r="AI15" s="14">
        <f t="shared" si="1"/>
        <v>7</v>
      </c>
      <c r="AJ15" s="14">
        <f t="shared" si="2"/>
        <v>19</v>
      </c>
      <c r="AK15" s="14">
        <f t="shared" si="3"/>
        <v>146</v>
      </c>
      <c r="AL15" s="14">
        <f t="shared" si="4"/>
        <v>86</v>
      </c>
      <c r="AM15" s="14">
        <f t="shared" si="5"/>
        <v>89</v>
      </c>
      <c r="AN15" s="14">
        <f t="shared" si="6"/>
        <v>26</v>
      </c>
      <c r="AO15" s="14">
        <f t="shared" si="7"/>
        <v>24</v>
      </c>
    </row>
    <row r="16" spans="1:41" ht="12" hidden="1" x14ac:dyDescent="0.25">
      <c r="A16" s="14">
        <v>540229</v>
      </c>
      <c r="B16" s="17" t="s">
        <v>466</v>
      </c>
      <c r="C16" s="17" t="s">
        <v>463</v>
      </c>
      <c r="D16" s="17" t="s">
        <v>2</v>
      </c>
      <c r="E16" s="14">
        <v>3</v>
      </c>
      <c r="F16" s="14" t="s">
        <v>141</v>
      </c>
      <c r="G16" s="14">
        <v>97</v>
      </c>
      <c r="H16" s="14">
        <v>1</v>
      </c>
      <c r="I16" s="14">
        <v>17</v>
      </c>
      <c r="J16" s="14">
        <v>7</v>
      </c>
      <c r="K16" s="14">
        <v>122</v>
      </c>
      <c r="L16" s="16">
        <v>0.79500000000000004</v>
      </c>
      <c r="M16" s="16">
        <v>8.0000000000000002E-3</v>
      </c>
      <c r="N16" s="16">
        <v>0.13900000000000001</v>
      </c>
      <c r="O16" s="16">
        <v>5.7000000000000002E-2</v>
      </c>
      <c r="P16" s="16">
        <v>2.5000000000000001E-2</v>
      </c>
      <c r="Q16" s="16">
        <v>2.5000000000000001E-2</v>
      </c>
      <c r="R16" s="2"/>
      <c r="S16" s="14">
        <v>3</v>
      </c>
      <c r="T16" s="14">
        <v>0</v>
      </c>
      <c r="U16" s="14">
        <v>0</v>
      </c>
      <c r="V16" s="2"/>
      <c r="W16" s="14">
        <v>1947.4</v>
      </c>
      <c r="X16" s="14">
        <v>1942.5</v>
      </c>
      <c r="Y16" s="15">
        <v>79552.5</v>
      </c>
      <c r="Z16" s="15">
        <v>35650</v>
      </c>
      <c r="AA16" s="15">
        <v>40847.300000000003</v>
      </c>
      <c r="AB16" s="15">
        <v>32050</v>
      </c>
      <c r="AC16" s="16">
        <v>0.11600000000000001</v>
      </c>
      <c r="AD16" s="16">
        <v>0.108</v>
      </c>
      <c r="AE16" s="15">
        <v>6664.3</v>
      </c>
      <c r="AF16" s="15">
        <v>4013.7</v>
      </c>
      <c r="AG16" s="2"/>
      <c r="AH16" s="14">
        <f t="shared" si="0"/>
        <v>94</v>
      </c>
      <c r="AI16" s="14">
        <f t="shared" si="1"/>
        <v>125</v>
      </c>
      <c r="AJ16" s="14">
        <f t="shared" si="2"/>
        <v>108</v>
      </c>
      <c r="AK16" s="14">
        <f t="shared" si="3"/>
        <v>93</v>
      </c>
      <c r="AL16" s="14">
        <f t="shared" si="4"/>
        <v>132</v>
      </c>
      <c r="AM16" s="14">
        <f t="shared" si="5"/>
        <v>126</v>
      </c>
      <c r="AN16" s="14">
        <f t="shared" si="6"/>
        <v>111</v>
      </c>
      <c r="AO16" s="14">
        <f t="shared" si="7"/>
        <v>112</v>
      </c>
    </row>
    <row r="17" spans="1:41" ht="12" hidden="1" x14ac:dyDescent="0.25">
      <c r="A17" s="14">
        <v>540230</v>
      </c>
      <c r="B17" s="17" t="s">
        <v>465</v>
      </c>
      <c r="C17" s="17" t="s">
        <v>463</v>
      </c>
      <c r="D17" s="17" t="s">
        <v>2</v>
      </c>
      <c r="E17" s="14">
        <v>3</v>
      </c>
      <c r="F17" s="14" t="s">
        <v>141</v>
      </c>
      <c r="G17" s="14">
        <v>105</v>
      </c>
      <c r="H17" s="14">
        <v>0</v>
      </c>
      <c r="I17" s="14">
        <v>18</v>
      </c>
      <c r="J17" s="14">
        <v>10</v>
      </c>
      <c r="K17" s="14">
        <v>133</v>
      </c>
      <c r="L17" s="16">
        <v>0.78900000000000003</v>
      </c>
      <c r="M17" s="16">
        <v>0</v>
      </c>
      <c r="N17" s="16">
        <v>0.13500000000000001</v>
      </c>
      <c r="O17" s="16">
        <v>7.4999999999999997E-2</v>
      </c>
      <c r="P17" s="16">
        <v>3.7999999999999999E-2</v>
      </c>
      <c r="Q17" s="16">
        <v>0.03</v>
      </c>
      <c r="R17" s="2"/>
      <c r="S17" s="14">
        <v>66</v>
      </c>
      <c r="T17" s="14">
        <v>6</v>
      </c>
      <c r="U17" s="14">
        <v>4</v>
      </c>
      <c r="V17" s="2"/>
      <c r="W17" s="14">
        <v>1961.5</v>
      </c>
      <c r="X17" s="14">
        <v>1972</v>
      </c>
      <c r="Y17" s="15">
        <v>99708.6</v>
      </c>
      <c r="Z17" s="15">
        <v>55700</v>
      </c>
      <c r="AA17" s="15">
        <v>69572.100000000006</v>
      </c>
      <c r="AB17" s="15">
        <v>41250</v>
      </c>
      <c r="AC17" s="16">
        <v>0.308</v>
      </c>
      <c r="AD17" s="16">
        <v>0.218</v>
      </c>
      <c r="AE17" s="15">
        <v>15118.3</v>
      </c>
      <c r="AF17" s="15">
        <v>12560.5</v>
      </c>
      <c r="AG17" s="2"/>
      <c r="AH17" s="14">
        <f t="shared" si="0"/>
        <v>98</v>
      </c>
      <c r="AI17" s="14">
        <f t="shared" si="1"/>
        <v>26</v>
      </c>
      <c r="AJ17" s="14">
        <f t="shared" si="2"/>
        <v>27</v>
      </c>
      <c r="AK17" s="14">
        <f t="shared" si="3"/>
        <v>169</v>
      </c>
      <c r="AL17" s="14">
        <f t="shared" si="4"/>
        <v>57</v>
      </c>
      <c r="AM17" s="14">
        <f t="shared" si="5"/>
        <v>91</v>
      </c>
      <c r="AN17" s="14">
        <f t="shared" si="6"/>
        <v>44</v>
      </c>
      <c r="AO17" s="14">
        <f t="shared" si="7"/>
        <v>25</v>
      </c>
    </row>
    <row r="18" spans="1:41" ht="12" hidden="1" x14ac:dyDescent="0.25">
      <c r="A18" s="14">
        <v>540238</v>
      </c>
      <c r="B18" s="17" t="s">
        <v>464</v>
      </c>
      <c r="C18" s="17" t="s">
        <v>463</v>
      </c>
      <c r="D18" s="17" t="s">
        <v>2</v>
      </c>
      <c r="E18" s="14">
        <v>3</v>
      </c>
      <c r="F18" s="14" t="s">
        <v>141</v>
      </c>
      <c r="G18" s="14">
        <v>78</v>
      </c>
      <c r="H18" s="14">
        <v>0</v>
      </c>
      <c r="I18" s="14">
        <v>1</v>
      </c>
      <c r="J18" s="14">
        <v>1</v>
      </c>
      <c r="K18" s="14">
        <v>80</v>
      </c>
      <c r="L18" s="16">
        <v>0.97499999999999998</v>
      </c>
      <c r="M18" s="16">
        <v>0</v>
      </c>
      <c r="N18" s="16">
        <v>1.2999999999999999E-2</v>
      </c>
      <c r="O18" s="16">
        <v>1.2999999999999999E-2</v>
      </c>
      <c r="P18" s="16">
        <v>0</v>
      </c>
      <c r="Q18" s="16">
        <v>1.2999999999999999E-2</v>
      </c>
      <c r="R18" s="2"/>
      <c r="S18" s="14">
        <v>5</v>
      </c>
      <c r="T18" s="14">
        <v>0</v>
      </c>
      <c r="U18" s="14">
        <v>0</v>
      </c>
      <c r="V18" s="2"/>
      <c r="W18" s="14">
        <v>1953.2</v>
      </c>
      <c r="X18" s="14">
        <v>1950</v>
      </c>
      <c r="Y18" s="15">
        <v>56851.5</v>
      </c>
      <c r="Z18" s="15">
        <v>46650</v>
      </c>
      <c r="AA18" s="15">
        <v>54531.9</v>
      </c>
      <c r="AB18" s="15">
        <v>46000</v>
      </c>
      <c r="AC18" s="16">
        <v>0.187</v>
      </c>
      <c r="AD18" s="16">
        <v>0.184</v>
      </c>
      <c r="AE18" s="15">
        <v>7755.1</v>
      </c>
      <c r="AF18" s="15">
        <v>8387.6</v>
      </c>
      <c r="AG18" s="2"/>
      <c r="AH18" s="14">
        <f t="shared" si="0"/>
        <v>186</v>
      </c>
      <c r="AI18" s="14">
        <f t="shared" si="1"/>
        <v>110</v>
      </c>
      <c r="AJ18" s="14">
        <f t="shared" si="2"/>
        <v>108</v>
      </c>
      <c r="AK18" s="14">
        <f t="shared" si="3"/>
        <v>120</v>
      </c>
      <c r="AL18" s="14">
        <f t="shared" si="4"/>
        <v>83</v>
      </c>
      <c r="AM18" s="14">
        <f t="shared" si="5"/>
        <v>73</v>
      </c>
      <c r="AN18" s="14">
        <f t="shared" si="6"/>
        <v>60</v>
      </c>
      <c r="AO18" s="14">
        <f t="shared" si="7"/>
        <v>49</v>
      </c>
    </row>
    <row r="19" spans="1:41" hidden="1" x14ac:dyDescent="0.3">
      <c r="A19" s="129"/>
      <c r="B19" s="130"/>
      <c r="C19" s="130" t="s">
        <v>463</v>
      </c>
      <c r="D19" s="130" t="s">
        <v>26</v>
      </c>
      <c r="E19" s="129">
        <v>3</v>
      </c>
      <c r="F19" s="129"/>
      <c r="G19" s="129">
        <v>2680</v>
      </c>
      <c r="H19" s="129">
        <v>145</v>
      </c>
      <c r="I19" s="129">
        <v>658</v>
      </c>
      <c r="J19" s="129">
        <v>464</v>
      </c>
      <c r="K19" s="129">
        <v>3947</v>
      </c>
      <c r="L19" s="131">
        <v>0.67900000000000005</v>
      </c>
      <c r="M19" s="131">
        <v>3.6999999999999998E-2</v>
      </c>
      <c r="N19" s="131">
        <v>0.16700000000000001</v>
      </c>
      <c r="O19" s="131">
        <v>0.11799999999999999</v>
      </c>
      <c r="P19" s="131">
        <v>8.7999999999999995E-2</v>
      </c>
      <c r="Q19" s="131">
        <v>0.02</v>
      </c>
      <c r="S19" s="129">
        <v>873</v>
      </c>
      <c r="T19" s="129">
        <v>119</v>
      </c>
      <c r="U19" s="129">
        <v>105</v>
      </c>
      <c r="W19" s="129">
        <v>1965.5</v>
      </c>
      <c r="X19" s="129">
        <v>1970</v>
      </c>
      <c r="Y19" s="132">
        <v>64021.7</v>
      </c>
      <c r="Z19" s="132">
        <v>31800</v>
      </c>
      <c r="AA19" s="132">
        <v>46664.3</v>
      </c>
      <c r="AB19" s="132">
        <v>36400</v>
      </c>
      <c r="AC19" s="131">
        <v>0.29799999999999999</v>
      </c>
      <c r="AD19" s="131">
        <v>0.21199999999999999</v>
      </c>
      <c r="AE19" s="132">
        <v>12071.8</v>
      </c>
      <c r="AF19" s="132">
        <v>7790.8</v>
      </c>
      <c r="AH19" s="129">
        <f t="shared" si="0"/>
        <v>41</v>
      </c>
      <c r="AI19" s="129">
        <f t="shared" si="1"/>
        <v>3</v>
      </c>
      <c r="AJ19" s="129">
        <f t="shared" si="2"/>
        <v>6</v>
      </c>
      <c r="AK19" s="129">
        <f t="shared" si="3"/>
        <v>32</v>
      </c>
      <c r="AL19" s="129">
        <f t="shared" si="4"/>
        <v>39</v>
      </c>
      <c r="AM19" s="129">
        <f t="shared" si="5"/>
        <v>40</v>
      </c>
      <c r="AN19" s="129">
        <f t="shared" si="6"/>
        <v>15</v>
      </c>
      <c r="AO19" s="129">
        <f t="shared" si="7"/>
        <v>17</v>
      </c>
    </row>
    <row r="20" spans="1:41" ht="12" hidden="1" x14ac:dyDescent="0.25">
      <c r="A20" s="19">
        <v>540009</v>
      </c>
      <c r="B20" s="22" t="s">
        <v>462</v>
      </c>
      <c r="C20" s="22" t="s">
        <v>458</v>
      </c>
      <c r="D20" s="22" t="s">
        <v>29</v>
      </c>
      <c r="E20" s="19">
        <v>7</v>
      </c>
      <c r="F20" s="19" t="s">
        <v>450</v>
      </c>
      <c r="G20" s="19">
        <v>661</v>
      </c>
      <c r="H20" s="19">
        <v>4</v>
      </c>
      <c r="I20" s="19">
        <v>55</v>
      </c>
      <c r="J20" s="19">
        <v>15</v>
      </c>
      <c r="K20" s="19">
        <v>735</v>
      </c>
      <c r="L20" s="21">
        <v>0.89900000000000002</v>
      </c>
      <c r="M20" s="21">
        <v>5.0000000000000001E-3</v>
      </c>
      <c r="N20" s="21">
        <v>7.4999999999999997E-2</v>
      </c>
      <c r="O20" s="21">
        <v>0.02</v>
      </c>
      <c r="P20" s="21">
        <v>1.2E-2</v>
      </c>
      <c r="Q20" s="21">
        <v>4.0000000000000001E-3</v>
      </c>
      <c r="R20" s="2"/>
      <c r="S20" s="19">
        <v>99</v>
      </c>
      <c r="T20" s="19">
        <v>4</v>
      </c>
      <c r="U20" s="19">
        <v>15</v>
      </c>
      <c r="V20" s="2"/>
      <c r="W20" s="19">
        <v>1968.8</v>
      </c>
      <c r="X20" s="19">
        <v>1978</v>
      </c>
      <c r="Y20" s="20">
        <v>48718</v>
      </c>
      <c r="Z20" s="20">
        <v>35200</v>
      </c>
      <c r="AA20" s="20">
        <v>42444.800000000003</v>
      </c>
      <c r="AB20" s="20">
        <v>31900</v>
      </c>
      <c r="AC20" s="21">
        <v>0.35</v>
      </c>
      <c r="AD20" s="21">
        <v>0.32</v>
      </c>
      <c r="AE20" s="20">
        <v>14710.7</v>
      </c>
      <c r="AF20" s="20">
        <v>12313.7</v>
      </c>
      <c r="AG20" s="2"/>
      <c r="AH20" s="19">
        <f t="shared" si="0"/>
        <v>52</v>
      </c>
      <c r="AI20" s="19">
        <f t="shared" si="1"/>
        <v>33</v>
      </c>
      <c r="AJ20" s="19">
        <f t="shared" si="2"/>
        <v>49</v>
      </c>
      <c r="AK20" s="19">
        <f t="shared" si="3"/>
        <v>44</v>
      </c>
      <c r="AL20" s="19">
        <f t="shared" si="4"/>
        <v>28</v>
      </c>
      <c r="AM20" s="19">
        <f t="shared" si="5"/>
        <v>32</v>
      </c>
      <c r="AN20" s="19">
        <f t="shared" si="6"/>
        <v>8</v>
      </c>
      <c r="AO20" s="19">
        <f t="shared" si="7"/>
        <v>7</v>
      </c>
    </row>
    <row r="21" spans="1:41" ht="12" hidden="1" x14ac:dyDescent="0.25">
      <c r="A21" s="14">
        <v>540010</v>
      </c>
      <c r="B21" s="17" t="s">
        <v>461</v>
      </c>
      <c r="C21" s="17" t="s">
        <v>458</v>
      </c>
      <c r="D21" s="17" t="s">
        <v>2</v>
      </c>
      <c r="E21" s="14">
        <v>7</v>
      </c>
      <c r="F21" s="14" t="s">
        <v>450</v>
      </c>
      <c r="G21" s="14">
        <v>20</v>
      </c>
      <c r="H21" s="14">
        <v>0</v>
      </c>
      <c r="I21" s="14">
        <v>2</v>
      </c>
      <c r="J21" s="14">
        <v>0</v>
      </c>
      <c r="K21" s="14">
        <v>22</v>
      </c>
      <c r="L21" s="16">
        <v>0.90900000000000003</v>
      </c>
      <c r="M21" s="16">
        <v>0</v>
      </c>
      <c r="N21" s="16">
        <v>9.0999999999999998E-2</v>
      </c>
      <c r="O21" s="16">
        <v>0</v>
      </c>
      <c r="P21" s="16">
        <v>0</v>
      </c>
      <c r="Q21" s="16">
        <v>0</v>
      </c>
      <c r="R21" s="2"/>
      <c r="S21" s="14">
        <v>0</v>
      </c>
      <c r="T21" s="14">
        <v>0</v>
      </c>
      <c r="U21" s="14">
        <v>0</v>
      </c>
      <c r="V21" s="2"/>
      <c r="W21" s="14">
        <v>1950.7</v>
      </c>
      <c r="X21" s="14">
        <v>1956</v>
      </c>
      <c r="Y21" s="15">
        <v>74607.7</v>
      </c>
      <c r="Z21" s="15">
        <v>43050</v>
      </c>
      <c r="AA21" s="15">
        <v>41107.1</v>
      </c>
      <c r="AB21" s="15">
        <v>31500</v>
      </c>
      <c r="AC21" s="16">
        <v>0.252</v>
      </c>
      <c r="AD21" s="16">
        <v>0.252</v>
      </c>
      <c r="AE21" s="15">
        <v>4220.7</v>
      </c>
      <c r="AF21" s="15">
        <v>4220.7</v>
      </c>
      <c r="AG21" s="2"/>
      <c r="AH21" s="14">
        <f t="shared" si="0"/>
        <v>134</v>
      </c>
      <c r="AI21" s="14">
        <f t="shared" si="1"/>
        <v>172</v>
      </c>
      <c r="AJ21" s="14">
        <f t="shared" si="2"/>
        <v>108</v>
      </c>
      <c r="AK21" s="14">
        <f t="shared" si="3"/>
        <v>139</v>
      </c>
      <c r="AL21" s="14">
        <f t="shared" si="4"/>
        <v>101</v>
      </c>
      <c r="AM21" s="14">
        <f t="shared" si="5"/>
        <v>128</v>
      </c>
      <c r="AN21" s="14">
        <f t="shared" si="6"/>
        <v>33</v>
      </c>
      <c r="AO21" s="14">
        <f t="shared" si="7"/>
        <v>104</v>
      </c>
    </row>
    <row r="22" spans="1:41" ht="12" hidden="1" x14ac:dyDescent="0.25">
      <c r="A22" s="14">
        <v>540236</v>
      </c>
      <c r="B22" s="17" t="s">
        <v>460</v>
      </c>
      <c r="C22" s="17" t="s">
        <v>458</v>
      </c>
      <c r="D22" s="17" t="s">
        <v>2</v>
      </c>
      <c r="E22" s="14">
        <v>7</v>
      </c>
      <c r="F22" s="14" t="s">
        <v>450</v>
      </c>
      <c r="G22" s="14">
        <v>30</v>
      </c>
      <c r="H22" s="14">
        <v>0</v>
      </c>
      <c r="I22" s="14">
        <v>1</v>
      </c>
      <c r="J22" s="14">
        <v>0</v>
      </c>
      <c r="K22" s="14">
        <v>31</v>
      </c>
      <c r="L22" s="16">
        <v>0.96799999999999997</v>
      </c>
      <c r="M22" s="16">
        <v>0</v>
      </c>
      <c r="N22" s="16">
        <v>3.2000000000000001E-2</v>
      </c>
      <c r="O22" s="16">
        <v>0</v>
      </c>
      <c r="P22" s="16">
        <v>0</v>
      </c>
      <c r="Q22" s="16">
        <v>0</v>
      </c>
      <c r="R22" s="2"/>
      <c r="S22" s="14">
        <v>1</v>
      </c>
      <c r="T22" s="14">
        <v>0</v>
      </c>
      <c r="U22" s="14">
        <v>0</v>
      </c>
      <c r="V22" s="2"/>
      <c r="W22" s="14">
        <v>1966.8</v>
      </c>
      <c r="X22" s="14">
        <v>1970.5</v>
      </c>
      <c r="Y22" s="15">
        <v>86584.5</v>
      </c>
      <c r="Z22" s="15">
        <v>54600</v>
      </c>
      <c r="AA22" s="15">
        <v>92258</v>
      </c>
      <c r="AB22" s="15">
        <v>66750</v>
      </c>
      <c r="AC22" s="16">
        <v>0.17599999999999999</v>
      </c>
      <c r="AD22" s="16">
        <v>0.191</v>
      </c>
      <c r="AE22" s="15">
        <v>10475.799999999999</v>
      </c>
      <c r="AF22" s="15">
        <v>6061.5</v>
      </c>
      <c r="AG22" s="2"/>
      <c r="AH22" s="14">
        <f t="shared" si="0"/>
        <v>174</v>
      </c>
      <c r="AI22" s="14">
        <f t="shared" si="1"/>
        <v>151</v>
      </c>
      <c r="AJ22" s="14">
        <f t="shared" si="2"/>
        <v>108</v>
      </c>
      <c r="AK22" s="14">
        <f t="shared" si="3"/>
        <v>167</v>
      </c>
      <c r="AL22" s="14">
        <f t="shared" si="4"/>
        <v>60</v>
      </c>
      <c r="AM22" s="14">
        <f t="shared" si="5"/>
        <v>23</v>
      </c>
      <c r="AN22" s="14">
        <f t="shared" si="6"/>
        <v>55</v>
      </c>
      <c r="AO22" s="14">
        <f t="shared" si="7"/>
        <v>76</v>
      </c>
    </row>
    <row r="23" spans="1:41" ht="12" hidden="1" x14ac:dyDescent="0.25">
      <c r="A23" s="14">
        <v>540237</v>
      </c>
      <c r="B23" s="17" t="s">
        <v>459</v>
      </c>
      <c r="C23" s="17" t="s">
        <v>458</v>
      </c>
      <c r="D23" s="17" t="s">
        <v>2</v>
      </c>
      <c r="E23" s="14">
        <v>7</v>
      </c>
      <c r="F23" s="14" t="s">
        <v>450</v>
      </c>
      <c r="G23" s="14">
        <v>42</v>
      </c>
      <c r="H23" s="14">
        <v>0</v>
      </c>
      <c r="I23" s="14">
        <v>0</v>
      </c>
      <c r="J23" s="14">
        <v>0</v>
      </c>
      <c r="K23" s="14">
        <v>42</v>
      </c>
      <c r="L23" s="16">
        <v>1</v>
      </c>
      <c r="M23" s="16">
        <v>0</v>
      </c>
      <c r="N23" s="16">
        <v>0</v>
      </c>
      <c r="O23" s="16">
        <v>0</v>
      </c>
      <c r="P23" s="16">
        <v>0</v>
      </c>
      <c r="Q23" s="16">
        <v>0</v>
      </c>
      <c r="R23" s="2"/>
      <c r="S23" s="14">
        <v>1</v>
      </c>
      <c r="T23" s="14">
        <v>0</v>
      </c>
      <c r="U23" s="14">
        <v>0</v>
      </c>
      <c r="V23" s="2"/>
      <c r="W23" s="14">
        <v>1959.6</v>
      </c>
      <c r="X23" s="14">
        <v>1960</v>
      </c>
      <c r="Y23" s="15">
        <v>52350.2</v>
      </c>
      <c r="Z23" s="15">
        <v>40250</v>
      </c>
      <c r="AA23" s="15">
        <v>46146</v>
      </c>
      <c r="AB23" s="15">
        <v>40500</v>
      </c>
      <c r="AC23" s="16">
        <v>0.64200000000000002</v>
      </c>
      <c r="AD23" s="16">
        <v>0.64200000000000002</v>
      </c>
      <c r="AE23" s="15">
        <v>10071.799999999999</v>
      </c>
      <c r="AF23" s="15">
        <v>10071.799999999999</v>
      </c>
      <c r="AG23" s="2"/>
      <c r="AH23" s="14">
        <f t="shared" si="0"/>
        <v>192</v>
      </c>
      <c r="AI23" s="14">
        <f t="shared" si="1"/>
        <v>151</v>
      </c>
      <c r="AJ23" s="14">
        <f t="shared" si="2"/>
        <v>108</v>
      </c>
      <c r="AK23" s="14">
        <f t="shared" si="3"/>
        <v>146</v>
      </c>
      <c r="AL23" s="14">
        <f t="shared" si="4"/>
        <v>116</v>
      </c>
      <c r="AM23" s="14">
        <f t="shared" si="5"/>
        <v>95</v>
      </c>
      <c r="AN23" s="14">
        <f t="shared" si="6"/>
        <v>2</v>
      </c>
      <c r="AO23" s="14">
        <f t="shared" si="7"/>
        <v>38</v>
      </c>
    </row>
    <row r="24" spans="1:41" hidden="1" x14ac:dyDescent="0.3">
      <c r="A24" s="129"/>
      <c r="B24" s="130"/>
      <c r="C24" s="130" t="s">
        <v>458</v>
      </c>
      <c r="D24" s="130" t="s">
        <v>26</v>
      </c>
      <c r="E24" s="129">
        <v>7</v>
      </c>
      <c r="F24" s="129"/>
      <c r="G24" s="129">
        <v>753</v>
      </c>
      <c r="H24" s="129">
        <v>4</v>
      </c>
      <c r="I24" s="129">
        <v>58</v>
      </c>
      <c r="J24" s="129">
        <v>15</v>
      </c>
      <c r="K24" s="129">
        <v>830</v>
      </c>
      <c r="L24" s="131">
        <v>0.90700000000000003</v>
      </c>
      <c r="M24" s="131">
        <v>5.0000000000000001E-3</v>
      </c>
      <c r="N24" s="131">
        <v>7.0000000000000007E-2</v>
      </c>
      <c r="O24" s="131">
        <v>1.7999999999999999E-2</v>
      </c>
      <c r="P24" s="131">
        <v>1.0999999999999999E-2</v>
      </c>
      <c r="Q24" s="131">
        <v>4.0000000000000001E-3</v>
      </c>
      <c r="S24" s="129">
        <v>101</v>
      </c>
      <c r="T24" s="129">
        <v>4</v>
      </c>
      <c r="U24" s="129">
        <v>15</v>
      </c>
      <c r="W24" s="129">
        <v>1967.8</v>
      </c>
      <c r="X24" s="129">
        <v>1976</v>
      </c>
      <c r="Y24" s="132">
        <v>51002.400000000001</v>
      </c>
      <c r="Z24" s="132">
        <v>36300</v>
      </c>
      <c r="AA24" s="132">
        <v>52642.9</v>
      </c>
      <c r="AB24" s="132">
        <v>44950</v>
      </c>
      <c r="AC24" s="131">
        <v>0.34799999999999998</v>
      </c>
      <c r="AD24" s="131">
        <v>0.27500000000000002</v>
      </c>
      <c r="AE24" s="132">
        <v>14483.9</v>
      </c>
      <c r="AF24" s="132">
        <v>11985</v>
      </c>
      <c r="AH24" s="129">
        <f t="shared" si="0"/>
        <v>54</v>
      </c>
      <c r="AI24" s="129">
        <f t="shared" si="1"/>
        <v>43</v>
      </c>
      <c r="AJ24" s="129">
        <f t="shared" si="2"/>
        <v>52</v>
      </c>
      <c r="AK24" s="129">
        <f t="shared" si="3"/>
        <v>47</v>
      </c>
      <c r="AL24" s="129">
        <f t="shared" si="4"/>
        <v>33</v>
      </c>
      <c r="AM24" s="129">
        <f t="shared" si="5"/>
        <v>30</v>
      </c>
      <c r="AN24" s="129">
        <f t="shared" si="6"/>
        <v>8</v>
      </c>
      <c r="AO24" s="129">
        <f t="shared" si="7"/>
        <v>8</v>
      </c>
    </row>
    <row r="25" spans="1:41" ht="12" hidden="1" x14ac:dyDescent="0.25">
      <c r="A25" s="19">
        <v>540011</v>
      </c>
      <c r="B25" s="22" t="s">
        <v>457</v>
      </c>
      <c r="C25" s="22" t="s">
        <v>449</v>
      </c>
      <c r="D25" s="22" t="s">
        <v>29</v>
      </c>
      <c r="E25" s="19">
        <v>11</v>
      </c>
      <c r="F25" s="19" t="s">
        <v>216</v>
      </c>
      <c r="G25" s="19">
        <v>118</v>
      </c>
      <c r="H25" s="19">
        <v>7</v>
      </c>
      <c r="I25" s="19">
        <v>26</v>
      </c>
      <c r="J25" s="19">
        <v>3</v>
      </c>
      <c r="K25" s="19">
        <v>154</v>
      </c>
      <c r="L25" s="21">
        <v>0.76600000000000001</v>
      </c>
      <c r="M25" s="21">
        <v>4.4999999999999998E-2</v>
      </c>
      <c r="N25" s="21">
        <v>0.16900000000000001</v>
      </c>
      <c r="O25" s="21">
        <v>1.9E-2</v>
      </c>
      <c r="P25" s="21">
        <v>1.2999999999999999E-2</v>
      </c>
      <c r="Q25" s="21">
        <v>0</v>
      </c>
      <c r="R25" s="2"/>
      <c r="S25" s="19">
        <v>16</v>
      </c>
      <c r="T25" s="19">
        <v>6</v>
      </c>
      <c r="U25" s="19">
        <v>2</v>
      </c>
      <c r="V25" s="2"/>
      <c r="W25" s="19">
        <v>1950.3</v>
      </c>
      <c r="X25" s="19">
        <v>1949</v>
      </c>
      <c r="Y25" s="20">
        <v>54312.9</v>
      </c>
      <c r="Z25" s="20">
        <v>34300</v>
      </c>
      <c r="AA25" s="20">
        <v>38780.6</v>
      </c>
      <c r="AB25" s="20">
        <v>33100</v>
      </c>
      <c r="AC25" s="21">
        <v>0.19600000000000001</v>
      </c>
      <c r="AD25" s="21">
        <v>0.152</v>
      </c>
      <c r="AE25" s="20">
        <v>9877.2999999999993</v>
      </c>
      <c r="AF25" s="20">
        <v>5761.2</v>
      </c>
      <c r="AG25" s="2"/>
      <c r="AH25" s="19">
        <f t="shared" si="0"/>
        <v>44</v>
      </c>
      <c r="AI25" s="19">
        <f t="shared" si="1"/>
        <v>53</v>
      </c>
      <c r="AJ25" s="19">
        <f t="shared" si="2"/>
        <v>43</v>
      </c>
      <c r="AK25" s="19">
        <f t="shared" si="3"/>
        <v>3</v>
      </c>
      <c r="AL25" s="19">
        <f t="shared" si="4"/>
        <v>31</v>
      </c>
      <c r="AM25" s="19">
        <f t="shared" si="5"/>
        <v>29</v>
      </c>
      <c r="AN25" s="19">
        <f t="shared" si="6"/>
        <v>35</v>
      </c>
      <c r="AO25" s="19">
        <f t="shared" si="7"/>
        <v>30</v>
      </c>
    </row>
    <row r="26" spans="1:41" ht="12" hidden="1" x14ac:dyDescent="0.25">
      <c r="A26" s="14">
        <v>540012</v>
      </c>
      <c r="B26" s="17" t="s">
        <v>456</v>
      </c>
      <c r="C26" s="17" t="s">
        <v>449</v>
      </c>
      <c r="D26" s="17" t="s">
        <v>2</v>
      </c>
      <c r="E26" s="14">
        <v>11</v>
      </c>
      <c r="F26" s="14" t="s">
        <v>190</v>
      </c>
      <c r="G26" s="14">
        <v>3</v>
      </c>
      <c r="H26" s="14">
        <v>0</v>
      </c>
      <c r="I26" s="14">
        <v>1</v>
      </c>
      <c r="J26" s="14">
        <v>1</v>
      </c>
      <c r="K26" s="14">
        <v>5</v>
      </c>
      <c r="L26" s="16">
        <v>0.6</v>
      </c>
      <c r="M26" s="16">
        <v>0</v>
      </c>
      <c r="N26" s="16">
        <v>0.2</v>
      </c>
      <c r="O26" s="16">
        <v>0.2</v>
      </c>
      <c r="P26" s="16">
        <v>0.2</v>
      </c>
      <c r="Q26" s="16">
        <v>0</v>
      </c>
      <c r="R26" s="2"/>
      <c r="S26" s="14">
        <v>1</v>
      </c>
      <c r="T26" s="14">
        <v>1</v>
      </c>
      <c r="U26" s="14">
        <v>1</v>
      </c>
      <c r="V26" s="2"/>
      <c r="W26" s="14">
        <v>1943.3</v>
      </c>
      <c r="X26" s="14">
        <v>1935</v>
      </c>
      <c r="Y26" s="15">
        <v>107185.60000000001</v>
      </c>
      <c r="Z26" s="15">
        <v>82700</v>
      </c>
      <c r="AA26" s="15">
        <v>74875</v>
      </c>
      <c r="AB26" s="15">
        <v>75500</v>
      </c>
      <c r="AC26" s="16">
        <v>0.13</v>
      </c>
      <c r="AD26" s="16">
        <v>0.13</v>
      </c>
      <c r="AE26" s="15">
        <v>30750.3</v>
      </c>
      <c r="AF26" s="15">
        <v>30750.3</v>
      </c>
      <c r="AG26" s="2"/>
      <c r="AH26" s="14">
        <f t="shared" si="0"/>
        <v>61</v>
      </c>
      <c r="AI26" s="14">
        <f t="shared" si="1"/>
        <v>151</v>
      </c>
      <c r="AJ26" s="14">
        <f t="shared" si="2"/>
        <v>80</v>
      </c>
      <c r="AK26" s="14">
        <f t="shared" si="3"/>
        <v>62</v>
      </c>
      <c r="AL26" s="14">
        <f t="shared" si="4"/>
        <v>23</v>
      </c>
      <c r="AM26" s="14">
        <f t="shared" si="5"/>
        <v>15</v>
      </c>
      <c r="AN26" s="14">
        <f t="shared" si="6"/>
        <v>88</v>
      </c>
      <c r="AO26" s="14">
        <f t="shared" si="7"/>
        <v>4</v>
      </c>
    </row>
    <row r="27" spans="1:41" ht="12" hidden="1" x14ac:dyDescent="0.25">
      <c r="A27" s="14">
        <v>540013</v>
      </c>
      <c r="B27" s="17" t="s">
        <v>455</v>
      </c>
      <c r="C27" s="17" t="s">
        <v>449</v>
      </c>
      <c r="D27" s="17" t="s">
        <v>2</v>
      </c>
      <c r="E27" s="14">
        <v>11</v>
      </c>
      <c r="F27" s="14" t="s">
        <v>454</v>
      </c>
      <c r="G27" s="14">
        <v>63</v>
      </c>
      <c r="H27" s="14">
        <v>0</v>
      </c>
      <c r="I27" s="14">
        <v>12</v>
      </c>
      <c r="J27" s="14">
        <v>0</v>
      </c>
      <c r="K27" s="14">
        <v>75</v>
      </c>
      <c r="L27" s="16">
        <v>0.84</v>
      </c>
      <c r="M27" s="16">
        <v>0</v>
      </c>
      <c r="N27" s="16">
        <v>0.16</v>
      </c>
      <c r="O27" s="16">
        <v>0</v>
      </c>
      <c r="P27" s="16">
        <v>0</v>
      </c>
      <c r="Q27" s="16">
        <v>0</v>
      </c>
      <c r="R27" s="2"/>
      <c r="S27" s="14">
        <v>7</v>
      </c>
      <c r="T27" s="14">
        <v>2</v>
      </c>
      <c r="U27" s="14">
        <v>0</v>
      </c>
      <c r="V27" s="2"/>
      <c r="W27" s="14">
        <v>1940.3</v>
      </c>
      <c r="X27" s="14">
        <v>1930</v>
      </c>
      <c r="Y27" s="15">
        <v>99325.9</v>
      </c>
      <c r="Z27" s="15">
        <v>58800</v>
      </c>
      <c r="AA27" s="15">
        <v>69808.899999999994</v>
      </c>
      <c r="AB27" s="15">
        <v>53550</v>
      </c>
      <c r="AC27" s="16">
        <v>7.0000000000000007E-2</v>
      </c>
      <c r="AD27" s="16">
        <v>6.2E-2</v>
      </c>
      <c r="AE27" s="15">
        <v>13985.8</v>
      </c>
      <c r="AF27" s="15">
        <v>3055.8</v>
      </c>
      <c r="AG27" s="2"/>
      <c r="AH27" s="14">
        <f t="shared" si="0"/>
        <v>81</v>
      </c>
      <c r="AI27" s="14">
        <f t="shared" si="1"/>
        <v>104</v>
      </c>
      <c r="AJ27" s="14">
        <f t="shared" si="2"/>
        <v>56</v>
      </c>
      <c r="AK27" s="14">
        <f t="shared" si="3"/>
        <v>48</v>
      </c>
      <c r="AL27" s="14">
        <f t="shared" si="4"/>
        <v>50</v>
      </c>
      <c r="AM27" s="14">
        <f t="shared" si="5"/>
        <v>51</v>
      </c>
      <c r="AN27" s="14">
        <f t="shared" si="6"/>
        <v>156</v>
      </c>
      <c r="AO27" s="14">
        <f t="shared" si="7"/>
        <v>137</v>
      </c>
    </row>
    <row r="28" spans="1:41" ht="12" hidden="1" x14ac:dyDescent="0.25">
      <c r="A28" s="25">
        <v>540014</v>
      </c>
      <c r="B28" s="26" t="s">
        <v>8</v>
      </c>
      <c r="C28" s="26" t="s">
        <v>449</v>
      </c>
      <c r="D28" s="26" t="s">
        <v>58</v>
      </c>
      <c r="E28" s="25">
        <v>11</v>
      </c>
      <c r="F28" s="25" t="s">
        <v>190</v>
      </c>
      <c r="G28" s="25">
        <v>27</v>
      </c>
      <c r="H28" s="25">
        <v>7</v>
      </c>
      <c r="I28" s="25">
        <v>13</v>
      </c>
      <c r="J28" s="25">
        <v>0</v>
      </c>
      <c r="K28" s="25">
        <v>47</v>
      </c>
      <c r="L28" s="24">
        <v>0.57399999999999995</v>
      </c>
      <c r="M28" s="24">
        <v>0.14899999999999999</v>
      </c>
      <c r="N28" s="24">
        <v>0.27700000000000002</v>
      </c>
      <c r="O28" s="24">
        <v>0</v>
      </c>
      <c r="P28" s="24">
        <v>0</v>
      </c>
      <c r="Q28" s="24">
        <v>0</v>
      </c>
      <c r="R28" s="2"/>
      <c r="S28" s="25">
        <v>6</v>
      </c>
      <c r="T28" s="25">
        <v>1</v>
      </c>
      <c r="U28" s="25">
        <v>0</v>
      </c>
      <c r="V28" s="2"/>
      <c r="W28" s="25">
        <v>1969.5</v>
      </c>
      <c r="X28" s="25">
        <v>1967</v>
      </c>
      <c r="Y28" s="23">
        <v>465709.1</v>
      </c>
      <c r="Z28" s="23">
        <v>69500</v>
      </c>
      <c r="AA28" s="23">
        <v>420066.4</v>
      </c>
      <c r="AB28" s="23">
        <v>30365</v>
      </c>
      <c r="AC28" s="24">
        <v>8.8999999999999996E-2</v>
      </c>
      <c r="AD28" s="24">
        <v>6.0999999999999999E-2</v>
      </c>
      <c r="AE28" s="23">
        <v>29512.400000000001</v>
      </c>
      <c r="AF28" s="23">
        <v>4001.1</v>
      </c>
      <c r="AG28" s="2"/>
      <c r="AH28" s="14" t="str">
        <f t="shared" si="0"/>
        <v/>
      </c>
      <c r="AI28" s="14" t="str">
        <f t="shared" si="1"/>
        <v/>
      </c>
      <c r="AJ28" s="14" t="str">
        <f t="shared" si="2"/>
        <v/>
      </c>
      <c r="AK28" s="14" t="str">
        <f t="shared" si="3"/>
        <v/>
      </c>
      <c r="AL28" s="14" t="str">
        <f t="shared" si="4"/>
        <v/>
      </c>
      <c r="AM28" s="14" t="str">
        <f t="shared" si="5"/>
        <v/>
      </c>
      <c r="AN28" s="14" t="str">
        <f t="shared" si="6"/>
        <v/>
      </c>
      <c r="AO28" s="14" t="str">
        <f t="shared" si="7"/>
        <v/>
      </c>
    </row>
    <row r="29" spans="1:41" ht="12" hidden="1" x14ac:dyDescent="0.25">
      <c r="A29" s="14">
        <v>540015</v>
      </c>
      <c r="B29" s="17" t="s">
        <v>453</v>
      </c>
      <c r="C29" s="17" t="s">
        <v>449</v>
      </c>
      <c r="D29" s="17" t="s">
        <v>2</v>
      </c>
      <c r="E29" s="14">
        <v>11</v>
      </c>
      <c r="F29" s="14" t="s">
        <v>452</v>
      </c>
      <c r="G29" s="14">
        <v>743</v>
      </c>
      <c r="H29" s="14">
        <v>0</v>
      </c>
      <c r="I29" s="14">
        <v>46</v>
      </c>
      <c r="J29" s="14">
        <v>2</v>
      </c>
      <c r="K29" s="14">
        <v>791</v>
      </c>
      <c r="L29" s="16">
        <v>0.93899999999999995</v>
      </c>
      <c r="M29" s="16">
        <v>0</v>
      </c>
      <c r="N29" s="16">
        <v>5.8000000000000003E-2</v>
      </c>
      <c r="O29" s="16">
        <v>3.0000000000000001E-3</v>
      </c>
      <c r="P29" s="16">
        <v>0</v>
      </c>
      <c r="Q29" s="16">
        <v>0</v>
      </c>
      <c r="R29" s="2"/>
      <c r="S29" s="14">
        <v>111</v>
      </c>
      <c r="T29" s="14">
        <v>9</v>
      </c>
      <c r="U29" s="14">
        <v>2</v>
      </c>
      <c r="V29" s="2"/>
      <c r="W29" s="14">
        <v>1926.2</v>
      </c>
      <c r="X29" s="14">
        <v>1920</v>
      </c>
      <c r="Y29" s="15">
        <v>84562.5</v>
      </c>
      <c r="Z29" s="15">
        <v>51600</v>
      </c>
      <c r="AA29" s="15">
        <v>53782.8</v>
      </c>
      <c r="AB29" s="15">
        <v>49250</v>
      </c>
      <c r="AC29" s="16">
        <v>0.13</v>
      </c>
      <c r="AD29" s="16">
        <v>0.1</v>
      </c>
      <c r="AE29" s="15">
        <v>7842.5</v>
      </c>
      <c r="AF29" s="15">
        <v>4119.3999999999996</v>
      </c>
      <c r="AG29" s="2"/>
      <c r="AH29" s="14">
        <f t="shared" si="0"/>
        <v>156</v>
      </c>
      <c r="AI29" s="14">
        <f t="shared" si="1"/>
        <v>9</v>
      </c>
      <c r="AJ29" s="14">
        <f t="shared" si="2"/>
        <v>19</v>
      </c>
      <c r="AK29" s="14">
        <f t="shared" si="3"/>
        <v>21</v>
      </c>
      <c r="AL29" s="14">
        <f t="shared" si="4"/>
        <v>68</v>
      </c>
      <c r="AM29" s="14">
        <f t="shared" si="5"/>
        <v>61</v>
      </c>
      <c r="AN29" s="14">
        <f t="shared" si="6"/>
        <v>122</v>
      </c>
      <c r="AO29" s="14">
        <f t="shared" si="7"/>
        <v>108</v>
      </c>
    </row>
    <row r="30" spans="1:41" ht="12" hidden="1" x14ac:dyDescent="0.25">
      <c r="A30" s="14">
        <v>540093</v>
      </c>
      <c r="B30" s="17" t="s">
        <v>451</v>
      </c>
      <c r="C30" s="17" t="s">
        <v>449</v>
      </c>
      <c r="D30" s="17" t="s">
        <v>2</v>
      </c>
      <c r="E30" s="14">
        <v>11</v>
      </c>
      <c r="F30" s="14" t="s">
        <v>450</v>
      </c>
      <c r="G30" s="14">
        <v>7</v>
      </c>
      <c r="H30" s="14">
        <v>0</v>
      </c>
      <c r="I30" s="14">
        <v>0</v>
      </c>
      <c r="J30" s="14">
        <v>0</v>
      </c>
      <c r="K30" s="14">
        <v>7</v>
      </c>
      <c r="L30" s="16">
        <v>1</v>
      </c>
      <c r="M30" s="16">
        <v>0</v>
      </c>
      <c r="N30" s="16">
        <v>0</v>
      </c>
      <c r="O30" s="16">
        <v>0</v>
      </c>
      <c r="P30" s="16">
        <v>0</v>
      </c>
      <c r="Q30" s="16">
        <v>0</v>
      </c>
      <c r="R30" s="2"/>
      <c r="S30" s="14">
        <v>1</v>
      </c>
      <c r="T30" s="14">
        <v>0</v>
      </c>
      <c r="U30" s="14">
        <v>0</v>
      </c>
      <c r="V30" s="2"/>
      <c r="W30" s="14">
        <v>1985.3</v>
      </c>
      <c r="X30" s="14">
        <v>1996</v>
      </c>
      <c r="Y30" s="15">
        <v>968314.3</v>
      </c>
      <c r="Z30" s="15">
        <v>307500</v>
      </c>
      <c r="AA30" s="15">
        <v>0</v>
      </c>
      <c r="AB30" s="15">
        <v>0</v>
      </c>
      <c r="AC30" s="16">
        <v>9.9000000000000005E-2</v>
      </c>
      <c r="AD30" s="16">
        <v>9.9000000000000005E-2</v>
      </c>
      <c r="AE30" s="15">
        <v>19832.3</v>
      </c>
      <c r="AF30" s="15">
        <v>19832.3</v>
      </c>
      <c r="AG30" s="2"/>
      <c r="AH30" s="14">
        <f t="shared" si="0"/>
        <v>192</v>
      </c>
      <c r="AI30" s="14">
        <f t="shared" si="1"/>
        <v>151</v>
      </c>
      <c r="AJ30" s="14">
        <f t="shared" si="2"/>
        <v>108</v>
      </c>
      <c r="AK30" s="14">
        <f t="shared" si="3"/>
        <v>211</v>
      </c>
      <c r="AL30" s="14">
        <f t="shared" si="4"/>
        <v>1</v>
      </c>
      <c r="AM30" s="14">
        <f t="shared" si="5"/>
        <v>208</v>
      </c>
      <c r="AN30" s="14">
        <f t="shared" si="6"/>
        <v>123</v>
      </c>
      <c r="AO30" s="14">
        <f t="shared" si="7"/>
        <v>8</v>
      </c>
    </row>
    <row r="31" spans="1:41" hidden="1" x14ac:dyDescent="0.3">
      <c r="A31" s="129"/>
      <c r="B31" s="130"/>
      <c r="C31" s="130" t="s">
        <v>449</v>
      </c>
      <c r="D31" s="130" t="s">
        <v>26</v>
      </c>
      <c r="E31" s="129">
        <v>11</v>
      </c>
      <c r="F31" s="129"/>
      <c r="G31" s="129">
        <v>961</v>
      </c>
      <c r="H31" s="129">
        <v>14</v>
      </c>
      <c r="I31" s="129">
        <v>98</v>
      </c>
      <c r="J31" s="129">
        <v>6</v>
      </c>
      <c r="K31" s="129">
        <v>1079</v>
      </c>
      <c r="L31" s="131">
        <v>0.89100000000000001</v>
      </c>
      <c r="M31" s="131">
        <v>1.2999999999999999E-2</v>
      </c>
      <c r="N31" s="131">
        <v>9.0999999999999998E-2</v>
      </c>
      <c r="O31" s="131">
        <v>6.0000000000000001E-3</v>
      </c>
      <c r="P31" s="131">
        <v>3.0000000000000001E-3</v>
      </c>
      <c r="Q31" s="131">
        <v>0</v>
      </c>
      <c r="S31" s="129">
        <v>142</v>
      </c>
      <c r="T31" s="129">
        <v>19</v>
      </c>
      <c r="U31" s="129">
        <v>5</v>
      </c>
      <c r="W31" s="129">
        <v>1932.7</v>
      </c>
      <c r="X31" s="129">
        <v>1924</v>
      </c>
      <c r="Y31" s="132">
        <v>103711.8</v>
      </c>
      <c r="Z31" s="132">
        <v>50900</v>
      </c>
      <c r="AA31" s="132">
        <v>50961.1</v>
      </c>
      <c r="AB31" s="132">
        <v>47600</v>
      </c>
      <c r="AC31" s="131">
        <v>0.13100000000000001</v>
      </c>
      <c r="AD31" s="131">
        <v>9.7000000000000003E-2</v>
      </c>
      <c r="AE31" s="132">
        <v>8855.1</v>
      </c>
      <c r="AF31" s="132">
        <v>4140.6000000000004</v>
      </c>
      <c r="AH31" s="129">
        <f t="shared" si="0"/>
        <v>51</v>
      </c>
      <c r="AI31" s="129">
        <f t="shared" si="1"/>
        <v>37</v>
      </c>
      <c r="AJ31" s="129">
        <f t="shared" si="2"/>
        <v>37</v>
      </c>
      <c r="AK31" s="129">
        <f t="shared" si="3"/>
        <v>2</v>
      </c>
      <c r="AL31" s="129">
        <f t="shared" si="4"/>
        <v>12</v>
      </c>
      <c r="AM31" s="129">
        <f t="shared" si="5"/>
        <v>27</v>
      </c>
      <c r="AN31" s="129">
        <f t="shared" si="6"/>
        <v>52</v>
      </c>
      <c r="AO31" s="129">
        <f t="shared" si="7"/>
        <v>41</v>
      </c>
    </row>
    <row r="32" spans="1:41" ht="12" x14ac:dyDescent="0.25">
      <c r="A32" s="19">
        <v>540016</v>
      </c>
      <c r="B32" s="22" t="s">
        <v>448</v>
      </c>
      <c r="C32" s="22" t="s">
        <v>444</v>
      </c>
      <c r="D32" s="22" t="s">
        <v>29</v>
      </c>
      <c r="E32" s="19">
        <v>2</v>
      </c>
      <c r="F32" s="19" t="s">
        <v>71</v>
      </c>
      <c r="G32" s="19">
        <v>1171</v>
      </c>
      <c r="H32" s="19">
        <v>51</v>
      </c>
      <c r="I32" s="19">
        <v>654</v>
      </c>
      <c r="J32" s="19">
        <v>10</v>
      </c>
      <c r="K32" s="19">
        <v>1886</v>
      </c>
      <c r="L32" s="21">
        <v>0.621</v>
      </c>
      <c r="M32" s="21">
        <v>2.7E-2</v>
      </c>
      <c r="N32" s="21">
        <v>0.34699999999999998</v>
      </c>
      <c r="O32" s="21">
        <v>5.0000000000000001E-3</v>
      </c>
      <c r="P32" s="21">
        <v>5.0000000000000001E-3</v>
      </c>
      <c r="Q32" s="21">
        <v>0</v>
      </c>
      <c r="R32" s="2"/>
      <c r="S32" s="19">
        <v>184</v>
      </c>
      <c r="T32" s="19">
        <v>43</v>
      </c>
      <c r="U32" s="19">
        <v>4</v>
      </c>
      <c r="V32" s="2"/>
      <c r="W32" s="19">
        <v>1971.6</v>
      </c>
      <c r="X32" s="19">
        <v>1977</v>
      </c>
      <c r="Y32" s="20">
        <v>108052.5</v>
      </c>
      <c r="Z32" s="20">
        <v>45000</v>
      </c>
      <c r="AA32" s="20">
        <v>56826.1</v>
      </c>
      <c r="AB32" s="20">
        <v>42400</v>
      </c>
      <c r="AC32" s="21">
        <v>0.184</v>
      </c>
      <c r="AD32" s="21">
        <v>0.12</v>
      </c>
      <c r="AE32" s="20">
        <v>9316.9</v>
      </c>
      <c r="AF32" s="20">
        <v>5021.8</v>
      </c>
      <c r="AG32" s="2"/>
      <c r="AH32" s="19">
        <f t="shared" si="0"/>
        <v>9</v>
      </c>
      <c r="AI32" s="19">
        <f t="shared" si="1"/>
        <v>21</v>
      </c>
      <c r="AJ32" s="19">
        <f t="shared" si="2"/>
        <v>16</v>
      </c>
      <c r="AK32" s="19">
        <f t="shared" si="3"/>
        <v>41</v>
      </c>
      <c r="AL32" s="19">
        <f t="shared" si="4"/>
        <v>20</v>
      </c>
      <c r="AM32" s="19">
        <f t="shared" si="5"/>
        <v>19</v>
      </c>
      <c r="AN32" s="19">
        <f t="shared" si="6"/>
        <v>45</v>
      </c>
      <c r="AO32" s="19">
        <f t="shared" si="7"/>
        <v>37</v>
      </c>
    </row>
    <row r="33" spans="1:41" ht="12" x14ac:dyDescent="0.25">
      <c r="A33" s="14">
        <v>540017</v>
      </c>
      <c r="B33" s="17" t="s">
        <v>447</v>
      </c>
      <c r="C33" s="17" t="s">
        <v>444</v>
      </c>
      <c r="D33" s="17" t="s">
        <v>2</v>
      </c>
      <c r="E33" s="14">
        <v>2</v>
      </c>
      <c r="F33" s="14" t="s">
        <v>446</v>
      </c>
      <c r="G33" s="14">
        <v>31</v>
      </c>
      <c r="H33" s="14">
        <v>1</v>
      </c>
      <c r="I33" s="14">
        <v>12</v>
      </c>
      <c r="J33" s="14">
        <v>0</v>
      </c>
      <c r="K33" s="14">
        <v>44</v>
      </c>
      <c r="L33" s="16">
        <v>0.70499999999999996</v>
      </c>
      <c r="M33" s="16">
        <v>2.3E-2</v>
      </c>
      <c r="N33" s="16">
        <v>0.27300000000000002</v>
      </c>
      <c r="O33" s="16">
        <v>0</v>
      </c>
      <c r="P33" s="16">
        <v>0</v>
      </c>
      <c r="Q33" s="16">
        <v>0</v>
      </c>
      <c r="R33" s="2"/>
      <c r="S33" s="14">
        <v>4</v>
      </c>
      <c r="T33" s="14">
        <v>0</v>
      </c>
      <c r="U33" s="14">
        <v>0</v>
      </c>
      <c r="V33" s="2"/>
      <c r="W33" s="14">
        <v>1976.7</v>
      </c>
      <c r="X33" s="14">
        <v>1977</v>
      </c>
      <c r="Y33" s="15">
        <v>183605.7</v>
      </c>
      <c r="Z33" s="15">
        <v>76000</v>
      </c>
      <c r="AA33" s="15">
        <v>65311.3</v>
      </c>
      <c r="AB33" s="15">
        <v>65700</v>
      </c>
      <c r="AC33" s="16">
        <v>0.104</v>
      </c>
      <c r="AD33" s="16">
        <v>0.121</v>
      </c>
      <c r="AE33" s="15">
        <v>15772.1</v>
      </c>
      <c r="AF33" s="15">
        <v>6830.6</v>
      </c>
      <c r="AG33" s="2"/>
      <c r="AH33" s="14">
        <f t="shared" si="0"/>
        <v>44</v>
      </c>
      <c r="AI33" s="14">
        <f t="shared" si="1"/>
        <v>116</v>
      </c>
      <c r="AJ33" s="14">
        <f t="shared" si="2"/>
        <v>108</v>
      </c>
      <c r="AK33" s="14">
        <f t="shared" si="3"/>
        <v>184</v>
      </c>
      <c r="AL33" s="14">
        <f t="shared" si="4"/>
        <v>26</v>
      </c>
      <c r="AM33" s="14">
        <f t="shared" si="5"/>
        <v>25</v>
      </c>
      <c r="AN33" s="14">
        <f t="shared" si="6"/>
        <v>93</v>
      </c>
      <c r="AO33" s="14">
        <f t="shared" si="7"/>
        <v>64</v>
      </c>
    </row>
    <row r="34" spans="1:41" ht="12" x14ac:dyDescent="0.25">
      <c r="A34" s="25">
        <v>540018</v>
      </c>
      <c r="B34" s="26" t="s">
        <v>21</v>
      </c>
      <c r="C34" s="26" t="s">
        <v>444</v>
      </c>
      <c r="D34" s="26" t="s">
        <v>58</v>
      </c>
      <c r="E34" s="25">
        <v>2</v>
      </c>
      <c r="F34" s="25" t="s">
        <v>76</v>
      </c>
      <c r="G34" s="25">
        <v>894</v>
      </c>
      <c r="H34" s="25">
        <v>5</v>
      </c>
      <c r="I34" s="25">
        <v>17</v>
      </c>
      <c r="J34" s="25">
        <v>0</v>
      </c>
      <c r="K34" s="25">
        <v>916</v>
      </c>
      <c r="L34" s="24">
        <v>0.97599999999999998</v>
      </c>
      <c r="M34" s="24">
        <v>5.0000000000000001E-3</v>
      </c>
      <c r="N34" s="24">
        <v>1.9E-2</v>
      </c>
      <c r="O34" s="24">
        <v>0</v>
      </c>
      <c r="P34" s="24">
        <v>0</v>
      </c>
      <c r="Q34" s="24">
        <v>0</v>
      </c>
      <c r="R34" s="2"/>
      <c r="S34" s="25">
        <v>94</v>
      </c>
      <c r="T34" s="25">
        <v>1</v>
      </c>
      <c r="U34" s="25">
        <v>1</v>
      </c>
      <c r="V34" s="2"/>
      <c r="W34" s="25">
        <v>1937.2</v>
      </c>
      <c r="X34" s="25">
        <v>1937</v>
      </c>
      <c r="Y34" s="23">
        <v>132967.4</v>
      </c>
      <c r="Z34" s="23">
        <v>83350</v>
      </c>
      <c r="AA34" s="23">
        <v>95937.2</v>
      </c>
      <c r="AB34" s="23">
        <v>82700</v>
      </c>
      <c r="AC34" s="24">
        <v>8.4000000000000005E-2</v>
      </c>
      <c r="AD34" s="24">
        <v>4.7E-2</v>
      </c>
      <c r="AE34" s="23">
        <v>15514</v>
      </c>
      <c r="AF34" s="23">
        <v>4394</v>
      </c>
      <c r="AG34" s="2"/>
      <c r="AH34" s="14" t="str">
        <f t="shared" si="0"/>
        <v/>
      </c>
      <c r="AI34" s="14" t="str">
        <f t="shared" si="1"/>
        <v/>
      </c>
      <c r="AJ34" s="14" t="str">
        <f t="shared" si="2"/>
        <v/>
      </c>
      <c r="AK34" s="14" t="str">
        <f t="shared" si="3"/>
        <v/>
      </c>
      <c r="AL34" s="14" t="str">
        <f t="shared" si="4"/>
        <v/>
      </c>
      <c r="AM34" s="14" t="str">
        <f t="shared" si="5"/>
        <v/>
      </c>
      <c r="AN34" s="14" t="str">
        <f t="shared" si="6"/>
        <v/>
      </c>
      <c r="AO34" s="14" t="str">
        <f t="shared" si="7"/>
        <v/>
      </c>
    </row>
    <row r="35" spans="1:41" ht="12" x14ac:dyDescent="0.25">
      <c r="A35" s="14">
        <v>540019</v>
      </c>
      <c r="B35" s="17" t="s">
        <v>445</v>
      </c>
      <c r="C35" s="17" t="s">
        <v>444</v>
      </c>
      <c r="D35" s="17" t="s">
        <v>2</v>
      </c>
      <c r="E35" s="14">
        <v>2</v>
      </c>
      <c r="F35" s="14" t="s">
        <v>71</v>
      </c>
      <c r="G35" s="14">
        <v>342</v>
      </c>
      <c r="H35" s="14">
        <v>0</v>
      </c>
      <c r="I35" s="14">
        <v>77</v>
      </c>
      <c r="J35" s="14">
        <v>0</v>
      </c>
      <c r="K35" s="14">
        <v>419</v>
      </c>
      <c r="L35" s="16">
        <v>0.81599999999999995</v>
      </c>
      <c r="M35" s="16">
        <v>0</v>
      </c>
      <c r="N35" s="16">
        <v>0.184</v>
      </c>
      <c r="O35" s="16">
        <v>0</v>
      </c>
      <c r="P35" s="16">
        <v>0</v>
      </c>
      <c r="Q35" s="16">
        <v>0</v>
      </c>
      <c r="R35" s="2"/>
      <c r="S35" s="14">
        <v>92</v>
      </c>
      <c r="T35" s="14">
        <v>3</v>
      </c>
      <c r="U35" s="14">
        <v>2</v>
      </c>
      <c r="V35" s="2"/>
      <c r="W35" s="14">
        <v>1954.8</v>
      </c>
      <c r="X35" s="14">
        <v>1950</v>
      </c>
      <c r="Y35" s="15">
        <v>134987.5</v>
      </c>
      <c r="Z35" s="15">
        <v>52300</v>
      </c>
      <c r="AA35" s="15">
        <v>61531.3</v>
      </c>
      <c r="AB35" s="15">
        <v>48500</v>
      </c>
      <c r="AC35" s="16">
        <v>0.17699999999999999</v>
      </c>
      <c r="AD35" s="16">
        <v>0.14099999999999999</v>
      </c>
      <c r="AE35" s="15">
        <v>19685.099999999999</v>
      </c>
      <c r="AF35" s="15">
        <v>6309.2</v>
      </c>
      <c r="AG35" s="2"/>
      <c r="AH35" s="14">
        <f t="shared" si="0"/>
        <v>70</v>
      </c>
      <c r="AI35" s="14">
        <f t="shared" si="1"/>
        <v>15</v>
      </c>
      <c r="AJ35" s="14">
        <f t="shared" si="2"/>
        <v>42</v>
      </c>
      <c r="AK35" s="14">
        <f t="shared" si="3"/>
        <v>120</v>
      </c>
      <c r="AL35" s="14">
        <f t="shared" si="4"/>
        <v>67</v>
      </c>
      <c r="AM35" s="14">
        <f t="shared" si="5"/>
        <v>65</v>
      </c>
      <c r="AN35" s="14">
        <f t="shared" si="6"/>
        <v>81</v>
      </c>
      <c r="AO35" s="14">
        <f t="shared" si="7"/>
        <v>72</v>
      </c>
    </row>
    <row r="36" spans="1:41" x14ac:dyDescent="0.3">
      <c r="A36" s="129"/>
      <c r="B36" s="130"/>
      <c r="C36" s="130" t="s">
        <v>444</v>
      </c>
      <c r="D36" s="130" t="s">
        <v>26</v>
      </c>
      <c r="E36" s="129">
        <v>2</v>
      </c>
      <c r="F36" s="129"/>
      <c r="G36" s="129">
        <v>2438</v>
      </c>
      <c r="H36" s="129">
        <v>57</v>
      </c>
      <c r="I36" s="129">
        <v>760</v>
      </c>
      <c r="J36" s="129">
        <v>10</v>
      </c>
      <c r="K36" s="129">
        <v>3265</v>
      </c>
      <c r="L36" s="131">
        <v>0.747</v>
      </c>
      <c r="M36" s="131">
        <v>1.7000000000000001E-2</v>
      </c>
      <c r="N36" s="131">
        <v>0.23300000000000001</v>
      </c>
      <c r="O36" s="131">
        <v>3.0000000000000001E-3</v>
      </c>
      <c r="P36" s="131">
        <v>3.0000000000000001E-3</v>
      </c>
      <c r="Q36" s="131">
        <v>0</v>
      </c>
      <c r="S36" s="129">
        <v>374</v>
      </c>
      <c r="T36" s="129">
        <v>47</v>
      </c>
      <c r="U36" s="129">
        <v>7</v>
      </c>
      <c r="W36" s="129">
        <v>1959.5</v>
      </c>
      <c r="X36" s="129">
        <v>1960</v>
      </c>
      <c r="Y36" s="132">
        <v>119517.2</v>
      </c>
      <c r="Z36" s="132">
        <v>54500</v>
      </c>
      <c r="AA36" s="132">
        <v>74815.8</v>
      </c>
      <c r="AB36" s="132">
        <v>62900</v>
      </c>
      <c r="AC36" s="131">
        <v>0.14599999999999999</v>
      </c>
      <c r="AD36" s="131">
        <v>9.0999999999999998E-2</v>
      </c>
      <c r="AE36" s="132">
        <v>13699</v>
      </c>
      <c r="AF36" s="132">
        <v>4994</v>
      </c>
      <c r="AH36" s="129">
        <f t="shared" si="0"/>
        <v>23</v>
      </c>
      <c r="AI36" s="129">
        <f t="shared" si="1"/>
        <v>12</v>
      </c>
      <c r="AJ36" s="129">
        <f t="shared" si="2"/>
        <v>21</v>
      </c>
      <c r="AK36" s="129">
        <f t="shared" si="3"/>
        <v>18</v>
      </c>
      <c r="AL36" s="129">
        <f t="shared" si="4"/>
        <v>8</v>
      </c>
      <c r="AM36" s="129">
        <f t="shared" si="5"/>
        <v>8</v>
      </c>
      <c r="AN36" s="129">
        <f t="shared" si="6"/>
        <v>53</v>
      </c>
      <c r="AO36" s="129">
        <f t="shared" si="7"/>
        <v>36</v>
      </c>
    </row>
    <row r="37" spans="1:41" ht="12" hidden="1" x14ac:dyDescent="0.25">
      <c r="A37" s="19">
        <v>540020</v>
      </c>
      <c r="B37" s="22" t="s">
        <v>443</v>
      </c>
      <c r="C37" s="22" t="s">
        <v>441</v>
      </c>
      <c r="D37" s="22" t="s">
        <v>29</v>
      </c>
      <c r="E37" s="19">
        <v>5</v>
      </c>
      <c r="F37" s="19" t="s">
        <v>121</v>
      </c>
      <c r="G37" s="19">
        <v>341</v>
      </c>
      <c r="H37" s="19">
        <v>0</v>
      </c>
      <c r="I37" s="19">
        <v>58</v>
      </c>
      <c r="J37" s="19">
        <v>82</v>
      </c>
      <c r="K37" s="19">
        <v>481</v>
      </c>
      <c r="L37" s="21">
        <v>0.70899999999999996</v>
      </c>
      <c r="M37" s="21">
        <v>0</v>
      </c>
      <c r="N37" s="21">
        <v>0.121</v>
      </c>
      <c r="O37" s="21">
        <v>0.17</v>
      </c>
      <c r="P37" s="21">
        <v>0.121</v>
      </c>
      <c r="Q37" s="21">
        <v>1.7000000000000001E-2</v>
      </c>
      <c r="R37" s="2"/>
      <c r="S37" s="19">
        <v>66</v>
      </c>
      <c r="T37" s="19">
        <v>4</v>
      </c>
      <c r="U37" s="19">
        <v>9</v>
      </c>
      <c r="V37" s="2"/>
      <c r="W37" s="19">
        <v>1956.2</v>
      </c>
      <c r="X37" s="19">
        <v>1958</v>
      </c>
      <c r="Y37" s="20">
        <v>47283.5</v>
      </c>
      <c r="Z37" s="20">
        <v>26500</v>
      </c>
      <c r="AA37" s="20">
        <v>31719.1</v>
      </c>
      <c r="AB37" s="20">
        <v>25100</v>
      </c>
      <c r="AC37" s="21">
        <v>0.28100000000000003</v>
      </c>
      <c r="AD37" s="21">
        <v>0.19</v>
      </c>
      <c r="AE37" s="20">
        <v>8730</v>
      </c>
      <c r="AF37" s="20">
        <v>5382.3</v>
      </c>
      <c r="AG37" s="2"/>
      <c r="AH37" s="19">
        <f t="shared" si="0"/>
        <v>51</v>
      </c>
      <c r="AI37" s="19">
        <f t="shared" si="1"/>
        <v>43</v>
      </c>
      <c r="AJ37" s="19">
        <f t="shared" si="2"/>
        <v>49</v>
      </c>
      <c r="AK37" s="19">
        <f t="shared" si="3"/>
        <v>5</v>
      </c>
      <c r="AL37" s="19">
        <f t="shared" si="4"/>
        <v>46</v>
      </c>
      <c r="AM37" s="19">
        <f t="shared" si="5"/>
        <v>47</v>
      </c>
      <c r="AN37" s="19">
        <f t="shared" si="6"/>
        <v>22</v>
      </c>
      <c r="AO37" s="19">
        <f t="shared" si="7"/>
        <v>35</v>
      </c>
    </row>
    <row r="38" spans="1:41" ht="12" hidden="1" x14ac:dyDescent="0.25">
      <c r="A38" s="14">
        <v>540021</v>
      </c>
      <c r="B38" s="17" t="s">
        <v>442</v>
      </c>
      <c r="C38" s="17" t="s">
        <v>441</v>
      </c>
      <c r="D38" s="17" t="s">
        <v>2</v>
      </c>
      <c r="E38" s="14">
        <v>5</v>
      </c>
      <c r="F38" s="14" t="s">
        <v>121</v>
      </c>
      <c r="G38" s="14">
        <v>110</v>
      </c>
      <c r="H38" s="14">
        <v>0</v>
      </c>
      <c r="I38" s="14">
        <v>2</v>
      </c>
      <c r="J38" s="14">
        <v>19</v>
      </c>
      <c r="K38" s="14">
        <v>131</v>
      </c>
      <c r="L38" s="16">
        <v>0.84</v>
      </c>
      <c r="M38" s="16">
        <v>0</v>
      </c>
      <c r="N38" s="16">
        <v>1.4999999999999999E-2</v>
      </c>
      <c r="O38" s="16">
        <v>0.14499999999999999</v>
      </c>
      <c r="P38" s="16">
        <v>6.9000000000000006E-2</v>
      </c>
      <c r="Q38" s="16">
        <v>3.7999999999999999E-2</v>
      </c>
      <c r="R38" s="2"/>
      <c r="S38" s="14">
        <v>3</v>
      </c>
      <c r="T38" s="14">
        <v>0</v>
      </c>
      <c r="U38" s="14">
        <v>0</v>
      </c>
      <c r="V38" s="2"/>
      <c r="W38" s="14">
        <v>1950</v>
      </c>
      <c r="X38" s="14">
        <v>1949.5</v>
      </c>
      <c r="Y38" s="15">
        <v>49251.7</v>
      </c>
      <c r="Z38" s="15">
        <v>27600</v>
      </c>
      <c r="AA38" s="15">
        <v>28888.6</v>
      </c>
      <c r="AB38" s="15">
        <v>26400</v>
      </c>
      <c r="AC38" s="16">
        <v>0.11</v>
      </c>
      <c r="AD38" s="16">
        <v>8.5999999999999993E-2</v>
      </c>
      <c r="AE38" s="15">
        <v>4643.8999999999996</v>
      </c>
      <c r="AF38" s="15">
        <v>1686.7</v>
      </c>
      <c r="AG38" s="2"/>
      <c r="AH38" s="14">
        <f t="shared" si="0"/>
        <v>185</v>
      </c>
      <c r="AI38" s="14">
        <f t="shared" si="1"/>
        <v>125</v>
      </c>
      <c r="AJ38" s="14">
        <f t="shared" si="2"/>
        <v>108</v>
      </c>
      <c r="AK38" s="14">
        <f t="shared" si="3"/>
        <v>119</v>
      </c>
      <c r="AL38" s="14">
        <f t="shared" si="4"/>
        <v>167</v>
      </c>
      <c r="AM38" s="14">
        <f t="shared" si="5"/>
        <v>158</v>
      </c>
      <c r="AN38" s="14">
        <f t="shared" si="6"/>
        <v>130</v>
      </c>
      <c r="AO38" s="14">
        <f t="shared" si="7"/>
        <v>178</v>
      </c>
    </row>
    <row r="39" spans="1:41" hidden="1" x14ac:dyDescent="0.3">
      <c r="A39" s="129"/>
      <c r="B39" s="130"/>
      <c r="C39" s="130" t="s">
        <v>441</v>
      </c>
      <c r="D39" s="130" t="s">
        <v>26</v>
      </c>
      <c r="E39" s="129">
        <v>5</v>
      </c>
      <c r="F39" s="129"/>
      <c r="G39" s="129">
        <v>451</v>
      </c>
      <c r="H39" s="129">
        <v>0</v>
      </c>
      <c r="I39" s="129">
        <v>60</v>
      </c>
      <c r="J39" s="129">
        <v>101</v>
      </c>
      <c r="K39" s="129">
        <v>612</v>
      </c>
      <c r="L39" s="131">
        <v>0.73699999999999999</v>
      </c>
      <c r="M39" s="131">
        <v>0</v>
      </c>
      <c r="N39" s="131">
        <v>9.8000000000000004E-2</v>
      </c>
      <c r="O39" s="131">
        <v>0.16500000000000001</v>
      </c>
      <c r="P39" s="131">
        <v>0.109</v>
      </c>
      <c r="Q39" s="131">
        <v>2.1000000000000001E-2</v>
      </c>
      <c r="S39" s="129">
        <v>69</v>
      </c>
      <c r="T39" s="129">
        <v>4</v>
      </c>
      <c r="U39" s="129">
        <v>9</v>
      </c>
      <c r="W39" s="129">
        <v>1954.8</v>
      </c>
      <c r="X39" s="129">
        <v>1955</v>
      </c>
      <c r="Y39" s="132">
        <v>47704.800000000003</v>
      </c>
      <c r="Z39" s="132">
        <v>27050</v>
      </c>
      <c r="AA39" s="132">
        <v>35625.699999999997</v>
      </c>
      <c r="AB39" s="132">
        <v>29700</v>
      </c>
      <c r="AC39" s="131">
        <v>0.247</v>
      </c>
      <c r="AD39" s="131">
        <v>0.16400000000000001</v>
      </c>
      <c r="AE39" s="132">
        <v>7905.1</v>
      </c>
      <c r="AF39" s="132">
        <v>4764.8999999999996</v>
      </c>
      <c r="AH39" s="129">
        <f t="shared" si="0"/>
        <v>49</v>
      </c>
      <c r="AI39" s="129">
        <f t="shared" si="1"/>
        <v>49</v>
      </c>
      <c r="AJ39" s="129">
        <f t="shared" si="2"/>
        <v>52</v>
      </c>
      <c r="AK39" s="129">
        <f t="shared" si="3"/>
        <v>10</v>
      </c>
      <c r="AL39" s="129">
        <f t="shared" si="4"/>
        <v>46</v>
      </c>
      <c r="AM39" s="129">
        <f t="shared" si="5"/>
        <v>50</v>
      </c>
      <c r="AN39" s="129">
        <f t="shared" si="6"/>
        <v>25</v>
      </c>
      <c r="AO39" s="129">
        <f t="shared" si="7"/>
        <v>38</v>
      </c>
    </row>
    <row r="40" spans="1:41" ht="12" hidden="1" x14ac:dyDescent="0.25">
      <c r="A40" s="19">
        <v>540022</v>
      </c>
      <c r="B40" s="22" t="s">
        <v>440</v>
      </c>
      <c r="C40" s="22" t="s">
        <v>438</v>
      </c>
      <c r="D40" s="22" t="s">
        <v>29</v>
      </c>
      <c r="E40" s="19">
        <v>3</v>
      </c>
      <c r="F40" s="19" t="s">
        <v>121</v>
      </c>
      <c r="G40" s="19">
        <v>515</v>
      </c>
      <c r="H40" s="19">
        <v>15</v>
      </c>
      <c r="I40" s="19">
        <v>290</v>
      </c>
      <c r="J40" s="19">
        <v>164</v>
      </c>
      <c r="K40" s="19">
        <v>984</v>
      </c>
      <c r="L40" s="21">
        <v>0.52300000000000002</v>
      </c>
      <c r="M40" s="21">
        <v>1.4999999999999999E-2</v>
      </c>
      <c r="N40" s="21">
        <v>0.29499999999999998</v>
      </c>
      <c r="O40" s="21">
        <v>0.16700000000000001</v>
      </c>
      <c r="P40" s="21">
        <v>0.112</v>
      </c>
      <c r="Q40" s="21">
        <v>1.6E-2</v>
      </c>
      <c r="R40" s="2"/>
      <c r="S40" s="19">
        <v>116</v>
      </c>
      <c r="T40" s="19">
        <v>28</v>
      </c>
      <c r="U40" s="19">
        <v>25</v>
      </c>
      <c r="V40" s="2"/>
      <c r="W40" s="19">
        <v>1973.2</v>
      </c>
      <c r="X40" s="19">
        <v>1978</v>
      </c>
      <c r="Y40" s="20">
        <v>31879.4</v>
      </c>
      <c r="Z40" s="20">
        <v>19800</v>
      </c>
      <c r="AA40" s="20">
        <v>27388.3</v>
      </c>
      <c r="AB40" s="20">
        <v>19000</v>
      </c>
      <c r="AC40" s="21">
        <v>0.311</v>
      </c>
      <c r="AD40" s="21">
        <v>0.25600000000000001</v>
      </c>
      <c r="AE40" s="20">
        <v>8789.6</v>
      </c>
      <c r="AF40" s="20">
        <v>5876.7</v>
      </c>
      <c r="AG40" s="2"/>
      <c r="AH40" s="19">
        <f t="shared" si="0"/>
        <v>16</v>
      </c>
      <c r="AI40" s="19">
        <f t="shared" si="1"/>
        <v>30</v>
      </c>
      <c r="AJ40" s="19">
        <f t="shared" si="2"/>
        <v>25</v>
      </c>
      <c r="AK40" s="19">
        <f t="shared" si="3"/>
        <v>44</v>
      </c>
      <c r="AL40" s="19">
        <f t="shared" si="4"/>
        <v>53</v>
      </c>
      <c r="AM40" s="19">
        <f t="shared" si="5"/>
        <v>53</v>
      </c>
      <c r="AN40" s="19">
        <f t="shared" si="6"/>
        <v>14</v>
      </c>
      <c r="AO40" s="19">
        <f t="shared" si="7"/>
        <v>29</v>
      </c>
    </row>
    <row r="41" spans="1:41" ht="12" hidden="1" x14ac:dyDescent="0.25">
      <c r="A41" s="14">
        <v>540023</v>
      </c>
      <c r="B41" s="17" t="s">
        <v>439</v>
      </c>
      <c r="C41" s="17" t="s">
        <v>438</v>
      </c>
      <c r="D41" s="17" t="s">
        <v>2</v>
      </c>
      <c r="E41" s="14">
        <v>3</v>
      </c>
      <c r="F41" s="14" t="s">
        <v>121</v>
      </c>
      <c r="G41" s="14">
        <v>40</v>
      </c>
      <c r="H41" s="14">
        <v>0</v>
      </c>
      <c r="I41" s="14">
        <v>11</v>
      </c>
      <c r="J41" s="14">
        <v>5</v>
      </c>
      <c r="K41" s="14">
        <v>56</v>
      </c>
      <c r="L41" s="16">
        <v>0.71399999999999997</v>
      </c>
      <c r="M41" s="16">
        <v>0</v>
      </c>
      <c r="N41" s="16">
        <v>0.19600000000000001</v>
      </c>
      <c r="O41" s="16">
        <v>8.8999999999999996E-2</v>
      </c>
      <c r="P41" s="16">
        <v>8.8999999999999996E-2</v>
      </c>
      <c r="Q41" s="16">
        <v>0</v>
      </c>
      <c r="R41" s="2"/>
      <c r="S41" s="14">
        <v>1</v>
      </c>
      <c r="T41" s="14">
        <v>1</v>
      </c>
      <c r="U41" s="14">
        <v>0</v>
      </c>
      <c r="V41" s="2"/>
      <c r="W41" s="14">
        <v>1967.4</v>
      </c>
      <c r="X41" s="14">
        <v>1976</v>
      </c>
      <c r="Y41" s="15">
        <v>417171</v>
      </c>
      <c r="Z41" s="15">
        <v>36400</v>
      </c>
      <c r="AA41" s="15">
        <v>30579.4</v>
      </c>
      <c r="AB41" s="15">
        <v>26300</v>
      </c>
      <c r="AC41" s="16">
        <v>9.8000000000000004E-2</v>
      </c>
      <c r="AD41" s="16">
        <v>9.8000000000000004E-2</v>
      </c>
      <c r="AE41" s="15">
        <v>16685.900000000001</v>
      </c>
      <c r="AF41" s="15">
        <v>16685.900000000001</v>
      </c>
      <c r="AG41" s="2"/>
      <c r="AH41" s="14">
        <f t="shared" si="0"/>
        <v>64</v>
      </c>
      <c r="AI41" s="14">
        <f t="shared" si="1"/>
        <v>151</v>
      </c>
      <c r="AJ41" s="14">
        <f t="shared" si="2"/>
        <v>80</v>
      </c>
      <c r="AK41" s="14">
        <f t="shared" si="3"/>
        <v>181</v>
      </c>
      <c r="AL41" s="14">
        <f t="shared" si="4"/>
        <v>128</v>
      </c>
      <c r="AM41" s="14">
        <f t="shared" si="5"/>
        <v>159</v>
      </c>
      <c r="AN41" s="14">
        <f t="shared" si="6"/>
        <v>124</v>
      </c>
      <c r="AO41" s="14">
        <f t="shared" si="7"/>
        <v>11</v>
      </c>
    </row>
    <row r="42" spans="1:41" hidden="1" x14ac:dyDescent="0.3">
      <c r="A42" s="129"/>
      <c r="B42" s="130"/>
      <c r="C42" s="130" t="s">
        <v>438</v>
      </c>
      <c r="D42" s="130" t="s">
        <v>26</v>
      </c>
      <c r="E42" s="129">
        <v>3</v>
      </c>
      <c r="F42" s="129"/>
      <c r="G42" s="129">
        <v>555</v>
      </c>
      <c r="H42" s="129">
        <v>15</v>
      </c>
      <c r="I42" s="129">
        <v>301</v>
      </c>
      <c r="J42" s="129">
        <v>169</v>
      </c>
      <c r="K42" s="129">
        <v>1040</v>
      </c>
      <c r="L42" s="131">
        <v>0.53400000000000003</v>
      </c>
      <c r="M42" s="131">
        <v>1.4E-2</v>
      </c>
      <c r="N42" s="131">
        <v>0.28899999999999998</v>
      </c>
      <c r="O42" s="131">
        <v>0.16300000000000001</v>
      </c>
      <c r="P42" s="131">
        <v>0.111</v>
      </c>
      <c r="Q42" s="131">
        <v>1.4999999999999999E-2</v>
      </c>
      <c r="S42" s="129">
        <v>117</v>
      </c>
      <c r="T42" s="129">
        <v>29</v>
      </c>
      <c r="U42" s="129">
        <v>25</v>
      </c>
      <c r="W42" s="129">
        <v>1972.8</v>
      </c>
      <c r="X42" s="129">
        <v>1978</v>
      </c>
      <c r="Y42" s="132">
        <v>52625.9</v>
      </c>
      <c r="Z42" s="132">
        <v>20270</v>
      </c>
      <c r="AA42" s="132">
        <v>35075</v>
      </c>
      <c r="AB42" s="132">
        <v>27150</v>
      </c>
      <c r="AC42" s="131">
        <v>0.309</v>
      </c>
      <c r="AD42" s="131">
        <v>0.25600000000000001</v>
      </c>
      <c r="AE42" s="132">
        <v>8846.2000000000007</v>
      </c>
      <c r="AF42" s="132">
        <v>5876.7</v>
      </c>
      <c r="AH42" s="129">
        <f t="shared" si="0"/>
        <v>10</v>
      </c>
      <c r="AI42" s="129">
        <f t="shared" si="1"/>
        <v>40</v>
      </c>
      <c r="AJ42" s="129">
        <f t="shared" si="2"/>
        <v>31</v>
      </c>
      <c r="AK42" s="129">
        <f t="shared" si="3"/>
        <v>50</v>
      </c>
      <c r="AL42" s="129">
        <f t="shared" si="4"/>
        <v>54</v>
      </c>
      <c r="AM42" s="129">
        <f t="shared" si="5"/>
        <v>52</v>
      </c>
      <c r="AN42" s="129">
        <f t="shared" si="6"/>
        <v>10</v>
      </c>
      <c r="AO42" s="129">
        <f t="shared" si="7"/>
        <v>31</v>
      </c>
    </row>
    <row r="43" spans="1:41" ht="12" hidden="1" x14ac:dyDescent="0.25">
      <c r="A43" s="19">
        <v>540024</v>
      </c>
      <c r="B43" s="22" t="s">
        <v>437</v>
      </c>
      <c r="C43" s="22" t="s">
        <v>435</v>
      </c>
      <c r="D43" s="22" t="s">
        <v>29</v>
      </c>
      <c r="E43" s="19">
        <v>6</v>
      </c>
      <c r="F43" s="19" t="s">
        <v>121</v>
      </c>
      <c r="G43" s="19">
        <v>527</v>
      </c>
      <c r="H43" s="19">
        <v>14</v>
      </c>
      <c r="I43" s="19">
        <v>140</v>
      </c>
      <c r="J43" s="19">
        <v>82</v>
      </c>
      <c r="K43" s="19">
        <v>763</v>
      </c>
      <c r="L43" s="21">
        <v>0.69099999999999995</v>
      </c>
      <c r="M43" s="21">
        <v>1.7999999999999999E-2</v>
      </c>
      <c r="N43" s="21">
        <v>0.183</v>
      </c>
      <c r="O43" s="21">
        <v>0.107</v>
      </c>
      <c r="P43" s="21">
        <v>8.1000000000000003E-2</v>
      </c>
      <c r="Q43" s="21">
        <v>3.0000000000000001E-3</v>
      </c>
      <c r="R43" s="2"/>
      <c r="S43" s="19">
        <v>39</v>
      </c>
      <c r="T43" s="19">
        <v>5</v>
      </c>
      <c r="U43" s="19">
        <v>7</v>
      </c>
      <c r="V43" s="2"/>
      <c r="W43" s="19">
        <v>1956.8</v>
      </c>
      <c r="X43" s="19">
        <v>1970</v>
      </c>
      <c r="Y43" s="20">
        <v>45159.8</v>
      </c>
      <c r="Z43" s="20">
        <v>29100</v>
      </c>
      <c r="AA43" s="20">
        <v>39697.300000000003</v>
      </c>
      <c r="AB43" s="20">
        <v>27300</v>
      </c>
      <c r="AC43" s="21">
        <v>0.17299999999999999</v>
      </c>
      <c r="AD43" s="21">
        <v>0.115</v>
      </c>
      <c r="AE43" s="20">
        <v>6338.2</v>
      </c>
      <c r="AF43" s="20">
        <v>3088.3</v>
      </c>
      <c r="AG43" s="2"/>
      <c r="AH43" s="19">
        <f t="shared" si="0"/>
        <v>41</v>
      </c>
      <c r="AI43" s="19">
        <f t="shared" si="1"/>
        <v>50</v>
      </c>
      <c r="AJ43" s="19">
        <f t="shared" si="2"/>
        <v>46</v>
      </c>
      <c r="AK43" s="19">
        <f t="shared" si="3"/>
        <v>21</v>
      </c>
      <c r="AL43" s="19">
        <f t="shared" si="4"/>
        <v>39</v>
      </c>
      <c r="AM43" s="19">
        <f t="shared" si="5"/>
        <v>40</v>
      </c>
      <c r="AN43" s="19">
        <f t="shared" si="6"/>
        <v>47</v>
      </c>
      <c r="AO43" s="19">
        <f t="shared" si="7"/>
        <v>51</v>
      </c>
    </row>
    <row r="44" spans="1:41" ht="12" hidden="1" x14ac:dyDescent="0.25">
      <c r="A44" s="14">
        <v>540025</v>
      </c>
      <c r="B44" s="17" t="s">
        <v>436</v>
      </c>
      <c r="C44" s="17" t="s">
        <v>435</v>
      </c>
      <c r="D44" s="17" t="s">
        <v>2</v>
      </c>
      <c r="E44" s="14">
        <v>6</v>
      </c>
      <c r="F44" s="14" t="s">
        <v>121</v>
      </c>
      <c r="G44" s="14">
        <v>23</v>
      </c>
      <c r="H44" s="14">
        <v>3</v>
      </c>
      <c r="I44" s="14">
        <v>2</v>
      </c>
      <c r="J44" s="14">
        <v>1</v>
      </c>
      <c r="K44" s="14">
        <v>29</v>
      </c>
      <c r="L44" s="16">
        <v>0.79300000000000004</v>
      </c>
      <c r="M44" s="16">
        <v>0.10299999999999999</v>
      </c>
      <c r="N44" s="16">
        <v>6.9000000000000006E-2</v>
      </c>
      <c r="O44" s="16">
        <v>3.4000000000000002E-2</v>
      </c>
      <c r="P44" s="16">
        <v>0</v>
      </c>
      <c r="Q44" s="16">
        <v>3.4000000000000002E-2</v>
      </c>
      <c r="R44" s="2"/>
      <c r="S44" s="14">
        <v>2</v>
      </c>
      <c r="T44" s="14">
        <v>0</v>
      </c>
      <c r="U44" s="14">
        <v>0</v>
      </c>
      <c r="V44" s="2"/>
      <c r="W44" s="14">
        <v>1951.8</v>
      </c>
      <c r="X44" s="14">
        <v>1950</v>
      </c>
      <c r="Y44" s="15">
        <v>101103.6</v>
      </c>
      <c r="Z44" s="15">
        <v>35400</v>
      </c>
      <c r="AA44" s="15">
        <v>38208.300000000003</v>
      </c>
      <c r="AB44" s="15">
        <v>33500</v>
      </c>
      <c r="AC44" s="16">
        <v>0.16500000000000001</v>
      </c>
      <c r="AD44" s="16">
        <v>8.3000000000000004E-2</v>
      </c>
      <c r="AE44" s="15">
        <v>6491.8</v>
      </c>
      <c r="AF44" s="15">
        <v>2922.1</v>
      </c>
      <c r="AG44" s="2"/>
      <c r="AH44" s="14">
        <f t="shared" si="0"/>
        <v>150</v>
      </c>
      <c r="AI44" s="14">
        <f t="shared" si="1"/>
        <v>134</v>
      </c>
      <c r="AJ44" s="14">
        <f t="shared" si="2"/>
        <v>108</v>
      </c>
      <c r="AK44" s="14">
        <f t="shared" si="3"/>
        <v>120</v>
      </c>
      <c r="AL44" s="14">
        <f t="shared" si="4"/>
        <v>135</v>
      </c>
      <c r="AM44" s="14">
        <f t="shared" si="5"/>
        <v>120</v>
      </c>
      <c r="AN44" s="14">
        <f t="shared" si="6"/>
        <v>131</v>
      </c>
      <c r="AO44" s="14">
        <f t="shared" si="7"/>
        <v>139</v>
      </c>
    </row>
    <row r="45" spans="1:41" hidden="1" x14ac:dyDescent="0.3">
      <c r="A45" s="129"/>
      <c r="B45" s="130"/>
      <c r="C45" s="130" t="s">
        <v>435</v>
      </c>
      <c r="D45" s="130" t="s">
        <v>26</v>
      </c>
      <c r="E45" s="129">
        <v>6</v>
      </c>
      <c r="F45" s="129"/>
      <c r="G45" s="129">
        <v>550</v>
      </c>
      <c r="H45" s="129">
        <v>17</v>
      </c>
      <c r="I45" s="129">
        <v>142</v>
      </c>
      <c r="J45" s="129">
        <v>83</v>
      </c>
      <c r="K45" s="129">
        <v>792</v>
      </c>
      <c r="L45" s="131">
        <v>0.69399999999999995</v>
      </c>
      <c r="M45" s="131">
        <v>2.1000000000000001E-2</v>
      </c>
      <c r="N45" s="131">
        <v>0.17899999999999999</v>
      </c>
      <c r="O45" s="131">
        <v>0.105</v>
      </c>
      <c r="P45" s="131">
        <v>7.8E-2</v>
      </c>
      <c r="Q45" s="131">
        <v>4.0000000000000001E-3</v>
      </c>
      <c r="S45" s="129">
        <v>41</v>
      </c>
      <c r="T45" s="129">
        <v>5</v>
      </c>
      <c r="U45" s="129">
        <v>7</v>
      </c>
      <c r="W45" s="129">
        <v>1956.6</v>
      </c>
      <c r="X45" s="129">
        <v>1970</v>
      </c>
      <c r="Y45" s="132">
        <v>47208.2</v>
      </c>
      <c r="Z45" s="132">
        <v>30350</v>
      </c>
      <c r="AA45" s="132">
        <v>49159.5</v>
      </c>
      <c r="AB45" s="132">
        <v>41700</v>
      </c>
      <c r="AC45" s="131">
        <v>0.17299999999999999</v>
      </c>
      <c r="AD45" s="131">
        <v>0.114</v>
      </c>
      <c r="AE45" s="132">
        <v>6346.6</v>
      </c>
      <c r="AF45" s="132">
        <v>3072.1</v>
      </c>
      <c r="AH45" s="129">
        <f t="shared" si="0"/>
        <v>36</v>
      </c>
      <c r="AI45" s="129">
        <f t="shared" si="1"/>
        <v>53</v>
      </c>
      <c r="AJ45" s="129">
        <f t="shared" si="2"/>
        <v>51</v>
      </c>
      <c r="AK45" s="129">
        <f t="shared" si="3"/>
        <v>32</v>
      </c>
      <c r="AL45" s="129">
        <f t="shared" si="4"/>
        <v>41</v>
      </c>
      <c r="AM45" s="129">
        <f t="shared" si="5"/>
        <v>34</v>
      </c>
      <c r="AN45" s="129">
        <f t="shared" si="6"/>
        <v>50</v>
      </c>
      <c r="AO45" s="129">
        <f t="shared" si="7"/>
        <v>52</v>
      </c>
    </row>
    <row r="46" spans="1:41" ht="12" hidden="1" x14ac:dyDescent="0.25">
      <c r="A46" s="14">
        <v>540027</v>
      </c>
      <c r="B46" s="17" t="s">
        <v>434</v>
      </c>
      <c r="C46" s="17" t="s">
        <v>423</v>
      </c>
      <c r="D46" s="17" t="s">
        <v>2</v>
      </c>
      <c r="E46" s="14">
        <v>4</v>
      </c>
      <c r="F46" s="14" t="s">
        <v>433</v>
      </c>
      <c r="G46" s="14">
        <v>1</v>
      </c>
      <c r="H46" s="14">
        <v>0</v>
      </c>
      <c r="I46" s="14">
        <v>0</v>
      </c>
      <c r="J46" s="14">
        <v>0</v>
      </c>
      <c r="K46" s="14">
        <v>1</v>
      </c>
      <c r="L46" s="16">
        <v>1</v>
      </c>
      <c r="M46" s="16">
        <v>0</v>
      </c>
      <c r="N46" s="16">
        <v>0</v>
      </c>
      <c r="O46" s="16">
        <v>0</v>
      </c>
      <c r="P46" s="16">
        <v>0</v>
      </c>
      <c r="Q46" s="16">
        <v>0</v>
      </c>
      <c r="R46" s="2"/>
      <c r="S46" s="14">
        <v>0</v>
      </c>
      <c r="T46" s="14">
        <v>0</v>
      </c>
      <c r="U46" s="14">
        <v>0</v>
      </c>
      <c r="V46" s="2"/>
      <c r="W46" s="14">
        <v>1946</v>
      </c>
      <c r="X46" s="14">
        <v>1946</v>
      </c>
      <c r="Y46" s="15">
        <v>65700</v>
      </c>
      <c r="Z46" s="15">
        <v>65700</v>
      </c>
      <c r="AA46" s="15">
        <v>65700</v>
      </c>
      <c r="AB46" s="15">
        <v>65700</v>
      </c>
      <c r="AC46" s="16">
        <v>0</v>
      </c>
      <c r="AD46" s="16">
        <v>0</v>
      </c>
      <c r="AE46" s="15">
        <v>0</v>
      </c>
      <c r="AF46" s="15">
        <v>0</v>
      </c>
      <c r="AG46" s="2"/>
      <c r="AH46" s="14">
        <f t="shared" si="0"/>
        <v>192</v>
      </c>
      <c r="AI46" s="14">
        <f t="shared" si="1"/>
        <v>172</v>
      </c>
      <c r="AJ46" s="14">
        <f t="shared" si="2"/>
        <v>108</v>
      </c>
      <c r="AK46" s="14">
        <f t="shared" si="3"/>
        <v>103</v>
      </c>
      <c r="AL46" s="14">
        <f t="shared" si="4"/>
        <v>41</v>
      </c>
      <c r="AM46" s="14">
        <f t="shared" si="5"/>
        <v>25</v>
      </c>
      <c r="AN46" s="14">
        <f t="shared" si="6"/>
        <v>198</v>
      </c>
      <c r="AO46" s="14">
        <f t="shared" si="7"/>
        <v>198</v>
      </c>
    </row>
    <row r="47" spans="1:41" ht="12" hidden="1" x14ac:dyDescent="0.25">
      <c r="A47" s="14">
        <v>540028</v>
      </c>
      <c r="B47" s="17" t="s">
        <v>432</v>
      </c>
      <c r="C47" s="17" t="s">
        <v>423</v>
      </c>
      <c r="D47" s="17" t="s">
        <v>2</v>
      </c>
      <c r="E47" s="14">
        <v>4</v>
      </c>
      <c r="F47" s="14" t="s">
        <v>431</v>
      </c>
      <c r="G47" s="14">
        <v>15</v>
      </c>
      <c r="H47" s="14">
        <v>0</v>
      </c>
      <c r="I47" s="14">
        <v>4</v>
      </c>
      <c r="J47" s="14">
        <v>4</v>
      </c>
      <c r="K47" s="14">
        <v>23</v>
      </c>
      <c r="L47" s="16">
        <v>0.65200000000000002</v>
      </c>
      <c r="M47" s="16">
        <v>0</v>
      </c>
      <c r="N47" s="16">
        <v>0.17399999999999999</v>
      </c>
      <c r="O47" s="16">
        <v>0.17399999999999999</v>
      </c>
      <c r="P47" s="16">
        <v>0.17399999999999999</v>
      </c>
      <c r="Q47" s="16">
        <v>0</v>
      </c>
      <c r="R47" s="2"/>
      <c r="S47" s="14">
        <v>0</v>
      </c>
      <c r="T47" s="14">
        <v>0</v>
      </c>
      <c r="U47" s="14">
        <v>0</v>
      </c>
      <c r="V47" s="2"/>
      <c r="W47" s="14">
        <v>1944.6</v>
      </c>
      <c r="X47" s="14">
        <v>1936</v>
      </c>
      <c r="Y47" s="15">
        <v>31201.7</v>
      </c>
      <c r="Z47" s="15">
        <v>24510</v>
      </c>
      <c r="AA47" s="15">
        <v>33092.400000000001</v>
      </c>
      <c r="AB47" s="15">
        <v>28500</v>
      </c>
      <c r="AC47" s="16">
        <v>0.11600000000000001</v>
      </c>
      <c r="AD47" s="16">
        <v>8.1000000000000003E-2</v>
      </c>
      <c r="AE47" s="15">
        <v>2954.7</v>
      </c>
      <c r="AF47" s="15">
        <v>2276</v>
      </c>
      <c r="AG47" s="2"/>
      <c r="AH47" s="14">
        <f t="shared" si="0"/>
        <v>74</v>
      </c>
      <c r="AI47" s="14">
        <f t="shared" si="1"/>
        <v>172</v>
      </c>
      <c r="AJ47" s="14">
        <f t="shared" si="2"/>
        <v>108</v>
      </c>
      <c r="AK47" s="14">
        <f t="shared" si="3"/>
        <v>64</v>
      </c>
      <c r="AL47" s="14">
        <f t="shared" si="4"/>
        <v>177</v>
      </c>
      <c r="AM47" s="14">
        <f t="shared" si="5"/>
        <v>145</v>
      </c>
      <c r="AN47" s="14">
        <f t="shared" si="6"/>
        <v>134</v>
      </c>
      <c r="AO47" s="14">
        <f t="shared" si="7"/>
        <v>158</v>
      </c>
    </row>
    <row r="48" spans="1:41" ht="12" hidden="1" x14ac:dyDescent="0.25">
      <c r="A48" s="25">
        <v>540029</v>
      </c>
      <c r="B48" s="26" t="s">
        <v>18</v>
      </c>
      <c r="C48" s="26" t="s">
        <v>423</v>
      </c>
      <c r="D48" s="26" t="s">
        <v>58</v>
      </c>
      <c r="E48" s="25">
        <v>4</v>
      </c>
      <c r="F48" s="25" t="s">
        <v>339</v>
      </c>
      <c r="G48" s="25">
        <v>7</v>
      </c>
      <c r="H48" s="25">
        <v>0</v>
      </c>
      <c r="I48" s="25">
        <v>4</v>
      </c>
      <c r="J48" s="25">
        <v>4</v>
      </c>
      <c r="K48" s="25">
        <v>15</v>
      </c>
      <c r="L48" s="24">
        <v>0.46700000000000003</v>
      </c>
      <c r="M48" s="24">
        <v>0</v>
      </c>
      <c r="N48" s="24">
        <v>0.26700000000000002</v>
      </c>
      <c r="O48" s="24">
        <v>0.26700000000000002</v>
      </c>
      <c r="P48" s="24">
        <v>6.7000000000000004E-2</v>
      </c>
      <c r="Q48" s="24">
        <v>0.2</v>
      </c>
      <c r="R48" s="2"/>
      <c r="S48" s="25">
        <v>2</v>
      </c>
      <c r="T48" s="25">
        <v>0</v>
      </c>
      <c r="U48" s="25">
        <v>0</v>
      </c>
      <c r="V48" s="2"/>
      <c r="W48" s="25">
        <v>1953.1</v>
      </c>
      <c r="X48" s="25">
        <v>1950</v>
      </c>
      <c r="Y48" s="23">
        <v>286526</v>
      </c>
      <c r="Z48" s="23">
        <v>55000</v>
      </c>
      <c r="AA48" s="23">
        <v>83303.8</v>
      </c>
      <c r="AB48" s="23">
        <v>50400</v>
      </c>
      <c r="AC48" s="24">
        <v>0.13</v>
      </c>
      <c r="AD48" s="24">
        <v>0.17699999999999999</v>
      </c>
      <c r="AE48" s="23">
        <v>12175.2</v>
      </c>
      <c r="AF48" s="23">
        <v>11564</v>
      </c>
      <c r="AG48" s="2"/>
      <c r="AH48" s="14" t="str">
        <f t="shared" si="0"/>
        <v/>
      </c>
      <c r="AI48" s="14" t="str">
        <f t="shared" si="1"/>
        <v/>
      </c>
      <c r="AJ48" s="14" t="str">
        <f t="shared" si="2"/>
        <v/>
      </c>
      <c r="AK48" s="14" t="str">
        <f t="shared" si="3"/>
        <v/>
      </c>
      <c r="AL48" s="14" t="str">
        <f t="shared" si="4"/>
        <v/>
      </c>
      <c r="AM48" s="14" t="str">
        <f t="shared" si="5"/>
        <v/>
      </c>
      <c r="AN48" s="14" t="str">
        <f t="shared" si="6"/>
        <v/>
      </c>
      <c r="AO48" s="14" t="str">
        <f t="shared" si="7"/>
        <v/>
      </c>
    </row>
    <row r="49" spans="1:41" ht="12" hidden="1" x14ac:dyDescent="0.25">
      <c r="A49" s="14">
        <v>540031</v>
      </c>
      <c r="B49" s="17" t="s">
        <v>430</v>
      </c>
      <c r="C49" s="17" t="s">
        <v>423</v>
      </c>
      <c r="D49" s="17" t="s">
        <v>2</v>
      </c>
      <c r="E49" s="14">
        <v>4</v>
      </c>
      <c r="F49" s="14" t="s">
        <v>429</v>
      </c>
      <c r="G49" s="14">
        <v>49</v>
      </c>
      <c r="H49" s="14">
        <v>0</v>
      </c>
      <c r="I49" s="14">
        <v>5</v>
      </c>
      <c r="J49" s="14">
        <v>1</v>
      </c>
      <c r="K49" s="14">
        <v>55</v>
      </c>
      <c r="L49" s="16">
        <v>0.89100000000000001</v>
      </c>
      <c r="M49" s="16">
        <v>0</v>
      </c>
      <c r="N49" s="16">
        <v>9.0999999999999998E-2</v>
      </c>
      <c r="O49" s="16">
        <v>1.7999999999999999E-2</v>
      </c>
      <c r="P49" s="16">
        <v>1.7999999999999999E-2</v>
      </c>
      <c r="Q49" s="16">
        <v>0</v>
      </c>
      <c r="R49" s="2"/>
      <c r="S49" s="14">
        <v>0</v>
      </c>
      <c r="T49" s="14">
        <v>0</v>
      </c>
      <c r="U49" s="14">
        <v>0</v>
      </c>
      <c r="V49" s="2"/>
      <c r="W49" s="14">
        <v>1936.8</v>
      </c>
      <c r="X49" s="14">
        <v>1933.5</v>
      </c>
      <c r="Y49" s="15">
        <v>43140</v>
      </c>
      <c r="Z49" s="15">
        <v>27000</v>
      </c>
      <c r="AA49" s="15">
        <v>45244</v>
      </c>
      <c r="AB49" s="15">
        <v>28100</v>
      </c>
      <c r="AC49" s="16">
        <v>0.10299999999999999</v>
      </c>
      <c r="AD49" s="16">
        <v>9.4E-2</v>
      </c>
      <c r="AE49" s="15">
        <v>3078.5</v>
      </c>
      <c r="AF49" s="15">
        <v>1706.2</v>
      </c>
      <c r="AG49" s="2"/>
      <c r="AH49" s="14">
        <f t="shared" si="0"/>
        <v>134</v>
      </c>
      <c r="AI49" s="14">
        <f t="shared" si="1"/>
        <v>172</v>
      </c>
      <c r="AJ49" s="14">
        <f t="shared" si="2"/>
        <v>108</v>
      </c>
      <c r="AK49" s="14">
        <f t="shared" si="3"/>
        <v>60</v>
      </c>
      <c r="AL49" s="14">
        <f t="shared" si="4"/>
        <v>168</v>
      </c>
      <c r="AM49" s="14">
        <f t="shared" si="5"/>
        <v>148</v>
      </c>
      <c r="AN49" s="14">
        <f t="shared" si="6"/>
        <v>125</v>
      </c>
      <c r="AO49" s="14">
        <f t="shared" si="7"/>
        <v>176</v>
      </c>
    </row>
    <row r="50" spans="1:41" ht="12" hidden="1" x14ac:dyDescent="0.25">
      <c r="A50" s="14">
        <v>540032</v>
      </c>
      <c r="B50" s="17" t="s">
        <v>428</v>
      </c>
      <c r="C50" s="17" t="s">
        <v>423</v>
      </c>
      <c r="D50" s="17" t="s">
        <v>2</v>
      </c>
      <c r="E50" s="14">
        <v>4</v>
      </c>
      <c r="F50" s="14" t="s">
        <v>414</v>
      </c>
      <c r="G50" s="14">
        <v>29</v>
      </c>
      <c r="H50" s="14">
        <v>0</v>
      </c>
      <c r="I50" s="14">
        <v>7</v>
      </c>
      <c r="J50" s="14">
        <v>3</v>
      </c>
      <c r="K50" s="14">
        <v>39</v>
      </c>
      <c r="L50" s="16">
        <v>0.74399999999999999</v>
      </c>
      <c r="M50" s="16">
        <v>0</v>
      </c>
      <c r="N50" s="16">
        <v>0.17899999999999999</v>
      </c>
      <c r="O50" s="16">
        <v>7.6999999999999999E-2</v>
      </c>
      <c r="P50" s="16">
        <v>0</v>
      </c>
      <c r="Q50" s="16">
        <v>5.0999999999999997E-2</v>
      </c>
      <c r="R50" s="2"/>
      <c r="S50" s="14">
        <v>2</v>
      </c>
      <c r="T50" s="14">
        <v>0</v>
      </c>
      <c r="U50" s="14">
        <v>2</v>
      </c>
      <c r="V50" s="2"/>
      <c r="W50" s="14">
        <v>1940.1</v>
      </c>
      <c r="X50" s="14">
        <v>1940</v>
      </c>
      <c r="Y50" s="15">
        <v>34920.5</v>
      </c>
      <c r="Z50" s="15">
        <v>24200</v>
      </c>
      <c r="AA50" s="15">
        <v>28890.9</v>
      </c>
      <c r="AB50" s="15">
        <v>23650</v>
      </c>
      <c r="AC50" s="16">
        <v>0.17799999999999999</v>
      </c>
      <c r="AD50" s="16">
        <v>0.159</v>
      </c>
      <c r="AE50" s="15">
        <v>4703.6000000000004</v>
      </c>
      <c r="AF50" s="15">
        <v>3859.8</v>
      </c>
      <c r="AG50" s="2"/>
      <c r="AH50" s="14">
        <f t="shared" si="0"/>
        <v>73</v>
      </c>
      <c r="AI50" s="14">
        <f t="shared" si="1"/>
        <v>134</v>
      </c>
      <c r="AJ50" s="14">
        <f t="shared" si="2"/>
        <v>108</v>
      </c>
      <c r="AK50" s="14">
        <f t="shared" si="3"/>
        <v>72</v>
      </c>
      <c r="AL50" s="14">
        <f t="shared" si="4"/>
        <v>180</v>
      </c>
      <c r="AM50" s="14">
        <f t="shared" si="5"/>
        <v>173</v>
      </c>
      <c r="AN50" s="14">
        <f t="shared" si="6"/>
        <v>68</v>
      </c>
      <c r="AO50" s="14">
        <f t="shared" si="7"/>
        <v>117</v>
      </c>
    </row>
    <row r="51" spans="1:41" ht="12" hidden="1" x14ac:dyDescent="0.25">
      <c r="A51" s="14">
        <v>540294</v>
      </c>
      <c r="B51" s="17" t="s">
        <v>427</v>
      </c>
      <c r="C51" s="17" t="s">
        <v>423</v>
      </c>
      <c r="D51" s="17" t="s">
        <v>2</v>
      </c>
      <c r="E51" s="14">
        <v>4</v>
      </c>
      <c r="F51" s="14" t="s">
        <v>426</v>
      </c>
      <c r="G51" s="14">
        <v>42</v>
      </c>
      <c r="H51" s="14">
        <v>1</v>
      </c>
      <c r="I51" s="14">
        <v>2</v>
      </c>
      <c r="J51" s="14">
        <v>0</v>
      </c>
      <c r="K51" s="14">
        <v>45</v>
      </c>
      <c r="L51" s="16">
        <v>0.93300000000000005</v>
      </c>
      <c r="M51" s="16">
        <v>2.1999999999999999E-2</v>
      </c>
      <c r="N51" s="16">
        <v>4.3999999999999997E-2</v>
      </c>
      <c r="O51" s="16">
        <v>0</v>
      </c>
      <c r="P51" s="16">
        <v>0</v>
      </c>
      <c r="Q51" s="16">
        <v>0</v>
      </c>
      <c r="R51" s="2"/>
      <c r="S51" s="14">
        <v>5</v>
      </c>
      <c r="T51" s="14">
        <v>0</v>
      </c>
      <c r="U51" s="14">
        <v>0</v>
      </c>
      <c r="V51" s="2"/>
      <c r="W51" s="14">
        <v>1953.2</v>
      </c>
      <c r="X51" s="14">
        <v>1947.5</v>
      </c>
      <c r="Y51" s="15">
        <v>70468.399999999994</v>
      </c>
      <c r="Z51" s="15">
        <v>35600</v>
      </c>
      <c r="AA51" s="15">
        <v>41389.5</v>
      </c>
      <c r="AB51" s="15">
        <v>28000</v>
      </c>
      <c r="AC51" s="16">
        <v>0.10100000000000001</v>
      </c>
      <c r="AD51" s="16">
        <v>7.5999999999999998E-2</v>
      </c>
      <c r="AE51" s="15">
        <v>5513.1</v>
      </c>
      <c r="AF51" s="15">
        <v>3334.8</v>
      </c>
      <c r="AG51" s="2"/>
      <c r="AH51" s="14">
        <f t="shared" si="0"/>
        <v>164</v>
      </c>
      <c r="AI51" s="14">
        <f t="shared" si="1"/>
        <v>110</v>
      </c>
      <c r="AJ51" s="14">
        <f t="shared" si="2"/>
        <v>108</v>
      </c>
      <c r="AK51" s="14">
        <f t="shared" si="3"/>
        <v>110</v>
      </c>
      <c r="AL51" s="14">
        <f t="shared" si="4"/>
        <v>133</v>
      </c>
      <c r="AM51" s="14">
        <f t="shared" si="5"/>
        <v>150</v>
      </c>
      <c r="AN51" s="14">
        <f t="shared" si="6"/>
        <v>138</v>
      </c>
      <c r="AO51" s="14">
        <f t="shared" si="7"/>
        <v>130</v>
      </c>
    </row>
    <row r="52" spans="1:41" ht="12" hidden="1" x14ac:dyDescent="0.25">
      <c r="A52" s="25">
        <v>540033</v>
      </c>
      <c r="B52" s="26" t="s">
        <v>11</v>
      </c>
      <c r="C52" s="26" t="s">
        <v>423</v>
      </c>
      <c r="D52" s="26" t="s">
        <v>58</v>
      </c>
      <c r="E52" s="25">
        <v>4</v>
      </c>
      <c r="F52" s="25" t="s">
        <v>162</v>
      </c>
      <c r="G52" s="25">
        <v>54</v>
      </c>
      <c r="H52" s="25">
        <v>3</v>
      </c>
      <c r="I52" s="25">
        <v>12</v>
      </c>
      <c r="J52" s="25">
        <v>5</v>
      </c>
      <c r="K52" s="25">
        <v>74</v>
      </c>
      <c r="L52" s="24">
        <v>0.73</v>
      </c>
      <c r="M52" s="24">
        <v>4.1000000000000002E-2</v>
      </c>
      <c r="N52" s="24">
        <v>0.16200000000000001</v>
      </c>
      <c r="O52" s="24">
        <v>6.8000000000000005E-2</v>
      </c>
      <c r="P52" s="24">
        <v>5.3999999999999999E-2</v>
      </c>
      <c r="Q52" s="24">
        <v>0</v>
      </c>
      <c r="R52" s="2"/>
      <c r="S52" s="25">
        <v>11</v>
      </c>
      <c r="T52" s="25">
        <v>2</v>
      </c>
      <c r="U52" s="25">
        <v>1</v>
      </c>
      <c r="V52" s="2"/>
      <c r="W52" s="25">
        <v>1951.6</v>
      </c>
      <c r="X52" s="25">
        <v>1947.5</v>
      </c>
      <c r="Y52" s="23">
        <v>49968</v>
      </c>
      <c r="Z52" s="23">
        <v>24750</v>
      </c>
      <c r="AA52" s="23">
        <v>32766.3</v>
      </c>
      <c r="AB52" s="23">
        <v>24600</v>
      </c>
      <c r="AC52" s="24">
        <v>0.17599999999999999</v>
      </c>
      <c r="AD52" s="24">
        <v>0.122</v>
      </c>
      <c r="AE52" s="23">
        <v>6191.8</v>
      </c>
      <c r="AF52" s="23">
        <v>2741</v>
      </c>
      <c r="AG52" s="2"/>
      <c r="AH52" s="14" t="str">
        <f t="shared" si="0"/>
        <v/>
      </c>
      <c r="AI52" s="14" t="str">
        <f t="shared" si="1"/>
        <v/>
      </c>
      <c r="AJ52" s="14" t="str">
        <f t="shared" si="2"/>
        <v/>
      </c>
      <c r="AK52" s="14" t="str">
        <f t="shared" si="3"/>
        <v/>
      </c>
      <c r="AL52" s="14" t="str">
        <f t="shared" si="4"/>
        <v/>
      </c>
      <c r="AM52" s="14" t="str">
        <f t="shared" si="5"/>
        <v/>
      </c>
      <c r="AN52" s="14" t="str">
        <f t="shared" si="6"/>
        <v/>
      </c>
      <c r="AO52" s="14" t="str">
        <f t="shared" si="7"/>
        <v/>
      </c>
    </row>
    <row r="53" spans="1:41" ht="12" hidden="1" x14ac:dyDescent="0.25">
      <c r="A53" s="14">
        <v>540280</v>
      </c>
      <c r="B53" s="17" t="s">
        <v>425</v>
      </c>
      <c r="C53" s="17" t="s">
        <v>423</v>
      </c>
      <c r="D53" s="17" t="s">
        <v>2</v>
      </c>
      <c r="E53" s="14">
        <v>4</v>
      </c>
      <c r="F53" s="14" t="s">
        <v>414</v>
      </c>
      <c r="G53" s="14">
        <v>36</v>
      </c>
      <c r="H53" s="14">
        <v>0</v>
      </c>
      <c r="I53" s="14">
        <v>2</v>
      </c>
      <c r="J53" s="14">
        <v>0</v>
      </c>
      <c r="K53" s="14">
        <v>38</v>
      </c>
      <c r="L53" s="16">
        <v>0.94699999999999995</v>
      </c>
      <c r="M53" s="16">
        <v>0</v>
      </c>
      <c r="N53" s="16">
        <v>5.2999999999999999E-2</v>
      </c>
      <c r="O53" s="16">
        <v>0</v>
      </c>
      <c r="P53" s="16">
        <v>0</v>
      </c>
      <c r="Q53" s="16">
        <v>0</v>
      </c>
      <c r="R53" s="2"/>
      <c r="S53" s="14">
        <v>2</v>
      </c>
      <c r="T53" s="14">
        <v>0</v>
      </c>
      <c r="U53" s="14">
        <v>0</v>
      </c>
      <c r="V53" s="2"/>
      <c r="W53" s="14">
        <v>1926.9</v>
      </c>
      <c r="X53" s="14">
        <v>1920</v>
      </c>
      <c r="Y53" s="15">
        <v>31835.5</v>
      </c>
      <c r="Z53" s="15">
        <v>26350</v>
      </c>
      <c r="AA53" s="15">
        <v>24592.799999999999</v>
      </c>
      <c r="AB53" s="15">
        <v>26100</v>
      </c>
      <c r="AC53" s="16">
        <v>0.155</v>
      </c>
      <c r="AD53" s="16">
        <v>0.13100000000000001</v>
      </c>
      <c r="AE53" s="15">
        <v>5005.5</v>
      </c>
      <c r="AF53" s="15">
        <v>3823.9</v>
      </c>
      <c r="AG53" s="2"/>
      <c r="AH53" s="14">
        <f t="shared" si="0"/>
        <v>160</v>
      </c>
      <c r="AI53" s="14">
        <f t="shared" si="1"/>
        <v>134</v>
      </c>
      <c r="AJ53" s="14">
        <f t="shared" si="2"/>
        <v>108</v>
      </c>
      <c r="AK53" s="14">
        <f t="shared" si="3"/>
        <v>21</v>
      </c>
      <c r="AL53" s="14">
        <f t="shared" si="4"/>
        <v>169</v>
      </c>
      <c r="AM53" s="14">
        <f t="shared" si="5"/>
        <v>161</v>
      </c>
      <c r="AN53" s="14">
        <f t="shared" si="6"/>
        <v>87</v>
      </c>
      <c r="AO53" s="14">
        <f t="shared" si="7"/>
        <v>119</v>
      </c>
    </row>
    <row r="54" spans="1:41" ht="12" hidden="1" x14ac:dyDescent="0.25">
      <c r="A54" s="19">
        <v>540026</v>
      </c>
      <c r="B54" s="22" t="s">
        <v>424</v>
      </c>
      <c r="C54" s="22" t="s">
        <v>423</v>
      </c>
      <c r="D54" s="22" t="s">
        <v>29</v>
      </c>
      <c r="E54" s="19">
        <v>4</v>
      </c>
      <c r="F54" s="19" t="s">
        <v>299</v>
      </c>
      <c r="G54" s="19">
        <v>1129</v>
      </c>
      <c r="H54" s="19">
        <v>106</v>
      </c>
      <c r="I54" s="19">
        <v>191</v>
      </c>
      <c r="J54" s="19">
        <v>103</v>
      </c>
      <c r="K54" s="19">
        <v>1529</v>
      </c>
      <c r="L54" s="21">
        <v>0.73799999999999999</v>
      </c>
      <c r="M54" s="21">
        <v>6.9000000000000006E-2</v>
      </c>
      <c r="N54" s="21">
        <v>0.125</v>
      </c>
      <c r="O54" s="21">
        <v>6.7000000000000004E-2</v>
      </c>
      <c r="P54" s="21">
        <v>4.4999999999999998E-2</v>
      </c>
      <c r="Q54" s="21">
        <v>6.0000000000000001E-3</v>
      </c>
      <c r="R54" s="2"/>
      <c r="S54" s="19">
        <v>153</v>
      </c>
      <c r="T54" s="19">
        <v>15</v>
      </c>
      <c r="U54" s="19">
        <v>29</v>
      </c>
      <c r="V54" s="2"/>
      <c r="W54" s="19">
        <v>1949.1</v>
      </c>
      <c r="X54" s="19">
        <v>1945</v>
      </c>
      <c r="Y54" s="20">
        <v>43541.3</v>
      </c>
      <c r="Z54" s="20">
        <v>28600</v>
      </c>
      <c r="AA54" s="20">
        <v>35358.199999999997</v>
      </c>
      <c r="AB54" s="20">
        <v>28100</v>
      </c>
      <c r="AC54" s="21">
        <v>0.19800000000000001</v>
      </c>
      <c r="AD54" s="21">
        <v>0.114</v>
      </c>
      <c r="AE54" s="20">
        <v>6674.2</v>
      </c>
      <c r="AF54" s="20">
        <v>3294.8</v>
      </c>
      <c r="AG54" s="2"/>
      <c r="AH54" s="19">
        <f t="shared" si="0"/>
        <v>49</v>
      </c>
      <c r="AI54" s="19">
        <f t="shared" si="1"/>
        <v>24</v>
      </c>
      <c r="AJ54" s="19">
        <f t="shared" si="2"/>
        <v>33</v>
      </c>
      <c r="AK54" s="19">
        <f t="shared" si="3"/>
        <v>2</v>
      </c>
      <c r="AL54" s="19">
        <f t="shared" si="4"/>
        <v>40</v>
      </c>
      <c r="AM54" s="19">
        <f t="shared" si="5"/>
        <v>38</v>
      </c>
      <c r="AN54" s="19">
        <f t="shared" si="6"/>
        <v>50</v>
      </c>
      <c r="AO54" s="19">
        <f t="shared" si="7"/>
        <v>49</v>
      </c>
    </row>
    <row r="55" spans="1:41" hidden="1" x14ac:dyDescent="0.3">
      <c r="A55" s="129"/>
      <c r="B55" s="130"/>
      <c r="C55" s="130" t="s">
        <v>423</v>
      </c>
      <c r="D55" s="130" t="s">
        <v>26</v>
      </c>
      <c r="E55" s="129">
        <v>4</v>
      </c>
      <c r="F55" s="129"/>
      <c r="G55" s="129">
        <v>1362</v>
      </c>
      <c r="H55" s="129">
        <v>110</v>
      </c>
      <c r="I55" s="129">
        <v>227</v>
      </c>
      <c r="J55" s="129">
        <v>120</v>
      </c>
      <c r="K55" s="129">
        <v>1819</v>
      </c>
      <c r="L55" s="131">
        <v>0.749</v>
      </c>
      <c r="M55" s="131">
        <v>0.06</v>
      </c>
      <c r="N55" s="131">
        <v>0.125</v>
      </c>
      <c r="O55" s="131">
        <v>6.6000000000000003E-2</v>
      </c>
      <c r="P55" s="131">
        <v>4.2999999999999997E-2</v>
      </c>
      <c r="Q55" s="131">
        <v>8.0000000000000002E-3</v>
      </c>
      <c r="S55" s="129">
        <v>175</v>
      </c>
      <c r="T55" s="129">
        <v>17</v>
      </c>
      <c r="U55" s="129">
        <v>32</v>
      </c>
      <c r="W55" s="129">
        <v>1948.2</v>
      </c>
      <c r="X55" s="129">
        <v>1941</v>
      </c>
      <c r="Y55" s="132">
        <v>45887.3</v>
      </c>
      <c r="Z55" s="132">
        <v>28500</v>
      </c>
      <c r="AA55" s="132">
        <v>38316.699999999997</v>
      </c>
      <c r="AB55" s="132">
        <v>30800</v>
      </c>
      <c r="AC55" s="131">
        <v>0.189</v>
      </c>
      <c r="AD55" s="131">
        <v>0.11600000000000001</v>
      </c>
      <c r="AE55" s="132">
        <v>6430.9</v>
      </c>
      <c r="AF55" s="132">
        <v>3303</v>
      </c>
      <c r="AH55" s="129">
        <f t="shared" si="0"/>
        <v>47</v>
      </c>
      <c r="AI55" s="129">
        <f t="shared" si="1"/>
        <v>30</v>
      </c>
      <c r="AJ55" s="129">
        <f t="shared" si="2"/>
        <v>40</v>
      </c>
      <c r="AK55" s="129">
        <f t="shared" si="3"/>
        <v>6</v>
      </c>
      <c r="AL55" s="129">
        <f t="shared" si="4"/>
        <v>43</v>
      </c>
      <c r="AM55" s="129">
        <f t="shared" si="5"/>
        <v>45</v>
      </c>
      <c r="AN55" s="129">
        <f t="shared" si="6"/>
        <v>49</v>
      </c>
      <c r="AO55" s="129">
        <f t="shared" si="7"/>
        <v>50</v>
      </c>
    </row>
    <row r="56" spans="1:41" ht="12" hidden="1" x14ac:dyDescent="0.25">
      <c r="A56" s="19">
        <v>540035</v>
      </c>
      <c r="B56" s="22" t="s">
        <v>422</v>
      </c>
      <c r="C56" s="22" t="s">
        <v>419</v>
      </c>
      <c r="D56" s="22" t="s">
        <v>29</v>
      </c>
      <c r="E56" s="19">
        <v>7</v>
      </c>
      <c r="F56" s="19" t="s">
        <v>141</v>
      </c>
      <c r="G56" s="19">
        <v>276</v>
      </c>
      <c r="H56" s="19">
        <v>0</v>
      </c>
      <c r="I56" s="19">
        <v>77</v>
      </c>
      <c r="J56" s="19">
        <v>5</v>
      </c>
      <c r="K56" s="19">
        <v>358</v>
      </c>
      <c r="L56" s="21">
        <v>0.77100000000000002</v>
      </c>
      <c r="M56" s="21">
        <v>0</v>
      </c>
      <c r="N56" s="21">
        <v>0.215</v>
      </c>
      <c r="O56" s="21">
        <v>1.4E-2</v>
      </c>
      <c r="P56" s="21">
        <v>1.0999999999999999E-2</v>
      </c>
      <c r="Q56" s="21">
        <v>3.0000000000000001E-3</v>
      </c>
      <c r="R56" s="2"/>
      <c r="S56" s="19">
        <v>50</v>
      </c>
      <c r="T56" s="19">
        <v>4</v>
      </c>
      <c r="U56" s="19">
        <v>6</v>
      </c>
      <c r="V56" s="2"/>
      <c r="W56" s="19">
        <v>1953</v>
      </c>
      <c r="X56" s="19">
        <v>1962</v>
      </c>
      <c r="Y56" s="20">
        <v>46048.5</v>
      </c>
      <c r="Z56" s="20">
        <v>33710</v>
      </c>
      <c r="AA56" s="20">
        <v>40683.4</v>
      </c>
      <c r="AB56" s="20">
        <v>31700</v>
      </c>
      <c r="AC56" s="21">
        <v>0.252</v>
      </c>
      <c r="AD56" s="21">
        <v>0.19</v>
      </c>
      <c r="AE56" s="20">
        <v>7951.2</v>
      </c>
      <c r="AF56" s="20">
        <v>5345.4</v>
      </c>
      <c r="AG56" s="2"/>
      <c r="AH56" s="19">
        <f t="shared" si="0"/>
        <v>35</v>
      </c>
      <c r="AI56" s="19">
        <f t="shared" si="1"/>
        <v>46</v>
      </c>
      <c r="AJ56" s="19">
        <f t="shared" si="2"/>
        <v>49</v>
      </c>
      <c r="AK56" s="19">
        <f t="shared" si="3"/>
        <v>8</v>
      </c>
      <c r="AL56" s="19">
        <f t="shared" si="4"/>
        <v>33</v>
      </c>
      <c r="AM56" s="19">
        <f t="shared" si="5"/>
        <v>33</v>
      </c>
      <c r="AN56" s="19">
        <f t="shared" si="6"/>
        <v>22</v>
      </c>
      <c r="AO56" s="19">
        <f t="shared" si="7"/>
        <v>36</v>
      </c>
    </row>
    <row r="57" spans="1:41" ht="12" hidden="1" x14ac:dyDescent="0.25">
      <c r="A57" s="14">
        <v>540036</v>
      </c>
      <c r="B57" s="17" t="s">
        <v>421</v>
      </c>
      <c r="C57" s="17" t="s">
        <v>419</v>
      </c>
      <c r="D57" s="17" t="s">
        <v>2</v>
      </c>
      <c r="E57" s="14">
        <v>7</v>
      </c>
      <c r="F57" s="14" t="s">
        <v>141</v>
      </c>
      <c r="G57" s="14">
        <v>111</v>
      </c>
      <c r="H57" s="14">
        <v>0</v>
      </c>
      <c r="I57" s="14">
        <v>16</v>
      </c>
      <c r="J57" s="14">
        <v>1</v>
      </c>
      <c r="K57" s="14">
        <v>128</v>
      </c>
      <c r="L57" s="16">
        <v>0.86699999999999999</v>
      </c>
      <c r="M57" s="16">
        <v>0</v>
      </c>
      <c r="N57" s="16">
        <v>0.125</v>
      </c>
      <c r="O57" s="16">
        <v>8.0000000000000002E-3</v>
      </c>
      <c r="P57" s="16">
        <v>0</v>
      </c>
      <c r="Q57" s="16">
        <v>0</v>
      </c>
      <c r="R57" s="2"/>
      <c r="S57" s="14">
        <v>18</v>
      </c>
      <c r="T57" s="14">
        <v>0</v>
      </c>
      <c r="U57" s="14">
        <v>3</v>
      </c>
      <c r="V57" s="2"/>
      <c r="W57" s="14">
        <v>1946.4</v>
      </c>
      <c r="X57" s="14">
        <v>1945</v>
      </c>
      <c r="Y57" s="15">
        <v>184335.5</v>
      </c>
      <c r="Z57" s="15">
        <v>41200</v>
      </c>
      <c r="AA57" s="15">
        <v>37571.1</v>
      </c>
      <c r="AB57" s="15">
        <v>32100</v>
      </c>
      <c r="AC57" s="16">
        <v>0.16300000000000001</v>
      </c>
      <c r="AD57" s="16">
        <v>0.13300000000000001</v>
      </c>
      <c r="AE57" s="15">
        <v>17911.7</v>
      </c>
      <c r="AF57" s="15">
        <v>5110.2</v>
      </c>
      <c r="AG57" s="2"/>
      <c r="AH57" s="14">
        <f t="shared" si="0"/>
        <v>104</v>
      </c>
      <c r="AI57" s="14">
        <f t="shared" si="1"/>
        <v>66</v>
      </c>
      <c r="AJ57" s="14">
        <f t="shared" si="2"/>
        <v>108</v>
      </c>
      <c r="AK57" s="14">
        <f t="shared" si="3"/>
        <v>98</v>
      </c>
      <c r="AL57" s="14">
        <f t="shared" si="4"/>
        <v>111</v>
      </c>
      <c r="AM57" s="14">
        <f t="shared" si="5"/>
        <v>125</v>
      </c>
      <c r="AN57" s="14">
        <f t="shared" si="6"/>
        <v>86</v>
      </c>
      <c r="AO57" s="14">
        <f t="shared" si="7"/>
        <v>87</v>
      </c>
    </row>
    <row r="58" spans="1:41" ht="12" hidden="1" x14ac:dyDescent="0.25">
      <c r="A58" s="14">
        <v>540037</v>
      </c>
      <c r="B58" s="17" t="s">
        <v>420</v>
      </c>
      <c r="C58" s="17" t="s">
        <v>419</v>
      </c>
      <c r="D58" s="17" t="s">
        <v>2</v>
      </c>
      <c r="E58" s="14">
        <v>7</v>
      </c>
      <c r="F58" s="14" t="s">
        <v>141</v>
      </c>
      <c r="G58" s="14">
        <v>13</v>
      </c>
      <c r="H58" s="14">
        <v>0</v>
      </c>
      <c r="I58" s="14">
        <v>5</v>
      </c>
      <c r="J58" s="14">
        <v>0</v>
      </c>
      <c r="K58" s="14">
        <v>18</v>
      </c>
      <c r="L58" s="16">
        <v>0.72199999999999998</v>
      </c>
      <c r="M58" s="16">
        <v>0</v>
      </c>
      <c r="N58" s="16">
        <v>0.27800000000000002</v>
      </c>
      <c r="O58" s="16">
        <v>0</v>
      </c>
      <c r="P58" s="16">
        <v>0</v>
      </c>
      <c r="Q58" s="16">
        <v>0</v>
      </c>
      <c r="R58" s="2"/>
      <c r="S58" s="14">
        <v>1</v>
      </c>
      <c r="T58" s="14">
        <v>0</v>
      </c>
      <c r="U58" s="14">
        <v>0</v>
      </c>
      <c r="V58" s="2"/>
      <c r="W58" s="14">
        <v>1945.7</v>
      </c>
      <c r="X58" s="14">
        <v>1931.5</v>
      </c>
      <c r="Y58" s="15">
        <v>44925.599999999999</v>
      </c>
      <c r="Z58" s="15">
        <v>24740</v>
      </c>
      <c r="AA58" s="15">
        <v>24490</v>
      </c>
      <c r="AB58" s="15">
        <v>21400</v>
      </c>
      <c r="AC58" s="16">
        <v>0.1</v>
      </c>
      <c r="AD58" s="16">
        <v>6.5000000000000002E-2</v>
      </c>
      <c r="AE58" s="15">
        <v>2821.9</v>
      </c>
      <c r="AF58" s="15">
        <v>1075.5</v>
      </c>
      <c r="AG58" s="2"/>
      <c r="AH58" s="14">
        <f t="shared" si="0"/>
        <v>42</v>
      </c>
      <c r="AI58" s="14">
        <f t="shared" si="1"/>
        <v>151</v>
      </c>
      <c r="AJ58" s="14">
        <f t="shared" si="2"/>
        <v>108</v>
      </c>
      <c r="AK58" s="14">
        <f t="shared" si="3"/>
        <v>57</v>
      </c>
      <c r="AL58" s="14">
        <f t="shared" si="4"/>
        <v>176</v>
      </c>
      <c r="AM58" s="14">
        <f t="shared" si="5"/>
        <v>181</v>
      </c>
      <c r="AN58" s="14">
        <f t="shared" si="6"/>
        <v>153</v>
      </c>
      <c r="AO58" s="14">
        <f t="shared" si="7"/>
        <v>187</v>
      </c>
    </row>
    <row r="59" spans="1:41" hidden="1" x14ac:dyDescent="0.3">
      <c r="A59" s="129"/>
      <c r="B59" s="130"/>
      <c r="C59" s="130" t="s">
        <v>419</v>
      </c>
      <c r="D59" s="130" t="s">
        <v>26</v>
      </c>
      <c r="E59" s="129">
        <v>7</v>
      </c>
      <c r="F59" s="129"/>
      <c r="G59" s="129">
        <v>400</v>
      </c>
      <c r="H59" s="129">
        <v>0</v>
      </c>
      <c r="I59" s="129">
        <v>98</v>
      </c>
      <c r="J59" s="129">
        <v>6</v>
      </c>
      <c r="K59" s="129">
        <v>504</v>
      </c>
      <c r="L59" s="131">
        <v>0.79400000000000004</v>
      </c>
      <c r="M59" s="131">
        <v>0</v>
      </c>
      <c r="N59" s="131">
        <v>0.19400000000000001</v>
      </c>
      <c r="O59" s="131">
        <v>1.2E-2</v>
      </c>
      <c r="P59" s="131">
        <v>8.0000000000000002E-3</v>
      </c>
      <c r="Q59" s="131">
        <v>2E-3</v>
      </c>
      <c r="S59" s="129">
        <v>69</v>
      </c>
      <c r="T59" s="129">
        <v>4</v>
      </c>
      <c r="U59" s="129">
        <v>9</v>
      </c>
      <c r="W59" s="129">
        <v>1951</v>
      </c>
      <c r="X59" s="129">
        <v>1957</v>
      </c>
      <c r="Y59" s="132">
        <v>81128.899999999994</v>
      </c>
      <c r="Z59" s="132">
        <v>35100</v>
      </c>
      <c r="AA59" s="132">
        <v>45934.9</v>
      </c>
      <c r="AB59" s="132">
        <v>38416.5</v>
      </c>
      <c r="AC59" s="131">
        <v>0.214</v>
      </c>
      <c r="AD59" s="131">
        <v>0.14299999999999999</v>
      </c>
      <c r="AE59" s="132">
        <v>11265.4</v>
      </c>
      <c r="AF59" s="132">
        <v>5189.3999999999996</v>
      </c>
      <c r="AH59" s="129">
        <f t="shared" si="0"/>
        <v>32</v>
      </c>
      <c r="AI59" s="129">
        <f t="shared" si="1"/>
        <v>49</v>
      </c>
      <c r="AJ59" s="129">
        <f t="shared" si="2"/>
        <v>52</v>
      </c>
      <c r="AK59" s="129">
        <f t="shared" si="3"/>
        <v>15</v>
      </c>
      <c r="AL59" s="129">
        <f t="shared" si="4"/>
        <v>35</v>
      </c>
      <c r="AM59" s="129">
        <f t="shared" si="5"/>
        <v>39</v>
      </c>
      <c r="AN59" s="129">
        <f t="shared" si="6"/>
        <v>35</v>
      </c>
      <c r="AO59" s="129">
        <f t="shared" si="7"/>
        <v>35</v>
      </c>
    </row>
    <row r="60" spans="1:41" ht="12" hidden="1" x14ac:dyDescent="0.25">
      <c r="A60" s="19">
        <v>540038</v>
      </c>
      <c r="B60" s="22" t="s">
        <v>418</v>
      </c>
      <c r="C60" s="22" t="s">
        <v>413</v>
      </c>
      <c r="D60" s="22" t="s">
        <v>29</v>
      </c>
      <c r="E60" s="19">
        <v>8</v>
      </c>
      <c r="F60" s="19" t="s">
        <v>97</v>
      </c>
      <c r="G60" s="19">
        <v>139</v>
      </c>
      <c r="H60" s="19">
        <v>1</v>
      </c>
      <c r="I60" s="19">
        <v>111</v>
      </c>
      <c r="J60" s="19">
        <v>20</v>
      </c>
      <c r="K60" s="19">
        <v>271</v>
      </c>
      <c r="L60" s="21">
        <v>0.51300000000000001</v>
      </c>
      <c r="M60" s="21">
        <v>4.0000000000000001E-3</v>
      </c>
      <c r="N60" s="21">
        <v>0.41</v>
      </c>
      <c r="O60" s="21">
        <v>7.3999999999999996E-2</v>
      </c>
      <c r="P60" s="21">
        <v>3.6999999999999998E-2</v>
      </c>
      <c r="Q60" s="21">
        <v>1.4999999999999999E-2</v>
      </c>
      <c r="R60" s="2"/>
      <c r="S60" s="19">
        <v>27</v>
      </c>
      <c r="T60" s="19">
        <v>5</v>
      </c>
      <c r="U60" s="19">
        <v>0</v>
      </c>
      <c r="V60" s="2"/>
      <c r="W60" s="19">
        <v>1967.3</v>
      </c>
      <c r="X60" s="19">
        <v>1983</v>
      </c>
      <c r="Y60" s="20">
        <v>67157.2</v>
      </c>
      <c r="Z60" s="20">
        <v>46000</v>
      </c>
      <c r="AA60" s="20">
        <v>54984.9</v>
      </c>
      <c r="AB60" s="20">
        <v>43578</v>
      </c>
      <c r="AC60" s="21">
        <v>0.191</v>
      </c>
      <c r="AD60" s="21">
        <v>0.14000000000000001</v>
      </c>
      <c r="AE60" s="20">
        <v>9442.7000000000007</v>
      </c>
      <c r="AF60" s="20">
        <v>8456</v>
      </c>
      <c r="AG60" s="2"/>
      <c r="AH60" s="19">
        <f t="shared" si="0"/>
        <v>2</v>
      </c>
      <c r="AI60" s="19">
        <f t="shared" si="1"/>
        <v>51</v>
      </c>
      <c r="AJ60" s="19">
        <f t="shared" si="2"/>
        <v>46</v>
      </c>
      <c r="AK60" s="19">
        <f t="shared" si="3"/>
        <v>50</v>
      </c>
      <c r="AL60" s="19">
        <f t="shared" si="4"/>
        <v>16</v>
      </c>
      <c r="AM60" s="19">
        <f t="shared" si="5"/>
        <v>16</v>
      </c>
      <c r="AN60" s="19">
        <f t="shared" si="6"/>
        <v>39</v>
      </c>
      <c r="AO60" s="19">
        <f t="shared" si="7"/>
        <v>19</v>
      </c>
    </row>
    <row r="61" spans="1:41" ht="12" hidden="1" x14ac:dyDescent="0.25">
      <c r="A61" s="14">
        <v>540039</v>
      </c>
      <c r="B61" s="17" t="s">
        <v>417</v>
      </c>
      <c r="C61" s="17" t="s">
        <v>413</v>
      </c>
      <c r="D61" s="17" t="s">
        <v>2</v>
      </c>
      <c r="E61" s="14">
        <v>8</v>
      </c>
      <c r="F61" s="14" t="s">
        <v>416</v>
      </c>
      <c r="G61" s="14">
        <v>13</v>
      </c>
      <c r="H61" s="14">
        <v>0</v>
      </c>
      <c r="I61" s="14">
        <v>8</v>
      </c>
      <c r="J61" s="14">
        <v>1</v>
      </c>
      <c r="K61" s="14">
        <v>22</v>
      </c>
      <c r="L61" s="16">
        <v>0.59099999999999997</v>
      </c>
      <c r="M61" s="16">
        <v>0</v>
      </c>
      <c r="N61" s="16">
        <v>0.36399999999999999</v>
      </c>
      <c r="O61" s="16">
        <v>4.4999999999999998E-2</v>
      </c>
      <c r="P61" s="16">
        <v>0</v>
      </c>
      <c r="Q61" s="16">
        <v>0</v>
      </c>
      <c r="R61" s="2"/>
      <c r="S61" s="14">
        <v>3</v>
      </c>
      <c r="T61" s="14">
        <v>3</v>
      </c>
      <c r="U61" s="14">
        <v>0</v>
      </c>
      <c r="V61" s="2"/>
      <c r="W61" s="14">
        <v>1984.1</v>
      </c>
      <c r="X61" s="14">
        <v>1988</v>
      </c>
      <c r="Y61" s="15">
        <v>855952.2</v>
      </c>
      <c r="Z61" s="15">
        <v>54300</v>
      </c>
      <c r="AA61" s="15">
        <v>43955.7</v>
      </c>
      <c r="AB61" s="15">
        <v>29790</v>
      </c>
      <c r="AC61" s="16">
        <v>0.22700000000000001</v>
      </c>
      <c r="AD61" s="16">
        <v>0.112</v>
      </c>
      <c r="AE61" s="15">
        <v>7492.3</v>
      </c>
      <c r="AF61" s="15">
        <v>5998.2</v>
      </c>
      <c r="AG61" s="2"/>
      <c r="AH61" s="14">
        <f t="shared" si="0"/>
        <v>23</v>
      </c>
      <c r="AI61" s="14">
        <f t="shared" si="1"/>
        <v>125</v>
      </c>
      <c r="AJ61" s="14">
        <f t="shared" si="2"/>
        <v>42</v>
      </c>
      <c r="AK61" s="14">
        <f t="shared" si="3"/>
        <v>205</v>
      </c>
      <c r="AL61" s="14">
        <f t="shared" si="4"/>
        <v>61</v>
      </c>
      <c r="AM61" s="14">
        <f t="shared" si="5"/>
        <v>141</v>
      </c>
      <c r="AN61" s="14">
        <f t="shared" si="6"/>
        <v>102</v>
      </c>
      <c r="AO61" s="14">
        <f t="shared" si="7"/>
        <v>77</v>
      </c>
    </row>
    <row r="62" spans="1:41" ht="12" hidden="1" x14ac:dyDescent="0.25">
      <c r="A62" s="14">
        <v>540240</v>
      </c>
      <c r="B62" s="17" t="s">
        <v>415</v>
      </c>
      <c r="C62" s="17" t="s">
        <v>413</v>
      </c>
      <c r="D62" s="17" t="s">
        <v>2</v>
      </c>
      <c r="E62" s="14">
        <v>8</v>
      </c>
      <c r="F62" s="14" t="s">
        <v>414</v>
      </c>
      <c r="G62" s="14">
        <v>18</v>
      </c>
      <c r="H62" s="14">
        <v>1</v>
      </c>
      <c r="I62" s="14">
        <v>3</v>
      </c>
      <c r="J62" s="14">
        <v>0</v>
      </c>
      <c r="K62" s="14">
        <v>22</v>
      </c>
      <c r="L62" s="16">
        <v>0.81799999999999995</v>
      </c>
      <c r="M62" s="16">
        <v>4.4999999999999998E-2</v>
      </c>
      <c r="N62" s="16">
        <v>0.13600000000000001</v>
      </c>
      <c r="O62" s="16">
        <v>0</v>
      </c>
      <c r="P62" s="16">
        <v>0</v>
      </c>
      <c r="Q62" s="16">
        <v>0</v>
      </c>
      <c r="R62" s="2"/>
      <c r="S62" s="14">
        <v>0</v>
      </c>
      <c r="T62" s="14">
        <v>0</v>
      </c>
      <c r="U62" s="14">
        <v>0</v>
      </c>
      <c r="V62" s="2"/>
      <c r="W62" s="14">
        <v>1940.4</v>
      </c>
      <c r="X62" s="14">
        <v>1948</v>
      </c>
      <c r="Y62" s="15">
        <v>28254.7</v>
      </c>
      <c r="Z62" s="15">
        <v>21900</v>
      </c>
      <c r="AA62" s="15">
        <v>29178.799999999999</v>
      </c>
      <c r="AB62" s="15">
        <v>24300</v>
      </c>
      <c r="AC62" s="16">
        <v>5.7000000000000002E-2</v>
      </c>
      <c r="AD62" s="16">
        <v>3.1E-2</v>
      </c>
      <c r="AE62" s="15">
        <v>1051.9000000000001</v>
      </c>
      <c r="AF62" s="15">
        <v>317</v>
      </c>
      <c r="AG62" s="2"/>
      <c r="AH62" s="14">
        <f t="shared" si="0"/>
        <v>97</v>
      </c>
      <c r="AI62" s="14">
        <f t="shared" si="1"/>
        <v>172</v>
      </c>
      <c r="AJ62" s="14">
        <f t="shared" si="2"/>
        <v>108</v>
      </c>
      <c r="AK62" s="14">
        <f t="shared" si="3"/>
        <v>113</v>
      </c>
      <c r="AL62" s="14">
        <f t="shared" si="4"/>
        <v>187</v>
      </c>
      <c r="AM62" s="14">
        <f t="shared" si="5"/>
        <v>168</v>
      </c>
      <c r="AN62" s="14">
        <f t="shared" si="6"/>
        <v>189</v>
      </c>
      <c r="AO62" s="14">
        <f t="shared" si="7"/>
        <v>196</v>
      </c>
    </row>
    <row r="63" spans="1:41" hidden="1" x14ac:dyDescent="0.3">
      <c r="A63" s="129"/>
      <c r="B63" s="130"/>
      <c r="C63" s="130" t="s">
        <v>413</v>
      </c>
      <c r="D63" s="130" t="s">
        <v>26</v>
      </c>
      <c r="E63" s="129">
        <v>8</v>
      </c>
      <c r="F63" s="129"/>
      <c r="G63" s="129">
        <v>170</v>
      </c>
      <c r="H63" s="129">
        <v>2</v>
      </c>
      <c r="I63" s="129">
        <v>122</v>
      </c>
      <c r="J63" s="129">
        <v>21</v>
      </c>
      <c r="K63" s="129">
        <v>315</v>
      </c>
      <c r="L63" s="131">
        <v>0.54</v>
      </c>
      <c r="M63" s="131">
        <v>6.0000000000000001E-3</v>
      </c>
      <c r="N63" s="131">
        <v>0.38700000000000001</v>
      </c>
      <c r="O63" s="131">
        <v>6.7000000000000004E-2</v>
      </c>
      <c r="P63" s="131">
        <v>3.2000000000000001E-2</v>
      </c>
      <c r="Q63" s="131">
        <v>1.2999999999999999E-2</v>
      </c>
      <c r="S63" s="129">
        <v>30</v>
      </c>
      <c r="T63" s="129">
        <v>8</v>
      </c>
      <c r="U63" s="129">
        <v>0</v>
      </c>
      <c r="W63" s="129">
        <v>1966.7</v>
      </c>
      <c r="X63" s="129">
        <v>1982</v>
      </c>
      <c r="Y63" s="132">
        <v>119530.6</v>
      </c>
      <c r="Z63" s="132">
        <v>44200</v>
      </c>
      <c r="AA63" s="132">
        <v>59926.5</v>
      </c>
      <c r="AB63" s="132">
        <v>48100</v>
      </c>
      <c r="AC63" s="131">
        <v>0.18099999999999999</v>
      </c>
      <c r="AD63" s="131">
        <v>0.14000000000000001</v>
      </c>
      <c r="AE63" s="132">
        <v>8311.5</v>
      </c>
      <c r="AF63" s="132">
        <v>6055</v>
      </c>
      <c r="AH63" s="129">
        <f t="shared" si="0"/>
        <v>3</v>
      </c>
      <c r="AI63" s="129">
        <f t="shared" si="1"/>
        <v>54</v>
      </c>
      <c r="AJ63" s="129">
        <f t="shared" si="2"/>
        <v>47</v>
      </c>
      <c r="AK63" s="129">
        <f t="shared" si="3"/>
        <v>53</v>
      </c>
      <c r="AL63" s="129">
        <f t="shared" si="4"/>
        <v>22</v>
      </c>
      <c r="AM63" s="129">
        <f t="shared" si="5"/>
        <v>26</v>
      </c>
      <c r="AN63" s="129">
        <f t="shared" si="6"/>
        <v>36</v>
      </c>
      <c r="AO63" s="129">
        <f t="shared" si="7"/>
        <v>30</v>
      </c>
    </row>
    <row r="64" spans="1:41" ht="12" hidden="1" x14ac:dyDescent="0.25">
      <c r="A64" s="19">
        <v>540040</v>
      </c>
      <c r="B64" s="22" t="s">
        <v>412</v>
      </c>
      <c r="C64" s="22" t="s">
        <v>403</v>
      </c>
      <c r="D64" s="22" t="s">
        <v>29</v>
      </c>
      <c r="E64" s="19">
        <v>4</v>
      </c>
      <c r="F64" s="19" t="s">
        <v>411</v>
      </c>
      <c r="G64" s="19">
        <v>743</v>
      </c>
      <c r="H64" s="19">
        <v>112</v>
      </c>
      <c r="I64" s="19">
        <v>319</v>
      </c>
      <c r="J64" s="19">
        <v>8</v>
      </c>
      <c r="K64" s="19">
        <v>1182</v>
      </c>
      <c r="L64" s="21">
        <v>0.629</v>
      </c>
      <c r="M64" s="21">
        <v>9.5000000000000001E-2</v>
      </c>
      <c r="N64" s="21">
        <v>0.27</v>
      </c>
      <c r="O64" s="21">
        <v>7.0000000000000001E-3</v>
      </c>
      <c r="P64" s="21">
        <v>2E-3</v>
      </c>
      <c r="Q64" s="21">
        <v>4.0000000000000001E-3</v>
      </c>
      <c r="R64" s="2"/>
      <c r="S64" s="19">
        <v>249</v>
      </c>
      <c r="T64" s="19">
        <v>89</v>
      </c>
      <c r="U64" s="19">
        <v>25</v>
      </c>
      <c r="V64" s="2"/>
      <c r="W64" s="19">
        <v>1970.8</v>
      </c>
      <c r="X64" s="19">
        <v>1976</v>
      </c>
      <c r="Y64" s="20">
        <v>98419.199999999997</v>
      </c>
      <c r="Z64" s="20">
        <v>37700</v>
      </c>
      <c r="AA64" s="20">
        <v>93821.1</v>
      </c>
      <c r="AB64" s="20">
        <v>37400</v>
      </c>
      <c r="AC64" s="21">
        <v>0.24399999999999999</v>
      </c>
      <c r="AD64" s="21">
        <v>0.17799999999999999</v>
      </c>
      <c r="AE64" s="20">
        <v>11781.6</v>
      </c>
      <c r="AF64" s="20">
        <v>6349.4</v>
      </c>
      <c r="AG64" s="2"/>
      <c r="AH64" s="19">
        <f t="shared" si="0"/>
        <v>20</v>
      </c>
      <c r="AI64" s="19">
        <f t="shared" si="1"/>
        <v>11</v>
      </c>
      <c r="AJ64" s="19">
        <f t="shared" si="2"/>
        <v>9</v>
      </c>
      <c r="AK64" s="19">
        <f t="shared" si="3"/>
        <v>37</v>
      </c>
      <c r="AL64" s="19">
        <f t="shared" si="4"/>
        <v>27</v>
      </c>
      <c r="AM64" s="19">
        <f t="shared" si="5"/>
        <v>24</v>
      </c>
      <c r="AN64" s="19">
        <f t="shared" si="6"/>
        <v>26</v>
      </c>
      <c r="AO64" s="19">
        <f t="shared" si="7"/>
        <v>27</v>
      </c>
    </row>
    <row r="65" spans="1:41" ht="12" hidden="1" x14ac:dyDescent="0.25">
      <c r="A65" s="25">
        <v>540041</v>
      </c>
      <c r="B65" s="26" t="s">
        <v>24</v>
      </c>
      <c r="C65" s="26" t="s">
        <v>403</v>
      </c>
      <c r="D65" s="26" t="s">
        <v>58</v>
      </c>
      <c r="E65" s="25">
        <v>4</v>
      </c>
      <c r="F65" s="25" t="s">
        <v>128</v>
      </c>
      <c r="G65" s="25">
        <v>129</v>
      </c>
      <c r="H65" s="25">
        <v>0</v>
      </c>
      <c r="I65" s="25">
        <v>14</v>
      </c>
      <c r="J65" s="25">
        <v>0</v>
      </c>
      <c r="K65" s="25">
        <v>143</v>
      </c>
      <c r="L65" s="24">
        <v>0.90200000000000002</v>
      </c>
      <c r="M65" s="24">
        <v>0</v>
      </c>
      <c r="N65" s="24">
        <v>9.8000000000000004E-2</v>
      </c>
      <c r="O65" s="24">
        <v>0</v>
      </c>
      <c r="P65" s="24">
        <v>0</v>
      </c>
      <c r="Q65" s="24">
        <v>0</v>
      </c>
      <c r="R65" s="2"/>
      <c r="S65" s="25">
        <v>27</v>
      </c>
      <c r="T65" s="25">
        <v>2</v>
      </c>
      <c r="U65" s="25">
        <v>1</v>
      </c>
      <c r="V65" s="2"/>
      <c r="W65" s="25">
        <v>1947.3</v>
      </c>
      <c r="X65" s="25">
        <v>1948</v>
      </c>
      <c r="Y65" s="23">
        <v>80022.3</v>
      </c>
      <c r="Z65" s="23">
        <v>49800</v>
      </c>
      <c r="AA65" s="23">
        <v>53593.4</v>
      </c>
      <c r="AB65" s="23">
        <v>49800</v>
      </c>
      <c r="AC65" s="24">
        <v>0.16500000000000001</v>
      </c>
      <c r="AD65" s="24">
        <v>0.151</v>
      </c>
      <c r="AE65" s="23">
        <v>11050.6</v>
      </c>
      <c r="AF65" s="23">
        <v>7040.2</v>
      </c>
      <c r="AG65" s="2"/>
      <c r="AH65" s="14" t="str">
        <f t="shared" si="0"/>
        <v/>
      </c>
      <c r="AI65" s="14" t="str">
        <f t="shared" si="1"/>
        <v/>
      </c>
      <c r="AJ65" s="14" t="str">
        <f t="shared" si="2"/>
        <v/>
      </c>
      <c r="AK65" s="14" t="str">
        <f t="shared" si="3"/>
        <v/>
      </c>
      <c r="AL65" s="14" t="str">
        <f t="shared" si="4"/>
        <v/>
      </c>
      <c r="AM65" s="14" t="str">
        <f t="shared" si="5"/>
        <v/>
      </c>
      <c r="AN65" s="14" t="str">
        <f t="shared" si="6"/>
        <v/>
      </c>
      <c r="AO65" s="14" t="str">
        <f t="shared" si="7"/>
        <v/>
      </c>
    </row>
    <row r="66" spans="1:41" ht="12" hidden="1" x14ac:dyDescent="0.25">
      <c r="A66" s="14">
        <v>540043</v>
      </c>
      <c r="B66" s="17" t="s">
        <v>410</v>
      </c>
      <c r="C66" s="17" t="s">
        <v>403</v>
      </c>
      <c r="D66" s="17" t="s">
        <v>2</v>
      </c>
      <c r="E66" s="14">
        <v>4</v>
      </c>
      <c r="F66" s="14" t="s">
        <v>409</v>
      </c>
      <c r="G66" s="14">
        <v>60</v>
      </c>
      <c r="H66" s="14">
        <v>0</v>
      </c>
      <c r="I66" s="14">
        <v>7</v>
      </c>
      <c r="J66" s="14">
        <v>0</v>
      </c>
      <c r="K66" s="14">
        <v>67</v>
      </c>
      <c r="L66" s="16">
        <v>0.89600000000000002</v>
      </c>
      <c r="M66" s="16">
        <v>0</v>
      </c>
      <c r="N66" s="16">
        <v>0.104</v>
      </c>
      <c r="O66" s="16">
        <v>0</v>
      </c>
      <c r="P66" s="16">
        <v>0</v>
      </c>
      <c r="Q66" s="16">
        <v>0</v>
      </c>
      <c r="R66" s="2"/>
      <c r="S66" s="14">
        <v>6</v>
      </c>
      <c r="T66" s="14">
        <v>2</v>
      </c>
      <c r="U66" s="14">
        <v>3</v>
      </c>
      <c r="V66" s="2"/>
      <c r="W66" s="14">
        <v>1931.4</v>
      </c>
      <c r="X66" s="14">
        <v>1920</v>
      </c>
      <c r="Y66" s="15">
        <v>98743</v>
      </c>
      <c r="Z66" s="15">
        <v>40800</v>
      </c>
      <c r="AA66" s="15">
        <v>39829.4</v>
      </c>
      <c r="AB66" s="15">
        <v>40750</v>
      </c>
      <c r="AC66" s="16">
        <v>9.2999999999999999E-2</v>
      </c>
      <c r="AD66" s="16">
        <v>9.1999999999999998E-2</v>
      </c>
      <c r="AE66" s="15">
        <v>16509.3</v>
      </c>
      <c r="AF66" s="15">
        <v>2776</v>
      </c>
      <c r="AG66" s="2"/>
      <c r="AH66" s="14">
        <f t="shared" si="0"/>
        <v>121</v>
      </c>
      <c r="AI66" s="14">
        <f t="shared" si="1"/>
        <v>106</v>
      </c>
      <c r="AJ66" s="14">
        <f t="shared" si="2"/>
        <v>56</v>
      </c>
      <c r="AK66" s="14">
        <f t="shared" si="3"/>
        <v>21</v>
      </c>
      <c r="AL66" s="14">
        <f t="shared" si="4"/>
        <v>114</v>
      </c>
      <c r="AM66" s="14">
        <f t="shared" si="5"/>
        <v>94</v>
      </c>
      <c r="AN66" s="14">
        <f t="shared" si="6"/>
        <v>127</v>
      </c>
      <c r="AO66" s="14">
        <f t="shared" si="7"/>
        <v>143</v>
      </c>
    </row>
    <row r="67" spans="1:41" ht="12" hidden="1" x14ac:dyDescent="0.25">
      <c r="A67" s="14">
        <v>540044</v>
      </c>
      <c r="B67" s="17" t="s">
        <v>408</v>
      </c>
      <c r="C67" s="17" t="s">
        <v>403</v>
      </c>
      <c r="D67" s="17" t="s">
        <v>2</v>
      </c>
      <c r="E67" s="14">
        <v>4</v>
      </c>
      <c r="F67" s="14" t="s">
        <v>62</v>
      </c>
      <c r="G67" s="14">
        <v>45</v>
      </c>
      <c r="H67" s="14">
        <v>7</v>
      </c>
      <c r="I67" s="14">
        <v>9</v>
      </c>
      <c r="J67" s="14">
        <v>1</v>
      </c>
      <c r="K67" s="14">
        <v>62</v>
      </c>
      <c r="L67" s="16">
        <v>0.72599999999999998</v>
      </c>
      <c r="M67" s="16">
        <v>0.113</v>
      </c>
      <c r="N67" s="16">
        <v>0.14499999999999999</v>
      </c>
      <c r="O67" s="16">
        <v>1.6E-2</v>
      </c>
      <c r="P67" s="16">
        <v>0</v>
      </c>
      <c r="Q67" s="16">
        <v>1.6E-2</v>
      </c>
      <c r="R67" s="2"/>
      <c r="S67" s="14">
        <v>3</v>
      </c>
      <c r="T67" s="14">
        <v>2</v>
      </c>
      <c r="U67" s="14">
        <v>0</v>
      </c>
      <c r="V67" s="2"/>
      <c r="W67" s="14">
        <v>1967.4</v>
      </c>
      <c r="X67" s="14">
        <v>1967</v>
      </c>
      <c r="Y67" s="15">
        <v>51174.1</v>
      </c>
      <c r="Z67" s="15">
        <v>36100</v>
      </c>
      <c r="AA67" s="15">
        <v>40016.6</v>
      </c>
      <c r="AB67" s="15">
        <v>33050</v>
      </c>
      <c r="AC67" s="16">
        <v>0.115</v>
      </c>
      <c r="AD67" s="16">
        <v>0.03</v>
      </c>
      <c r="AE67" s="15">
        <v>3481.2</v>
      </c>
      <c r="AF67" s="15">
        <v>1182.9000000000001</v>
      </c>
      <c r="AG67" s="2"/>
      <c r="AH67" s="14">
        <f t="shared" si="0"/>
        <v>86</v>
      </c>
      <c r="AI67" s="14">
        <f t="shared" si="1"/>
        <v>125</v>
      </c>
      <c r="AJ67" s="14">
        <f t="shared" si="2"/>
        <v>56</v>
      </c>
      <c r="AK67" s="14">
        <f t="shared" si="3"/>
        <v>156</v>
      </c>
      <c r="AL67" s="14">
        <f t="shared" si="4"/>
        <v>129</v>
      </c>
      <c r="AM67" s="14">
        <f t="shared" si="5"/>
        <v>121</v>
      </c>
      <c r="AN67" s="14">
        <f t="shared" si="6"/>
        <v>191</v>
      </c>
      <c r="AO67" s="14">
        <f t="shared" si="7"/>
        <v>185</v>
      </c>
    </row>
    <row r="68" spans="1:41" ht="12" hidden="1" x14ac:dyDescent="0.25">
      <c r="A68" s="14">
        <v>540045</v>
      </c>
      <c r="B68" s="17" t="s">
        <v>407</v>
      </c>
      <c r="C68" s="17" t="s">
        <v>403</v>
      </c>
      <c r="D68" s="17" t="s">
        <v>2</v>
      </c>
      <c r="E68" s="14">
        <v>4</v>
      </c>
      <c r="F68" s="14" t="s">
        <v>213</v>
      </c>
      <c r="G68" s="14">
        <v>382</v>
      </c>
      <c r="H68" s="14">
        <v>5</v>
      </c>
      <c r="I68" s="14">
        <v>40</v>
      </c>
      <c r="J68" s="14">
        <v>1</v>
      </c>
      <c r="K68" s="14">
        <v>428</v>
      </c>
      <c r="L68" s="16">
        <v>0.89300000000000002</v>
      </c>
      <c r="M68" s="16">
        <v>1.2E-2</v>
      </c>
      <c r="N68" s="16">
        <v>9.2999999999999999E-2</v>
      </c>
      <c r="O68" s="16">
        <v>2E-3</v>
      </c>
      <c r="P68" s="16">
        <v>0</v>
      </c>
      <c r="Q68" s="16">
        <v>2E-3</v>
      </c>
      <c r="R68" s="2"/>
      <c r="S68" s="14">
        <v>30</v>
      </c>
      <c r="T68" s="14">
        <v>1</v>
      </c>
      <c r="U68" s="14">
        <v>0</v>
      </c>
      <c r="V68" s="2"/>
      <c r="W68" s="14">
        <v>1944.2</v>
      </c>
      <c r="X68" s="14">
        <v>1940</v>
      </c>
      <c r="Y68" s="15">
        <v>81762.7</v>
      </c>
      <c r="Z68" s="15">
        <v>45650</v>
      </c>
      <c r="AA68" s="15">
        <v>50427.7</v>
      </c>
      <c r="AB68" s="15">
        <v>44600</v>
      </c>
      <c r="AC68" s="16">
        <v>8.8999999999999996E-2</v>
      </c>
      <c r="AD68" s="16">
        <v>0.06</v>
      </c>
      <c r="AE68" s="15">
        <v>4683</v>
      </c>
      <c r="AF68" s="15">
        <v>1891.7</v>
      </c>
      <c r="AG68" s="2"/>
      <c r="AH68" s="14">
        <f t="shared" si="0"/>
        <v>132</v>
      </c>
      <c r="AI68" s="14">
        <f t="shared" si="1"/>
        <v>46</v>
      </c>
      <c r="AJ68" s="14">
        <f t="shared" si="2"/>
        <v>80</v>
      </c>
      <c r="AK68" s="14">
        <f t="shared" si="3"/>
        <v>72</v>
      </c>
      <c r="AL68" s="14">
        <f t="shared" si="4"/>
        <v>85</v>
      </c>
      <c r="AM68" s="14">
        <f t="shared" si="5"/>
        <v>78</v>
      </c>
      <c r="AN68" s="14">
        <f t="shared" si="6"/>
        <v>159</v>
      </c>
      <c r="AO68" s="14">
        <f t="shared" si="7"/>
        <v>170</v>
      </c>
    </row>
    <row r="69" spans="1:41" ht="12" hidden="1" x14ac:dyDescent="0.25">
      <c r="A69" s="14">
        <v>540228</v>
      </c>
      <c r="B69" s="17" t="s">
        <v>406</v>
      </c>
      <c r="C69" s="17" t="s">
        <v>403</v>
      </c>
      <c r="D69" s="17" t="s">
        <v>2</v>
      </c>
      <c r="E69" s="14">
        <v>4</v>
      </c>
      <c r="F69" s="14" t="s">
        <v>405</v>
      </c>
      <c r="G69" s="14">
        <v>270</v>
      </c>
      <c r="H69" s="14">
        <v>64</v>
      </c>
      <c r="I69" s="14">
        <v>3</v>
      </c>
      <c r="J69" s="14">
        <v>3</v>
      </c>
      <c r="K69" s="14">
        <v>340</v>
      </c>
      <c r="L69" s="16">
        <v>0.79400000000000004</v>
      </c>
      <c r="M69" s="16">
        <v>0.188</v>
      </c>
      <c r="N69" s="16">
        <v>8.9999999999999993E-3</v>
      </c>
      <c r="O69" s="16">
        <v>8.9999999999999993E-3</v>
      </c>
      <c r="P69" s="16">
        <v>3.0000000000000001E-3</v>
      </c>
      <c r="Q69" s="16">
        <v>3.0000000000000001E-3</v>
      </c>
      <c r="R69" s="2"/>
      <c r="S69" s="14">
        <v>30</v>
      </c>
      <c r="T69" s="14">
        <v>1</v>
      </c>
      <c r="U69" s="14">
        <v>4</v>
      </c>
      <c r="V69" s="2"/>
      <c r="W69" s="14">
        <v>1957.9</v>
      </c>
      <c r="X69" s="14">
        <v>1950</v>
      </c>
      <c r="Y69" s="15">
        <v>44556.1</v>
      </c>
      <c r="Z69" s="15">
        <v>34850</v>
      </c>
      <c r="AA69" s="15">
        <v>33169.300000000003</v>
      </c>
      <c r="AB69" s="15">
        <v>33900</v>
      </c>
      <c r="AC69" s="16">
        <v>0.128</v>
      </c>
      <c r="AD69" s="16">
        <v>8.2000000000000003E-2</v>
      </c>
      <c r="AE69" s="15">
        <v>3943.4</v>
      </c>
      <c r="AF69" s="15">
        <v>1730.4</v>
      </c>
      <c r="AG69" s="2"/>
      <c r="AH69" s="14">
        <f t="shared" si="0"/>
        <v>187</v>
      </c>
      <c r="AI69" s="14">
        <f t="shared" si="1"/>
        <v>46</v>
      </c>
      <c r="AJ69" s="14">
        <f t="shared" si="2"/>
        <v>80</v>
      </c>
      <c r="AK69" s="14">
        <f t="shared" si="3"/>
        <v>120</v>
      </c>
      <c r="AL69" s="14">
        <f t="shared" si="4"/>
        <v>138</v>
      </c>
      <c r="AM69" s="14">
        <f t="shared" si="5"/>
        <v>117</v>
      </c>
      <c r="AN69" s="14">
        <f t="shared" si="6"/>
        <v>133</v>
      </c>
      <c r="AO69" s="14">
        <f t="shared" si="7"/>
        <v>173</v>
      </c>
    </row>
    <row r="70" spans="1:41" ht="12" hidden="1" x14ac:dyDescent="0.25">
      <c r="A70" s="14">
        <v>540243</v>
      </c>
      <c r="B70" s="17" t="s">
        <v>404</v>
      </c>
      <c r="C70" s="17" t="s">
        <v>403</v>
      </c>
      <c r="D70" s="17" t="s">
        <v>2</v>
      </c>
      <c r="E70" s="14">
        <v>4</v>
      </c>
      <c r="F70" s="14" t="s">
        <v>116</v>
      </c>
      <c r="G70" s="14">
        <v>0</v>
      </c>
      <c r="H70" s="14">
        <v>0</v>
      </c>
      <c r="I70" s="14">
        <v>3</v>
      </c>
      <c r="J70" s="14">
        <v>0</v>
      </c>
      <c r="K70" s="14">
        <v>3</v>
      </c>
      <c r="L70" s="16">
        <v>0</v>
      </c>
      <c r="M70" s="16">
        <v>0</v>
      </c>
      <c r="N70" s="16">
        <v>1</v>
      </c>
      <c r="O70" s="16">
        <v>0</v>
      </c>
      <c r="P70" s="16">
        <v>0</v>
      </c>
      <c r="Q70" s="16">
        <v>0</v>
      </c>
      <c r="R70" s="2"/>
      <c r="S70" s="14">
        <v>3</v>
      </c>
      <c r="T70" s="14">
        <v>3</v>
      </c>
      <c r="U70" s="14">
        <v>0</v>
      </c>
      <c r="V70" s="2"/>
      <c r="W70" s="14">
        <v>1997.7</v>
      </c>
      <c r="X70" s="14">
        <v>1995</v>
      </c>
      <c r="Y70" s="15">
        <v>52203.3</v>
      </c>
      <c r="Z70" s="15">
        <v>43500</v>
      </c>
      <c r="AA70" s="15">
        <v>52203.3</v>
      </c>
      <c r="AB70" s="15">
        <v>43500</v>
      </c>
      <c r="AC70" s="16">
        <v>0.63800000000000001</v>
      </c>
      <c r="AD70" s="16">
        <v>0.57199999999999995</v>
      </c>
      <c r="AE70" s="15">
        <v>31123.599999999999</v>
      </c>
      <c r="AF70" s="15">
        <v>24540.3</v>
      </c>
      <c r="AG70" s="2"/>
      <c r="AH70" s="14">
        <f t="shared" ref="AH70:AH133" si="8">IF($D70 = "SPLIT", "",COUNTIFS($D$7:$D$346,$D70,N$7:N$346,"&gt;"&amp;N70)+1)</f>
        <v>1</v>
      </c>
      <c r="AI70" s="14">
        <f t="shared" ref="AI70:AI133" si="9">IF($D70 = "SPLIT", "",COUNTIFS($D$7:$D$346,$D70,S$7:S$346,"&gt;"&amp;S70)+1)</f>
        <v>125</v>
      </c>
      <c r="AJ70" s="14">
        <f t="shared" ref="AJ70:AJ133" si="10">IF($D70 = "SPLIT", "",COUNTIFS($D$7:$D$346,$D70,T$7:T$346,"&gt;"&amp;T70)+1)</f>
        <v>42</v>
      </c>
      <c r="AK70" s="14">
        <f t="shared" ref="AK70:AK133" si="11">IF($D70 = "SPLIT", "",COUNTIFS($D$7:$D$346,$D70,X$7:X$346,"&lt;"&amp;X70)+1)</f>
        <v>210</v>
      </c>
      <c r="AL70" s="14">
        <f t="shared" ref="AL70:AL133" si="12">IF($D70 = "SPLIT", "",COUNTIFS($D$7:$D$346,$D70,Z$7:Z$346,"&gt;"&amp;Z70)+1)</f>
        <v>99</v>
      </c>
      <c r="AM70" s="14">
        <f t="shared" ref="AM70:AM133" si="13">IF($D70 = "SPLIT", "",COUNTIFS($D$7:$D$346,$D70,AB$7:AB$346,"&gt;"&amp;AB70)+1)</f>
        <v>83</v>
      </c>
      <c r="AN70" s="14">
        <f t="shared" ref="AN70:AN133" si="14">IF($D70 = "SPLIT", "",COUNTIFS($D$7:$D$346,$D70,AD$7:AD$346,"&gt;"&amp;AD70)+1)</f>
        <v>4</v>
      </c>
      <c r="AO70" s="14">
        <f t="shared" ref="AO70:AO133" si="15">IF($D70 = "SPLIT", "",COUNTIFS($D$7:$D$346,$D70,AF$7:AF$346,"&gt;"&amp;AF70)+1)</f>
        <v>6</v>
      </c>
    </row>
    <row r="71" spans="1:41" hidden="1" x14ac:dyDescent="0.3">
      <c r="A71" s="129"/>
      <c r="B71" s="130"/>
      <c r="C71" s="130" t="s">
        <v>403</v>
      </c>
      <c r="D71" s="130" t="s">
        <v>26</v>
      </c>
      <c r="E71" s="129">
        <v>4</v>
      </c>
      <c r="F71" s="129"/>
      <c r="G71" s="129">
        <v>1629</v>
      </c>
      <c r="H71" s="129">
        <v>188</v>
      </c>
      <c r="I71" s="129">
        <v>395</v>
      </c>
      <c r="J71" s="129">
        <v>13</v>
      </c>
      <c r="K71" s="129">
        <v>2225</v>
      </c>
      <c r="L71" s="131">
        <v>0.73199999999999998</v>
      </c>
      <c r="M71" s="131">
        <v>8.4000000000000005E-2</v>
      </c>
      <c r="N71" s="131">
        <v>0.17799999999999999</v>
      </c>
      <c r="O71" s="131">
        <v>6.0000000000000001E-3</v>
      </c>
      <c r="P71" s="131">
        <v>1E-3</v>
      </c>
      <c r="Q71" s="131">
        <v>4.0000000000000001E-3</v>
      </c>
      <c r="S71" s="129">
        <v>348</v>
      </c>
      <c r="T71" s="129">
        <v>100</v>
      </c>
      <c r="U71" s="129">
        <v>33</v>
      </c>
      <c r="W71" s="129">
        <v>1960.6</v>
      </c>
      <c r="X71" s="129">
        <v>1960</v>
      </c>
      <c r="Y71" s="132">
        <v>84433</v>
      </c>
      <c r="Z71" s="132">
        <v>39600</v>
      </c>
      <c r="AA71" s="132">
        <v>81917.2</v>
      </c>
      <c r="AB71" s="132">
        <v>43250</v>
      </c>
      <c r="AC71" s="131">
        <v>0.183</v>
      </c>
      <c r="AD71" s="131">
        <v>0.12</v>
      </c>
      <c r="AE71" s="132">
        <v>8956.2000000000007</v>
      </c>
      <c r="AF71" s="132">
        <v>3698.4</v>
      </c>
      <c r="AH71" s="129">
        <f t="shared" si="8"/>
        <v>37</v>
      </c>
      <c r="AI71" s="129">
        <f t="shared" si="9"/>
        <v>14</v>
      </c>
      <c r="AJ71" s="129">
        <f t="shared" si="10"/>
        <v>8</v>
      </c>
      <c r="AK71" s="129">
        <f t="shared" si="11"/>
        <v>18</v>
      </c>
      <c r="AL71" s="129">
        <f t="shared" si="12"/>
        <v>28</v>
      </c>
      <c r="AM71" s="129">
        <f t="shared" si="13"/>
        <v>32</v>
      </c>
      <c r="AN71" s="129">
        <f t="shared" si="14"/>
        <v>45</v>
      </c>
      <c r="AO71" s="129">
        <f t="shared" si="15"/>
        <v>45</v>
      </c>
    </row>
    <row r="72" spans="1:41" ht="12" hidden="1" x14ac:dyDescent="0.25">
      <c r="A72" s="19">
        <v>540226</v>
      </c>
      <c r="B72" s="22" t="s">
        <v>402</v>
      </c>
      <c r="C72" s="22" t="s">
        <v>398</v>
      </c>
      <c r="D72" s="22" t="s">
        <v>29</v>
      </c>
      <c r="E72" s="19">
        <v>8</v>
      </c>
      <c r="F72" s="19" t="s">
        <v>97</v>
      </c>
      <c r="G72" s="19">
        <v>699</v>
      </c>
      <c r="H72" s="19">
        <v>2</v>
      </c>
      <c r="I72" s="19">
        <v>265</v>
      </c>
      <c r="J72" s="19">
        <v>128</v>
      </c>
      <c r="K72" s="19">
        <v>1094</v>
      </c>
      <c r="L72" s="21">
        <v>0.63900000000000001</v>
      </c>
      <c r="M72" s="21">
        <v>2E-3</v>
      </c>
      <c r="N72" s="21">
        <v>0.24199999999999999</v>
      </c>
      <c r="O72" s="21">
        <v>0.11700000000000001</v>
      </c>
      <c r="P72" s="21">
        <v>6.6000000000000003E-2</v>
      </c>
      <c r="Q72" s="21">
        <v>3.0000000000000001E-3</v>
      </c>
      <c r="R72" s="2"/>
      <c r="S72" s="19">
        <v>430</v>
      </c>
      <c r="T72" s="19">
        <v>69</v>
      </c>
      <c r="U72" s="19">
        <v>64</v>
      </c>
      <c r="V72" s="2"/>
      <c r="W72" s="19">
        <v>1956.4</v>
      </c>
      <c r="X72" s="19">
        <v>1966</v>
      </c>
      <c r="Y72" s="20">
        <v>61636.9</v>
      </c>
      <c r="Z72" s="20">
        <v>42700</v>
      </c>
      <c r="AA72" s="20">
        <v>55614.7</v>
      </c>
      <c r="AB72" s="20">
        <v>42000</v>
      </c>
      <c r="AC72" s="21">
        <v>0.45100000000000001</v>
      </c>
      <c r="AD72" s="21">
        <v>0.45500000000000002</v>
      </c>
      <c r="AE72" s="20">
        <v>19896.599999999999</v>
      </c>
      <c r="AF72" s="20">
        <v>15172.3</v>
      </c>
      <c r="AG72" s="2"/>
      <c r="AH72" s="19">
        <f t="shared" si="8"/>
        <v>29</v>
      </c>
      <c r="AI72" s="19">
        <f t="shared" si="9"/>
        <v>5</v>
      </c>
      <c r="AJ72" s="19">
        <f t="shared" si="10"/>
        <v>11</v>
      </c>
      <c r="AK72" s="19">
        <f t="shared" si="11"/>
        <v>15</v>
      </c>
      <c r="AL72" s="19">
        <f t="shared" si="12"/>
        <v>21</v>
      </c>
      <c r="AM72" s="19">
        <f t="shared" si="13"/>
        <v>20</v>
      </c>
      <c r="AN72" s="19">
        <f t="shared" si="14"/>
        <v>3</v>
      </c>
      <c r="AO72" s="19">
        <f t="shared" si="15"/>
        <v>4</v>
      </c>
    </row>
    <row r="73" spans="1:41" ht="12" hidden="1" x14ac:dyDescent="0.25">
      <c r="A73" s="14">
        <v>540046</v>
      </c>
      <c r="B73" s="17" t="s">
        <v>401</v>
      </c>
      <c r="C73" s="17" t="s">
        <v>398</v>
      </c>
      <c r="D73" s="17" t="s">
        <v>2</v>
      </c>
      <c r="E73" s="14">
        <v>8</v>
      </c>
      <c r="F73" s="14" t="s">
        <v>49</v>
      </c>
      <c r="G73" s="14">
        <v>30</v>
      </c>
      <c r="H73" s="14">
        <v>0</v>
      </c>
      <c r="I73" s="14">
        <v>7</v>
      </c>
      <c r="J73" s="14">
        <v>0</v>
      </c>
      <c r="K73" s="14">
        <v>37</v>
      </c>
      <c r="L73" s="16">
        <v>0.81100000000000005</v>
      </c>
      <c r="M73" s="16">
        <v>0</v>
      </c>
      <c r="N73" s="16">
        <v>0.189</v>
      </c>
      <c r="O73" s="16">
        <v>0</v>
      </c>
      <c r="P73" s="16">
        <v>0</v>
      </c>
      <c r="Q73" s="16">
        <v>0</v>
      </c>
      <c r="R73" s="2"/>
      <c r="S73" s="14">
        <v>9</v>
      </c>
      <c r="T73" s="14">
        <v>1</v>
      </c>
      <c r="U73" s="14">
        <v>0</v>
      </c>
      <c r="V73" s="2"/>
      <c r="W73" s="14">
        <v>1923.1</v>
      </c>
      <c r="X73" s="14">
        <v>1920</v>
      </c>
      <c r="Y73" s="15">
        <v>108508.1</v>
      </c>
      <c r="Z73" s="15">
        <v>70800</v>
      </c>
      <c r="AA73" s="15">
        <v>89972.7</v>
      </c>
      <c r="AB73" s="15">
        <v>66300</v>
      </c>
      <c r="AC73" s="16">
        <v>0.19500000000000001</v>
      </c>
      <c r="AD73" s="16">
        <v>0.14699999999999999</v>
      </c>
      <c r="AE73" s="15">
        <v>12575.5</v>
      </c>
      <c r="AF73" s="15">
        <v>8184.7</v>
      </c>
      <c r="AG73" s="2"/>
      <c r="AH73" s="14">
        <f t="shared" si="8"/>
        <v>66</v>
      </c>
      <c r="AI73" s="14">
        <f t="shared" si="9"/>
        <v>97</v>
      </c>
      <c r="AJ73" s="14">
        <f t="shared" si="10"/>
        <v>80</v>
      </c>
      <c r="AK73" s="14">
        <f t="shared" si="11"/>
        <v>21</v>
      </c>
      <c r="AL73" s="14">
        <f t="shared" si="12"/>
        <v>30</v>
      </c>
      <c r="AM73" s="14">
        <f t="shared" si="13"/>
        <v>24</v>
      </c>
      <c r="AN73" s="14">
        <f t="shared" si="14"/>
        <v>78</v>
      </c>
      <c r="AO73" s="14">
        <f t="shared" si="15"/>
        <v>51</v>
      </c>
    </row>
    <row r="74" spans="1:41" ht="12" hidden="1" x14ac:dyDescent="0.25">
      <c r="A74" s="14">
        <v>540276</v>
      </c>
      <c r="B74" s="17" t="s">
        <v>400</v>
      </c>
      <c r="C74" s="17" t="s">
        <v>398</v>
      </c>
      <c r="D74" s="17" t="s">
        <v>2</v>
      </c>
      <c r="E74" s="14">
        <v>8</v>
      </c>
      <c r="F74" s="14" t="s">
        <v>399</v>
      </c>
      <c r="G74" s="14">
        <v>4</v>
      </c>
      <c r="H74" s="14">
        <v>0</v>
      </c>
      <c r="I74" s="14">
        <v>2</v>
      </c>
      <c r="J74" s="14">
        <v>1</v>
      </c>
      <c r="K74" s="14">
        <v>7</v>
      </c>
      <c r="L74" s="16">
        <v>0.57099999999999995</v>
      </c>
      <c r="M74" s="16">
        <v>0</v>
      </c>
      <c r="N74" s="16">
        <v>0.28599999999999998</v>
      </c>
      <c r="O74" s="16">
        <v>0.14299999999999999</v>
      </c>
      <c r="P74" s="16">
        <v>0</v>
      </c>
      <c r="Q74" s="16">
        <v>0</v>
      </c>
      <c r="R74" s="2"/>
      <c r="S74" s="14">
        <v>1</v>
      </c>
      <c r="T74" s="14">
        <v>0</v>
      </c>
      <c r="U74" s="14">
        <v>0</v>
      </c>
      <c r="V74" s="2"/>
      <c r="W74" s="14">
        <v>1970</v>
      </c>
      <c r="X74" s="14">
        <v>1970</v>
      </c>
      <c r="Y74" s="15">
        <v>244971.4</v>
      </c>
      <c r="Z74" s="15">
        <v>121900</v>
      </c>
      <c r="AA74" s="15">
        <v>56600</v>
      </c>
      <c r="AB74" s="15">
        <v>56600</v>
      </c>
      <c r="AC74" s="16">
        <v>0.05</v>
      </c>
      <c r="AD74" s="16">
        <v>5.1999999999999998E-2</v>
      </c>
      <c r="AE74" s="15">
        <v>6521.1</v>
      </c>
      <c r="AF74" s="15">
        <v>4485.1000000000004</v>
      </c>
      <c r="AG74" s="2"/>
      <c r="AH74" s="14">
        <f t="shared" si="8"/>
        <v>39</v>
      </c>
      <c r="AI74" s="14">
        <f t="shared" si="9"/>
        <v>151</v>
      </c>
      <c r="AJ74" s="14">
        <f t="shared" si="10"/>
        <v>108</v>
      </c>
      <c r="AK74" s="14">
        <f t="shared" si="11"/>
        <v>164</v>
      </c>
      <c r="AL74" s="14">
        <f t="shared" si="12"/>
        <v>10</v>
      </c>
      <c r="AM74" s="14">
        <f t="shared" si="13"/>
        <v>45</v>
      </c>
      <c r="AN74" s="14">
        <f t="shared" si="14"/>
        <v>166</v>
      </c>
      <c r="AO74" s="14">
        <f t="shared" si="15"/>
        <v>100</v>
      </c>
    </row>
    <row r="75" spans="1:41" hidden="1" x14ac:dyDescent="0.3">
      <c r="A75" s="129"/>
      <c r="B75" s="130"/>
      <c r="C75" s="130" t="s">
        <v>398</v>
      </c>
      <c r="D75" s="130" t="s">
        <v>26</v>
      </c>
      <c r="E75" s="129">
        <v>8</v>
      </c>
      <c r="F75" s="129"/>
      <c r="G75" s="129">
        <v>733</v>
      </c>
      <c r="H75" s="129">
        <v>2</v>
      </c>
      <c r="I75" s="129">
        <v>274</v>
      </c>
      <c r="J75" s="129">
        <v>129</v>
      </c>
      <c r="K75" s="129">
        <v>1138</v>
      </c>
      <c r="L75" s="131">
        <v>0.64400000000000002</v>
      </c>
      <c r="M75" s="131">
        <v>2E-3</v>
      </c>
      <c r="N75" s="131">
        <v>0.24099999999999999</v>
      </c>
      <c r="O75" s="131">
        <v>0.113</v>
      </c>
      <c r="P75" s="131">
        <v>6.3E-2</v>
      </c>
      <c r="Q75" s="131">
        <v>3.0000000000000001E-3</v>
      </c>
      <c r="S75" s="129">
        <v>440</v>
      </c>
      <c r="T75" s="129">
        <v>70</v>
      </c>
      <c r="U75" s="129">
        <v>64</v>
      </c>
      <c r="W75" s="129">
        <v>1955.3</v>
      </c>
      <c r="X75" s="129">
        <v>1964</v>
      </c>
      <c r="Y75" s="132">
        <v>64288.5</v>
      </c>
      <c r="Z75" s="132">
        <v>43600</v>
      </c>
      <c r="AA75" s="132">
        <v>64197.3</v>
      </c>
      <c r="AB75" s="132">
        <v>52300</v>
      </c>
      <c r="AC75" s="131">
        <v>0.44</v>
      </c>
      <c r="AD75" s="131">
        <v>0.441</v>
      </c>
      <c r="AE75" s="132">
        <v>19581.7</v>
      </c>
      <c r="AF75" s="132">
        <v>15022.3</v>
      </c>
      <c r="AH75" s="129">
        <f t="shared" si="8"/>
        <v>21</v>
      </c>
      <c r="AI75" s="129">
        <f t="shared" si="9"/>
        <v>9</v>
      </c>
      <c r="AJ75" s="129">
        <f t="shared" si="10"/>
        <v>12</v>
      </c>
      <c r="AK75" s="129">
        <f t="shared" si="11"/>
        <v>26</v>
      </c>
      <c r="AL75" s="129">
        <f t="shared" si="12"/>
        <v>24</v>
      </c>
      <c r="AM75" s="129">
        <f t="shared" si="13"/>
        <v>20</v>
      </c>
      <c r="AN75" s="129">
        <f t="shared" si="14"/>
        <v>2</v>
      </c>
      <c r="AO75" s="129">
        <f t="shared" si="15"/>
        <v>3</v>
      </c>
    </row>
    <row r="76" spans="1:41" ht="12" hidden="1" x14ac:dyDescent="0.25">
      <c r="A76" s="19">
        <v>540047</v>
      </c>
      <c r="B76" s="22" t="s">
        <v>397</v>
      </c>
      <c r="C76" s="22" t="s">
        <v>391</v>
      </c>
      <c r="D76" s="22" t="s">
        <v>29</v>
      </c>
      <c r="E76" s="19">
        <v>11</v>
      </c>
      <c r="F76" s="19" t="s">
        <v>396</v>
      </c>
      <c r="G76" s="19">
        <v>211</v>
      </c>
      <c r="H76" s="19">
        <v>14</v>
      </c>
      <c r="I76" s="19">
        <v>10</v>
      </c>
      <c r="J76" s="19">
        <v>6</v>
      </c>
      <c r="K76" s="19">
        <v>241</v>
      </c>
      <c r="L76" s="21">
        <v>0.876</v>
      </c>
      <c r="M76" s="21">
        <v>5.8000000000000003E-2</v>
      </c>
      <c r="N76" s="21">
        <v>4.1000000000000002E-2</v>
      </c>
      <c r="O76" s="21">
        <v>2.5000000000000001E-2</v>
      </c>
      <c r="P76" s="21">
        <v>4.0000000000000001E-3</v>
      </c>
      <c r="Q76" s="21">
        <v>1.2E-2</v>
      </c>
      <c r="R76" s="2"/>
      <c r="S76" s="19">
        <v>40</v>
      </c>
      <c r="T76" s="19">
        <v>2</v>
      </c>
      <c r="U76" s="19">
        <v>5</v>
      </c>
      <c r="V76" s="2"/>
      <c r="W76" s="19">
        <v>1963.5</v>
      </c>
      <c r="X76" s="19">
        <v>1964</v>
      </c>
      <c r="Y76" s="20">
        <v>96524.3</v>
      </c>
      <c r="Z76" s="20">
        <v>50800</v>
      </c>
      <c r="AA76" s="20">
        <v>48913.599999999999</v>
      </c>
      <c r="AB76" s="20">
        <v>50800</v>
      </c>
      <c r="AC76" s="21">
        <v>0.17699999999999999</v>
      </c>
      <c r="AD76" s="21">
        <v>0.124</v>
      </c>
      <c r="AE76" s="20">
        <v>18812.3</v>
      </c>
      <c r="AF76" s="20">
        <v>5613</v>
      </c>
      <c r="AG76" s="2"/>
      <c r="AH76" s="19">
        <f t="shared" si="8"/>
        <v>54</v>
      </c>
      <c r="AI76" s="19">
        <f t="shared" si="9"/>
        <v>49</v>
      </c>
      <c r="AJ76" s="19">
        <f t="shared" si="10"/>
        <v>53</v>
      </c>
      <c r="AK76" s="19">
        <f t="shared" si="11"/>
        <v>10</v>
      </c>
      <c r="AL76" s="19">
        <f t="shared" si="12"/>
        <v>10</v>
      </c>
      <c r="AM76" s="19">
        <f t="shared" si="13"/>
        <v>8</v>
      </c>
      <c r="AN76" s="19">
        <f t="shared" si="14"/>
        <v>43</v>
      </c>
      <c r="AO76" s="19">
        <f t="shared" si="15"/>
        <v>34</v>
      </c>
    </row>
    <row r="77" spans="1:41" ht="12" hidden="1" x14ac:dyDescent="0.25">
      <c r="A77" s="25">
        <v>540014</v>
      </c>
      <c r="B77" s="26" t="s">
        <v>8</v>
      </c>
      <c r="C77" s="26" t="s">
        <v>391</v>
      </c>
      <c r="D77" s="26" t="s">
        <v>58</v>
      </c>
      <c r="E77" s="25">
        <v>11</v>
      </c>
      <c r="F77" s="25" t="s">
        <v>190</v>
      </c>
      <c r="G77" s="25">
        <v>125</v>
      </c>
      <c r="H77" s="25">
        <v>0</v>
      </c>
      <c r="I77" s="25">
        <v>2</v>
      </c>
      <c r="J77" s="25">
        <v>0</v>
      </c>
      <c r="K77" s="25">
        <v>127</v>
      </c>
      <c r="L77" s="24">
        <v>0.98399999999999999</v>
      </c>
      <c r="M77" s="24">
        <v>0</v>
      </c>
      <c r="N77" s="24">
        <v>1.6E-2</v>
      </c>
      <c r="O77" s="24">
        <v>0</v>
      </c>
      <c r="P77" s="24">
        <v>0</v>
      </c>
      <c r="Q77" s="24">
        <v>0</v>
      </c>
      <c r="R77" s="2"/>
      <c r="S77" s="25">
        <v>50</v>
      </c>
      <c r="T77" s="25">
        <v>0</v>
      </c>
      <c r="U77" s="25">
        <v>0</v>
      </c>
      <c r="V77" s="2"/>
      <c r="W77" s="25">
        <v>1960.3</v>
      </c>
      <c r="X77" s="25">
        <v>1964</v>
      </c>
      <c r="Y77" s="23">
        <v>179932.3</v>
      </c>
      <c r="Z77" s="23">
        <v>93400</v>
      </c>
      <c r="AA77" s="23">
        <v>96337.9</v>
      </c>
      <c r="AB77" s="23">
        <v>92100</v>
      </c>
      <c r="AC77" s="24">
        <v>0.19600000000000001</v>
      </c>
      <c r="AD77" s="24">
        <v>0.17299999999999999</v>
      </c>
      <c r="AE77" s="23">
        <v>15749.5</v>
      </c>
      <c r="AF77" s="23">
        <v>16279.7</v>
      </c>
      <c r="AG77" s="2"/>
      <c r="AH77" s="14" t="str">
        <f t="shared" si="8"/>
        <v/>
      </c>
      <c r="AI77" s="14" t="str">
        <f t="shared" si="9"/>
        <v/>
      </c>
      <c r="AJ77" s="14" t="str">
        <f t="shared" si="10"/>
        <v/>
      </c>
      <c r="AK77" s="14" t="str">
        <f t="shared" si="11"/>
        <v/>
      </c>
      <c r="AL77" s="14" t="str">
        <f t="shared" si="12"/>
        <v/>
      </c>
      <c r="AM77" s="14" t="str">
        <f t="shared" si="13"/>
        <v/>
      </c>
      <c r="AN77" s="14" t="str">
        <f t="shared" si="14"/>
        <v/>
      </c>
      <c r="AO77" s="14" t="str">
        <f t="shared" si="15"/>
        <v/>
      </c>
    </row>
    <row r="78" spans="1:41" ht="12" hidden="1" x14ac:dyDescent="0.25">
      <c r="A78" s="14">
        <v>540048</v>
      </c>
      <c r="B78" s="17" t="s">
        <v>395</v>
      </c>
      <c r="C78" s="17" t="s">
        <v>391</v>
      </c>
      <c r="D78" s="17" t="s">
        <v>2</v>
      </c>
      <c r="E78" s="14">
        <v>11</v>
      </c>
      <c r="F78" s="14" t="s">
        <v>394</v>
      </c>
      <c r="G78" s="14">
        <v>14</v>
      </c>
      <c r="H78" s="14">
        <v>0</v>
      </c>
      <c r="I78" s="14">
        <v>1</v>
      </c>
      <c r="J78" s="14">
        <v>1</v>
      </c>
      <c r="K78" s="14">
        <v>16</v>
      </c>
      <c r="L78" s="16">
        <v>0.875</v>
      </c>
      <c r="M78" s="16">
        <v>0</v>
      </c>
      <c r="N78" s="16">
        <v>6.3E-2</v>
      </c>
      <c r="O78" s="16">
        <v>6.3E-2</v>
      </c>
      <c r="P78" s="16">
        <v>0</v>
      </c>
      <c r="Q78" s="16">
        <v>0</v>
      </c>
      <c r="R78" s="2"/>
      <c r="S78" s="14">
        <v>0</v>
      </c>
      <c r="T78" s="14">
        <v>0</v>
      </c>
      <c r="U78" s="14">
        <v>0</v>
      </c>
      <c r="V78" s="2"/>
      <c r="W78" s="14">
        <v>1938.3</v>
      </c>
      <c r="X78" s="14">
        <v>1954</v>
      </c>
      <c r="Y78" s="15">
        <v>132150</v>
      </c>
      <c r="Z78" s="15">
        <v>68500</v>
      </c>
      <c r="AA78" s="15">
        <v>85840</v>
      </c>
      <c r="AB78" s="15">
        <v>45750</v>
      </c>
      <c r="AC78" s="16">
        <v>7.8E-2</v>
      </c>
      <c r="AD78" s="16">
        <v>2.9000000000000001E-2</v>
      </c>
      <c r="AE78" s="15">
        <v>1551.9</v>
      </c>
      <c r="AF78" s="15">
        <v>933.5</v>
      </c>
      <c r="AG78" s="2"/>
      <c r="AH78" s="14">
        <f t="shared" si="8"/>
        <v>153</v>
      </c>
      <c r="AI78" s="14">
        <f t="shared" si="9"/>
        <v>172</v>
      </c>
      <c r="AJ78" s="14">
        <f t="shared" si="10"/>
        <v>108</v>
      </c>
      <c r="AK78" s="14">
        <f t="shared" si="11"/>
        <v>134</v>
      </c>
      <c r="AL78" s="14">
        <f t="shared" si="12"/>
        <v>35</v>
      </c>
      <c r="AM78" s="14">
        <f t="shared" si="13"/>
        <v>74</v>
      </c>
      <c r="AN78" s="14">
        <f t="shared" si="14"/>
        <v>192</v>
      </c>
      <c r="AO78" s="14">
        <f t="shared" si="15"/>
        <v>190</v>
      </c>
    </row>
    <row r="79" spans="1:41" ht="12" hidden="1" x14ac:dyDescent="0.25">
      <c r="A79" s="14">
        <v>540049</v>
      </c>
      <c r="B79" s="17" t="s">
        <v>393</v>
      </c>
      <c r="C79" s="17" t="s">
        <v>391</v>
      </c>
      <c r="D79" s="17" t="s">
        <v>2</v>
      </c>
      <c r="E79" s="14">
        <v>11</v>
      </c>
      <c r="F79" s="14" t="s">
        <v>392</v>
      </c>
      <c r="G79" s="14">
        <v>128</v>
      </c>
      <c r="H79" s="14">
        <v>0</v>
      </c>
      <c r="I79" s="14">
        <v>41</v>
      </c>
      <c r="J79" s="14">
        <v>5</v>
      </c>
      <c r="K79" s="14">
        <v>174</v>
      </c>
      <c r="L79" s="16">
        <v>0.73599999999999999</v>
      </c>
      <c r="M79" s="16">
        <v>0</v>
      </c>
      <c r="N79" s="16">
        <v>0.23599999999999999</v>
      </c>
      <c r="O79" s="16">
        <v>2.9000000000000001E-2</v>
      </c>
      <c r="P79" s="16">
        <v>6.0000000000000001E-3</v>
      </c>
      <c r="Q79" s="16">
        <v>6.0000000000000001E-3</v>
      </c>
      <c r="R79" s="2"/>
      <c r="S79" s="14">
        <v>41</v>
      </c>
      <c r="T79" s="14">
        <v>20</v>
      </c>
      <c r="U79" s="14">
        <v>1</v>
      </c>
      <c r="V79" s="2"/>
      <c r="W79" s="14">
        <v>1941.4</v>
      </c>
      <c r="X79" s="14">
        <v>1937</v>
      </c>
      <c r="Y79" s="15">
        <v>52358</v>
      </c>
      <c r="Z79" s="15">
        <v>24400</v>
      </c>
      <c r="AA79" s="15">
        <v>26853.9</v>
      </c>
      <c r="AB79" s="15">
        <v>23000</v>
      </c>
      <c r="AC79" s="16">
        <v>0.26</v>
      </c>
      <c r="AD79" s="16">
        <v>0.20399999999999999</v>
      </c>
      <c r="AE79" s="15">
        <v>9075.2000000000007</v>
      </c>
      <c r="AF79" s="15">
        <v>5086.5</v>
      </c>
      <c r="AG79" s="2"/>
      <c r="AH79" s="14">
        <f t="shared" si="8"/>
        <v>49</v>
      </c>
      <c r="AI79" s="14">
        <f t="shared" si="9"/>
        <v>35</v>
      </c>
      <c r="AJ79" s="14">
        <f t="shared" si="10"/>
        <v>9</v>
      </c>
      <c r="AK79" s="14">
        <f t="shared" si="11"/>
        <v>66</v>
      </c>
      <c r="AL79" s="14">
        <f t="shared" si="12"/>
        <v>179</v>
      </c>
      <c r="AM79" s="14">
        <f t="shared" si="13"/>
        <v>177</v>
      </c>
      <c r="AN79" s="14">
        <f t="shared" si="14"/>
        <v>47</v>
      </c>
      <c r="AO79" s="14">
        <f t="shared" si="15"/>
        <v>89</v>
      </c>
    </row>
    <row r="80" spans="1:41" hidden="1" x14ac:dyDescent="0.3">
      <c r="A80" s="129"/>
      <c r="B80" s="130"/>
      <c r="C80" s="130" t="s">
        <v>391</v>
      </c>
      <c r="D80" s="130" t="s">
        <v>26</v>
      </c>
      <c r="E80" s="129">
        <v>11</v>
      </c>
      <c r="F80" s="129"/>
      <c r="G80" s="129">
        <v>478</v>
      </c>
      <c r="H80" s="129">
        <v>14</v>
      </c>
      <c r="I80" s="129">
        <v>54</v>
      </c>
      <c r="J80" s="129">
        <v>12</v>
      </c>
      <c r="K80" s="129">
        <v>558</v>
      </c>
      <c r="L80" s="131">
        <v>0.85699999999999998</v>
      </c>
      <c r="M80" s="131">
        <v>2.5000000000000001E-2</v>
      </c>
      <c r="N80" s="131">
        <v>9.7000000000000003E-2</v>
      </c>
      <c r="O80" s="131">
        <v>2.1999999999999999E-2</v>
      </c>
      <c r="P80" s="131">
        <v>4.0000000000000001E-3</v>
      </c>
      <c r="Q80" s="131">
        <v>7.0000000000000001E-3</v>
      </c>
      <c r="S80" s="129">
        <v>131</v>
      </c>
      <c r="T80" s="129">
        <v>22</v>
      </c>
      <c r="U80" s="129">
        <v>6</v>
      </c>
      <c r="W80" s="129">
        <v>1954.8</v>
      </c>
      <c r="X80" s="129">
        <v>1962</v>
      </c>
      <c r="Y80" s="132">
        <v>102757.1</v>
      </c>
      <c r="Z80" s="132">
        <v>46450</v>
      </c>
      <c r="AA80" s="132">
        <v>62314.3</v>
      </c>
      <c r="AB80" s="132">
        <v>55050</v>
      </c>
      <c r="AC80" s="131">
        <v>0.215</v>
      </c>
      <c r="AD80" s="131">
        <v>0.16900000000000001</v>
      </c>
      <c r="AE80" s="132">
        <v>13912</v>
      </c>
      <c r="AF80" s="132">
        <v>6194.5</v>
      </c>
      <c r="AH80" s="129">
        <f t="shared" si="8"/>
        <v>50</v>
      </c>
      <c r="AI80" s="129">
        <f t="shared" si="9"/>
        <v>39</v>
      </c>
      <c r="AJ80" s="129">
        <f t="shared" si="10"/>
        <v>34</v>
      </c>
      <c r="AK80" s="129">
        <f t="shared" si="11"/>
        <v>23</v>
      </c>
      <c r="AL80" s="129">
        <f t="shared" si="12"/>
        <v>18</v>
      </c>
      <c r="AM80" s="129">
        <f t="shared" si="13"/>
        <v>13</v>
      </c>
      <c r="AN80" s="129">
        <f t="shared" si="14"/>
        <v>22</v>
      </c>
      <c r="AO80" s="129">
        <f t="shared" si="15"/>
        <v>27</v>
      </c>
    </row>
    <row r="81" spans="1:41" ht="12" hidden="1" x14ac:dyDescent="0.25">
      <c r="A81" s="19">
        <v>540051</v>
      </c>
      <c r="B81" s="22" t="s">
        <v>390</v>
      </c>
      <c r="C81" s="22" t="s">
        <v>385</v>
      </c>
      <c r="D81" s="22" t="s">
        <v>29</v>
      </c>
      <c r="E81" s="19">
        <v>8</v>
      </c>
      <c r="F81" s="19" t="s">
        <v>389</v>
      </c>
      <c r="G81" s="19">
        <v>302</v>
      </c>
      <c r="H81" s="19">
        <v>61</v>
      </c>
      <c r="I81" s="19">
        <v>109</v>
      </c>
      <c r="J81" s="19">
        <v>69</v>
      </c>
      <c r="K81" s="19">
        <v>541</v>
      </c>
      <c r="L81" s="21">
        <v>0.55800000000000005</v>
      </c>
      <c r="M81" s="21">
        <v>0.113</v>
      </c>
      <c r="N81" s="21">
        <v>0.20100000000000001</v>
      </c>
      <c r="O81" s="21">
        <v>0.128</v>
      </c>
      <c r="P81" s="21">
        <v>5.7000000000000002E-2</v>
      </c>
      <c r="Q81" s="21">
        <v>1.4999999999999999E-2</v>
      </c>
      <c r="R81" s="2"/>
      <c r="S81" s="19">
        <v>88</v>
      </c>
      <c r="T81" s="19">
        <v>30</v>
      </c>
      <c r="U81" s="19">
        <v>11</v>
      </c>
      <c r="V81" s="2"/>
      <c r="W81" s="19">
        <v>1960.7</v>
      </c>
      <c r="X81" s="19">
        <v>1976</v>
      </c>
      <c r="Y81" s="20">
        <v>75120.600000000006</v>
      </c>
      <c r="Z81" s="20">
        <v>39067</v>
      </c>
      <c r="AA81" s="20">
        <v>46762.9</v>
      </c>
      <c r="AB81" s="20">
        <v>35050</v>
      </c>
      <c r="AC81" s="21">
        <v>0.28999999999999998</v>
      </c>
      <c r="AD81" s="21">
        <v>0.18</v>
      </c>
      <c r="AE81" s="20">
        <v>13319.3</v>
      </c>
      <c r="AF81" s="20">
        <v>5685</v>
      </c>
      <c r="AG81" s="2"/>
      <c r="AH81" s="19">
        <f t="shared" si="8"/>
        <v>38</v>
      </c>
      <c r="AI81" s="19">
        <f t="shared" si="9"/>
        <v>34</v>
      </c>
      <c r="AJ81" s="19">
        <f t="shared" si="10"/>
        <v>22</v>
      </c>
      <c r="AK81" s="19">
        <f t="shared" si="11"/>
        <v>37</v>
      </c>
      <c r="AL81" s="19">
        <f t="shared" si="12"/>
        <v>24</v>
      </c>
      <c r="AM81" s="19">
        <f t="shared" si="13"/>
        <v>27</v>
      </c>
      <c r="AN81" s="19">
        <f t="shared" si="14"/>
        <v>25</v>
      </c>
      <c r="AO81" s="19">
        <f t="shared" si="15"/>
        <v>32</v>
      </c>
    </row>
    <row r="82" spans="1:41" ht="12" hidden="1" x14ac:dyDescent="0.25">
      <c r="A82" s="14">
        <v>540052</v>
      </c>
      <c r="B82" s="17" t="s">
        <v>388</v>
      </c>
      <c r="C82" s="17" t="s">
        <v>385</v>
      </c>
      <c r="D82" s="17" t="s">
        <v>2</v>
      </c>
      <c r="E82" s="14">
        <v>8</v>
      </c>
      <c r="F82" s="14" t="s">
        <v>387</v>
      </c>
      <c r="G82" s="14">
        <v>46</v>
      </c>
      <c r="H82" s="14">
        <v>0</v>
      </c>
      <c r="I82" s="14">
        <v>25</v>
      </c>
      <c r="J82" s="14">
        <v>10</v>
      </c>
      <c r="K82" s="14">
        <v>81</v>
      </c>
      <c r="L82" s="16">
        <v>0.56799999999999995</v>
      </c>
      <c r="M82" s="16">
        <v>0</v>
      </c>
      <c r="N82" s="16">
        <v>0.309</v>
      </c>
      <c r="O82" s="16">
        <v>0.123</v>
      </c>
      <c r="P82" s="16">
        <v>4.9000000000000002E-2</v>
      </c>
      <c r="Q82" s="16">
        <v>3.6999999999999998E-2</v>
      </c>
      <c r="R82" s="2"/>
      <c r="S82" s="14">
        <v>20</v>
      </c>
      <c r="T82" s="14">
        <v>3</v>
      </c>
      <c r="U82" s="14">
        <v>2</v>
      </c>
      <c r="V82" s="2"/>
      <c r="W82" s="14">
        <v>1961.3</v>
      </c>
      <c r="X82" s="14">
        <v>1973</v>
      </c>
      <c r="Y82" s="15">
        <v>230354.5</v>
      </c>
      <c r="Z82" s="15">
        <v>41000</v>
      </c>
      <c r="AA82" s="15">
        <v>94182.7</v>
      </c>
      <c r="AB82" s="15">
        <v>21850</v>
      </c>
      <c r="AC82" s="16">
        <v>0.16600000000000001</v>
      </c>
      <c r="AD82" s="16">
        <v>0.11</v>
      </c>
      <c r="AE82" s="15">
        <v>16943.3</v>
      </c>
      <c r="AF82" s="15">
        <v>3761.4</v>
      </c>
      <c r="AG82" s="2"/>
      <c r="AH82" s="14">
        <f t="shared" si="8"/>
        <v>33</v>
      </c>
      <c r="AI82" s="14">
        <f t="shared" si="9"/>
        <v>63</v>
      </c>
      <c r="AJ82" s="14">
        <f t="shared" si="10"/>
        <v>42</v>
      </c>
      <c r="AK82" s="14">
        <f t="shared" si="11"/>
        <v>172</v>
      </c>
      <c r="AL82" s="14">
        <f t="shared" si="12"/>
        <v>112</v>
      </c>
      <c r="AM82" s="14">
        <f t="shared" si="13"/>
        <v>179</v>
      </c>
      <c r="AN82" s="14">
        <f t="shared" si="14"/>
        <v>106</v>
      </c>
      <c r="AO82" s="14">
        <f t="shared" si="15"/>
        <v>120</v>
      </c>
    </row>
    <row r="83" spans="1:41" ht="12" hidden="1" x14ac:dyDescent="0.25">
      <c r="A83" s="14">
        <v>540245</v>
      </c>
      <c r="B83" s="17" t="s">
        <v>386</v>
      </c>
      <c r="C83" s="17" t="s">
        <v>385</v>
      </c>
      <c r="D83" s="17" t="s">
        <v>2</v>
      </c>
      <c r="E83" s="14">
        <v>8</v>
      </c>
      <c r="F83" s="14" t="s">
        <v>97</v>
      </c>
      <c r="G83" s="14">
        <v>2</v>
      </c>
      <c r="H83" s="14">
        <v>0</v>
      </c>
      <c r="I83" s="14">
        <v>0</v>
      </c>
      <c r="J83" s="14">
        <v>0</v>
      </c>
      <c r="K83" s="14">
        <v>2</v>
      </c>
      <c r="L83" s="16">
        <v>1</v>
      </c>
      <c r="M83" s="16">
        <v>0</v>
      </c>
      <c r="N83" s="16">
        <v>0</v>
      </c>
      <c r="O83" s="16">
        <v>0</v>
      </c>
      <c r="P83" s="16">
        <v>0</v>
      </c>
      <c r="Q83" s="16">
        <v>0</v>
      </c>
      <c r="R83" s="2"/>
      <c r="S83" s="14">
        <v>0</v>
      </c>
      <c r="T83" s="14">
        <v>0</v>
      </c>
      <c r="U83" s="14">
        <v>0</v>
      </c>
      <c r="V83" s="2"/>
      <c r="W83" s="14">
        <v>1897</v>
      </c>
      <c r="X83" s="14">
        <v>1897</v>
      </c>
      <c r="Y83" s="15">
        <v>92150</v>
      </c>
      <c r="Z83" s="15">
        <v>92150</v>
      </c>
      <c r="AA83" s="15">
        <v>92150</v>
      </c>
      <c r="AB83" s="15">
        <v>92150</v>
      </c>
      <c r="AC83" s="16">
        <v>4.7E-2</v>
      </c>
      <c r="AD83" s="16">
        <v>4.7E-2</v>
      </c>
      <c r="AE83" s="15">
        <v>6069.6</v>
      </c>
      <c r="AF83" s="15">
        <v>6069.6</v>
      </c>
      <c r="AG83" s="2"/>
      <c r="AH83" s="14">
        <f t="shared" si="8"/>
        <v>192</v>
      </c>
      <c r="AI83" s="14">
        <f t="shared" si="9"/>
        <v>172</v>
      </c>
      <c r="AJ83" s="14">
        <f t="shared" si="10"/>
        <v>108</v>
      </c>
      <c r="AK83" s="14">
        <f t="shared" si="11"/>
        <v>9</v>
      </c>
      <c r="AL83" s="14">
        <f t="shared" si="12"/>
        <v>16</v>
      </c>
      <c r="AM83" s="14">
        <f t="shared" si="13"/>
        <v>11</v>
      </c>
      <c r="AN83" s="14">
        <f t="shared" si="14"/>
        <v>170</v>
      </c>
      <c r="AO83" s="14">
        <f t="shared" si="15"/>
        <v>75</v>
      </c>
    </row>
    <row r="84" spans="1:41" hidden="1" x14ac:dyDescent="0.3">
      <c r="A84" s="129"/>
      <c r="B84" s="130"/>
      <c r="C84" s="130" t="s">
        <v>385</v>
      </c>
      <c r="D84" s="130" t="s">
        <v>26</v>
      </c>
      <c r="E84" s="129">
        <v>8</v>
      </c>
      <c r="F84" s="129"/>
      <c r="G84" s="129">
        <v>350</v>
      </c>
      <c r="H84" s="129">
        <v>61</v>
      </c>
      <c r="I84" s="129">
        <v>134</v>
      </c>
      <c r="J84" s="129">
        <v>79</v>
      </c>
      <c r="K84" s="129">
        <v>624</v>
      </c>
      <c r="L84" s="131">
        <v>0.56100000000000005</v>
      </c>
      <c r="M84" s="131">
        <v>9.8000000000000004E-2</v>
      </c>
      <c r="N84" s="131">
        <v>0.215</v>
      </c>
      <c r="O84" s="131">
        <v>0.127</v>
      </c>
      <c r="P84" s="131">
        <v>5.6000000000000001E-2</v>
      </c>
      <c r="Q84" s="131">
        <v>1.7999999999999999E-2</v>
      </c>
      <c r="S84" s="129">
        <v>108</v>
      </c>
      <c r="T84" s="129">
        <v>33</v>
      </c>
      <c r="U84" s="129">
        <v>13</v>
      </c>
      <c r="W84" s="129">
        <v>1960.6</v>
      </c>
      <c r="X84" s="129">
        <v>1975</v>
      </c>
      <c r="Y84" s="132">
        <v>95325.7</v>
      </c>
      <c r="Z84" s="132">
        <v>39150</v>
      </c>
      <c r="AA84" s="132">
        <v>60926</v>
      </c>
      <c r="AB84" s="132">
        <v>50000</v>
      </c>
      <c r="AC84" s="131">
        <v>0.26300000000000001</v>
      </c>
      <c r="AD84" s="131">
        <v>0.154</v>
      </c>
      <c r="AE84" s="132">
        <v>14060</v>
      </c>
      <c r="AF84" s="132">
        <v>5466.8</v>
      </c>
      <c r="AH84" s="129">
        <f t="shared" si="8"/>
        <v>24</v>
      </c>
      <c r="AI84" s="129">
        <f t="shared" si="9"/>
        <v>41</v>
      </c>
      <c r="AJ84" s="129">
        <f t="shared" si="10"/>
        <v>27</v>
      </c>
      <c r="AK84" s="129">
        <f t="shared" si="11"/>
        <v>45</v>
      </c>
      <c r="AL84" s="129">
        <f t="shared" si="12"/>
        <v>29</v>
      </c>
      <c r="AM84" s="129">
        <f t="shared" si="13"/>
        <v>23</v>
      </c>
      <c r="AN84" s="129">
        <f t="shared" si="14"/>
        <v>31</v>
      </c>
      <c r="AO84" s="129">
        <f t="shared" si="15"/>
        <v>33</v>
      </c>
    </row>
    <row r="85" spans="1:41" ht="12" hidden="1" x14ac:dyDescent="0.25">
      <c r="A85" s="19">
        <v>540053</v>
      </c>
      <c r="B85" s="22" t="s">
        <v>384</v>
      </c>
      <c r="C85" s="22" t="s">
        <v>369</v>
      </c>
      <c r="D85" s="22" t="s">
        <v>29</v>
      </c>
      <c r="E85" s="19">
        <v>6</v>
      </c>
      <c r="F85" s="19" t="s">
        <v>306</v>
      </c>
      <c r="G85" s="19">
        <v>688</v>
      </c>
      <c r="H85" s="19">
        <v>62</v>
      </c>
      <c r="I85" s="19">
        <v>166</v>
      </c>
      <c r="J85" s="19">
        <v>102</v>
      </c>
      <c r="K85" s="19">
        <v>1018</v>
      </c>
      <c r="L85" s="21">
        <v>0.67600000000000005</v>
      </c>
      <c r="M85" s="21">
        <v>6.0999999999999999E-2</v>
      </c>
      <c r="N85" s="21">
        <v>0.16300000000000001</v>
      </c>
      <c r="O85" s="21">
        <v>0.1</v>
      </c>
      <c r="P85" s="21">
        <v>7.2999999999999995E-2</v>
      </c>
      <c r="Q85" s="21">
        <v>1.0999999999999999E-2</v>
      </c>
      <c r="R85" s="2"/>
      <c r="S85" s="19">
        <v>124</v>
      </c>
      <c r="T85" s="19">
        <v>21</v>
      </c>
      <c r="U85" s="19">
        <v>11</v>
      </c>
      <c r="V85" s="2"/>
      <c r="W85" s="19">
        <v>1949.2</v>
      </c>
      <c r="X85" s="19">
        <v>1952</v>
      </c>
      <c r="Y85" s="20">
        <v>66202.3</v>
      </c>
      <c r="Z85" s="20">
        <v>34850</v>
      </c>
      <c r="AA85" s="20">
        <v>49988.9</v>
      </c>
      <c r="AB85" s="20">
        <v>32700</v>
      </c>
      <c r="AC85" s="21">
        <v>0.188</v>
      </c>
      <c r="AD85" s="21">
        <v>0.115</v>
      </c>
      <c r="AE85" s="20">
        <v>8858</v>
      </c>
      <c r="AF85" s="20">
        <v>4021.3</v>
      </c>
      <c r="AG85" s="2"/>
      <c r="AH85" s="19">
        <f t="shared" si="8"/>
        <v>45</v>
      </c>
      <c r="AI85" s="19">
        <f t="shared" si="9"/>
        <v>27</v>
      </c>
      <c r="AJ85" s="19">
        <f t="shared" si="10"/>
        <v>29</v>
      </c>
      <c r="AK85" s="19">
        <f t="shared" si="11"/>
        <v>4</v>
      </c>
      <c r="AL85" s="19">
        <f t="shared" si="12"/>
        <v>30</v>
      </c>
      <c r="AM85" s="19">
        <f t="shared" si="13"/>
        <v>31</v>
      </c>
      <c r="AN85" s="19">
        <f t="shared" si="14"/>
        <v>47</v>
      </c>
      <c r="AO85" s="19">
        <f t="shared" si="15"/>
        <v>43</v>
      </c>
    </row>
    <row r="86" spans="1:41" ht="12" hidden="1" x14ac:dyDescent="0.25">
      <c r="A86" s="14">
        <v>540054</v>
      </c>
      <c r="B86" s="17" t="s">
        <v>383</v>
      </c>
      <c r="C86" s="17" t="s">
        <v>369</v>
      </c>
      <c r="D86" s="17" t="s">
        <v>2</v>
      </c>
      <c r="E86" s="14">
        <v>6</v>
      </c>
      <c r="F86" s="14" t="s">
        <v>382</v>
      </c>
      <c r="G86" s="14">
        <v>21</v>
      </c>
      <c r="H86" s="14">
        <v>0</v>
      </c>
      <c r="I86" s="14">
        <v>4</v>
      </c>
      <c r="J86" s="14">
        <v>4</v>
      </c>
      <c r="K86" s="14">
        <v>29</v>
      </c>
      <c r="L86" s="16">
        <v>0.72399999999999998</v>
      </c>
      <c r="M86" s="16">
        <v>0</v>
      </c>
      <c r="N86" s="16">
        <v>0.13800000000000001</v>
      </c>
      <c r="O86" s="16">
        <v>0.13800000000000001</v>
      </c>
      <c r="P86" s="16">
        <v>0.10299999999999999</v>
      </c>
      <c r="Q86" s="16">
        <v>3.4000000000000002E-2</v>
      </c>
      <c r="R86" s="2"/>
      <c r="S86" s="14">
        <v>0</v>
      </c>
      <c r="T86" s="14">
        <v>0</v>
      </c>
      <c r="U86" s="14">
        <v>0</v>
      </c>
      <c r="V86" s="2"/>
      <c r="W86" s="14">
        <v>1945.5</v>
      </c>
      <c r="X86" s="14">
        <v>1940</v>
      </c>
      <c r="Y86" s="15">
        <v>103973.8</v>
      </c>
      <c r="Z86" s="15">
        <v>35500</v>
      </c>
      <c r="AA86" s="15">
        <v>35092.400000000001</v>
      </c>
      <c r="AB86" s="15">
        <v>31100</v>
      </c>
      <c r="AC86" s="16">
        <v>0.06</v>
      </c>
      <c r="AD86" s="16">
        <v>5.3999999999999999E-2</v>
      </c>
      <c r="AE86" s="15">
        <v>1176</v>
      </c>
      <c r="AF86" s="15">
        <v>1333.2</v>
      </c>
      <c r="AG86" s="2"/>
      <c r="AH86" s="14">
        <f t="shared" si="8"/>
        <v>95</v>
      </c>
      <c r="AI86" s="14">
        <f t="shared" si="9"/>
        <v>172</v>
      </c>
      <c r="AJ86" s="14">
        <f t="shared" si="10"/>
        <v>108</v>
      </c>
      <c r="AK86" s="14">
        <f t="shared" si="11"/>
        <v>72</v>
      </c>
      <c r="AL86" s="14">
        <f t="shared" si="12"/>
        <v>134</v>
      </c>
      <c r="AM86" s="14">
        <f t="shared" si="13"/>
        <v>134</v>
      </c>
      <c r="AN86" s="14">
        <f t="shared" si="14"/>
        <v>164</v>
      </c>
      <c r="AO86" s="14">
        <f t="shared" si="15"/>
        <v>181</v>
      </c>
    </row>
    <row r="87" spans="1:41" ht="12" hidden="1" x14ac:dyDescent="0.25">
      <c r="A87" s="14">
        <v>540055</v>
      </c>
      <c r="B87" s="17" t="s">
        <v>381</v>
      </c>
      <c r="C87" s="17" t="s">
        <v>369</v>
      </c>
      <c r="D87" s="17" t="s">
        <v>2</v>
      </c>
      <c r="E87" s="14">
        <v>6</v>
      </c>
      <c r="F87" s="14" t="s">
        <v>299</v>
      </c>
      <c r="G87" s="14">
        <v>109</v>
      </c>
      <c r="H87" s="14">
        <v>5</v>
      </c>
      <c r="I87" s="14">
        <v>26</v>
      </c>
      <c r="J87" s="14">
        <v>4</v>
      </c>
      <c r="K87" s="14">
        <v>144</v>
      </c>
      <c r="L87" s="16">
        <v>0.75700000000000001</v>
      </c>
      <c r="M87" s="16">
        <v>3.5000000000000003E-2</v>
      </c>
      <c r="N87" s="16">
        <v>0.18099999999999999</v>
      </c>
      <c r="O87" s="16">
        <v>2.8000000000000001E-2</v>
      </c>
      <c r="P87" s="16">
        <v>1.4E-2</v>
      </c>
      <c r="Q87" s="16">
        <v>1.4E-2</v>
      </c>
      <c r="R87" s="2"/>
      <c r="S87" s="14">
        <v>19</v>
      </c>
      <c r="T87" s="14">
        <v>2</v>
      </c>
      <c r="U87" s="14">
        <v>1</v>
      </c>
      <c r="V87" s="2"/>
      <c r="W87" s="14">
        <v>1959.3</v>
      </c>
      <c r="X87" s="14">
        <v>1957.5</v>
      </c>
      <c r="Y87" s="15">
        <v>482668.79999999999</v>
      </c>
      <c r="Z87" s="15">
        <v>87650</v>
      </c>
      <c r="AA87" s="15">
        <v>130814.3</v>
      </c>
      <c r="AB87" s="15">
        <v>77550</v>
      </c>
      <c r="AC87" s="16">
        <v>8.4000000000000005E-2</v>
      </c>
      <c r="AD87" s="16">
        <v>0.06</v>
      </c>
      <c r="AE87" s="15">
        <v>64711.5</v>
      </c>
      <c r="AF87" s="15">
        <v>5479.8</v>
      </c>
      <c r="AG87" s="2"/>
      <c r="AH87" s="14">
        <f t="shared" si="8"/>
        <v>72</v>
      </c>
      <c r="AI87" s="14">
        <f t="shared" si="9"/>
        <v>65</v>
      </c>
      <c r="AJ87" s="14">
        <f t="shared" si="10"/>
        <v>56</v>
      </c>
      <c r="AK87" s="14">
        <f t="shared" si="11"/>
        <v>142</v>
      </c>
      <c r="AL87" s="14">
        <f t="shared" si="12"/>
        <v>20</v>
      </c>
      <c r="AM87" s="14">
        <f t="shared" si="13"/>
        <v>14</v>
      </c>
      <c r="AN87" s="14">
        <f t="shared" si="14"/>
        <v>159</v>
      </c>
      <c r="AO87" s="14">
        <f t="shared" si="15"/>
        <v>82</v>
      </c>
    </row>
    <row r="88" spans="1:41" ht="12" hidden="1" x14ac:dyDescent="0.25">
      <c r="A88" s="14">
        <v>540056</v>
      </c>
      <c r="B88" s="17" t="s">
        <v>380</v>
      </c>
      <c r="C88" s="17" t="s">
        <v>369</v>
      </c>
      <c r="D88" s="17" t="s">
        <v>2</v>
      </c>
      <c r="E88" s="14">
        <v>6</v>
      </c>
      <c r="F88" s="14" t="s">
        <v>273</v>
      </c>
      <c r="G88" s="14">
        <v>417</v>
      </c>
      <c r="H88" s="14">
        <v>3</v>
      </c>
      <c r="I88" s="14">
        <v>34</v>
      </c>
      <c r="J88" s="14">
        <v>1</v>
      </c>
      <c r="K88" s="14">
        <v>455</v>
      </c>
      <c r="L88" s="16">
        <v>0.91600000000000004</v>
      </c>
      <c r="M88" s="16">
        <v>7.0000000000000001E-3</v>
      </c>
      <c r="N88" s="16">
        <v>7.4999999999999997E-2</v>
      </c>
      <c r="O88" s="16">
        <v>2E-3</v>
      </c>
      <c r="P88" s="16">
        <v>0</v>
      </c>
      <c r="Q88" s="16">
        <v>2E-3</v>
      </c>
      <c r="R88" s="2"/>
      <c r="S88" s="14">
        <v>87</v>
      </c>
      <c r="T88" s="14">
        <v>11</v>
      </c>
      <c r="U88" s="14">
        <v>0</v>
      </c>
      <c r="V88" s="2"/>
      <c r="W88" s="14">
        <v>1928.7</v>
      </c>
      <c r="X88" s="14">
        <v>1920</v>
      </c>
      <c r="Y88" s="15">
        <v>69372.600000000006</v>
      </c>
      <c r="Z88" s="15">
        <v>37800</v>
      </c>
      <c r="AA88" s="15">
        <v>43327.6</v>
      </c>
      <c r="AB88" s="15">
        <v>35700</v>
      </c>
      <c r="AC88" s="16">
        <v>0.21099999999999999</v>
      </c>
      <c r="AD88" s="16">
        <v>0.16400000000000001</v>
      </c>
      <c r="AE88" s="15">
        <v>9110.5</v>
      </c>
      <c r="AF88" s="15">
        <v>5500.3</v>
      </c>
      <c r="AG88" s="2"/>
      <c r="AH88" s="14">
        <f t="shared" si="8"/>
        <v>146</v>
      </c>
      <c r="AI88" s="14">
        <f t="shared" si="9"/>
        <v>17</v>
      </c>
      <c r="AJ88" s="14">
        <f t="shared" si="10"/>
        <v>18</v>
      </c>
      <c r="AK88" s="14">
        <f t="shared" si="11"/>
        <v>21</v>
      </c>
      <c r="AL88" s="14">
        <f t="shared" si="12"/>
        <v>120</v>
      </c>
      <c r="AM88" s="14">
        <f t="shared" si="13"/>
        <v>113</v>
      </c>
      <c r="AN88" s="14">
        <f t="shared" si="14"/>
        <v>66</v>
      </c>
      <c r="AO88" s="14">
        <f t="shared" si="15"/>
        <v>80</v>
      </c>
    </row>
    <row r="89" spans="1:41" ht="12" hidden="1" x14ac:dyDescent="0.25">
      <c r="A89" s="14">
        <v>540057</v>
      </c>
      <c r="B89" s="17" t="s">
        <v>379</v>
      </c>
      <c r="C89" s="17" t="s">
        <v>369</v>
      </c>
      <c r="D89" s="17" t="s">
        <v>2</v>
      </c>
      <c r="E89" s="14">
        <v>6</v>
      </c>
      <c r="F89" s="14" t="s">
        <v>299</v>
      </c>
      <c r="G89" s="14">
        <v>56</v>
      </c>
      <c r="H89" s="14">
        <v>2</v>
      </c>
      <c r="I89" s="14">
        <v>12</v>
      </c>
      <c r="J89" s="14">
        <v>3</v>
      </c>
      <c r="K89" s="14">
        <v>73</v>
      </c>
      <c r="L89" s="16">
        <v>0.76700000000000002</v>
      </c>
      <c r="M89" s="16">
        <v>2.7E-2</v>
      </c>
      <c r="N89" s="16">
        <v>0.16400000000000001</v>
      </c>
      <c r="O89" s="16">
        <v>4.1000000000000002E-2</v>
      </c>
      <c r="P89" s="16">
        <v>2.7E-2</v>
      </c>
      <c r="Q89" s="16">
        <v>1.4E-2</v>
      </c>
      <c r="R89" s="2"/>
      <c r="S89" s="14">
        <v>1</v>
      </c>
      <c r="T89" s="14">
        <v>1</v>
      </c>
      <c r="U89" s="14">
        <v>0</v>
      </c>
      <c r="V89" s="2"/>
      <c r="W89" s="14">
        <v>1942.5</v>
      </c>
      <c r="X89" s="14">
        <v>1925</v>
      </c>
      <c r="Y89" s="15">
        <v>64606.3</v>
      </c>
      <c r="Z89" s="15">
        <v>30000</v>
      </c>
      <c r="AA89" s="15">
        <v>37151.4</v>
      </c>
      <c r="AB89" s="15">
        <v>27900</v>
      </c>
      <c r="AC89" s="16">
        <v>0.108</v>
      </c>
      <c r="AD89" s="16">
        <v>6.0999999999999999E-2</v>
      </c>
      <c r="AE89" s="15">
        <v>3431.1</v>
      </c>
      <c r="AF89" s="15">
        <v>1727</v>
      </c>
      <c r="AG89" s="2"/>
      <c r="AH89" s="14">
        <f t="shared" si="8"/>
        <v>79</v>
      </c>
      <c r="AI89" s="14">
        <f t="shared" si="9"/>
        <v>151</v>
      </c>
      <c r="AJ89" s="14">
        <f t="shared" si="10"/>
        <v>80</v>
      </c>
      <c r="AK89" s="14">
        <f t="shared" si="11"/>
        <v>40</v>
      </c>
      <c r="AL89" s="14">
        <f t="shared" si="12"/>
        <v>154</v>
      </c>
      <c r="AM89" s="14">
        <f t="shared" si="13"/>
        <v>153</v>
      </c>
      <c r="AN89" s="14">
        <f t="shared" si="14"/>
        <v>158</v>
      </c>
      <c r="AO89" s="14">
        <f t="shared" si="15"/>
        <v>174</v>
      </c>
    </row>
    <row r="90" spans="1:41" ht="12" hidden="1" x14ac:dyDescent="0.25">
      <c r="A90" s="14">
        <v>540058</v>
      </c>
      <c r="B90" s="17" t="s">
        <v>378</v>
      </c>
      <c r="C90" s="17" t="s">
        <v>369</v>
      </c>
      <c r="D90" s="17" t="s">
        <v>2</v>
      </c>
      <c r="E90" s="14">
        <v>6</v>
      </c>
      <c r="F90" s="14" t="s">
        <v>299</v>
      </c>
      <c r="G90" s="14">
        <v>33</v>
      </c>
      <c r="H90" s="14">
        <v>0</v>
      </c>
      <c r="I90" s="14">
        <v>2</v>
      </c>
      <c r="J90" s="14">
        <v>2</v>
      </c>
      <c r="K90" s="14">
        <v>37</v>
      </c>
      <c r="L90" s="16">
        <v>0.89200000000000002</v>
      </c>
      <c r="M90" s="16">
        <v>0</v>
      </c>
      <c r="N90" s="16">
        <v>5.3999999999999999E-2</v>
      </c>
      <c r="O90" s="16">
        <v>5.3999999999999999E-2</v>
      </c>
      <c r="P90" s="16">
        <v>0</v>
      </c>
      <c r="Q90" s="16">
        <v>2.7E-2</v>
      </c>
      <c r="R90" s="2"/>
      <c r="S90" s="14">
        <v>2</v>
      </c>
      <c r="T90" s="14">
        <v>1</v>
      </c>
      <c r="U90" s="14">
        <v>1</v>
      </c>
      <c r="V90" s="2"/>
      <c r="W90" s="14">
        <v>1929.1</v>
      </c>
      <c r="X90" s="14">
        <v>1925</v>
      </c>
      <c r="Y90" s="15">
        <v>57949.5</v>
      </c>
      <c r="Z90" s="15">
        <v>34800</v>
      </c>
      <c r="AA90" s="15">
        <v>30724.3</v>
      </c>
      <c r="AB90" s="15">
        <v>31350</v>
      </c>
      <c r="AC90" s="16">
        <v>0.16700000000000001</v>
      </c>
      <c r="AD90" s="16">
        <v>0.153</v>
      </c>
      <c r="AE90" s="15">
        <v>4755.8</v>
      </c>
      <c r="AF90" s="15">
        <v>2341.5</v>
      </c>
      <c r="AG90" s="2"/>
      <c r="AH90" s="14">
        <f t="shared" si="8"/>
        <v>159</v>
      </c>
      <c r="AI90" s="14">
        <f t="shared" si="9"/>
        <v>134</v>
      </c>
      <c r="AJ90" s="14">
        <f t="shared" si="10"/>
        <v>80</v>
      </c>
      <c r="AK90" s="14">
        <f t="shared" si="11"/>
        <v>40</v>
      </c>
      <c r="AL90" s="14">
        <f t="shared" si="12"/>
        <v>139</v>
      </c>
      <c r="AM90" s="14">
        <f t="shared" si="13"/>
        <v>129</v>
      </c>
      <c r="AN90" s="14">
        <f t="shared" si="14"/>
        <v>70</v>
      </c>
      <c r="AO90" s="14">
        <f t="shared" si="15"/>
        <v>157</v>
      </c>
    </row>
    <row r="91" spans="1:41" ht="12" hidden="1" x14ac:dyDescent="0.25">
      <c r="A91" s="14">
        <v>540059</v>
      </c>
      <c r="B91" s="17" t="s">
        <v>377</v>
      </c>
      <c r="C91" s="17" t="s">
        <v>369</v>
      </c>
      <c r="D91" s="17" t="s">
        <v>2</v>
      </c>
      <c r="E91" s="14">
        <v>6</v>
      </c>
      <c r="F91" s="14" t="s">
        <v>376</v>
      </c>
      <c r="G91" s="14">
        <v>47</v>
      </c>
      <c r="H91" s="14">
        <v>3</v>
      </c>
      <c r="I91" s="14">
        <v>13</v>
      </c>
      <c r="J91" s="14">
        <v>0</v>
      </c>
      <c r="K91" s="14">
        <v>63</v>
      </c>
      <c r="L91" s="16">
        <v>0.746</v>
      </c>
      <c r="M91" s="16">
        <v>4.8000000000000001E-2</v>
      </c>
      <c r="N91" s="16">
        <v>0.20599999999999999</v>
      </c>
      <c r="O91" s="16">
        <v>0</v>
      </c>
      <c r="P91" s="16">
        <v>0</v>
      </c>
      <c r="Q91" s="16">
        <v>0</v>
      </c>
      <c r="R91" s="2"/>
      <c r="S91" s="14">
        <v>12</v>
      </c>
      <c r="T91" s="14">
        <v>4</v>
      </c>
      <c r="U91" s="14">
        <v>0</v>
      </c>
      <c r="V91" s="2"/>
      <c r="W91" s="14">
        <v>1951.7</v>
      </c>
      <c r="X91" s="14">
        <v>1948</v>
      </c>
      <c r="Y91" s="15">
        <v>67899</v>
      </c>
      <c r="Z91" s="15">
        <v>45000</v>
      </c>
      <c r="AA91" s="15">
        <v>44462.3</v>
      </c>
      <c r="AB91" s="15">
        <v>43200</v>
      </c>
      <c r="AC91" s="16">
        <v>0.152</v>
      </c>
      <c r="AD91" s="16">
        <v>0.13900000000000001</v>
      </c>
      <c r="AE91" s="15">
        <v>11289.1</v>
      </c>
      <c r="AF91" s="15">
        <v>5284.6</v>
      </c>
      <c r="AG91" s="2"/>
      <c r="AH91" s="14">
        <f t="shared" si="8"/>
        <v>60</v>
      </c>
      <c r="AI91" s="14">
        <f t="shared" si="9"/>
        <v>81</v>
      </c>
      <c r="AJ91" s="14">
        <f t="shared" si="10"/>
        <v>37</v>
      </c>
      <c r="AK91" s="14">
        <f t="shared" si="11"/>
        <v>113</v>
      </c>
      <c r="AL91" s="14">
        <f t="shared" si="12"/>
        <v>90</v>
      </c>
      <c r="AM91" s="14">
        <f t="shared" si="13"/>
        <v>84</v>
      </c>
      <c r="AN91" s="14">
        <f t="shared" si="14"/>
        <v>84</v>
      </c>
      <c r="AO91" s="14">
        <f t="shared" si="15"/>
        <v>84</v>
      </c>
    </row>
    <row r="92" spans="1:41" ht="12" hidden="1" x14ac:dyDescent="0.25">
      <c r="A92" s="14">
        <v>540060</v>
      </c>
      <c r="B92" s="17" t="s">
        <v>375</v>
      </c>
      <c r="C92" s="17" t="s">
        <v>369</v>
      </c>
      <c r="D92" s="17" t="s">
        <v>2</v>
      </c>
      <c r="E92" s="14">
        <v>6</v>
      </c>
      <c r="F92" s="14" t="s">
        <v>293</v>
      </c>
      <c r="G92" s="14">
        <v>51</v>
      </c>
      <c r="H92" s="14">
        <v>1</v>
      </c>
      <c r="I92" s="14">
        <v>8</v>
      </c>
      <c r="J92" s="14">
        <v>32</v>
      </c>
      <c r="K92" s="14">
        <v>92</v>
      </c>
      <c r="L92" s="16">
        <v>0.55400000000000005</v>
      </c>
      <c r="M92" s="16">
        <v>1.0999999999999999E-2</v>
      </c>
      <c r="N92" s="16">
        <v>8.6999999999999994E-2</v>
      </c>
      <c r="O92" s="16">
        <v>0.34799999999999998</v>
      </c>
      <c r="P92" s="16">
        <v>0.33700000000000002</v>
      </c>
      <c r="Q92" s="16">
        <v>1.0999999999999999E-2</v>
      </c>
      <c r="R92" s="2"/>
      <c r="S92" s="14">
        <v>27</v>
      </c>
      <c r="T92" s="14">
        <v>7</v>
      </c>
      <c r="U92" s="14">
        <v>3</v>
      </c>
      <c r="V92" s="2"/>
      <c r="W92" s="14">
        <v>1939.7</v>
      </c>
      <c r="X92" s="14">
        <v>1922.5</v>
      </c>
      <c r="Y92" s="15">
        <v>64473</v>
      </c>
      <c r="Z92" s="15">
        <v>27950</v>
      </c>
      <c r="AA92" s="15">
        <v>32449.599999999999</v>
      </c>
      <c r="AB92" s="15">
        <v>24000</v>
      </c>
      <c r="AC92" s="16">
        <v>0.30299999999999999</v>
      </c>
      <c r="AD92" s="16">
        <v>0.251</v>
      </c>
      <c r="AE92" s="15">
        <v>11190.5</v>
      </c>
      <c r="AF92" s="15">
        <v>8864.5</v>
      </c>
      <c r="AG92" s="2"/>
      <c r="AH92" s="14">
        <f t="shared" si="8"/>
        <v>140</v>
      </c>
      <c r="AI92" s="14">
        <f t="shared" si="9"/>
        <v>54</v>
      </c>
      <c r="AJ92" s="14">
        <f t="shared" si="10"/>
        <v>25</v>
      </c>
      <c r="AK92" s="14">
        <f t="shared" si="11"/>
        <v>38</v>
      </c>
      <c r="AL92" s="14">
        <f t="shared" si="12"/>
        <v>165</v>
      </c>
      <c r="AM92" s="14">
        <f t="shared" si="13"/>
        <v>169</v>
      </c>
      <c r="AN92" s="14">
        <f t="shared" si="14"/>
        <v>34</v>
      </c>
      <c r="AO92" s="14">
        <f t="shared" si="15"/>
        <v>44</v>
      </c>
    </row>
    <row r="93" spans="1:41" ht="12" hidden="1" x14ac:dyDescent="0.25">
      <c r="A93" s="14">
        <v>540061</v>
      </c>
      <c r="B93" s="17" t="s">
        <v>374</v>
      </c>
      <c r="C93" s="17" t="s">
        <v>369</v>
      </c>
      <c r="D93" s="17" t="s">
        <v>2</v>
      </c>
      <c r="E93" s="14">
        <v>6</v>
      </c>
      <c r="F93" s="14" t="s">
        <v>373</v>
      </c>
      <c r="G93" s="14">
        <v>13</v>
      </c>
      <c r="H93" s="14">
        <v>0</v>
      </c>
      <c r="I93" s="14">
        <v>4</v>
      </c>
      <c r="J93" s="14">
        <v>0</v>
      </c>
      <c r="K93" s="14">
        <v>17</v>
      </c>
      <c r="L93" s="16">
        <v>0.76500000000000001</v>
      </c>
      <c r="M93" s="16">
        <v>0</v>
      </c>
      <c r="N93" s="16">
        <v>0.23499999999999999</v>
      </c>
      <c r="O93" s="16">
        <v>0</v>
      </c>
      <c r="P93" s="16">
        <v>0</v>
      </c>
      <c r="Q93" s="16">
        <v>0</v>
      </c>
      <c r="R93" s="2"/>
      <c r="S93" s="14">
        <v>2</v>
      </c>
      <c r="T93" s="14">
        <v>0</v>
      </c>
      <c r="U93" s="14">
        <v>0</v>
      </c>
      <c r="V93" s="2"/>
      <c r="W93" s="14">
        <v>1944.3</v>
      </c>
      <c r="X93" s="14">
        <v>1930</v>
      </c>
      <c r="Y93" s="15">
        <v>111831.4</v>
      </c>
      <c r="Z93" s="15">
        <v>78000</v>
      </c>
      <c r="AA93" s="15">
        <v>60247.6</v>
      </c>
      <c r="AB93" s="15">
        <v>56800</v>
      </c>
      <c r="AC93" s="16">
        <v>0.115</v>
      </c>
      <c r="AD93" s="16">
        <v>7.4999999999999997E-2</v>
      </c>
      <c r="AE93" s="15">
        <v>8884.2000000000007</v>
      </c>
      <c r="AF93" s="15">
        <v>8772.7999999999993</v>
      </c>
      <c r="AG93" s="2"/>
      <c r="AH93" s="14">
        <f t="shared" si="8"/>
        <v>50</v>
      </c>
      <c r="AI93" s="14">
        <f t="shared" si="9"/>
        <v>134</v>
      </c>
      <c r="AJ93" s="14">
        <f t="shared" si="10"/>
        <v>108</v>
      </c>
      <c r="AK93" s="14">
        <f t="shared" si="11"/>
        <v>48</v>
      </c>
      <c r="AL93" s="14">
        <f t="shared" si="12"/>
        <v>24</v>
      </c>
      <c r="AM93" s="14">
        <f t="shared" si="13"/>
        <v>43</v>
      </c>
      <c r="AN93" s="14">
        <f t="shared" si="14"/>
        <v>139</v>
      </c>
      <c r="AO93" s="14">
        <f t="shared" si="15"/>
        <v>45</v>
      </c>
    </row>
    <row r="94" spans="1:41" ht="12" hidden="1" x14ac:dyDescent="0.25">
      <c r="A94" s="14">
        <v>540062</v>
      </c>
      <c r="B94" s="17" t="s">
        <v>372</v>
      </c>
      <c r="C94" s="17" t="s">
        <v>369</v>
      </c>
      <c r="D94" s="17" t="s">
        <v>2</v>
      </c>
      <c r="E94" s="14">
        <v>6</v>
      </c>
      <c r="F94" s="14" t="s">
        <v>49</v>
      </c>
      <c r="G94" s="14">
        <v>1</v>
      </c>
      <c r="H94" s="14">
        <v>0</v>
      </c>
      <c r="I94" s="14">
        <v>0</v>
      </c>
      <c r="J94" s="14">
        <v>0</v>
      </c>
      <c r="K94" s="14">
        <v>1</v>
      </c>
      <c r="L94" s="16">
        <v>1</v>
      </c>
      <c r="M94" s="16">
        <v>0</v>
      </c>
      <c r="N94" s="16">
        <v>0</v>
      </c>
      <c r="O94" s="16">
        <v>0</v>
      </c>
      <c r="P94" s="16">
        <v>0</v>
      </c>
      <c r="Q94" s="16">
        <v>0</v>
      </c>
      <c r="R94" s="2"/>
      <c r="S94" s="14">
        <v>0</v>
      </c>
      <c r="T94" s="14">
        <v>0</v>
      </c>
      <c r="U94" s="14">
        <v>0</v>
      </c>
      <c r="V94" s="2"/>
      <c r="W94" s="14">
        <v>1975</v>
      </c>
      <c r="X94" s="14">
        <v>1975</v>
      </c>
      <c r="Y94" s="15">
        <v>64000</v>
      </c>
      <c r="Z94" s="15">
        <v>64000</v>
      </c>
      <c r="AA94" s="15">
        <v>64000</v>
      </c>
      <c r="AB94" s="15">
        <v>64000</v>
      </c>
      <c r="AC94" s="16">
        <v>0</v>
      </c>
      <c r="AD94" s="16">
        <v>0</v>
      </c>
      <c r="AE94" s="15">
        <v>0</v>
      </c>
      <c r="AF94" s="15">
        <v>0</v>
      </c>
      <c r="AG94" s="2"/>
      <c r="AH94" s="14">
        <f t="shared" si="8"/>
        <v>192</v>
      </c>
      <c r="AI94" s="14">
        <f t="shared" si="9"/>
        <v>172</v>
      </c>
      <c r="AJ94" s="14">
        <f t="shared" si="10"/>
        <v>108</v>
      </c>
      <c r="AK94" s="14">
        <f t="shared" si="11"/>
        <v>175</v>
      </c>
      <c r="AL94" s="14">
        <f t="shared" si="12"/>
        <v>44</v>
      </c>
      <c r="AM94" s="14">
        <f t="shared" si="13"/>
        <v>31</v>
      </c>
      <c r="AN94" s="14">
        <f t="shared" si="14"/>
        <v>198</v>
      </c>
      <c r="AO94" s="14">
        <f t="shared" si="15"/>
        <v>198</v>
      </c>
    </row>
    <row r="95" spans="1:41" ht="12" hidden="1" x14ac:dyDescent="0.25">
      <c r="A95" s="14">
        <v>540242</v>
      </c>
      <c r="B95" s="17" t="s">
        <v>371</v>
      </c>
      <c r="C95" s="17" t="s">
        <v>369</v>
      </c>
      <c r="D95" s="17" t="s">
        <v>2</v>
      </c>
      <c r="E95" s="14">
        <v>6</v>
      </c>
      <c r="F95" s="14" t="s">
        <v>370</v>
      </c>
      <c r="G95" s="14">
        <v>128</v>
      </c>
      <c r="H95" s="14">
        <v>9</v>
      </c>
      <c r="I95" s="14">
        <v>11</v>
      </c>
      <c r="J95" s="14">
        <v>3</v>
      </c>
      <c r="K95" s="14">
        <v>151</v>
      </c>
      <c r="L95" s="16">
        <v>0.84799999999999998</v>
      </c>
      <c r="M95" s="16">
        <v>0.06</v>
      </c>
      <c r="N95" s="16">
        <v>7.2999999999999995E-2</v>
      </c>
      <c r="O95" s="16">
        <v>0.02</v>
      </c>
      <c r="P95" s="16">
        <v>0</v>
      </c>
      <c r="Q95" s="16">
        <v>1.2999999999999999E-2</v>
      </c>
      <c r="R95" s="2"/>
      <c r="S95" s="14">
        <v>17</v>
      </c>
      <c r="T95" s="14">
        <v>0</v>
      </c>
      <c r="U95" s="14">
        <v>0</v>
      </c>
      <c r="V95" s="2"/>
      <c r="W95" s="14">
        <v>1937.5</v>
      </c>
      <c r="X95" s="14">
        <v>1920</v>
      </c>
      <c r="Y95" s="15">
        <v>53736.3</v>
      </c>
      <c r="Z95" s="15">
        <v>39000</v>
      </c>
      <c r="AA95" s="15">
        <v>39726.400000000001</v>
      </c>
      <c r="AB95" s="15">
        <v>37950</v>
      </c>
      <c r="AC95" s="16">
        <v>0.161</v>
      </c>
      <c r="AD95" s="16">
        <v>0.11</v>
      </c>
      <c r="AE95" s="15">
        <v>4992.8999999999996</v>
      </c>
      <c r="AF95" s="15">
        <v>3414</v>
      </c>
      <c r="AG95" s="2"/>
      <c r="AH95" s="14">
        <f t="shared" si="8"/>
        <v>147</v>
      </c>
      <c r="AI95" s="14">
        <f t="shared" si="9"/>
        <v>68</v>
      </c>
      <c r="AJ95" s="14">
        <f t="shared" si="10"/>
        <v>108</v>
      </c>
      <c r="AK95" s="14">
        <f t="shared" si="11"/>
        <v>21</v>
      </c>
      <c r="AL95" s="14">
        <f t="shared" si="12"/>
        <v>118</v>
      </c>
      <c r="AM95" s="14">
        <f t="shared" si="13"/>
        <v>105</v>
      </c>
      <c r="AN95" s="14">
        <f t="shared" si="14"/>
        <v>106</v>
      </c>
      <c r="AO95" s="14">
        <f t="shared" si="15"/>
        <v>126</v>
      </c>
    </row>
    <row r="96" spans="1:41" hidden="1" x14ac:dyDescent="0.3">
      <c r="A96" s="129"/>
      <c r="B96" s="130"/>
      <c r="C96" s="130" t="s">
        <v>369</v>
      </c>
      <c r="D96" s="130" t="s">
        <v>26</v>
      </c>
      <c r="E96" s="129">
        <v>6</v>
      </c>
      <c r="F96" s="129"/>
      <c r="G96" s="129">
        <v>1564</v>
      </c>
      <c r="H96" s="129">
        <v>85</v>
      </c>
      <c r="I96" s="129">
        <v>280</v>
      </c>
      <c r="J96" s="129">
        <v>151</v>
      </c>
      <c r="K96" s="129">
        <v>2080</v>
      </c>
      <c r="L96" s="131">
        <v>0.752</v>
      </c>
      <c r="M96" s="131">
        <v>4.1000000000000002E-2</v>
      </c>
      <c r="N96" s="131">
        <v>0.13500000000000001</v>
      </c>
      <c r="O96" s="131">
        <v>7.2999999999999995E-2</v>
      </c>
      <c r="P96" s="131">
        <v>5.3999999999999999E-2</v>
      </c>
      <c r="Q96" s="131">
        <v>0.01</v>
      </c>
      <c r="S96" s="129">
        <v>291</v>
      </c>
      <c r="T96" s="129">
        <v>47</v>
      </c>
      <c r="U96" s="129">
        <v>16</v>
      </c>
      <c r="W96" s="129">
        <v>1943.3</v>
      </c>
      <c r="X96" s="129">
        <v>1940</v>
      </c>
      <c r="Y96" s="132">
        <v>95493.7</v>
      </c>
      <c r="Z96" s="132">
        <v>39050</v>
      </c>
      <c r="AA96" s="132">
        <v>50443.3</v>
      </c>
      <c r="AB96" s="132">
        <v>39300</v>
      </c>
      <c r="AC96" s="131">
        <v>0.19</v>
      </c>
      <c r="AD96" s="131">
        <v>0.13</v>
      </c>
      <c r="AE96" s="132">
        <v>11282.3</v>
      </c>
      <c r="AF96" s="132">
        <v>4656.8999999999996</v>
      </c>
      <c r="AH96" s="129">
        <f t="shared" si="8"/>
        <v>46</v>
      </c>
      <c r="AI96" s="129">
        <f t="shared" si="9"/>
        <v>21</v>
      </c>
      <c r="AJ96" s="129">
        <f t="shared" si="10"/>
        <v>21</v>
      </c>
      <c r="AK96" s="129">
        <f t="shared" si="11"/>
        <v>4</v>
      </c>
      <c r="AL96" s="129">
        <f t="shared" si="12"/>
        <v>31</v>
      </c>
      <c r="AM96" s="129">
        <f t="shared" si="13"/>
        <v>38</v>
      </c>
      <c r="AN96" s="129">
        <f t="shared" si="14"/>
        <v>39</v>
      </c>
      <c r="AO96" s="129">
        <f t="shared" si="15"/>
        <v>39</v>
      </c>
    </row>
    <row r="97" spans="1:41" ht="12" hidden="1" x14ac:dyDescent="0.25">
      <c r="A97" s="19">
        <v>540063</v>
      </c>
      <c r="B97" s="22" t="s">
        <v>368</v>
      </c>
      <c r="C97" s="22" t="s">
        <v>363</v>
      </c>
      <c r="D97" s="22" t="s">
        <v>29</v>
      </c>
      <c r="E97" s="19">
        <v>5</v>
      </c>
      <c r="F97" s="19" t="s">
        <v>367</v>
      </c>
      <c r="G97" s="19">
        <v>515</v>
      </c>
      <c r="H97" s="19">
        <v>18</v>
      </c>
      <c r="I97" s="19">
        <v>244</v>
      </c>
      <c r="J97" s="19">
        <v>158</v>
      </c>
      <c r="K97" s="19">
        <v>935</v>
      </c>
      <c r="L97" s="21">
        <v>0.55100000000000005</v>
      </c>
      <c r="M97" s="21">
        <v>1.9E-2</v>
      </c>
      <c r="N97" s="21">
        <v>0.26100000000000001</v>
      </c>
      <c r="O97" s="21">
        <v>0.16900000000000001</v>
      </c>
      <c r="P97" s="21">
        <v>0.154</v>
      </c>
      <c r="Q97" s="21">
        <v>1E-3</v>
      </c>
      <c r="R97" s="2"/>
      <c r="S97" s="19">
        <v>202</v>
      </c>
      <c r="T97" s="19">
        <v>50</v>
      </c>
      <c r="U97" s="19">
        <v>36</v>
      </c>
      <c r="V97" s="2"/>
      <c r="W97" s="19">
        <v>1969.8</v>
      </c>
      <c r="X97" s="19">
        <v>1977</v>
      </c>
      <c r="Y97" s="20">
        <v>74489.399999999994</v>
      </c>
      <c r="Z97" s="20">
        <v>45440</v>
      </c>
      <c r="AA97" s="20">
        <v>57243.8</v>
      </c>
      <c r="AB97" s="20">
        <v>43300</v>
      </c>
      <c r="AC97" s="21">
        <v>0.377</v>
      </c>
      <c r="AD97" s="21">
        <v>0.28999999999999998</v>
      </c>
      <c r="AE97" s="20">
        <v>26201.599999999999</v>
      </c>
      <c r="AF97" s="20">
        <v>16677.8</v>
      </c>
      <c r="AG97" s="2"/>
      <c r="AH97" s="19">
        <f t="shared" si="8"/>
        <v>23</v>
      </c>
      <c r="AI97" s="19">
        <f t="shared" si="9"/>
        <v>17</v>
      </c>
      <c r="AJ97" s="19">
        <f t="shared" si="10"/>
        <v>12</v>
      </c>
      <c r="AK97" s="19">
        <f t="shared" si="11"/>
        <v>41</v>
      </c>
      <c r="AL97" s="19">
        <f t="shared" si="12"/>
        <v>19</v>
      </c>
      <c r="AM97" s="19">
        <f t="shared" si="13"/>
        <v>17</v>
      </c>
      <c r="AN97" s="19">
        <f t="shared" si="14"/>
        <v>12</v>
      </c>
      <c r="AO97" s="19">
        <f t="shared" si="15"/>
        <v>2</v>
      </c>
    </row>
    <row r="98" spans="1:41" ht="12" hidden="1" x14ac:dyDescent="0.25">
      <c r="A98" s="14">
        <v>540064</v>
      </c>
      <c r="B98" s="17" t="s">
        <v>366</v>
      </c>
      <c r="C98" s="17" t="s">
        <v>363</v>
      </c>
      <c r="D98" s="17" t="s">
        <v>2</v>
      </c>
      <c r="E98" s="14">
        <v>5</v>
      </c>
      <c r="F98" s="14" t="s">
        <v>365</v>
      </c>
      <c r="G98" s="14">
        <v>6</v>
      </c>
      <c r="H98" s="14">
        <v>2</v>
      </c>
      <c r="I98" s="14">
        <v>2</v>
      </c>
      <c r="J98" s="14">
        <v>12</v>
      </c>
      <c r="K98" s="14">
        <v>22</v>
      </c>
      <c r="L98" s="16">
        <v>0.27300000000000002</v>
      </c>
      <c r="M98" s="16">
        <v>9.0999999999999998E-2</v>
      </c>
      <c r="N98" s="16">
        <v>9.0999999999999998E-2</v>
      </c>
      <c r="O98" s="16">
        <v>0.54500000000000004</v>
      </c>
      <c r="P98" s="16">
        <v>0.54500000000000004</v>
      </c>
      <c r="Q98" s="16">
        <v>0</v>
      </c>
      <c r="R98" s="2"/>
      <c r="S98" s="14">
        <v>5</v>
      </c>
      <c r="T98" s="14">
        <v>1</v>
      </c>
      <c r="U98" s="14">
        <v>2</v>
      </c>
      <c r="V98" s="2"/>
      <c r="W98" s="14">
        <v>1976.9</v>
      </c>
      <c r="X98" s="14">
        <v>1975.5</v>
      </c>
      <c r="Y98" s="15">
        <v>134270.9</v>
      </c>
      <c r="Z98" s="15">
        <v>29000</v>
      </c>
      <c r="AA98" s="15">
        <v>108550</v>
      </c>
      <c r="AB98" s="15">
        <v>29000</v>
      </c>
      <c r="AC98" s="16">
        <v>0.35</v>
      </c>
      <c r="AD98" s="16">
        <v>0.27500000000000002</v>
      </c>
      <c r="AE98" s="15">
        <v>23751.1</v>
      </c>
      <c r="AF98" s="15">
        <v>15515</v>
      </c>
      <c r="AG98" s="2"/>
      <c r="AH98" s="14">
        <f t="shared" si="8"/>
        <v>134</v>
      </c>
      <c r="AI98" s="14">
        <f t="shared" si="9"/>
        <v>110</v>
      </c>
      <c r="AJ98" s="14">
        <f t="shared" si="10"/>
        <v>80</v>
      </c>
      <c r="AK98" s="14">
        <f t="shared" si="11"/>
        <v>179</v>
      </c>
      <c r="AL98" s="14">
        <f t="shared" si="12"/>
        <v>158</v>
      </c>
      <c r="AM98" s="14">
        <f t="shared" si="13"/>
        <v>142</v>
      </c>
      <c r="AN98" s="14">
        <f t="shared" si="14"/>
        <v>25</v>
      </c>
      <c r="AO98" s="14">
        <f t="shared" si="15"/>
        <v>15</v>
      </c>
    </row>
    <row r="99" spans="1:41" ht="12" hidden="1" x14ac:dyDescent="0.25">
      <c r="A99" s="14">
        <v>540241</v>
      </c>
      <c r="B99" s="17" t="s">
        <v>364</v>
      </c>
      <c r="C99" s="17" t="s">
        <v>363</v>
      </c>
      <c r="D99" s="17" t="s">
        <v>2</v>
      </c>
      <c r="E99" s="14">
        <v>5</v>
      </c>
      <c r="F99" s="14" t="s">
        <v>121</v>
      </c>
      <c r="G99" s="14">
        <v>27</v>
      </c>
      <c r="H99" s="14">
        <v>0</v>
      </c>
      <c r="I99" s="14">
        <v>28</v>
      </c>
      <c r="J99" s="14">
        <v>95</v>
      </c>
      <c r="K99" s="14">
        <v>150</v>
      </c>
      <c r="L99" s="16">
        <v>0.18</v>
      </c>
      <c r="M99" s="16">
        <v>0</v>
      </c>
      <c r="N99" s="16">
        <v>0.187</v>
      </c>
      <c r="O99" s="16">
        <v>0.63300000000000001</v>
      </c>
      <c r="P99" s="16">
        <v>0.627</v>
      </c>
      <c r="Q99" s="16">
        <v>0</v>
      </c>
      <c r="R99" s="2"/>
      <c r="S99" s="14">
        <v>78</v>
      </c>
      <c r="T99" s="14">
        <v>3</v>
      </c>
      <c r="U99" s="14">
        <v>40</v>
      </c>
      <c r="V99" s="2"/>
      <c r="W99" s="14">
        <v>1974.2</v>
      </c>
      <c r="X99" s="14">
        <v>1991</v>
      </c>
      <c r="Y99" s="15">
        <v>70113.5</v>
      </c>
      <c r="Z99" s="15">
        <v>29000</v>
      </c>
      <c r="AA99" s="15">
        <v>69265.600000000006</v>
      </c>
      <c r="AB99" s="15">
        <v>29000</v>
      </c>
      <c r="AC99" s="16">
        <v>0.42399999999999999</v>
      </c>
      <c r="AD99" s="16">
        <v>0.45200000000000001</v>
      </c>
      <c r="AE99" s="15">
        <v>16421.599999999999</v>
      </c>
      <c r="AF99" s="15">
        <v>16269.5</v>
      </c>
      <c r="AG99" s="2"/>
      <c r="AH99" s="14">
        <f t="shared" si="8"/>
        <v>67</v>
      </c>
      <c r="AI99" s="14">
        <f t="shared" si="9"/>
        <v>20</v>
      </c>
      <c r="AJ99" s="14">
        <f t="shared" si="10"/>
        <v>42</v>
      </c>
      <c r="AK99" s="14">
        <f t="shared" si="11"/>
        <v>207</v>
      </c>
      <c r="AL99" s="14">
        <f t="shared" si="12"/>
        <v>158</v>
      </c>
      <c r="AM99" s="14">
        <f t="shared" si="13"/>
        <v>142</v>
      </c>
      <c r="AN99" s="14">
        <f t="shared" si="14"/>
        <v>8</v>
      </c>
      <c r="AO99" s="14">
        <f t="shared" si="15"/>
        <v>13</v>
      </c>
    </row>
    <row r="100" spans="1:41" hidden="1" x14ac:dyDescent="0.3">
      <c r="A100" s="129"/>
      <c r="B100" s="130"/>
      <c r="C100" s="130" t="s">
        <v>363</v>
      </c>
      <c r="D100" s="130" t="s">
        <v>26</v>
      </c>
      <c r="E100" s="129">
        <v>5</v>
      </c>
      <c r="F100" s="129"/>
      <c r="G100" s="129">
        <v>548</v>
      </c>
      <c r="H100" s="129">
        <v>20</v>
      </c>
      <c r="I100" s="129">
        <v>274</v>
      </c>
      <c r="J100" s="129">
        <v>265</v>
      </c>
      <c r="K100" s="129">
        <v>1107</v>
      </c>
      <c r="L100" s="131">
        <v>0.495</v>
      </c>
      <c r="M100" s="131">
        <v>1.7999999999999999E-2</v>
      </c>
      <c r="N100" s="131">
        <v>0.248</v>
      </c>
      <c r="O100" s="131">
        <v>0.23899999999999999</v>
      </c>
      <c r="P100" s="131">
        <v>0.22600000000000001</v>
      </c>
      <c r="Q100" s="131">
        <v>1E-3</v>
      </c>
      <c r="S100" s="129">
        <v>285</v>
      </c>
      <c r="T100" s="129">
        <v>54</v>
      </c>
      <c r="U100" s="129">
        <v>78</v>
      </c>
      <c r="W100" s="129">
        <v>1970.2</v>
      </c>
      <c r="X100" s="129">
        <v>1977</v>
      </c>
      <c r="Y100" s="132">
        <v>75084.600000000006</v>
      </c>
      <c r="Z100" s="132">
        <v>42100</v>
      </c>
      <c r="AA100" s="132">
        <v>78412.399999999994</v>
      </c>
      <c r="AB100" s="132">
        <v>62150</v>
      </c>
      <c r="AC100" s="131">
        <v>0.38900000000000001</v>
      </c>
      <c r="AD100" s="131">
        <v>0.32200000000000001</v>
      </c>
      <c r="AE100" s="132">
        <v>23486.799999999999</v>
      </c>
      <c r="AF100" s="132">
        <v>16530</v>
      </c>
      <c r="AH100" s="129">
        <f t="shared" si="8"/>
        <v>18</v>
      </c>
      <c r="AI100" s="129">
        <f t="shared" si="9"/>
        <v>22</v>
      </c>
      <c r="AJ100" s="129">
        <f t="shared" si="10"/>
        <v>16</v>
      </c>
      <c r="AK100" s="129">
        <f t="shared" si="11"/>
        <v>48</v>
      </c>
      <c r="AL100" s="129">
        <f t="shared" si="12"/>
        <v>25</v>
      </c>
      <c r="AM100" s="129">
        <f t="shared" si="13"/>
        <v>9</v>
      </c>
      <c r="AN100" s="129">
        <f t="shared" si="14"/>
        <v>4</v>
      </c>
      <c r="AO100" s="129">
        <f t="shared" si="15"/>
        <v>2</v>
      </c>
    </row>
    <row r="101" spans="1:41" ht="12" hidden="1" x14ac:dyDescent="0.25">
      <c r="A101" s="19">
        <v>540065</v>
      </c>
      <c r="B101" s="22" t="s">
        <v>362</v>
      </c>
      <c r="C101" s="22" t="s">
        <v>351</v>
      </c>
      <c r="D101" s="22" t="s">
        <v>29</v>
      </c>
      <c r="E101" s="19">
        <v>9</v>
      </c>
      <c r="F101" s="19" t="s">
        <v>361</v>
      </c>
      <c r="G101" s="19">
        <v>308</v>
      </c>
      <c r="H101" s="19">
        <v>16</v>
      </c>
      <c r="I101" s="19">
        <v>175</v>
      </c>
      <c r="J101" s="19">
        <v>27</v>
      </c>
      <c r="K101" s="19">
        <v>526</v>
      </c>
      <c r="L101" s="21">
        <v>0.58599999999999997</v>
      </c>
      <c r="M101" s="21">
        <v>0.03</v>
      </c>
      <c r="N101" s="21">
        <v>0.33300000000000002</v>
      </c>
      <c r="O101" s="21">
        <v>5.0999999999999997E-2</v>
      </c>
      <c r="P101" s="21">
        <v>4.9000000000000002E-2</v>
      </c>
      <c r="Q101" s="21">
        <v>0</v>
      </c>
      <c r="R101" s="2"/>
      <c r="S101" s="19">
        <v>183</v>
      </c>
      <c r="T101" s="19">
        <v>33</v>
      </c>
      <c r="U101" s="19">
        <v>5</v>
      </c>
      <c r="V101" s="2"/>
      <c r="W101" s="19">
        <v>1958.3</v>
      </c>
      <c r="X101" s="19">
        <v>1973</v>
      </c>
      <c r="Y101" s="20">
        <v>133574.29999999999</v>
      </c>
      <c r="Z101" s="20">
        <v>93150</v>
      </c>
      <c r="AA101" s="20">
        <v>118855.3</v>
      </c>
      <c r="AB101" s="20">
        <v>93800</v>
      </c>
      <c r="AC101" s="21">
        <v>0.42</v>
      </c>
      <c r="AD101" s="21">
        <v>0.39100000000000001</v>
      </c>
      <c r="AE101" s="20">
        <v>27238.1</v>
      </c>
      <c r="AF101" s="20">
        <v>20881.2</v>
      </c>
      <c r="AG101" s="2"/>
      <c r="AH101" s="19">
        <f t="shared" si="8"/>
        <v>10</v>
      </c>
      <c r="AI101" s="19">
        <f t="shared" si="9"/>
        <v>22</v>
      </c>
      <c r="AJ101" s="19">
        <f t="shared" si="10"/>
        <v>20</v>
      </c>
      <c r="AK101" s="19">
        <f t="shared" si="11"/>
        <v>29</v>
      </c>
      <c r="AL101" s="19">
        <f t="shared" si="12"/>
        <v>1</v>
      </c>
      <c r="AM101" s="19">
        <f t="shared" si="13"/>
        <v>1</v>
      </c>
      <c r="AN101" s="19">
        <f t="shared" si="14"/>
        <v>7</v>
      </c>
      <c r="AO101" s="19">
        <f t="shared" si="15"/>
        <v>1</v>
      </c>
    </row>
    <row r="102" spans="1:41" ht="12" hidden="1" x14ac:dyDescent="0.25">
      <c r="A102" s="14">
        <v>540030</v>
      </c>
      <c r="B102" s="17" t="s">
        <v>360</v>
      </c>
      <c r="C102" s="17" t="s">
        <v>351</v>
      </c>
      <c r="D102" s="17" t="s">
        <v>2</v>
      </c>
      <c r="E102" s="14">
        <v>9</v>
      </c>
      <c r="F102" s="14" t="s">
        <v>359</v>
      </c>
      <c r="G102" s="14">
        <v>3</v>
      </c>
      <c r="H102" s="14">
        <v>0</v>
      </c>
      <c r="I102" s="14">
        <v>0</v>
      </c>
      <c r="J102" s="14">
        <v>0</v>
      </c>
      <c r="K102" s="14">
        <v>3</v>
      </c>
      <c r="L102" s="16">
        <v>1</v>
      </c>
      <c r="M102" s="16">
        <v>0</v>
      </c>
      <c r="N102" s="16">
        <v>0</v>
      </c>
      <c r="O102" s="16">
        <v>0</v>
      </c>
      <c r="P102" s="16">
        <v>0</v>
      </c>
      <c r="Q102" s="16">
        <v>0</v>
      </c>
      <c r="R102" s="2"/>
      <c r="S102" s="14">
        <v>3</v>
      </c>
      <c r="T102" s="14">
        <v>0</v>
      </c>
      <c r="U102" s="14">
        <v>0</v>
      </c>
      <c r="V102" s="2"/>
      <c r="W102" s="14">
        <v>1878</v>
      </c>
      <c r="X102" s="14">
        <v>1870</v>
      </c>
      <c r="Y102" s="15">
        <v>83733.3</v>
      </c>
      <c r="Z102" s="15">
        <v>86300</v>
      </c>
      <c r="AA102" s="15">
        <v>83733.3</v>
      </c>
      <c r="AB102" s="15">
        <v>86300</v>
      </c>
      <c r="AC102" s="16">
        <v>0.47599999999999998</v>
      </c>
      <c r="AD102" s="16">
        <v>0.47899999999999998</v>
      </c>
      <c r="AE102" s="15">
        <v>39436.9</v>
      </c>
      <c r="AF102" s="15">
        <v>36502.9</v>
      </c>
      <c r="AG102" s="2"/>
      <c r="AH102" s="14">
        <f t="shared" si="8"/>
        <v>192</v>
      </c>
      <c r="AI102" s="14">
        <f t="shared" si="9"/>
        <v>125</v>
      </c>
      <c r="AJ102" s="14">
        <f t="shared" si="10"/>
        <v>108</v>
      </c>
      <c r="AK102" s="14">
        <f t="shared" si="11"/>
        <v>8</v>
      </c>
      <c r="AL102" s="14">
        <f t="shared" si="12"/>
        <v>22</v>
      </c>
      <c r="AM102" s="14">
        <f t="shared" si="13"/>
        <v>12</v>
      </c>
      <c r="AN102" s="14">
        <f t="shared" si="14"/>
        <v>7</v>
      </c>
      <c r="AO102" s="14">
        <f t="shared" si="15"/>
        <v>3</v>
      </c>
    </row>
    <row r="103" spans="1:41" ht="12" hidden="1" x14ac:dyDescent="0.25">
      <c r="A103" s="14">
        <v>540066</v>
      </c>
      <c r="B103" s="17" t="s">
        <v>358</v>
      </c>
      <c r="C103" s="17" t="s">
        <v>351</v>
      </c>
      <c r="D103" s="17" t="s">
        <v>2</v>
      </c>
      <c r="E103" s="14">
        <v>9</v>
      </c>
      <c r="F103" s="14" t="s">
        <v>357</v>
      </c>
      <c r="G103" s="14">
        <v>20</v>
      </c>
      <c r="H103" s="14">
        <v>0</v>
      </c>
      <c r="I103" s="14">
        <v>6</v>
      </c>
      <c r="J103" s="14">
        <v>1</v>
      </c>
      <c r="K103" s="14">
        <v>27</v>
      </c>
      <c r="L103" s="16">
        <v>0.74099999999999999</v>
      </c>
      <c r="M103" s="16">
        <v>0</v>
      </c>
      <c r="N103" s="16">
        <v>0.222</v>
      </c>
      <c r="O103" s="16">
        <v>3.6999999999999998E-2</v>
      </c>
      <c r="P103" s="16">
        <v>0</v>
      </c>
      <c r="Q103" s="16">
        <v>0</v>
      </c>
      <c r="R103" s="2"/>
      <c r="S103" s="14">
        <v>0</v>
      </c>
      <c r="T103" s="14">
        <v>0</v>
      </c>
      <c r="U103" s="14">
        <v>0</v>
      </c>
      <c r="V103" s="2"/>
      <c r="W103" s="14">
        <v>1938.2</v>
      </c>
      <c r="X103" s="14">
        <v>1920</v>
      </c>
      <c r="Y103" s="15">
        <v>117781.5</v>
      </c>
      <c r="Z103" s="15">
        <v>60300</v>
      </c>
      <c r="AA103" s="15">
        <v>90139.1</v>
      </c>
      <c r="AB103" s="15">
        <v>55000</v>
      </c>
      <c r="AC103" s="16">
        <v>0.05</v>
      </c>
      <c r="AD103" s="16">
        <v>0.04</v>
      </c>
      <c r="AE103" s="15">
        <v>2746.5</v>
      </c>
      <c r="AF103" s="15">
        <v>2670.3</v>
      </c>
      <c r="AG103" s="2"/>
      <c r="AH103" s="14">
        <f t="shared" si="8"/>
        <v>54</v>
      </c>
      <c r="AI103" s="14">
        <f t="shared" si="9"/>
        <v>172</v>
      </c>
      <c r="AJ103" s="14">
        <f t="shared" si="10"/>
        <v>108</v>
      </c>
      <c r="AK103" s="14">
        <f t="shared" si="11"/>
        <v>21</v>
      </c>
      <c r="AL103" s="14">
        <f t="shared" si="12"/>
        <v>48</v>
      </c>
      <c r="AM103" s="14">
        <f t="shared" si="13"/>
        <v>49</v>
      </c>
      <c r="AN103" s="14">
        <f t="shared" si="14"/>
        <v>175</v>
      </c>
      <c r="AO103" s="14">
        <f t="shared" si="15"/>
        <v>149</v>
      </c>
    </row>
    <row r="104" spans="1:41" ht="12" hidden="1" x14ac:dyDescent="0.25">
      <c r="A104" s="14">
        <v>540067</v>
      </c>
      <c r="B104" s="17" t="s">
        <v>356</v>
      </c>
      <c r="C104" s="17" t="s">
        <v>351</v>
      </c>
      <c r="D104" s="17" t="s">
        <v>2</v>
      </c>
      <c r="E104" s="14">
        <v>9</v>
      </c>
      <c r="F104" s="14" t="s">
        <v>62</v>
      </c>
      <c r="G104" s="14">
        <v>31</v>
      </c>
      <c r="H104" s="14">
        <v>0</v>
      </c>
      <c r="I104" s="14">
        <v>0</v>
      </c>
      <c r="J104" s="14">
        <v>0</v>
      </c>
      <c r="K104" s="14">
        <v>31</v>
      </c>
      <c r="L104" s="16">
        <v>1</v>
      </c>
      <c r="M104" s="16">
        <v>0</v>
      </c>
      <c r="N104" s="16">
        <v>0</v>
      </c>
      <c r="O104" s="16">
        <v>0</v>
      </c>
      <c r="P104" s="16">
        <v>0</v>
      </c>
      <c r="Q104" s="16">
        <v>0</v>
      </c>
      <c r="R104" s="2"/>
      <c r="S104" s="14">
        <v>30</v>
      </c>
      <c r="T104" s="14">
        <v>0</v>
      </c>
      <c r="U104" s="14">
        <v>0</v>
      </c>
      <c r="V104" s="2"/>
      <c r="W104" s="14">
        <v>1848.5</v>
      </c>
      <c r="X104" s="14">
        <v>1830</v>
      </c>
      <c r="Y104" s="15">
        <v>224664.5</v>
      </c>
      <c r="Z104" s="15">
        <v>188000</v>
      </c>
      <c r="AA104" s="15">
        <v>120316.7</v>
      </c>
      <c r="AB104" s="15">
        <v>109600</v>
      </c>
      <c r="AC104" s="16">
        <v>0.65900000000000003</v>
      </c>
      <c r="AD104" s="16">
        <v>0.74099999999999999</v>
      </c>
      <c r="AE104" s="15">
        <v>159507.20000000001</v>
      </c>
      <c r="AF104" s="15">
        <v>131145.29999999999</v>
      </c>
      <c r="AG104" s="2"/>
      <c r="AH104" s="14">
        <f t="shared" si="8"/>
        <v>192</v>
      </c>
      <c r="AI104" s="14">
        <f t="shared" si="9"/>
        <v>46</v>
      </c>
      <c r="AJ104" s="14">
        <f t="shared" si="10"/>
        <v>108</v>
      </c>
      <c r="AK104" s="14">
        <f t="shared" si="11"/>
        <v>7</v>
      </c>
      <c r="AL104" s="14">
        <f t="shared" si="12"/>
        <v>5</v>
      </c>
      <c r="AM104" s="14">
        <f t="shared" si="13"/>
        <v>7</v>
      </c>
      <c r="AN104" s="14">
        <f t="shared" si="14"/>
        <v>1</v>
      </c>
      <c r="AO104" s="14">
        <f t="shared" si="15"/>
        <v>2</v>
      </c>
    </row>
    <row r="105" spans="1:41" ht="12" hidden="1" x14ac:dyDescent="0.25">
      <c r="A105" s="14">
        <v>540068</v>
      </c>
      <c r="B105" s="17" t="s">
        <v>355</v>
      </c>
      <c r="C105" s="17" t="s">
        <v>351</v>
      </c>
      <c r="D105" s="17" t="s">
        <v>2</v>
      </c>
      <c r="E105" s="14">
        <v>9</v>
      </c>
      <c r="F105" s="14" t="s">
        <v>354</v>
      </c>
      <c r="G105" s="14">
        <v>53</v>
      </c>
      <c r="H105" s="14">
        <v>0</v>
      </c>
      <c r="I105" s="14">
        <v>26</v>
      </c>
      <c r="J105" s="14">
        <v>1</v>
      </c>
      <c r="K105" s="14">
        <v>80</v>
      </c>
      <c r="L105" s="16">
        <v>0.66200000000000003</v>
      </c>
      <c r="M105" s="16">
        <v>0</v>
      </c>
      <c r="N105" s="16">
        <v>0.32500000000000001</v>
      </c>
      <c r="O105" s="16">
        <v>1.2999999999999999E-2</v>
      </c>
      <c r="P105" s="16">
        <v>1.2999999999999999E-2</v>
      </c>
      <c r="Q105" s="16">
        <v>0</v>
      </c>
      <c r="R105" s="2"/>
      <c r="S105" s="14">
        <v>0</v>
      </c>
      <c r="T105" s="14">
        <v>0</v>
      </c>
      <c r="U105" s="14">
        <v>0</v>
      </c>
      <c r="V105" s="2"/>
      <c r="W105" s="14">
        <v>1970.5</v>
      </c>
      <c r="X105" s="14">
        <v>1977</v>
      </c>
      <c r="Y105" s="15">
        <v>66315.5</v>
      </c>
      <c r="Z105" s="15">
        <v>63350</v>
      </c>
      <c r="AA105" s="15">
        <v>65894.600000000006</v>
      </c>
      <c r="AB105" s="15">
        <v>63000</v>
      </c>
      <c r="AC105" s="16">
        <v>5.3999999999999999E-2</v>
      </c>
      <c r="AD105" s="16">
        <v>0.04</v>
      </c>
      <c r="AE105" s="15">
        <v>2027.3</v>
      </c>
      <c r="AF105" s="15">
        <v>1656</v>
      </c>
      <c r="AG105" s="2"/>
      <c r="AH105" s="14">
        <f t="shared" si="8"/>
        <v>31</v>
      </c>
      <c r="AI105" s="14">
        <f t="shared" si="9"/>
        <v>172</v>
      </c>
      <c r="AJ105" s="14">
        <f t="shared" si="10"/>
        <v>108</v>
      </c>
      <c r="AK105" s="14">
        <f t="shared" si="11"/>
        <v>184</v>
      </c>
      <c r="AL105" s="14">
        <f t="shared" si="12"/>
        <v>45</v>
      </c>
      <c r="AM105" s="14">
        <f t="shared" si="13"/>
        <v>34</v>
      </c>
      <c r="AN105" s="14">
        <f t="shared" si="14"/>
        <v>175</v>
      </c>
      <c r="AO105" s="14">
        <f t="shared" si="15"/>
        <v>180</v>
      </c>
    </row>
    <row r="106" spans="1:41" ht="12" hidden="1" x14ac:dyDescent="0.25">
      <c r="A106" s="14">
        <v>540069</v>
      </c>
      <c r="B106" s="17" t="s">
        <v>353</v>
      </c>
      <c r="C106" s="17" t="s">
        <v>351</v>
      </c>
      <c r="D106" s="17" t="s">
        <v>2</v>
      </c>
      <c r="E106" s="14">
        <v>9</v>
      </c>
      <c r="F106" s="14" t="s">
        <v>352</v>
      </c>
      <c r="G106" s="14">
        <v>56</v>
      </c>
      <c r="H106" s="14">
        <v>0</v>
      </c>
      <c r="I106" s="14">
        <v>5</v>
      </c>
      <c r="J106" s="14">
        <v>5</v>
      </c>
      <c r="K106" s="14">
        <v>66</v>
      </c>
      <c r="L106" s="16">
        <v>0.84799999999999998</v>
      </c>
      <c r="M106" s="16">
        <v>0</v>
      </c>
      <c r="N106" s="16">
        <v>7.5999999999999998E-2</v>
      </c>
      <c r="O106" s="16">
        <v>7.5999999999999998E-2</v>
      </c>
      <c r="P106" s="16">
        <v>0</v>
      </c>
      <c r="Q106" s="16">
        <v>4.4999999999999998E-2</v>
      </c>
      <c r="R106" s="2"/>
      <c r="S106" s="14">
        <v>38</v>
      </c>
      <c r="T106" s="14">
        <v>0</v>
      </c>
      <c r="U106" s="14">
        <v>0</v>
      </c>
      <c r="V106" s="2"/>
      <c r="W106" s="14">
        <v>1886.5</v>
      </c>
      <c r="X106" s="14">
        <v>1900</v>
      </c>
      <c r="Y106" s="15">
        <v>283690.8</v>
      </c>
      <c r="Z106" s="15">
        <v>207150</v>
      </c>
      <c r="AA106" s="15">
        <v>207173.7</v>
      </c>
      <c r="AB106" s="15">
        <v>172600</v>
      </c>
      <c r="AC106" s="16">
        <v>8.1000000000000003E-2</v>
      </c>
      <c r="AD106" s="16">
        <v>0.08</v>
      </c>
      <c r="AE106" s="15">
        <v>19237.099999999999</v>
      </c>
      <c r="AF106" s="15">
        <v>13984</v>
      </c>
      <c r="AG106" s="2"/>
      <c r="AH106" s="14">
        <f t="shared" si="8"/>
        <v>144</v>
      </c>
      <c r="AI106" s="14">
        <f t="shared" si="9"/>
        <v>41</v>
      </c>
      <c r="AJ106" s="14">
        <f t="shared" si="10"/>
        <v>108</v>
      </c>
      <c r="AK106" s="14">
        <f t="shared" si="11"/>
        <v>10</v>
      </c>
      <c r="AL106" s="14">
        <f t="shared" si="12"/>
        <v>3</v>
      </c>
      <c r="AM106" s="14">
        <f t="shared" si="13"/>
        <v>3</v>
      </c>
      <c r="AN106" s="14">
        <f t="shared" si="14"/>
        <v>135</v>
      </c>
      <c r="AO106" s="14">
        <f t="shared" si="15"/>
        <v>18</v>
      </c>
    </row>
    <row r="107" spans="1:41" hidden="1" x14ac:dyDescent="0.3">
      <c r="A107" s="129"/>
      <c r="B107" s="130"/>
      <c r="C107" s="130" t="s">
        <v>351</v>
      </c>
      <c r="D107" s="130" t="s">
        <v>26</v>
      </c>
      <c r="E107" s="129">
        <v>9</v>
      </c>
      <c r="F107" s="129"/>
      <c r="G107" s="129">
        <v>471</v>
      </c>
      <c r="H107" s="129">
        <v>16</v>
      </c>
      <c r="I107" s="129">
        <v>212</v>
      </c>
      <c r="J107" s="129">
        <v>34</v>
      </c>
      <c r="K107" s="129">
        <v>733</v>
      </c>
      <c r="L107" s="131">
        <v>0.64300000000000002</v>
      </c>
      <c r="M107" s="131">
        <v>2.1999999999999999E-2</v>
      </c>
      <c r="N107" s="131">
        <v>0.28899999999999998</v>
      </c>
      <c r="O107" s="131">
        <v>4.5999999999999999E-2</v>
      </c>
      <c r="P107" s="131">
        <v>3.6999999999999998E-2</v>
      </c>
      <c r="Q107" s="131">
        <v>4.0000000000000001E-3</v>
      </c>
      <c r="S107" s="129">
        <v>254</v>
      </c>
      <c r="T107" s="129">
        <v>33</v>
      </c>
      <c r="U107" s="129">
        <v>5</v>
      </c>
      <c r="W107" s="129">
        <v>1947.4</v>
      </c>
      <c r="X107" s="129">
        <v>1969</v>
      </c>
      <c r="Y107" s="132">
        <v>142816.9</v>
      </c>
      <c r="Z107" s="132">
        <v>96400</v>
      </c>
      <c r="AA107" s="132">
        <v>129935.6</v>
      </c>
      <c r="AB107" s="132">
        <v>101200</v>
      </c>
      <c r="AC107" s="131">
        <v>0.36499999999999999</v>
      </c>
      <c r="AD107" s="131">
        <v>0.29899999999999999</v>
      </c>
      <c r="AE107" s="132">
        <v>36744.199999999997</v>
      </c>
      <c r="AF107" s="132">
        <v>20718.900000000001</v>
      </c>
      <c r="AH107" s="129">
        <f t="shared" si="8"/>
        <v>10</v>
      </c>
      <c r="AI107" s="129">
        <f t="shared" si="9"/>
        <v>25</v>
      </c>
      <c r="AJ107" s="129">
        <f t="shared" si="10"/>
        <v>27</v>
      </c>
      <c r="AK107" s="129">
        <f t="shared" si="11"/>
        <v>30</v>
      </c>
      <c r="AL107" s="129">
        <f t="shared" si="12"/>
        <v>1</v>
      </c>
      <c r="AM107" s="129">
        <f t="shared" si="13"/>
        <v>1</v>
      </c>
      <c r="AN107" s="129">
        <f t="shared" si="14"/>
        <v>5</v>
      </c>
      <c r="AO107" s="129">
        <f t="shared" si="15"/>
        <v>1</v>
      </c>
    </row>
    <row r="108" spans="1:41" ht="12" hidden="1" x14ac:dyDescent="0.25">
      <c r="A108" s="19">
        <v>540070</v>
      </c>
      <c r="B108" s="22" t="s">
        <v>350</v>
      </c>
      <c r="C108" s="22" t="s">
        <v>330</v>
      </c>
      <c r="D108" s="22" t="s">
        <v>29</v>
      </c>
      <c r="E108" s="19">
        <v>3</v>
      </c>
      <c r="F108" s="19" t="s">
        <v>349</v>
      </c>
      <c r="G108" s="19">
        <v>5835</v>
      </c>
      <c r="H108" s="19">
        <v>149</v>
      </c>
      <c r="I108" s="19">
        <v>2291</v>
      </c>
      <c r="J108" s="19">
        <v>614</v>
      </c>
      <c r="K108" s="19">
        <v>8889</v>
      </c>
      <c r="L108" s="21">
        <v>0.65600000000000003</v>
      </c>
      <c r="M108" s="21">
        <v>1.7000000000000001E-2</v>
      </c>
      <c r="N108" s="21">
        <v>0.25800000000000001</v>
      </c>
      <c r="O108" s="21">
        <v>6.9000000000000006E-2</v>
      </c>
      <c r="P108" s="21">
        <v>4.8000000000000001E-2</v>
      </c>
      <c r="Q108" s="21">
        <v>1.2999999999999999E-2</v>
      </c>
      <c r="R108" s="2"/>
      <c r="S108" s="19">
        <v>2332</v>
      </c>
      <c r="T108" s="19">
        <v>323</v>
      </c>
      <c r="U108" s="19">
        <v>188</v>
      </c>
      <c r="V108" s="2"/>
      <c r="W108" s="19">
        <v>1968.1</v>
      </c>
      <c r="X108" s="19">
        <v>1968</v>
      </c>
      <c r="Y108" s="20">
        <v>70012.600000000006</v>
      </c>
      <c r="Z108" s="20">
        <v>45800</v>
      </c>
      <c r="AA108" s="20">
        <v>55101.8</v>
      </c>
      <c r="AB108" s="20">
        <v>44500</v>
      </c>
      <c r="AC108" s="21">
        <v>0.27900000000000003</v>
      </c>
      <c r="AD108" s="21">
        <v>0.20899999999999999</v>
      </c>
      <c r="AE108" s="20">
        <v>13983.6</v>
      </c>
      <c r="AF108" s="20">
        <v>8718.2999999999993</v>
      </c>
      <c r="AG108" s="2"/>
      <c r="AH108" s="19">
        <f t="shared" si="8"/>
        <v>24</v>
      </c>
      <c r="AI108" s="19">
        <f t="shared" si="9"/>
        <v>1</v>
      </c>
      <c r="AJ108" s="19">
        <f t="shared" si="10"/>
        <v>1</v>
      </c>
      <c r="AK108" s="19">
        <f t="shared" si="11"/>
        <v>16</v>
      </c>
      <c r="AL108" s="19">
        <f t="shared" si="12"/>
        <v>18</v>
      </c>
      <c r="AM108" s="19">
        <f t="shared" si="13"/>
        <v>15</v>
      </c>
      <c r="AN108" s="19">
        <f t="shared" si="14"/>
        <v>20</v>
      </c>
      <c r="AO108" s="19">
        <f t="shared" si="15"/>
        <v>16</v>
      </c>
    </row>
    <row r="109" spans="1:41" ht="12" hidden="1" x14ac:dyDescent="0.25">
      <c r="A109" s="25">
        <v>540029</v>
      </c>
      <c r="B109" s="26" t="s">
        <v>18</v>
      </c>
      <c r="C109" s="26" t="s">
        <v>330</v>
      </c>
      <c r="D109" s="26" t="s">
        <v>58</v>
      </c>
      <c r="E109" s="25">
        <v>3</v>
      </c>
      <c r="F109" s="25" t="s">
        <v>339</v>
      </c>
      <c r="G109" s="25">
        <v>48</v>
      </c>
      <c r="H109" s="25">
        <v>0</v>
      </c>
      <c r="I109" s="25">
        <v>7</v>
      </c>
      <c r="J109" s="25">
        <v>4</v>
      </c>
      <c r="K109" s="25">
        <v>59</v>
      </c>
      <c r="L109" s="24">
        <v>0.81399999999999995</v>
      </c>
      <c r="M109" s="24">
        <v>0</v>
      </c>
      <c r="N109" s="24">
        <v>0.11899999999999999</v>
      </c>
      <c r="O109" s="24">
        <v>6.8000000000000005E-2</v>
      </c>
      <c r="P109" s="24">
        <v>0</v>
      </c>
      <c r="Q109" s="24">
        <v>1.7000000000000001E-2</v>
      </c>
      <c r="R109" s="2"/>
      <c r="S109" s="25">
        <v>4</v>
      </c>
      <c r="T109" s="25">
        <v>0</v>
      </c>
      <c r="U109" s="25">
        <v>0</v>
      </c>
      <c r="V109" s="2"/>
      <c r="W109" s="25">
        <v>1947.9</v>
      </c>
      <c r="X109" s="25">
        <v>1942</v>
      </c>
      <c r="Y109" s="23">
        <v>69904.800000000003</v>
      </c>
      <c r="Z109" s="23">
        <v>31200</v>
      </c>
      <c r="AA109" s="23">
        <v>32768.699999999997</v>
      </c>
      <c r="AB109" s="23">
        <v>28000</v>
      </c>
      <c r="AC109" s="24">
        <v>0.125</v>
      </c>
      <c r="AD109" s="24">
        <v>0.106</v>
      </c>
      <c r="AE109" s="23">
        <v>5369.4</v>
      </c>
      <c r="AF109" s="23">
        <v>3219.1</v>
      </c>
      <c r="AG109" s="2"/>
      <c r="AH109" s="14" t="str">
        <f t="shared" si="8"/>
        <v/>
      </c>
      <c r="AI109" s="14" t="str">
        <f t="shared" si="9"/>
        <v/>
      </c>
      <c r="AJ109" s="14" t="str">
        <f t="shared" si="10"/>
        <v/>
      </c>
      <c r="AK109" s="14" t="str">
        <f t="shared" si="11"/>
        <v/>
      </c>
      <c r="AL109" s="14" t="str">
        <f t="shared" si="12"/>
        <v/>
      </c>
      <c r="AM109" s="14" t="str">
        <f t="shared" si="13"/>
        <v/>
      </c>
      <c r="AN109" s="14" t="str">
        <f t="shared" si="14"/>
        <v/>
      </c>
      <c r="AO109" s="14" t="str">
        <f t="shared" si="15"/>
        <v/>
      </c>
    </row>
    <row r="110" spans="1:41" ht="12" hidden="1" x14ac:dyDescent="0.25">
      <c r="A110" s="14">
        <v>540071</v>
      </c>
      <c r="B110" s="17" t="s">
        <v>348</v>
      </c>
      <c r="C110" s="17" t="s">
        <v>330</v>
      </c>
      <c r="D110" s="17" t="s">
        <v>2</v>
      </c>
      <c r="E110" s="14">
        <v>3</v>
      </c>
      <c r="F110" s="14" t="s">
        <v>162</v>
      </c>
      <c r="G110" s="14">
        <v>150</v>
      </c>
      <c r="H110" s="14">
        <v>1</v>
      </c>
      <c r="I110" s="14">
        <v>6</v>
      </c>
      <c r="J110" s="14">
        <v>3</v>
      </c>
      <c r="K110" s="14">
        <v>160</v>
      </c>
      <c r="L110" s="16">
        <v>0.93799999999999994</v>
      </c>
      <c r="M110" s="16">
        <v>6.0000000000000001E-3</v>
      </c>
      <c r="N110" s="16">
        <v>3.6999999999999998E-2</v>
      </c>
      <c r="O110" s="16">
        <v>1.9E-2</v>
      </c>
      <c r="P110" s="16">
        <v>0</v>
      </c>
      <c r="Q110" s="16">
        <v>1.9E-2</v>
      </c>
      <c r="R110" s="2"/>
      <c r="S110" s="14">
        <v>32</v>
      </c>
      <c r="T110" s="14">
        <v>2</v>
      </c>
      <c r="U110" s="14">
        <v>0</v>
      </c>
      <c r="V110" s="2"/>
      <c r="W110" s="14">
        <v>1943.1</v>
      </c>
      <c r="X110" s="14">
        <v>1940</v>
      </c>
      <c r="Y110" s="15">
        <v>87238.2</v>
      </c>
      <c r="Z110" s="15">
        <v>51000</v>
      </c>
      <c r="AA110" s="15">
        <v>54948.6</v>
      </c>
      <c r="AB110" s="15">
        <v>50200</v>
      </c>
      <c r="AC110" s="16">
        <v>0.15</v>
      </c>
      <c r="AD110" s="16">
        <v>0.114</v>
      </c>
      <c r="AE110" s="15">
        <v>9156.1</v>
      </c>
      <c r="AF110" s="15">
        <v>5808.7</v>
      </c>
      <c r="AG110" s="2"/>
      <c r="AH110" s="14">
        <f t="shared" si="8"/>
        <v>171</v>
      </c>
      <c r="AI110" s="14">
        <f t="shared" si="9"/>
        <v>43</v>
      </c>
      <c r="AJ110" s="14">
        <f t="shared" si="10"/>
        <v>56</v>
      </c>
      <c r="AK110" s="14">
        <f t="shared" si="11"/>
        <v>72</v>
      </c>
      <c r="AL110" s="14">
        <f t="shared" si="12"/>
        <v>73</v>
      </c>
      <c r="AM110" s="14">
        <f t="shared" si="13"/>
        <v>59</v>
      </c>
      <c r="AN110" s="14">
        <f t="shared" si="14"/>
        <v>100</v>
      </c>
      <c r="AO110" s="14">
        <f t="shared" si="15"/>
        <v>78</v>
      </c>
    </row>
    <row r="111" spans="1:41" ht="12" hidden="1" x14ac:dyDescent="0.25">
      <c r="A111" s="14">
        <v>540072</v>
      </c>
      <c r="B111" s="17" t="s">
        <v>347</v>
      </c>
      <c r="C111" s="17" t="s">
        <v>330</v>
      </c>
      <c r="D111" s="17" t="s">
        <v>2</v>
      </c>
      <c r="E111" s="14">
        <v>3</v>
      </c>
      <c r="F111" s="14" t="s">
        <v>339</v>
      </c>
      <c r="G111" s="14">
        <v>88</v>
      </c>
      <c r="H111" s="14">
        <v>9</v>
      </c>
      <c r="I111" s="14">
        <v>13</v>
      </c>
      <c r="J111" s="14">
        <v>21</v>
      </c>
      <c r="K111" s="14">
        <v>131</v>
      </c>
      <c r="L111" s="16">
        <v>0.67200000000000004</v>
      </c>
      <c r="M111" s="16">
        <v>6.9000000000000006E-2</v>
      </c>
      <c r="N111" s="16">
        <v>9.9000000000000005E-2</v>
      </c>
      <c r="O111" s="16">
        <v>0.16</v>
      </c>
      <c r="P111" s="16">
        <v>0.13</v>
      </c>
      <c r="Q111" s="16">
        <v>8.0000000000000002E-3</v>
      </c>
      <c r="R111" s="2"/>
      <c r="S111" s="14">
        <v>13</v>
      </c>
      <c r="T111" s="14">
        <v>0</v>
      </c>
      <c r="U111" s="14">
        <v>1</v>
      </c>
      <c r="V111" s="2"/>
      <c r="W111" s="14">
        <v>1952.5</v>
      </c>
      <c r="X111" s="14">
        <v>1950</v>
      </c>
      <c r="Y111" s="15">
        <v>134275.6</v>
      </c>
      <c r="Z111" s="15">
        <v>41400</v>
      </c>
      <c r="AA111" s="15">
        <v>47216.1</v>
      </c>
      <c r="AB111" s="15">
        <v>40400</v>
      </c>
      <c r="AC111" s="16">
        <v>0.126</v>
      </c>
      <c r="AD111" s="16">
        <v>0.107</v>
      </c>
      <c r="AE111" s="15">
        <v>17482.900000000001</v>
      </c>
      <c r="AF111" s="15">
        <v>4740.8999999999996</v>
      </c>
      <c r="AG111" s="2"/>
      <c r="AH111" s="14">
        <f t="shared" si="8"/>
        <v>127</v>
      </c>
      <c r="AI111" s="14">
        <f t="shared" si="9"/>
        <v>78</v>
      </c>
      <c r="AJ111" s="14">
        <f t="shared" si="10"/>
        <v>108</v>
      </c>
      <c r="AK111" s="14">
        <f t="shared" si="11"/>
        <v>120</v>
      </c>
      <c r="AL111" s="14">
        <f t="shared" si="12"/>
        <v>109</v>
      </c>
      <c r="AM111" s="14">
        <f t="shared" si="13"/>
        <v>97</v>
      </c>
      <c r="AN111" s="14">
        <f t="shared" si="14"/>
        <v>112</v>
      </c>
      <c r="AO111" s="14">
        <f t="shared" si="15"/>
        <v>93</v>
      </c>
    </row>
    <row r="112" spans="1:41" ht="12" hidden="1" x14ac:dyDescent="0.25">
      <c r="A112" s="14">
        <v>540073</v>
      </c>
      <c r="B112" s="17" t="s">
        <v>346</v>
      </c>
      <c r="C112" s="17" t="s">
        <v>330</v>
      </c>
      <c r="D112" s="17" t="s">
        <v>2</v>
      </c>
      <c r="E112" s="14">
        <v>3</v>
      </c>
      <c r="F112" s="14" t="s">
        <v>345</v>
      </c>
      <c r="G112" s="14">
        <v>1612</v>
      </c>
      <c r="H112" s="14">
        <v>20</v>
      </c>
      <c r="I112" s="14">
        <v>168</v>
      </c>
      <c r="J112" s="14">
        <v>77</v>
      </c>
      <c r="K112" s="14">
        <v>1877</v>
      </c>
      <c r="L112" s="16">
        <v>0.85899999999999999</v>
      </c>
      <c r="M112" s="16">
        <v>1.0999999999999999E-2</v>
      </c>
      <c r="N112" s="16">
        <v>0.09</v>
      </c>
      <c r="O112" s="16">
        <v>4.1000000000000002E-2</v>
      </c>
      <c r="P112" s="16">
        <v>0</v>
      </c>
      <c r="Q112" s="16">
        <v>3.6999999999999998E-2</v>
      </c>
      <c r="R112" s="2"/>
      <c r="S112" s="14">
        <v>242</v>
      </c>
      <c r="T112" s="14">
        <v>12</v>
      </c>
      <c r="U112" s="14">
        <v>10</v>
      </c>
      <c r="V112" s="2"/>
      <c r="W112" s="14">
        <v>1943.8</v>
      </c>
      <c r="X112" s="14">
        <v>1940</v>
      </c>
      <c r="Y112" s="15">
        <v>351395.2</v>
      </c>
      <c r="Z112" s="15">
        <v>45000</v>
      </c>
      <c r="AA112" s="15">
        <v>83451</v>
      </c>
      <c r="AB112" s="15">
        <v>41300</v>
      </c>
      <c r="AC112" s="16">
        <v>0.14699999999999999</v>
      </c>
      <c r="AD112" s="16">
        <v>0.105</v>
      </c>
      <c r="AE112" s="15">
        <v>26890.400000000001</v>
      </c>
      <c r="AF112" s="15">
        <v>4832.3</v>
      </c>
      <c r="AG112" s="2"/>
      <c r="AH112" s="14">
        <f t="shared" si="8"/>
        <v>139</v>
      </c>
      <c r="AI112" s="14">
        <f t="shared" si="9"/>
        <v>3</v>
      </c>
      <c r="AJ112" s="14">
        <f t="shared" si="10"/>
        <v>16</v>
      </c>
      <c r="AK112" s="14">
        <f t="shared" si="11"/>
        <v>72</v>
      </c>
      <c r="AL112" s="14">
        <f t="shared" si="12"/>
        <v>90</v>
      </c>
      <c r="AM112" s="14">
        <f t="shared" si="13"/>
        <v>89</v>
      </c>
      <c r="AN112" s="14">
        <f t="shared" si="14"/>
        <v>113</v>
      </c>
      <c r="AO112" s="14">
        <f t="shared" si="15"/>
        <v>92</v>
      </c>
    </row>
    <row r="113" spans="1:41" ht="12" hidden="1" x14ac:dyDescent="0.25">
      <c r="A113" s="14">
        <v>540074</v>
      </c>
      <c r="B113" s="17" t="s">
        <v>344</v>
      </c>
      <c r="C113" s="17" t="s">
        <v>330</v>
      </c>
      <c r="D113" s="17" t="s">
        <v>2</v>
      </c>
      <c r="E113" s="14">
        <v>3</v>
      </c>
      <c r="F113" s="14" t="s">
        <v>339</v>
      </c>
      <c r="G113" s="14">
        <v>219</v>
      </c>
      <c r="H113" s="14">
        <v>21</v>
      </c>
      <c r="I113" s="14">
        <v>37</v>
      </c>
      <c r="J113" s="14">
        <v>19</v>
      </c>
      <c r="K113" s="14">
        <v>296</v>
      </c>
      <c r="L113" s="16">
        <v>0.74</v>
      </c>
      <c r="M113" s="16">
        <v>7.0999999999999994E-2</v>
      </c>
      <c r="N113" s="16">
        <v>0.125</v>
      </c>
      <c r="O113" s="16">
        <v>6.4000000000000001E-2</v>
      </c>
      <c r="P113" s="16">
        <v>4.1000000000000002E-2</v>
      </c>
      <c r="Q113" s="16">
        <v>1.7000000000000001E-2</v>
      </c>
      <c r="R113" s="2"/>
      <c r="S113" s="14">
        <v>21</v>
      </c>
      <c r="T113" s="14">
        <v>2</v>
      </c>
      <c r="U113" s="14">
        <v>2</v>
      </c>
      <c r="V113" s="2"/>
      <c r="W113" s="14">
        <v>1953.7</v>
      </c>
      <c r="X113" s="14">
        <v>1947.5</v>
      </c>
      <c r="Y113" s="15">
        <v>45959.8</v>
      </c>
      <c r="Z113" s="15">
        <v>36750</v>
      </c>
      <c r="AA113" s="15">
        <v>42148.9</v>
      </c>
      <c r="AB113" s="15">
        <v>36400</v>
      </c>
      <c r="AC113" s="16">
        <v>0.13</v>
      </c>
      <c r="AD113" s="16">
        <v>0.104</v>
      </c>
      <c r="AE113" s="15">
        <v>5467.1</v>
      </c>
      <c r="AF113" s="15">
        <v>3527.6</v>
      </c>
      <c r="AG113" s="2"/>
      <c r="AH113" s="14">
        <f t="shared" si="8"/>
        <v>104</v>
      </c>
      <c r="AI113" s="14">
        <f t="shared" si="9"/>
        <v>60</v>
      </c>
      <c r="AJ113" s="14">
        <f t="shared" si="10"/>
        <v>56</v>
      </c>
      <c r="AK113" s="14">
        <f t="shared" si="11"/>
        <v>110</v>
      </c>
      <c r="AL113" s="14">
        <f t="shared" si="12"/>
        <v>125</v>
      </c>
      <c r="AM113" s="14">
        <f t="shared" si="13"/>
        <v>111</v>
      </c>
      <c r="AN113" s="14">
        <f t="shared" si="14"/>
        <v>116</v>
      </c>
      <c r="AO113" s="14">
        <f t="shared" si="15"/>
        <v>124</v>
      </c>
    </row>
    <row r="114" spans="1:41" ht="12" hidden="1" x14ac:dyDescent="0.25">
      <c r="A114" s="14">
        <v>540075</v>
      </c>
      <c r="B114" s="17" t="s">
        <v>343</v>
      </c>
      <c r="C114" s="17" t="s">
        <v>330</v>
      </c>
      <c r="D114" s="17" t="s">
        <v>2</v>
      </c>
      <c r="E114" s="14">
        <v>3</v>
      </c>
      <c r="F114" s="14" t="s">
        <v>342</v>
      </c>
      <c r="G114" s="14">
        <v>251</v>
      </c>
      <c r="H114" s="14">
        <v>2</v>
      </c>
      <c r="I114" s="14">
        <v>34</v>
      </c>
      <c r="J114" s="14">
        <v>10</v>
      </c>
      <c r="K114" s="14">
        <v>297</v>
      </c>
      <c r="L114" s="16">
        <v>0.84499999999999997</v>
      </c>
      <c r="M114" s="16">
        <v>7.0000000000000001E-3</v>
      </c>
      <c r="N114" s="16">
        <v>0.114</v>
      </c>
      <c r="O114" s="16">
        <v>3.4000000000000002E-2</v>
      </c>
      <c r="P114" s="16">
        <v>0</v>
      </c>
      <c r="Q114" s="16">
        <v>2.7E-2</v>
      </c>
      <c r="R114" s="2"/>
      <c r="S114" s="14">
        <v>180</v>
      </c>
      <c r="T114" s="14">
        <v>21</v>
      </c>
      <c r="U114" s="14">
        <v>21</v>
      </c>
      <c r="V114" s="2"/>
      <c r="W114" s="14">
        <v>1942.8</v>
      </c>
      <c r="X114" s="14">
        <v>1934</v>
      </c>
      <c r="Y114" s="15">
        <v>77711</v>
      </c>
      <c r="Z114" s="15">
        <v>42900</v>
      </c>
      <c r="AA114" s="15">
        <v>49284.1</v>
      </c>
      <c r="AB114" s="15">
        <v>42850</v>
      </c>
      <c r="AC114" s="16">
        <v>0.33500000000000002</v>
      </c>
      <c r="AD114" s="16">
        <v>0.29899999999999999</v>
      </c>
      <c r="AE114" s="15">
        <v>18154.8</v>
      </c>
      <c r="AF114" s="15">
        <v>11985.5</v>
      </c>
      <c r="AG114" s="2"/>
      <c r="AH114" s="14">
        <f t="shared" si="8"/>
        <v>112</v>
      </c>
      <c r="AI114" s="14">
        <f t="shared" si="9"/>
        <v>4</v>
      </c>
      <c r="AJ114" s="14">
        <f t="shared" si="10"/>
        <v>8</v>
      </c>
      <c r="AK114" s="14">
        <f t="shared" si="11"/>
        <v>61</v>
      </c>
      <c r="AL114" s="14">
        <f t="shared" si="12"/>
        <v>102</v>
      </c>
      <c r="AM114" s="14">
        <f t="shared" si="13"/>
        <v>85</v>
      </c>
      <c r="AN114" s="14">
        <f t="shared" si="14"/>
        <v>18</v>
      </c>
      <c r="AO114" s="14">
        <f t="shared" si="15"/>
        <v>26</v>
      </c>
    </row>
    <row r="115" spans="1:41" ht="12" hidden="1" x14ac:dyDescent="0.25">
      <c r="A115" s="14">
        <v>540076</v>
      </c>
      <c r="B115" s="17" t="s">
        <v>341</v>
      </c>
      <c r="C115" s="17" t="s">
        <v>330</v>
      </c>
      <c r="D115" s="17" t="s">
        <v>2</v>
      </c>
      <c r="E115" s="14">
        <v>3</v>
      </c>
      <c r="F115" s="14" t="s">
        <v>339</v>
      </c>
      <c r="G115" s="14">
        <v>1018</v>
      </c>
      <c r="H115" s="14">
        <v>0</v>
      </c>
      <c r="I115" s="14">
        <v>46</v>
      </c>
      <c r="J115" s="14">
        <v>4</v>
      </c>
      <c r="K115" s="14">
        <v>1068</v>
      </c>
      <c r="L115" s="16">
        <v>0.95299999999999996</v>
      </c>
      <c r="M115" s="16">
        <v>0</v>
      </c>
      <c r="N115" s="16">
        <v>4.2999999999999997E-2</v>
      </c>
      <c r="O115" s="16">
        <v>4.0000000000000001E-3</v>
      </c>
      <c r="P115" s="16">
        <v>0</v>
      </c>
      <c r="Q115" s="16">
        <v>2E-3</v>
      </c>
      <c r="R115" s="2"/>
      <c r="S115" s="14">
        <v>85</v>
      </c>
      <c r="T115" s="14">
        <v>5</v>
      </c>
      <c r="U115" s="14">
        <v>0</v>
      </c>
      <c r="V115" s="2"/>
      <c r="W115" s="14">
        <v>1948.3</v>
      </c>
      <c r="X115" s="14">
        <v>1947</v>
      </c>
      <c r="Y115" s="15">
        <v>81861</v>
      </c>
      <c r="Z115" s="15">
        <v>53100</v>
      </c>
      <c r="AA115" s="15">
        <v>57150.1</v>
      </c>
      <c r="AB115" s="15">
        <v>51900</v>
      </c>
      <c r="AC115" s="16">
        <v>0.11799999999999999</v>
      </c>
      <c r="AD115" s="16">
        <v>3.7999999999999999E-2</v>
      </c>
      <c r="AE115" s="15">
        <v>6874.8</v>
      </c>
      <c r="AF115" s="15">
        <v>1769.8</v>
      </c>
      <c r="AG115" s="2"/>
      <c r="AH115" s="14">
        <f t="shared" si="8"/>
        <v>165</v>
      </c>
      <c r="AI115" s="14">
        <f t="shared" si="9"/>
        <v>18</v>
      </c>
      <c r="AJ115" s="14">
        <f t="shared" si="10"/>
        <v>31</v>
      </c>
      <c r="AK115" s="14">
        <f t="shared" si="11"/>
        <v>109</v>
      </c>
      <c r="AL115" s="14">
        <f t="shared" si="12"/>
        <v>62</v>
      </c>
      <c r="AM115" s="14">
        <f t="shared" si="13"/>
        <v>53</v>
      </c>
      <c r="AN115" s="14">
        <f t="shared" si="14"/>
        <v>184</v>
      </c>
      <c r="AO115" s="14">
        <f t="shared" si="15"/>
        <v>172</v>
      </c>
    </row>
    <row r="116" spans="1:41" ht="12" hidden="1" x14ac:dyDescent="0.25">
      <c r="A116" s="14">
        <v>540077</v>
      </c>
      <c r="B116" s="17" t="s">
        <v>340</v>
      </c>
      <c r="C116" s="17" t="s">
        <v>330</v>
      </c>
      <c r="D116" s="17" t="s">
        <v>2</v>
      </c>
      <c r="E116" s="14">
        <v>3</v>
      </c>
      <c r="F116" s="14" t="s">
        <v>339</v>
      </c>
      <c r="G116" s="14">
        <v>70</v>
      </c>
      <c r="H116" s="14">
        <v>10</v>
      </c>
      <c r="I116" s="14">
        <v>10</v>
      </c>
      <c r="J116" s="14">
        <v>3</v>
      </c>
      <c r="K116" s="14">
        <v>93</v>
      </c>
      <c r="L116" s="16">
        <v>0.753</v>
      </c>
      <c r="M116" s="16">
        <v>0.108</v>
      </c>
      <c r="N116" s="16">
        <v>0.108</v>
      </c>
      <c r="O116" s="16">
        <v>3.2000000000000001E-2</v>
      </c>
      <c r="P116" s="16">
        <v>0</v>
      </c>
      <c r="Q116" s="16">
        <v>0</v>
      </c>
      <c r="R116" s="2"/>
      <c r="S116" s="14">
        <v>15</v>
      </c>
      <c r="T116" s="14">
        <v>0</v>
      </c>
      <c r="U116" s="14">
        <v>0</v>
      </c>
      <c r="V116" s="2"/>
      <c r="W116" s="14">
        <v>1960.5</v>
      </c>
      <c r="X116" s="14">
        <v>1956.5</v>
      </c>
      <c r="Y116" s="15">
        <v>167475</v>
      </c>
      <c r="Z116" s="15">
        <v>48100</v>
      </c>
      <c r="AA116" s="15">
        <v>54576.6</v>
      </c>
      <c r="AB116" s="15">
        <v>47650</v>
      </c>
      <c r="AC116" s="16">
        <v>0.157</v>
      </c>
      <c r="AD116" s="16">
        <v>0.105</v>
      </c>
      <c r="AE116" s="15">
        <v>10489.5</v>
      </c>
      <c r="AF116" s="15">
        <v>5596.7</v>
      </c>
      <c r="AG116" s="2"/>
      <c r="AH116" s="14">
        <f t="shared" si="8"/>
        <v>115</v>
      </c>
      <c r="AI116" s="14">
        <f t="shared" si="9"/>
        <v>75</v>
      </c>
      <c r="AJ116" s="14">
        <f t="shared" si="10"/>
        <v>108</v>
      </c>
      <c r="AK116" s="14">
        <f t="shared" si="11"/>
        <v>141</v>
      </c>
      <c r="AL116" s="14">
        <f t="shared" si="12"/>
        <v>79</v>
      </c>
      <c r="AM116" s="14">
        <f t="shared" si="13"/>
        <v>67</v>
      </c>
      <c r="AN116" s="14">
        <f t="shared" si="14"/>
        <v>113</v>
      </c>
      <c r="AO116" s="14">
        <f t="shared" si="15"/>
        <v>79</v>
      </c>
    </row>
    <row r="117" spans="1:41" ht="12" hidden="1" x14ac:dyDescent="0.25">
      <c r="A117" s="14">
        <v>540078</v>
      </c>
      <c r="B117" s="17" t="s">
        <v>338</v>
      </c>
      <c r="C117" s="17" t="s">
        <v>330</v>
      </c>
      <c r="D117" s="17" t="s">
        <v>2</v>
      </c>
      <c r="E117" s="14">
        <v>3</v>
      </c>
      <c r="F117" s="14" t="s">
        <v>333</v>
      </c>
      <c r="G117" s="14">
        <v>58</v>
      </c>
      <c r="H117" s="14">
        <v>0</v>
      </c>
      <c r="I117" s="14">
        <v>12</v>
      </c>
      <c r="J117" s="14">
        <v>13</v>
      </c>
      <c r="K117" s="14">
        <v>83</v>
      </c>
      <c r="L117" s="16">
        <v>0.69899999999999995</v>
      </c>
      <c r="M117" s="16">
        <v>0</v>
      </c>
      <c r="N117" s="16">
        <v>0.14499999999999999</v>
      </c>
      <c r="O117" s="16">
        <v>0.157</v>
      </c>
      <c r="P117" s="16">
        <v>0.108</v>
      </c>
      <c r="Q117" s="16">
        <v>4.8000000000000001E-2</v>
      </c>
      <c r="R117" s="2"/>
      <c r="S117" s="14">
        <v>41</v>
      </c>
      <c r="T117" s="14">
        <v>2</v>
      </c>
      <c r="U117" s="14">
        <v>11</v>
      </c>
      <c r="V117" s="2"/>
      <c r="W117" s="14">
        <v>1952.9</v>
      </c>
      <c r="X117" s="14">
        <v>1948.5</v>
      </c>
      <c r="Y117" s="15">
        <v>66570.7</v>
      </c>
      <c r="Z117" s="15">
        <v>47300</v>
      </c>
      <c r="AA117" s="15">
        <v>59188.1</v>
      </c>
      <c r="AB117" s="15">
        <v>47050</v>
      </c>
      <c r="AC117" s="16">
        <v>0.30299999999999999</v>
      </c>
      <c r="AD117" s="16">
        <v>0.253</v>
      </c>
      <c r="AE117" s="15">
        <v>15041.3</v>
      </c>
      <c r="AF117" s="15">
        <v>13642.6</v>
      </c>
      <c r="AG117" s="2"/>
      <c r="AH117" s="14">
        <f t="shared" si="8"/>
        <v>86</v>
      </c>
      <c r="AI117" s="14">
        <f t="shared" si="9"/>
        <v>35</v>
      </c>
      <c r="AJ117" s="14">
        <f t="shared" si="10"/>
        <v>56</v>
      </c>
      <c r="AK117" s="14">
        <f t="shared" si="11"/>
        <v>116</v>
      </c>
      <c r="AL117" s="14">
        <f t="shared" si="12"/>
        <v>80</v>
      </c>
      <c r="AM117" s="14">
        <f t="shared" si="13"/>
        <v>69</v>
      </c>
      <c r="AN117" s="14">
        <f t="shared" si="14"/>
        <v>31</v>
      </c>
      <c r="AO117" s="14">
        <f t="shared" si="15"/>
        <v>20</v>
      </c>
    </row>
    <row r="118" spans="1:41" ht="12" hidden="1" x14ac:dyDescent="0.25">
      <c r="A118" s="14">
        <v>540079</v>
      </c>
      <c r="B118" s="17" t="s">
        <v>337</v>
      </c>
      <c r="C118" s="17" t="s">
        <v>330</v>
      </c>
      <c r="D118" s="17" t="s">
        <v>2</v>
      </c>
      <c r="E118" s="14">
        <v>3</v>
      </c>
      <c r="F118" s="14" t="s">
        <v>162</v>
      </c>
      <c r="G118" s="14">
        <v>109</v>
      </c>
      <c r="H118" s="14">
        <v>5</v>
      </c>
      <c r="I118" s="14">
        <v>7</v>
      </c>
      <c r="J118" s="14">
        <v>7</v>
      </c>
      <c r="K118" s="14">
        <v>128</v>
      </c>
      <c r="L118" s="16">
        <v>0.85199999999999998</v>
      </c>
      <c r="M118" s="16">
        <v>3.9E-2</v>
      </c>
      <c r="N118" s="16">
        <v>5.5E-2</v>
      </c>
      <c r="O118" s="16">
        <v>5.5E-2</v>
      </c>
      <c r="P118" s="16">
        <v>3.9E-2</v>
      </c>
      <c r="Q118" s="16">
        <v>0</v>
      </c>
      <c r="R118" s="2"/>
      <c r="S118" s="14">
        <v>7</v>
      </c>
      <c r="T118" s="14">
        <v>0</v>
      </c>
      <c r="U118" s="14">
        <v>0</v>
      </c>
      <c r="V118" s="2"/>
      <c r="W118" s="14">
        <v>1950</v>
      </c>
      <c r="X118" s="14">
        <v>1946</v>
      </c>
      <c r="Y118" s="15">
        <v>65801.100000000006</v>
      </c>
      <c r="Z118" s="15">
        <v>52650</v>
      </c>
      <c r="AA118" s="15">
        <v>56910.8</v>
      </c>
      <c r="AB118" s="15">
        <v>51350</v>
      </c>
      <c r="AC118" s="16">
        <v>7.8E-2</v>
      </c>
      <c r="AD118" s="16">
        <v>6.6000000000000003E-2</v>
      </c>
      <c r="AE118" s="15">
        <v>4875.2</v>
      </c>
      <c r="AF118" s="15">
        <v>3680.6</v>
      </c>
      <c r="AG118" s="2"/>
      <c r="AH118" s="14">
        <f t="shared" si="8"/>
        <v>157</v>
      </c>
      <c r="AI118" s="14">
        <f t="shared" si="9"/>
        <v>104</v>
      </c>
      <c r="AJ118" s="14">
        <f t="shared" si="10"/>
        <v>108</v>
      </c>
      <c r="AK118" s="14">
        <f t="shared" si="11"/>
        <v>103</v>
      </c>
      <c r="AL118" s="14">
        <f t="shared" si="12"/>
        <v>66</v>
      </c>
      <c r="AM118" s="14">
        <f t="shared" si="13"/>
        <v>55</v>
      </c>
      <c r="AN118" s="14">
        <f t="shared" si="14"/>
        <v>151</v>
      </c>
      <c r="AO118" s="14">
        <f t="shared" si="15"/>
        <v>122</v>
      </c>
    </row>
    <row r="119" spans="1:41" ht="12" hidden="1" x14ac:dyDescent="0.25">
      <c r="A119" s="25">
        <v>540081</v>
      </c>
      <c r="B119" s="26" t="s">
        <v>17</v>
      </c>
      <c r="C119" s="26" t="s">
        <v>330</v>
      </c>
      <c r="D119" s="26" t="s">
        <v>58</v>
      </c>
      <c r="E119" s="25">
        <v>3</v>
      </c>
      <c r="F119" s="25" t="s">
        <v>162</v>
      </c>
      <c r="G119" s="25">
        <v>562</v>
      </c>
      <c r="H119" s="25">
        <v>24</v>
      </c>
      <c r="I119" s="25">
        <v>43</v>
      </c>
      <c r="J119" s="25">
        <v>5</v>
      </c>
      <c r="K119" s="25">
        <v>634</v>
      </c>
      <c r="L119" s="24">
        <v>0.88600000000000001</v>
      </c>
      <c r="M119" s="24">
        <v>3.7999999999999999E-2</v>
      </c>
      <c r="N119" s="24">
        <v>6.8000000000000005E-2</v>
      </c>
      <c r="O119" s="24">
        <v>8.0000000000000002E-3</v>
      </c>
      <c r="P119" s="24">
        <v>2E-3</v>
      </c>
      <c r="Q119" s="24">
        <v>3.0000000000000001E-3</v>
      </c>
      <c r="R119" s="2"/>
      <c r="S119" s="25">
        <v>124</v>
      </c>
      <c r="T119" s="25">
        <v>4</v>
      </c>
      <c r="U119" s="25">
        <v>2</v>
      </c>
      <c r="V119" s="2"/>
      <c r="W119" s="25">
        <v>1957.1</v>
      </c>
      <c r="X119" s="25">
        <v>1951.5</v>
      </c>
      <c r="Y119" s="23">
        <v>76614.3</v>
      </c>
      <c r="Z119" s="23">
        <v>59900</v>
      </c>
      <c r="AA119" s="23">
        <v>71865.100000000006</v>
      </c>
      <c r="AB119" s="23">
        <v>59500</v>
      </c>
      <c r="AC119" s="24">
        <v>0.14399999999999999</v>
      </c>
      <c r="AD119" s="24">
        <v>0.11</v>
      </c>
      <c r="AE119" s="23">
        <v>9731.6</v>
      </c>
      <c r="AF119" s="23">
        <v>6818.2</v>
      </c>
      <c r="AG119" s="2"/>
      <c r="AH119" s="14" t="str">
        <f t="shared" si="8"/>
        <v/>
      </c>
      <c r="AI119" s="14" t="str">
        <f t="shared" si="9"/>
        <v/>
      </c>
      <c r="AJ119" s="14" t="str">
        <f t="shared" si="10"/>
        <v/>
      </c>
      <c r="AK119" s="14" t="str">
        <f t="shared" si="11"/>
        <v/>
      </c>
      <c r="AL119" s="14" t="str">
        <f t="shared" si="12"/>
        <v/>
      </c>
      <c r="AM119" s="14" t="str">
        <f t="shared" si="13"/>
        <v/>
      </c>
      <c r="AN119" s="14" t="str">
        <f t="shared" si="14"/>
        <v/>
      </c>
      <c r="AO119" s="14" t="str">
        <f t="shared" si="15"/>
        <v/>
      </c>
    </row>
    <row r="120" spans="1:41" ht="12" hidden="1" x14ac:dyDescent="0.25">
      <c r="A120" s="14">
        <v>540082</v>
      </c>
      <c r="B120" s="17" t="s">
        <v>336</v>
      </c>
      <c r="C120" s="17" t="s">
        <v>330</v>
      </c>
      <c r="D120" s="17" t="s">
        <v>2</v>
      </c>
      <c r="E120" s="14">
        <v>3</v>
      </c>
      <c r="F120" s="14" t="s">
        <v>221</v>
      </c>
      <c r="G120" s="14">
        <v>27</v>
      </c>
      <c r="H120" s="14">
        <v>0</v>
      </c>
      <c r="I120" s="14">
        <v>3</v>
      </c>
      <c r="J120" s="14">
        <v>11</v>
      </c>
      <c r="K120" s="14">
        <v>41</v>
      </c>
      <c r="L120" s="16">
        <v>0.65900000000000003</v>
      </c>
      <c r="M120" s="16">
        <v>0</v>
      </c>
      <c r="N120" s="16">
        <v>7.2999999999999995E-2</v>
      </c>
      <c r="O120" s="16">
        <v>0.26800000000000002</v>
      </c>
      <c r="P120" s="16">
        <v>0.24399999999999999</v>
      </c>
      <c r="Q120" s="16">
        <v>2.4E-2</v>
      </c>
      <c r="R120" s="2"/>
      <c r="S120" s="14">
        <v>22</v>
      </c>
      <c r="T120" s="14">
        <v>3</v>
      </c>
      <c r="U120" s="14">
        <v>7</v>
      </c>
      <c r="V120" s="2"/>
      <c r="W120" s="14">
        <v>1966</v>
      </c>
      <c r="X120" s="14">
        <v>1963</v>
      </c>
      <c r="Y120" s="15">
        <v>60978</v>
      </c>
      <c r="Z120" s="15">
        <v>57200</v>
      </c>
      <c r="AA120" s="15">
        <v>55502.5</v>
      </c>
      <c r="AB120" s="15">
        <v>56200</v>
      </c>
      <c r="AC120" s="16">
        <v>0.42699999999999999</v>
      </c>
      <c r="AD120" s="16">
        <v>0.40400000000000003</v>
      </c>
      <c r="AE120" s="15">
        <v>16147.2</v>
      </c>
      <c r="AF120" s="15">
        <v>16326.2</v>
      </c>
      <c r="AG120" s="2"/>
      <c r="AH120" s="14">
        <f t="shared" si="8"/>
        <v>147</v>
      </c>
      <c r="AI120" s="14">
        <f t="shared" si="9"/>
        <v>59</v>
      </c>
      <c r="AJ120" s="14">
        <f t="shared" si="10"/>
        <v>42</v>
      </c>
      <c r="AK120" s="14">
        <f t="shared" si="11"/>
        <v>152</v>
      </c>
      <c r="AL120" s="14">
        <f t="shared" si="12"/>
        <v>53</v>
      </c>
      <c r="AM120" s="14">
        <f t="shared" si="13"/>
        <v>47</v>
      </c>
      <c r="AN120" s="14">
        <f t="shared" si="14"/>
        <v>10</v>
      </c>
      <c r="AO120" s="14">
        <f t="shared" si="15"/>
        <v>12</v>
      </c>
    </row>
    <row r="121" spans="1:41" ht="12" hidden="1" x14ac:dyDescent="0.25">
      <c r="A121" s="14">
        <v>540083</v>
      </c>
      <c r="B121" s="17" t="s">
        <v>335</v>
      </c>
      <c r="C121" s="17" t="s">
        <v>330</v>
      </c>
      <c r="D121" s="17" t="s">
        <v>2</v>
      </c>
      <c r="E121" s="14">
        <v>3</v>
      </c>
      <c r="F121" s="14" t="s">
        <v>333</v>
      </c>
      <c r="G121" s="14">
        <v>624</v>
      </c>
      <c r="H121" s="14">
        <v>36</v>
      </c>
      <c r="I121" s="14">
        <v>20</v>
      </c>
      <c r="J121" s="14">
        <v>2</v>
      </c>
      <c r="K121" s="14">
        <v>682</v>
      </c>
      <c r="L121" s="16">
        <v>0.91500000000000004</v>
      </c>
      <c r="M121" s="16">
        <v>5.2999999999999999E-2</v>
      </c>
      <c r="N121" s="16">
        <v>2.9000000000000001E-2</v>
      </c>
      <c r="O121" s="16">
        <v>3.0000000000000001E-3</v>
      </c>
      <c r="P121" s="16">
        <v>0</v>
      </c>
      <c r="Q121" s="16">
        <v>3.0000000000000001E-3</v>
      </c>
      <c r="R121" s="2"/>
      <c r="S121" s="14">
        <v>109</v>
      </c>
      <c r="T121" s="14">
        <v>2</v>
      </c>
      <c r="U121" s="14">
        <v>1</v>
      </c>
      <c r="V121" s="2"/>
      <c r="W121" s="14">
        <v>1957.2</v>
      </c>
      <c r="X121" s="14">
        <v>1955</v>
      </c>
      <c r="Y121" s="15">
        <v>95930.7</v>
      </c>
      <c r="Z121" s="15">
        <v>64850</v>
      </c>
      <c r="AA121" s="15">
        <v>73058.100000000006</v>
      </c>
      <c r="AB121" s="15">
        <v>63700</v>
      </c>
      <c r="AC121" s="16">
        <v>0.104</v>
      </c>
      <c r="AD121" s="16">
        <v>6.7000000000000004E-2</v>
      </c>
      <c r="AE121" s="15">
        <v>9718.7000000000007</v>
      </c>
      <c r="AF121" s="15">
        <v>4301.7</v>
      </c>
      <c r="AG121" s="2"/>
      <c r="AH121" s="14">
        <f t="shared" si="8"/>
        <v>176</v>
      </c>
      <c r="AI121" s="14">
        <f t="shared" si="9"/>
        <v>10</v>
      </c>
      <c r="AJ121" s="14">
        <f t="shared" si="10"/>
        <v>56</v>
      </c>
      <c r="AK121" s="14">
        <f t="shared" si="11"/>
        <v>135</v>
      </c>
      <c r="AL121" s="14">
        <f t="shared" si="12"/>
        <v>43</v>
      </c>
      <c r="AM121" s="14">
        <f t="shared" si="13"/>
        <v>32</v>
      </c>
      <c r="AN121" s="14">
        <f t="shared" si="14"/>
        <v>150</v>
      </c>
      <c r="AO121" s="14">
        <f t="shared" si="15"/>
        <v>103</v>
      </c>
    </row>
    <row r="122" spans="1:41" ht="12" hidden="1" x14ac:dyDescent="0.25">
      <c r="A122" s="14">
        <v>540223</v>
      </c>
      <c r="B122" s="17" t="s">
        <v>334</v>
      </c>
      <c r="C122" s="17" t="s">
        <v>330</v>
      </c>
      <c r="D122" s="17" t="s">
        <v>2</v>
      </c>
      <c r="E122" s="14">
        <v>3</v>
      </c>
      <c r="F122" s="14" t="s">
        <v>333</v>
      </c>
      <c r="G122" s="14">
        <v>341</v>
      </c>
      <c r="H122" s="14">
        <v>2</v>
      </c>
      <c r="I122" s="14">
        <v>39</v>
      </c>
      <c r="J122" s="14">
        <v>7</v>
      </c>
      <c r="K122" s="14">
        <v>389</v>
      </c>
      <c r="L122" s="16">
        <v>0.877</v>
      </c>
      <c r="M122" s="16">
        <v>5.0000000000000001E-3</v>
      </c>
      <c r="N122" s="16">
        <v>0.1</v>
      </c>
      <c r="O122" s="16">
        <v>1.7999999999999999E-2</v>
      </c>
      <c r="P122" s="16">
        <v>0</v>
      </c>
      <c r="Q122" s="16">
        <v>1.2999999999999999E-2</v>
      </c>
      <c r="R122" s="2"/>
      <c r="S122" s="14">
        <v>160</v>
      </c>
      <c r="T122" s="14">
        <v>9</v>
      </c>
      <c r="U122" s="14">
        <v>2</v>
      </c>
      <c r="V122" s="2"/>
      <c r="W122" s="14">
        <v>1951.2</v>
      </c>
      <c r="X122" s="14">
        <v>1946</v>
      </c>
      <c r="Y122" s="15">
        <v>374815</v>
      </c>
      <c r="Z122" s="15">
        <v>69500</v>
      </c>
      <c r="AA122" s="15">
        <v>81661.5</v>
      </c>
      <c r="AB122" s="15">
        <v>67400</v>
      </c>
      <c r="AC122" s="16">
        <v>0.23300000000000001</v>
      </c>
      <c r="AD122" s="16">
        <v>0.19400000000000001</v>
      </c>
      <c r="AE122" s="15">
        <v>28253.8</v>
      </c>
      <c r="AF122" s="15">
        <v>13274.4</v>
      </c>
      <c r="AG122" s="2"/>
      <c r="AH122" s="14">
        <f t="shared" si="8"/>
        <v>124</v>
      </c>
      <c r="AI122" s="14">
        <f t="shared" si="9"/>
        <v>6</v>
      </c>
      <c r="AJ122" s="14">
        <f t="shared" si="10"/>
        <v>19</v>
      </c>
      <c r="AK122" s="14">
        <f t="shared" si="11"/>
        <v>103</v>
      </c>
      <c r="AL122" s="14">
        <f t="shared" si="12"/>
        <v>33</v>
      </c>
      <c r="AM122" s="14">
        <f t="shared" si="13"/>
        <v>22</v>
      </c>
      <c r="AN122" s="14">
        <f t="shared" si="14"/>
        <v>51</v>
      </c>
      <c r="AO122" s="14">
        <f t="shared" si="15"/>
        <v>21</v>
      </c>
    </row>
    <row r="123" spans="1:41" ht="12" hidden="1" x14ac:dyDescent="0.25">
      <c r="A123" s="14">
        <v>540279</v>
      </c>
      <c r="B123" s="17" t="s">
        <v>332</v>
      </c>
      <c r="C123" s="17" t="s">
        <v>330</v>
      </c>
      <c r="D123" s="17" t="s">
        <v>2</v>
      </c>
      <c r="E123" s="14">
        <v>3</v>
      </c>
      <c r="F123" s="14" t="s">
        <v>331</v>
      </c>
      <c r="G123" s="14">
        <v>13</v>
      </c>
      <c r="H123" s="14">
        <v>2</v>
      </c>
      <c r="I123" s="14">
        <v>4</v>
      </c>
      <c r="J123" s="14">
        <v>2</v>
      </c>
      <c r="K123" s="14">
        <v>21</v>
      </c>
      <c r="L123" s="16">
        <v>0.61899999999999999</v>
      </c>
      <c r="M123" s="16">
        <v>9.5000000000000001E-2</v>
      </c>
      <c r="N123" s="16">
        <v>0.19</v>
      </c>
      <c r="O123" s="16">
        <v>9.5000000000000001E-2</v>
      </c>
      <c r="P123" s="16">
        <v>4.8000000000000001E-2</v>
      </c>
      <c r="Q123" s="16">
        <v>4.8000000000000001E-2</v>
      </c>
      <c r="R123" s="2"/>
      <c r="S123" s="14">
        <v>1</v>
      </c>
      <c r="T123" s="14">
        <v>1</v>
      </c>
      <c r="U123" s="14">
        <v>0</v>
      </c>
      <c r="V123" s="2"/>
      <c r="W123" s="14">
        <v>1960.2</v>
      </c>
      <c r="X123" s="14">
        <v>1950</v>
      </c>
      <c r="Y123" s="15">
        <v>32857.1</v>
      </c>
      <c r="Z123" s="15">
        <v>25000</v>
      </c>
      <c r="AA123" s="15">
        <v>28089.5</v>
      </c>
      <c r="AB123" s="15">
        <v>20600</v>
      </c>
      <c r="AC123" s="16">
        <v>0.27600000000000002</v>
      </c>
      <c r="AD123" s="16">
        <v>0.193</v>
      </c>
      <c r="AE123" s="15">
        <v>4520.2</v>
      </c>
      <c r="AF123" s="15">
        <v>3908.1</v>
      </c>
      <c r="AG123" s="2"/>
      <c r="AH123" s="14">
        <f t="shared" si="8"/>
        <v>65</v>
      </c>
      <c r="AI123" s="14">
        <f t="shared" si="9"/>
        <v>151</v>
      </c>
      <c r="AJ123" s="14">
        <f t="shared" si="10"/>
        <v>80</v>
      </c>
      <c r="AK123" s="14">
        <f t="shared" si="11"/>
        <v>120</v>
      </c>
      <c r="AL123" s="14">
        <f t="shared" si="12"/>
        <v>172</v>
      </c>
      <c r="AM123" s="14">
        <f t="shared" si="13"/>
        <v>185</v>
      </c>
      <c r="AN123" s="14">
        <f t="shared" si="14"/>
        <v>53</v>
      </c>
      <c r="AO123" s="14">
        <f t="shared" si="15"/>
        <v>116</v>
      </c>
    </row>
    <row r="124" spans="1:41" ht="12" hidden="1" x14ac:dyDescent="0.25">
      <c r="A124" s="25">
        <v>540033</v>
      </c>
      <c r="B124" s="26" t="s">
        <v>11</v>
      </c>
      <c r="C124" s="26" t="s">
        <v>330</v>
      </c>
      <c r="D124" s="26" t="s">
        <v>58</v>
      </c>
      <c r="E124" s="25">
        <v>3</v>
      </c>
      <c r="F124" s="25" t="s">
        <v>162</v>
      </c>
      <c r="G124" s="25">
        <v>0</v>
      </c>
      <c r="H124" s="25">
        <v>0</v>
      </c>
      <c r="I124" s="25">
        <v>0</v>
      </c>
      <c r="J124" s="25">
        <v>0</v>
      </c>
      <c r="K124" s="25">
        <v>0</v>
      </c>
      <c r="L124" s="24" t="s">
        <v>5</v>
      </c>
      <c r="M124" s="24" t="s">
        <v>5</v>
      </c>
      <c r="N124" s="24" t="s">
        <v>5</v>
      </c>
      <c r="O124" s="24" t="s">
        <v>5</v>
      </c>
      <c r="P124" s="24" t="s">
        <v>5</v>
      </c>
      <c r="Q124" s="24" t="s">
        <v>5</v>
      </c>
      <c r="R124" s="2"/>
      <c r="S124" s="25">
        <v>0</v>
      </c>
      <c r="T124" s="25">
        <v>0</v>
      </c>
      <c r="U124" s="25">
        <v>0</v>
      </c>
      <c r="V124" s="2"/>
      <c r="W124" s="25">
        <v>0</v>
      </c>
      <c r="X124" s="25">
        <v>0</v>
      </c>
      <c r="Y124" s="23">
        <v>0</v>
      </c>
      <c r="Z124" s="23">
        <v>0</v>
      </c>
      <c r="AA124" s="23">
        <v>0</v>
      </c>
      <c r="AB124" s="23">
        <v>0</v>
      </c>
      <c r="AC124" s="24">
        <v>0</v>
      </c>
      <c r="AD124" s="24">
        <v>0</v>
      </c>
      <c r="AE124" s="23">
        <v>0</v>
      </c>
      <c r="AF124" s="23">
        <v>0</v>
      </c>
      <c r="AG124" s="2"/>
      <c r="AH124" s="14" t="str">
        <f t="shared" si="8"/>
        <v/>
      </c>
      <c r="AI124" s="14" t="str">
        <f t="shared" si="9"/>
        <v/>
      </c>
      <c r="AJ124" s="14" t="str">
        <f t="shared" si="10"/>
        <v/>
      </c>
      <c r="AK124" s="14" t="str">
        <f t="shared" si="11"/>
        <v/>
      </c>
      <c r="AL124" s="14" t="str">
        <f t="shared" si="12"/>
        <v/>
      </c>
      <c r="AM124" s="14" t="str">
        <f t="shared" si="13"/>
        <v/>
      </c>
      <c r="AN124" s="14" t="str">
        <f t="shared" si="14"/>
        <v/>
      </c>
      <c r="AO124" s="14" t="str">
        <f t="shared" si="15"/>
        <v/>
      </c>
    </row>
    <row r="125" spans="1:41" hidden="1" x14ac:dyDescent="0.3">
      <c r="A125" s="129"/>
      <c r="B125" s="130"/>
      <c r="C125" s="130" t="s">
        <v>330</v>
      </c>
      <c r="D125" s="130" t="s">
        <v>26</v>
      </c>
      <c r="E125" s="129">
        <v>3</v>
      </c>
      <c r="F125" s="129"/>
      <c r="G125" s="129">
        <v>11025</v>
      </c>
      <c r="H125" s="129">
        <v>281</v>
      </c>
      <c r="I125" s="129">
        <v>2740</v>
      </c>
      <c r="J125" s="129">
        <v>802</v>
      </c>
      <c r="K125" s="129">
        <v>14848</v>
      </c>
      <c r="L125" s="131">
        <v>0.74299999999999999</v>
      </c>
      <c r="M125" s="131">
        <v>1.9E-2</v>
      </c>
      <c r="N125" s="131">
        <v>0.185</v>
      </c>
      <c r="O125" s="131">
        <v>5.3999999999999999E-2</v>
      </c>
      <c r="P125" s="131">
        <v>3.3000000000000002E-2</v>
      </c>
      <c r="Q125" s="131">
        <v>1.4999999999999999E-2</v>
      </c>
      <c r="S125" s="129">
        <v>3388</v>
      </c>
      <c r="T125" s="129">
        <v>386</v>
      </c>
      <c r="U125" s="129">
        <v>245</v>
      </c>
      <c r="W125" s="129">
        <v>1960.3</v>
      </c>
      <c r="X125" s="129">
        <v>1955</v>
      </c>
      <c r="Y125" s="132">
        <v>116797.5</v>
      </c>
      <c r="Z125" s="132">
        <v>49500</v>
      </c>
      <c r="AA125" s="132">
        <v>63874.6</v>
      </c>
      <c r="AB125" s="132">
        <v>53600</v>
      </c>
      <c r="AC125" s="131">
        <v>0.23400000000000001</v>
      </c>
      <c r="AD125" s="131">
        <v>0.16600000000000001</v>
      </c>
      <c r="AE125" s="132">
        <v>15010.2</v>
      </c>
      <c r="AF125" s="132">
        <v>7461.8</v>
      </c>
      <c r="AH125" s="129">
        <f t="shared" si="8"/>
        <v>35</v>
      </c>
      <c r="AI125" s="129">
        <f t="shared" si="9"/>
        <v>1</v>
      </c>
      <c r="AJ125" s="129">
        <f t="shared" si="10"/>
        <v>1</v>
      </c>
      <c r="AK125" s="129">
        <f t="shared" si="11"/>
        <v>10</v>
      </c>
      <c r="AL125" s="129">
        <f t="shared" si="12"/>
        <v>13</v>
      </c>
      <c r="AM125" s="129">
        <f t="shared" si="13"/>
        <v>18</v>
      </c>
      <c r="AN125" s="129">
        <f t="shared" si="14"/>
        <v>24</v>
      </c>
      <c r="AO125" s="129">
        <f t="shared" si="15"/>
        <v>18</v>
      </c>
    </row>
    <row r="126" spans="1:41" ht="12" hidden="1" x14ac:dyDescent="0.25">
      <c r="A126" s="19">
        <v>540085</v>
      </c>
      <c r="B126" s="22" t="s">
        <v>329</v>
      </c>
      <c r="C126" s="22" t="s">
        <v>326</v>
      </c>
      <c r="D126" s="22" t="s">
        <v>29</v>
      </c>
      <c r="E126" s="19">
        <v>7</v>
      </c>
      <c r="F126" s="19" t="s">
        <v>81</v>
      </c>
      <c r="G126" s="19">
        <v>447</v>
      </c>
      <c r="H126" s="19">
        <v>1</v>
      </c>
      <c r="I126" s="19">
        <v>154</v>
      </c>
      <c r="J126" s="19">
        <v>82</v>
      </c>
      <c r="K126" s="19">
        <v>684</v>
      </c>
      <c r="L126" s="21">
        <v>0.65400000000000003</v>
      </c>
      <c r="M126" s="21">
        <v>1E-3</v>
      </c>
      <c r="N126" s="21">
        <v>0.22500000000000001</v>
      </c>
      <c r="O126" s="21">
        <v>0.12</v>
      </c>
      <c r="P126" s="21">
        <v>7.0000000000000007E-2</v>
      </c>
      <c r="Q126" s="21">
        <v>3.1E-2</v>
      </c>
      <c r="R126" s="2"/>
      <c r="S126" s="19">
        <v>79</v>
      </c>
      <c r="T126" s="19">
        <v>13</v>
      </c>
      <c r="U126" s="19">
        <v>6</v>
      </c>
      <c r="V126" s="2"/>
      <c r="W126" s="19">
        <v>1964.4</v>
      </c>
      <c r="X126" s="19">
        <v>1972</v>
      </c>
      <c r="Y126" s="20">
        <v>89491.1</v>
      </c>
      <c r="Z126" s="20">
        <v>47900</v>
      </c>
      <c r="AA126" s="20">
        <v>66142.899999999994</v>
      </c>
      <c r="AB126" s="20">
        <v>40900</v>
      </c>
      <c r="AC126" s="21">
        <v>0.223</v>
      </c>
      <c r="AD126" s="21">
        <v>0.14000000000000001</v>
      </c>
      <c r="AE126" s="20">
        <v>18665.099999999999</v>
      </c>
      <c r="AF126" s="20">
        <v>10368</v>
      </c>
      <c r="AG126" s="2"/>
      <c r="AH126" s="19">
        <f t="shared" si="8"/>
        <v>32</v>
      </c>
      <c r="AI126" s="19">
        <f t="shared" si="9"/>
        <v>37</v>
      </c>
      <c r="AJ126" s="19">
        <f t="shared" si="10"/>
        <v>36</v>
      </c>
      <c r="AK126" s="19">
        <f t="shared" si="11"/>
        <v>27</v>
      </c>
      <c r="AL126" s="19">
        <f t="shared" si="12"/>
        <v>15</v>
      </c>
      <c r="AM126" s="19">
        <f t="shared" si="13"/>
        <v>21</v>
      </c>
      <c r="AN126" s="19">
        <f t="shared" si="14"/>
        <v>39</v>
      </c>
      <c r="AO126" s="19">
        <f t="shared" si="15"/>
        <v>11</v>
      </c>
    </row>
    <row r="127" spans="1:41" ht="12" hidden="1" x14ac:dyDescent="0.25">
      <c r="A127" s="14">
        <v>540086</v>
      </c>
      <c r="B127" s="17" t="s">
        <v>328</v>
      </c>
      <c r="C127" s="17" t="s">
        <v>326</v>
      </c>
      <c r="D127" s="17" t="s">
        <v>2</v>
      </c>
      <c r="E127" s="14">
        <v>7</v>
      </c>
      <c r="F127" s="14" t="s">
        <v>116</v>
      </c>
      <c r="G127" s="14">
        <v>18</v>
      </c>
      <c r="H127" s="14">
        <v>0</v>
      </c>
      <c r="I127" s="14">
        <v>11</v>
      </c>
      <c r="J127" s="14">
        <v>3</v>
      </c>
      <c r="K127" s="14">
        <v>32</v>
      </c>
      <c r="L127" s="16">
        <v>0.56299999999999994</v>
      </c>
      <c r="M127" s="16">
        <v>0</v>
      </c>
      <c r="N127" s="16">
        <v>0.34399999999999997</v>
      </c>
      <c r="O127" s="16">
        <v>9.4E-2</v>
      </c>
      <c r="P127" s="16">
        <v>6.3E-2</v>
      </c>
      <c r="Q127" s="16">
        <v>0</v>
      </c>
      <c r="R127" s="2"/>
      <c r="S127" s="14">
        <v>12</v>
      </c>
      <c r="T127" s="14">
        <v>5</v>
      </c>
      <c r="U127" s="14">
        <v>0</v>
      </c>
      <c r="V127" s="2"/>
      <c r="W127" s="14">
        <v>1952.4</v>
      </c>
      <c r="X127" s="14">
        <v>1938</v>
      </c>
      <c r="Y127" s="15">
        <v>81611.3</v>
      </c>
      <c r="Z127" s="15">
        <v>57850</v>
      </c>
      <c r="AA127" s="15">
        <v>50853.2</v>
      </c>
      <c r="AB127" s="15">
        <v>40500</v>
      </c>
      <c r="AC127" s="16">
        <v>0.246</v>
      </c>
      <c r="AD127" s="16">
        <v>0.19</v>
      </c>
      <c r="AE127" s="15">
        <v>15460.3</v>
      </c>
      <c r="AF127" s="15">
        <v>10351.5</v>
      </c>
      <c r="AG127" s="2"/>
      <c r="AH127" s="14">
        <f t="shared" si="8"/>
        <v>27</v>
      </c>
      <c r="AI127" s="14">
        <f t="shared" si="9"/>
        <v>81</v>
      </c>
      <c r="AJ127" s="14">
        <f t="shared" si="10"/>
        <v>31</v>
      </c>
      <c r="AK127" s="14">
        <f t="shared" si="11"/>
        <v>68</v>
      </c>
      <c r="AL127" s="14">
        <f t="shared" si="12"/>
        <v>52</v>
      </c>
      <c r="AM127" s="14">
        <f t="shared" si="13"/>
        <v>95</v>
      </c>
      <c r="AN127" s="14">
        <f t="shared" si="14"/>
        <v>56</v>
      </c>
      <c r="AO127" s="14">
        <f t="shared" si="15"/>
        <v>33</v>
      </c>
    </row>
    <row r="128" spans="1:41" ht="12" hidden="1" x14ac:dyDescent="0.25">
      <c r="A128" s="14">
        <v>540087</v>
      </c>
      <c r="B128" s="17" t="s">
        <v>327</v>
      </c>
      <c r="C128" s="17" t="s">
        <v>326</v>
      </c>
      <c r="D128" s="17" t="s">
        <v>2</v>
      </c>
      <c r="E128" s="14">
        <v>7</v>
      </c>
      <c r="F128" s="14" t="s">
        <v>162</v>
      </c>
      <c r="G128" s="14">
        <v>294</v>
      </c>
      <c r="H128" s="14">
        <v>0</v>
      </c>
      <c r="I128" s="14">
        <v>35</v>
      </c>
      <c r="J128" s="14">
        <v>10</v>
      </c>
      <c r="K128" s="14">
        <v>339</v>
      </c>
      <c r="L128" s="16">
        <v>0.86699999999999999</v>
      </c>
      <c r="M128" s="16">
        <v>0</v>
      </c>
      <c r="N128" s="16">
        <v>0.10299999999999999</v>
      </c>
      <c r="O128" s="16">
        <v>2.9000000000000001E-2</v>
      </c>
      <c r="P128" s="16">
        <v>6.0000000000000001E-3</v>
      </c>
      <c r="Q128" s="16">
        <v>1.7999999999999999E-2</v>
      </c>
      <c r="R128" s="2"/>
      <c r="S128" s="14">
        <v>11</v>
      </c>
      <c r="T128" s="14">
        <v>1</v>
      </c>
      <c r="U128" s="14">
        <v>1</v>
      </c>
      <c r="V128" s="2"/>
      <c r="W128" s="14">
        <v>1931.6</v>
      </c>
      <c r="X128" s="14">
        <v>1920</v>
      </c>
      <c r="Y128" s="15">
        <v>90735.5</v>
      </c>
      <c r="Z128" s="15">
        <v>42200</v>
      </c>
      <c r="AA128" s="15">
        <v>53505.1</v>
      </c>
      <c r="AB128" s="15">
        <v>38000</v>
      </c>
      <c r="AC128" s="16">
        <v>8.6999999999999994E-2</v>
      </c>
      <c r="AD128" s="16">
        <v>6.2E-2</v>
      </c>
      <c r="AE128" s="15">
        <v>6059</v>
      </c>
      <c r="AF128" s="15">
        <v>2015.8</v>
      </c>
      <c r="AG128" s="2"/>
      <c r="AH128" s="14">
        <f t="shared" si="8"/>
        <v>122</v>
      </c>
      <c r="AI128" s="14">
        <f t="shared" si="9"/>
        <v>89</v>
      </c>
      <c r="AJ128" s="14">
        <f t="shared" si="10"/>
        <v>80</v>
      </c>
      <c r="AK128" s="14">
        <f t="shared" si="11"/>
        <v>21</v>
      </c>
      <c r="AL128" s="14">
        <f t="shared" si="12"/>
        <v>105</v>
      </c>
      <c r="AM128" s="14">
        <f t="shared" si="13"/>
        <v>104</v>
      </c>
      <c r="AN128" s="14">
        <f t="shared" si="14"/>
        <v>156</v>
      </c>
      <c r="AO128" s="14">
        <f t="shared" si="15"/>
        <v>166</v>
      </c>
    </row>
    <row r="129" spans="1:41" hidden="1" x14ac:dyDescent="0.3">
      <c r="A129" s="129"/>
      <c r="B129" s="130"/>
      <c r="C129" s="130" t="s">
        <v>326</v>
      </c>
      <c r="D129" s="130" t="s">
        <v>26</v>
      </c>
      <c r="E129" s="129">
        <v>7</v>
      </c>
      <c r="F129" s="129"/>
      <c r="G129" s="129">
        <v>759</v>
      </c>
      <c r="H129" s="129">
        <v>1</v>
      </c>
      <c r="I129" s="129">
        <v>200</v>
      </c>
      <c r="J129" s="129">
        <v>95</v>
      </c>
      <c r="K129" s="129">
        <v>1055</v>
      </c>
      <c r="L129" s="131">
        <v>0.71899999999999997</v>
      </c>
      <c r="M129" s="131">
        <v>1E-3</v>
      </c>
      <c r="N129" s="131">
        <v>0.19</v>
      </c>
      <c r="O129" s="131">
        <v>0.09</v>
      </c>
      <c r="P129" s="131">
        <v>4.9000000000000002E-2</v>
      </c>
      <c r="Q129" s="131">
        <v>2.5999999999999999E-2</v>
      </c>
      <c r="S129" s="129">
        <v>102</v>
      </c>
      <c r="T129" s="129">
        <v>19</v>
      </c>
      <c r="U129" s="129">
        <v>7</v>
      </c>
      <c r="W129" s="129">
        <v>1952.8</v>
      </c>
      <c r="X129" s="129">
        <v>1957.5</v>
      </c>
      <c r="Y129" s="132">
        <v>89652</v>
      </c>
      <c r="Z129" s="132">
        <v>45400</v>
      </c>
      <c r="AA129" s="132">
        <v>60039.4</v>
      </c>
      <c r="AB129" s="132">
        <v>49650</v>
      </c>
      <c r="AC129" s="131">
        <v>0.17199999999999999</v>
      </c>
      <c r="AD129" s="131">
        <v>0.13</v>
      </c>
      <c r="AE129" s="132">
        <v>13493.2</v>
      </c>
      <c r="AF129" s="132">
        <v>6186.1</v>
      </c>
      <c r="AH129" s="129">
        <f t="shared" si="8"/>
        <v>34</v>
      </c>
      <c r="AI129" s="129">
        <f t="shared" si="9"/>
        <v>42</v>
      </c>
      <c r="AJ129" s="129">
        <f t="shared" si="10"/>
        <v>37</v>
      </c>
      <c r="AK129" s="129">
        <f t="shared" si="11"/>
        <v>16</v>
      </c>
      <c r="AL129" s="129">
        <f t="shared" si="12"/>
        <v>19</v>
      </c>
      <c r="AM129" s="129">
        <f t="shared" si="13"/>
        <v>24</v>
      </c>
      <c r="AN129" s="129">
        <f t="shared" si="14"/>
        <v>39</v>
      </c>
      <c r="AO129" s="129">
        <f t="shared" si="15"/>
        <v>28</v>
      </c>
    </row>
    <row r="130" spans="1:41" ht="12" x14ac:dyDescent="0.25">
      <c r="A130" s="19">
        <v>540088</v>
      </c>
      <c r="B130" s="22" t="s">
        <v>325</v>
      </c>
      <c r="C130" s="22" t="s">
        <v>321</v>
      </c>
      <c r="D130" s="22" t="s">
        <v>29</v>
      </c>
      <c r="E130" s="19">
        <v>2</v>
      </c>
      <c r="F130" s="19" t="s">
        <v>77</v>
      </c>
      <c r="G130" s="19">
        <v>1443</v>
      </c>
      <c r="H130" s="19">
        <v>22</v>
      </c>
      <c r="I130" s="19">
        <v>894</v>
      </c>
      <c r="J130" s="19">
        <v>205</v>
      </c>
      <c r="K130" s="19">
        <v>2564</v>
      </c>
      <c r="L130" s="21">
        <v>0.56299999999999994</v>
      </c>
      <c r="M130" s="21">
        <v>8.9999999999999993E-3</v>
      </c>
      <c r="N130" s="21">
        <v>0.34899999999999998</v>
      </c>
      <c r="O130" s="21">
        <v>0.08</v>
      </c>
      <c r="P130" s="21">
        <v>4.9000000000000002E-2</v>
      </c>
      <c r="Q130" s="21">
        <v>5.0000000000000001E-3</v>
      </c>
      <c r="R130" s="2"/>
      <c r="S130" s="19">
        <v>236</v>
      </c>
      <c r="T130" s="19">
        <v>84</v>
      </c>
      <c r="U130" s="19">
        <v>31</v>
      </c>
      <c r="V130" s="2"/>
      <c r="W130" s="19">
        <v>1977.4</v>
      </c>
      <c r="X130" s="19">
        <v>1979</v>
      </c>
      <c r="Y130" s="20">
        <v>47365.7</v>
      </c>
      <c r="Z130" s="20">
        <v>25700</v>
      </c>
      <c r="AA130" s="20">
        <v>34421.1</v>
      </c>
      <c r="AB130" s="20">
        <v>24900</v>
      </c>
      <c r="AC130" s="21">
        <v>0.32100000000000001</v>
      </c>
      <c r="AD130" s="21">
        <v>0.22800000000000001</v>
      </c>
      <c r="AE130" s="20">
        <v>10964.4</v>
      </c>
      <c r="AF130" s="20">
        <v>6596.5</v>
      </c>
      <c r="AG130" s="2"/>
      <c r="AH130" s="19">
        <f t="shared" si="8"/>
        <v>8</v>
      </c>
      <c r="AI130" s="19">
        <f t="shared" si="9"/>
        <v>13</v>
      </c>
      <c r="AJ130" s="19">
        <f t="shared" si="10"/>
        <v>10</v>
      </c>
      <c r="AK130" s="19">
        <f t="shared" si="11"/>
        <v>47</v>
      </c>
      <c r="AL130" s="19">
        <f t="shared" si="12"/>
        <v>50</v>
      </c>
      <c r="AM130" s="19">
        <f t="shared" si="13"/>
        <v>48</v>
      </c>
      <c r="AN130" s="19">
        <f t="shared" si="14"/>
        <v>18</v>
      </c>
      <c r="AO130" s="19">
        <f t="shared" si="15"/>
        <v>25</v>
      </c>
    </row>
    <row r="131" spans="1:41" ht="12" x14ac:dyDescent="0.25">
      <c r="A131" s="14">
        <v>540089</v>
      </c>
      <c r="B131" s="17" t="s">
        <v>324</v>
      </c>
      <c r="C131" s="17" t="s">
        <v>321</v>
      </c>
      <c r="D131" s="17" t="s">
        <v>2</v>
      </c>
      <c r="E131" s="14">
        <v>2</v>
      </c>
      <c r="F131" s="14" t="s">
        <v>322</v>
      </c>
      <c r="G131" s="14">
        <v>100</v>
      </c>
      <c r="H131" s="14">
        <v>0</v>
      </c>
      <c r="I131" s="14">
        <v>16</v>
      </c>
      <c r="J131" s="14">
        <v>1</v>
      </c>
      <c r="K131" s="14">
        <v>117</v>
      </c>
      <c r="L131" s="16">
        <v>0.85499999999999998</v>
      </c>
      <c r="M131" s="16">
        <v>0</v>
      </c>
      <c r="N131" s="16">
        <v>0.13700000000000001</v>
      </c>
      <c r="O131" s="16">
        <v>8.9999999999999993E-3</v>
      </c>
      <c r="P131" s="16">
        <v>8.9999999999999993E-3</v>
      </c>
      <c r="Q131" s="16">
        <v>0</v>
      </c>
      <c r="R131" s="2"/>
      <c r="S131" s="14">
        <v>21</v>
      </c>
      <c r="T131" s="14">
        <v>2</v>
      </c>
      <c r="U131" s="14">
        <v>3</v>
      </c>
      <c r="V131" s="2"/>
      <c r="W131" s="14">
        <v>1949.6</v>
      </c>
      <c r="X131" s="14">
        <v>1945</v>
      </c>
      <c r="Y131" s="15">
        <v>33325.800000000003</v>
      </c>
      <c r="Z131" s="15">
        <v>24200</v>
      </c>
      <c r="AA131" s="15">
        <v>30357.4</v>
      </c>
      <c r="AB131" s="15">
        <v>23750</v>
      </c>
      <c r="AC131" s="16">
        <v>0.26200000000000001</v>
      </c>
      <c r="AD131" s="16">
        <v>0.25600000000000001</v>
      </c>
      <c r="AE131" s="15">
        <v>7072.7</v>
      </c>
      <c r="AF131" s="15">
        <v>4926.8</v>
      </c>
      <c r="AG131" s="2"/>
      <c r="AH131" s="14">
        <f t="shared" si="8"/>
        <v>96</v>
      </c>
      <c r="AI131" s="14">
        <f t="shared" si="9"/>
        <v>60</v>
      </c>
      <c r="AJ131" s="14">
        <f t="shared" si="10"/>
        <v>56</v>
      </c>
      <c r="AK131" s="14">
        <f t="shared" si="11"/>
        <v>98</v>
      </c>
      <c r="AL131" s="14">
        <f t="shared" si="12"/>
        <v>180</v>
      </c>
      <c r="AM131" s="14">
        <f t="shared" si="13"/>
        <v>172</v>
      </c>
      <c r="AN131" s="14">
        <f t="shared" si="14"/>
        <v>30</v>
      </c>
      <c r="AO131" s="14">
        <f t="shared" si="15"/>
        <v>90</v>
      </c>
    </row>
    <row r="132" spans="1:41" ht="12" x14ac:dyDescent="0.25">
      <c r="A132" s="14">
        <v>540090</v>
      </c>
      <c r="B132" s="17" t="s">
        <v>323</v>
      </c>
      <c r="C132" s="17" t="s">
        <v>321</v>
      </c>
      <c r="D132" s="17" t="s">
        <v>2</v>
      </c>
      <c r="E132" s="14">
        <v>2</v>
      </c>
      <c r="F132" s="14" t="s">
        <v>322</v>
      </c>
      <c r="G132" s="14">
        <v>38</v>
      </c>
      <c r="H132" s="14">
        <v>0</v>
      </c>
      <c r="I132" s="14">
        <v>4</v>
      </c>
      <c r="J132" s="14">
        <v>1</v>
      </c>
      <c r="K132" s="14">
        <v>43</v>
      </c>
      <c r="L132" s="16">
        <v>0.88400000000000001</v>
      </c>
      <c r="M132" s="16">
        <v>0</v>
      </c>
      <c r="N132" s="16">
        <v>9.2999999999999999E-2</v>
      </c>
      <c r="O132" s="16">
        <v>2.3E-2</v>
      </c>
      <c r="P132" s="16">
        <v>2.3E-2</v>
      </c>
      <c r="Q132" s="16">
        <v>0</v>
      </c>
      <c r="R132" s="2"/>
      <c r="S132" s="14">
        <v>0</v>
      </c>
      <c r="T132" s="14">
        <v>0</v>
      </c>
      <c r="U132" s="14">
        <v>0</v>
      </c>
      <c r="V132" s="2"/>
      <c r="W132" s="14">
        <v>1948.8</v>
      </c>
      <c r="X132" s="14">
        <v>1952</v>
      </c>
      <c r="Y132" s="15">
        <v>24189.5</v>
      </c>
      <c r="Z132" s="15">
        <v>17800</v>
      </c>
      <c r="AA132" s="15">
        <v>20939.7</v>
      </c>
      <c r="AB132" s="15">
        <v>16300</v>
      </c>
      <c r="AC132" s="16">
        <v>0.313</v>
      </c>
      <c r="AD132" s="16">
        <v>0.313</v>
      </c>
      <c r="AE132" s="15">
        <v>6277.7</v>
      </c>
      <c r="AF132" s="15">
        <v>6277.7</v>
      </c>
      <c r="AG132" s="2"/>
      <c r="AH132" s="14">
        <f t="shared" si="8"/>
        <v>132</v>
      </c>
      <c r="AI132" s="14">
        <f t="shared" si="9"/>
        <v>172</v>
      </c>
      <c r="AJ132" s="14">
        <f t="shared" si="10"/>
        <v>108</v>
      </c>
      <c r="AK132" s="14">
        <f t="shared" si="11"/>
        <v>131</v>
      </c>
      <c r="AL132" s="14">
        <f t="shared" si="12"/>
        <v>198</v>
      </c>
      <c r="AM132" s="14">
        <f t="shared" si="13"/>
        <v>195</v>
      </c>
      <c r="AN132" s="14">
        <f t="shared" si="14"/>
        <v>13</v>
      </c>
      <c r="AO132" s="14">
        <f t="shared" si="15"/>
        <v>73</v>
      </c>
    </row>
    <row r="133" spans="1:41" x14ac:dyDescent="0.3">
      <c r="A133" s="129"/>
      <c r="B133" s="130"/>
      <c r="C133" s="130" t="s">
        <v>321</v>
      </c>
      <c r="D133" s="130" t="s">
        <v>26</v>
      </c>
      <c r="E133" s="129">
        <v>2</v>
      </c>
      <c r="F133" s="129"/>
      <c r="G133" s="129">
        <v>1581</v>
      </c>
      <c r="H133" s="129">
        <v>22</v>
      </c>
      <c r="I133" s="129">
        <v>914</v>
      </c>
      <c r="J133" s="129">
        <v>207</v>
      </c>
      <c r="K133" s="129">
        <v>2724</v>
      </c>
      <c r="L133" s="131">
        <v>0.57999999999999996</v>
      </c>
      <c r="M133" s="131">
        <v>8.0000000000000002E-3</v>
      </c>
      <c r="N133" s="131">
        <v>0.33600000000000002</v>
      </c>
      <c r="O133" s="131">
        <v>7.5999999999999998E-2</v>
      </c>
      <c r="P133" s="131">
        <v>4.7E-2</v>
      </c>
      <c r="Q133" s="131">
        <v>4.0000000000000001E-3</v>
      </c>
      <c r="S133" s="129">
        <v>257</v>
      </c>
      <c r="T133" s="129">
        <v>86</v>
      </c>
      <c r="U133" s="129">
        <v>34</v>
      </c>
      <c r="W133" s="129">
        <v>1975.6</v>
      </c>
      <c r="X133" s="129">
        <v>1978</v>
      </c>
      <c r="Y133" s="132">
        <v>46396.800000000003</v>
      </c>
      <c r="Z133" s="132">
        <v>25416.5</v>
      </c>
      <c r="AA133" s="132">
        <v>40398.6</v>
      </c>
      <c r="AB133" s="132">
        <v>31550</v>
      </c>
      <c r="AC133" s="131">
        <v>0.311</v>
      </c>
      <c r="AD133" s="131">
        <v>0.23</v>
      </c>
      <c r="AE133" s="132">
        <v>10335.299999999999</v>
      </c>
      <c r="AF133" s="132">
        <v>6348</v>
      </c>
      <c r="AH133" s="129">
        <f t="shared" si="8"/>
        <v>7</v>
      </c>
      <c r="AI133" s="129">
        <f t="shared" si="9"/>
        <v>24</v>
      </c>
      <c r="AJ133" s="129">
        <f t="shared" si="10"/>
        <v>11</v>
      </c>
      <c r="AK133" s="129">
        <f t="shared" si="11"/>
        <v>50</v>
      </c>
      <c r="AL133" s="129">
        <f t="shared" si="12"/>
        <v>52</v>
      </c>
      <c r="AM133" s="129">
        <f t="shared" si="13"/>
        <v>44</v>
      </c>
      <c r="AN133" s="129">
        <f t="shared" si="14"/>
        <v>12</v>
      </c>
      <c r="AO133" s="129">
        <f t="shared" si="15"/>
        <v>24</v>
      </c>
    </row>
    <row r="134" spans="1:41" ht="12" x14ac:dyDescent="0.25">
      <c r="A134" s="19">
        <v>545536</v>
      </c>
      <c r="B134" s="22" t="s">
        <v>320</v>
      </c>
      <c r="C134" s="22" t="s">
        <v>308</v>
      </c>
      <c r="D134" s="22" t="s">
        <v>29</v>
      </c>
      <c r="E134" s="19">
        <v>2</v>
      </c>
      <c r="F134" s="19" t="s">
        <v>319</v>
      </c>
      <c r="G134" s="19">
        <v>2479</v>
      </c>
      <c r="H134" s="19">
        <v>375</v>
      </c>
      <c r="I134" s="19">
        <v>2001</v>
      </c>
      <c r="J134" s="19">
        <v>392</v>
      </c>
      <c r="K134" s="19">
        <v>5247</v>
      </c>
      <c r="L134" s="21">
        <v>0.47199999999999998</v>
      </c>
      <c r="M134" s="21">
        <v>7.0999999999999994E-2</v>
      </c>
      <c r="N134" s="21">
        <v>0.38100000000000001</v>
      </c>
      <c r="O134" s="21">
        <v>7.4999999999999997E-2</v>
      </c>
      <c r="P134" s="21">
        <v>5.6000000000000001E-2</v>
      </c>
      <c r="Q134" s="21">
        <v>0.01</v>
      </c>
      <c r="R134" s="2"/>
      <c r="S134" s="19">
        <v>713</v>
      </c>
      <c r="T134" s="19">
        <v>195</v>
      </c>
      <c r="U134" s="19">
        <v>60</v>
      </c>
      <c r="V134" s="2"/>
      <c r="W134" s="19">
        <v>1961.3</v>
      </c>
      <c r="X134" s="19">
        <v>1970</v>
      </c>
      <c r="Y134" s="20">
        <v>50415.4</v>
      </c>
      <c r="Z134" s="20">
        <v>28600</v>
      </c>
      <c r="AA134" s="20">
        <v>35152.6</v>
      </c>
      <c r="AB134" s="20">
        <v>27300</v>
      </c>
      <c r="AC134" s="21">
        <v>0.222</v>
      </c>
      <c r="AD134" s="21">
        <v>0.158</v>
      </c>
      <c r="AE134" s="20">
        <v>8167.1</v>
      </c>
      <c r="AF134" s="20">
        <v>4450.5</v>
      </c>
      <c r="AG134" s="2"/>
      <c r="AH134" s="19">
        <f t="shared" ref="AH134:AH168" si="16">IF($D134 = "SPLIT", "",COUNTIFS($D$7:$D$346,$D134,N$7:N$346,"&gt;"&amp;N134)+1)</f>
        <v>6</v>
      </c>
      <c r="AI134" s="19">
        <f t="shared" ref="AI134:AI168" si="17">IF($D134 = "SPLIT", "",COUNTIFS($D$7:$D$346,$D134,S$7:S$346,"&gt;"&amp;S134)+1)</f>
        <v>2</v>
      </c>
      <c r="AJ134" s="19">
        <f t="shared" ref="AJ134:AJ168" si="18">IF($D134 = "SPLIT", "",COUNTIFS($D$7:$D$346,$D134,T$7:T$346,"&gt;"&amp;T134)+1)</f>
        <v>2</v>
      </c>
      <c r="AK134" s="19">
        <f t="shared" ref="AK134:AK168" si="19">IF($D134 = "SPLIT", "",COUNTIFS($D$7:$D$346,$D134,X$7:X$346,"&lt;"&amp;X134)+1)</f>
        <v>21</v>
      </c>
      <c r="AL134" s="19">
        <f t="shared" ref="AL134:AL168" si="20">IF($D134 = "SPLIT", "",COUNTIFS($D$7:$D$346,$D134,Z$7:Z$346,"&gt;"&amp;Z134)+1)</f>
        <v>40</v>
      </c>
      <c r="AM134" s="19">
        <f t="shared" ref="AM134:AM168" si="21">IF($D134 = "SPLIT", "",COUNTIFS($D$7:$D$346,$D134,AB$7:AB$346,"&gt;"&amp;AB134)+1)</f>
        <v>40</v>
      </c>
      <c r="AN134" s="19">
        <f t="shared" ref="AN134:AN168" si="22">IF($D134 = "SPLIT", "",COUNTIFS($D$7:$D$346,$D134,AD$7:AD$346,"&gt;"&amp;AD134)+1)</f>
        <v>34</v>
      </c>
      <c r="AO134" s="19">
        <f t="shared" ref="AO134:AO168" si="23">IF($D134 = "SPLIT", "",COUNTIFS($D$7:$D$346,$D134,AF$7:AF$346,"&gt;"&amp;AF134)+1)</f>
        <v>40</v>
      </c>
    </row>
    <row r="135" spans="1:41" ht="12" x14ac:dyDescent="0.25">
      <c r="A135" s="14">
        <v>540092</v>
      </c>
      <c r="B135" s="17" t="s">
        <v>318</v>
      </c>
      <c r="C135" s="17" t="s">
        <v>308</v>
      </c>
      <c r="D135" s="17" t="s">
        <v>2</v>
      </c>
      <c r="E135" s="14">
        <v>2</v>
      </c>
      <c r="F135" s="14" t="s">
        <v>317</v>
      </c>
      <c r="G135" s="14">
        <v>18</v>
      </c>
      <c r="H135" s="14">
        <v>4</v>
      </c>
      <c r="I135" s="14">
        <v>43</v>
      </c>
      <c r="J135" s="14">
        <v>3</v>
      </c>
      <c r="K135" s="14">
        <v>68</v>
      </c>
      <c r="L135" s="16">
        <v>0.26500000000000001</v>
      </c>
      <c r="M135" s="16">
        <v>5.8999999999999997E-2</v>
      </c>
      <c r="N135" s="16">
        <v>0.63200000000000001</v>
      </c>
      <c r="O135" s="16">
        <v>4.3999999999999997E-2</v>
      </c>
      <c r="P135" s="16">
        <v>1.4999999999999999E-2</v>
      </c>
      <c r="Q135" s="16">
        <v>0</v>
      </c>
      <c r="R135" s="2"/>
      <c r="S135" s="14">
        <v>9</v>
      </c>
      <c r="T135" s="14">
        <v>1</v>
      </c>
      <c r="U135" s="14">
        <v>0</v>
      </c>
      <c r="V135" s="2"/>
      <c r="W135" s="14">
        <v>1978.8</v>
      </c>
      <c r="X135" s="14">
        <v>1986</v>
      </c>
      <c r="Y135" s="15">
        <v>793441.4</v>
      </c>
      <c r="Z135" s="15">
        <v>34350</v>
      </c>
      <c r="AA135" s="15">
        <v>121250.2</v>
      </c>
      <c r="AB135" s="15">
        <v>40900</v>
      </c>
      <c r="AC135" s="16">
        <v>0.153</v>
      </c>
      <c r="AD135" s="16">
        <v>0.14000000000000001</v>
      </c>
      <c r="AE135" s="15">
        <v>20398</v>
      </c>
      <c r="AF135" s="15">
        <v>6632.7</v>
      </c>
      <c r="AG135" s="2"/>
      <c r="AH135" s="14">
        <f t="shared" si="16"/>
        <v>7</v>
      </c>
      <c r="AI135" s="14">
        <f t="shared" si="17"/>
        <v>97</v>
      </c>
      <c r="AJ135" s="14">
        <f t="shared" si="18"/>
        <v>80</v>
      </c>
      <c r="AK135" s="14">
        <f t="shared" si="19"/>
        <v>200</v>
      </c>
      <c r="AL135" s="14">
        <f t="shared" si="20"/>
        <v>141</v>
      </c>
      <c r="AM135" s="14">
        <f t="shared" si="21"/>
        <v>93</v>
      </c>
      <c r="AN135" s="14">
        <f t="shared" si="22"/>
        <v>82</v>
      </c>
      <c r="AO135" s="14">
        <f t="shared" si="23"/>
        <v>68</v>
      </c>
    </row>
    <row r="136" spans="1:41" ht="12" x14ac:dyDescent="0.25">
      <c r="A136" s="14">
        <v>540095</v>
      </c>
      <c r="B136" s="17" t="s">
        <v>316</v>
      </c>
      <c r="C136" s="17" t="s">
        <v>308</v>
      </c>
      <c r="D136" s="17" t="s">
        <v>2</v>
      </c>
      <c r="E136" s="14">
        <v>2</v>
      </c>
      <c r="F136" s="14" t="s">
        <v>315</v>
      </c>
      <c r="G136" s="14">
        <v>17</v>
      </c>
      <c r="H136" s="14">
        <v>0</v>
      </c>
      <c r="I136" s="14">
        <v>13</v>
      </c>
      <c r="J136" s="14">
        <v>0</v>
      </c>
      <c r="K136" s="14">
        <v>30</v>
      </c>
      <c r="L136" s="16">
        <v>0.56699999999999995</v>
      </c>
      <c r="M136" s="16">
        <v>0</v>
      </c>
      <c r="N136" s="16">
        <v>0.433</v>
      </c>
      <c r="O136" s="16">
        <v>0</v>
      </c>
      <c r="P136" s="16">
        <v>0</v>
      </c>
      <c r="Q136" s="16">
        <v>0</v>
      </c>
      <c r="R136" s="2"/>
      <c r="S136" s="14">
        <v>0</v>
      </c>
      <c r="T136" s="14">
        <v>0</v>
      </c>
      <c r="U136" s="14">
        <v>0</v>
      </c>
      <c r="V136" s="2"/>
      <c r="W136" s="14">
        <v>1968.4</v>
      </c>
      <c r="X136" s="14">
        <v>1951</v>
      </c>
      <c r="Y136" s="15">
        <v>140126.70000000001</v>
      </c>
      <c r="Z136" s="15">
        <v>141150</v>
      </c>
      <c r="AA136" s="15">
        <v>140126.70000000001</v>
      </c>
      <c r="AB136" s="15">
        <v>141150</v>
      </c>
      <c r="AC136" s="16">
        <v>0.04</v>
      </c>
      <c r="AD136" s="16">
        <v>0.04</v>
      </c>
      <c r="AE136" s="15">
        <v>9716</v>
      </c>
      <c r="AF136" s="15">
        <v>9716</v>
      </c>
      <c r="AG136" s="2"/>
      <c r="AH136" s="14">
        <f t="shared" si="16"/>
        <v>16</v>
      </c>
      <c r="AI136" s="14">
        <f t="shared" si="17"/>
        <v>172</v>
      </c>
      <c r="AJ136" s="14">
        <f t="shared" si="18"/>
        <v>108</v>
      </c>
      <c r="AK136" s="14">
        <f t="shared" si="19"/>
        <v>129</v>
      </c>
      <c r="AL136" s="14">
        <f t="shared" si="20"/>
        <v>7</v>
      </c>
      <c r="AM136" s="14">
        <f t="shared" si="21"/>
        <v>5</v>
      </c>
      <c r="AN136" s="14">
        <f t="shared" si="22"/>
        <v>175</v>
      </c>
      <c r="AO136" s="14">
        <f t="shared" si="23"/>
        <v>40</v>
      </c>
    </row>
    <row r="137" spans="1:41" ht="12" x14ac:dyDescent="0.25">
      <c r="A137" s="14">
        <v>545535</v>
      </c>
      <c r="B137" s="17" t="s">
        <v>314</v>
      </c>
      <c r="C137" s="17" t="s">
        <v>308</v>
      </c>
      <c r="D137" s="17" t="s">
        <v>2</v>
      </c>
      <c r="E137" s="14">
        <v>2</v>
      </c>
      <c r="F137" s="14" t="s">
        <v>313</v>
      </c>
      <c r="G137" s="14">
        <v>1</v>
      </c>
      <c r="H137" s="14">
        <v>0</v>
      </c>
      <c r="I137" s="14">
        <v>3</v>
      </c>
      <c r="J137" s="14">
        <v>0</v>
      </c>
      <c r="K137" s="14">
        <v>4</v>
      </c>
      <c r="L137" s="16">
        <v>0.25</v>
      </c>
      <c r="M137" s="16">
        <v>0</v>
      </c>
      <c r="N137" s="16">
        <v>0.75</v>
      </c>
      <c r="O137" s="16">
        <v>0</v>
      </c>
      <c r="P137" s="16">
        <v>0</v>
      </c>
      <c r="Q137" s="16">
        <v>0</v>
      </c>
      <c r="R137" s="2"/>
      <c r="S137" s="14">
        <v>0</v>
      </c>
      <c r="T137" s="14">
        <v>0</v>
      </c>
      <c r="U137" s="14">
        <v>0</v>
      </c>
      <c r="V137" s="2"/>
      <c r="W137" s="14">
        <v>1989.3</v>
      </c>
      <c r="X137" s="14">
        <v>1988</v>
      </c>
      <c r="Y137" s="15">
        <v>441106.5</v>
      </c>
      <c r="Z137" s="15">
        <v>134350</v>
      </c>
      <c r="AA137" s="15">
        <v>163500</v>
      </c>
      <c r="AB137" s="15">
        <v>163500</v>
      </c>
      <c r="AC137" s="16">
        <v>3.4000000000000002E-2</v>
      </c>
      <c r="AD137" s="16">
        <v>3.4000000000000002E-2</v>
      </c>
      <c r="AE137" s="15">
        <v>4732.3</v>
      </c>
      <c r="AF137" s="15">
        <v>4732.3</v>
      </c>
      <c r="AG137" s="2"/>
      <c r="AH137" s="14">
        <f t="shared" si="16"/>
        <v>5</v>
      </c>
      <c r="AI137" s="14">
        <f t="shared" si="17"/>
        <v>172</v>
      </c>
      <c r="AJ137" s="14">
        <f t="shared" si="18"/>
        <v>108</v>
      </c>
      <c r="AK137" s="14">
        <f t="shared" si="19"/>
        <v>205</v>
      </c>
      <c r="AL137" s="14">
        <f t="shared" si="20"/>
        <v>8</v>
      </c>
      <c r="AM137" s="14">
        <f t="shared" si="21"/>
        <v>4</v>
      </c>
      <c r="AN137" s="14">
        <f t="shared" si="22"/>
        <v>186</v>
      </c>
      <c r="AO137" s="14">
        <f t="shared" si="23"/>
        <v>94</v>
      </c>
    </row>
    <row r="138" spans="1:41" ht="12" x14ac:dyDescent="0.25">
      <c r="A138" s="14">
        <v>545537</v>
      </c>
      <c r="B138" s="17" t="s">
        <v>312</v>
      </c>
      <c r="C138" s="17" t="s">
        <v>308</v>
      </c>
      <c r="D138" s="17" t="s">
        <v>2</v>
      </c>
      <c r="E138" s="14">
        <v>2</v>
      </c>
      <c r="F138" s="14" t="s">
        <v>311</v>
      </c>
      <c r="G138" s="14">
        <v>113</v>
      </c>
      <c r="H138" s="14">
        <v>5</v>
      </c>
      <c r="I138" s="14">
        <v>40</v>
      </c>
      <c r="J138" s="14">
        <v>6</v>
      </c>
      <c r="K138" s="14">
        <v>164</v>
      </c>
      <c r="L138" s="16">
        <v>0.68899999999999995</v>
      </c>
      <c r="M138" s="16">
        <v>0.03</v>
      </c>
      <c r="N138" s="16">
        <v>0.24399999999999999</v>
      </c>
      <c r="O138" s="16">
        <v>3.6999999999999998E-2</v>
      </c>
      <c r="P138" s="16">
        <v>1.7999999999999999E-2</v>
      </c>
      <c r="Q138" s="16">
        <v>1.7999999999999999E-2</v>
      </c>
      <c r="R138" s="2"/>
      <c r="S138" s="14">
        <v>47</v>
      </c>
      <c r="T138" s="14">
        <v>8</v>
      </c>
      <c r="U138" s="14">
        <v>3</v>
      </c>
      <c r="V138" s="2"/>
      <c r="W138" s="14">
        <v>1954.6</v>
      </c>
      <c r="X138" s="14">
        <v>1948.5</v>
      </c>
      <c r="Y138" s="15">
        <v>66549.100000000006</v>
      </c>
      <c r="Z138" s="15">
        <v>51550</v>
      </c>
      <c r="AA138" s="15">
        <v>47628.9</v>
      </c>
      <c r="AB138" s="15">
        <v>41437.5</v>
      </c>
      <c r="AC138" s="16">
        <v>0.18099999999999999</v>
      </c>
      <c r="AD138" s="16">
        <v>0.14799999999999999</v>
      </c>
      <c r="AE138" s="15">
        <v>10274.299999999999</v>
      </c>
      <c r="AF138" s="15">
        <v>8724.2000000000007</v>
      </c>
      <c r="AG138" s="2"/>
      <c r="AH138" s="14">
        <f t="shared" si="16"/>
        <v>47</v>
      </c>
      <c r="AI138" s="14">
        <f t="shared" si="17"/>
        <v>32</v>
      </c>
      <c r="AJ138" s="14">
        <f t="shared" si="18"/>
        <v>23</v>
      </c>
      <c r="AK138" s="14">
        <f t="shared" si="19"/>
        <v>116</v>
      </c>
      <c r="AL138" s="14">
        <f t="shared" si="20"/>
        <v>71</v>
      </c>
      <c r="AM138" s="14">
        <f t="shared" si="21"/>
        <v>88</v>
      </c>
      <c r="AN138" s="14">
        <f t="shared" si="22"/>
        <v>77</v>
      </c>
      <c r="AO138" s="14">
        <f t="shared" si="23"/>
        <v>46</v>
      </c>
    </row>
    <row r="139" spans="1:41" ht="12" x14ac:dyDescent="0.25">
      <c r="A139" s="14">
        <v>545539</v>
      </c>
      <c r="B139" s="17" t="s">
        <v>310</v>
      </c>
      <c r="C139" s="17" t="s">
        <v>308</v>
      </c>
      <c r="D139" s="17" t="s">
        <v>2</v>
      </c>
      <c r="E139" s="14">
        <v>2</v>
      </c>
      <c r="F139" s="14" t="s">
        <v>309</v>
      </c>
      <c r="G139" s="14">
        <v>15</v>
      </c>
      <c r="H139" s="14">
        <v>0</v>
      </c>
      <c r="I139" s="14">
        <v>3</v>
      </c>
      <c r="J139" s="14">
        <v>0</v>
      </c>
      <c r="K139" s="14">
        <v>18</v>
      </c>
      <c r="L139" s="16">
        <v>0.83299999999999996</v>
      </c>
      <c r="M139" s="16">
        <v>0</v>
      </c>
      <c r="N139" s="16">
        <v>0.16700000000000001</v>
      </c>
      <c r="O139" s="16">
        <v>0</v>
      </c>
      <c r="P139" s="16">
        <v>0</v>
      </c>
      <c r="Q139" s="16">
        <v>0</v>
      </c>
      <c r="R139" s="2"/>
      <c r="S139" s="14">
        <v>0</v>
      </c>
      <c r="T139" s="14">
        <v>0</v>
      </c>
      <c r="U139" s="14">
        <v>0</v>
      </c>
      <c r="V139" s="2"/>
      <c r="W139" s="14">
        <v>1944.9</v>
      </c>
      <c r="X139" s="14">
        <v>1931.5</v>
      </c>
      <c r="Y139" s="15">
        <v>22161.1</v>
      </c>
      <c r="Z139" s="15">
        <v>20500</v>
      </c>
      <c r="AA139" s="15">
        <v>23784.6</v>
      </c>
      <c r="AB139" s="15">
        <v>20900</v>
      </c>
      <c r="AC139" s="16">
        <v>6.0999999999999999E-2</v>
      </c>
      <c r="AD139" s="16">
        <v>7.2999999999999995E-2</v>
      </c>
      <c r="AE139" s="15">
        <v>1086.3</v>
      </c>
      <c r="AF139" s="15">
        <v>1237.0999999999999</v>
      </c>
      <c r="AG139" s="2"/>
      <c r="AH139" s="14">
        <f t="shared" si="16"/>
        <v>78</v>
      </c>
      <c r="AI139" s="14">
        <f t="shared" si="17"/>
        <v>172</v>
      </c>
      <c r="AJ139" s="14">
        <f t="shared" si="18"/>
        <v>108</v>
      </c>
      <c r="AK139" s="14">
        <f t="shared" si="19"/>
        <v>57</v>
      </c>
      <c r="AL139" s="14">
        <f t="shared" si="20"/>
        <v>191</v>
      </c>
      <c r="AM139" s="14">
        <f t="shared" si="21"/>
        <v>183</v>
      </c>
      <c r="AN139" s="14">
        <f t="shared" si="22"/>
        <v>142</v>
      </c>
      <c r="AO139" s="14">
        <f t="shared" si="23"/>
        <v>183</v>
      </c>
    </row>
    <row r="140" spans="1:41" x14ac:dyDescent="0.3">
      <c r="A140" s="129"/>
      <c r="B140" s="130"/>
      <c r="C140" s="130" t="s">
        <v>308</v>
      </c>
      <c r="D140" s="130" t="s">
        <v>26</v>
      </c>
      <c r="E140" s="129">
        <v>2</v>
      </c>
      <c r="F140" s="129"/>
      <c r="G140" s="129">
        <v>2643</v>
      </c>
      <c r="H140" s="129">
        <v>384</v>
      </c>
      <c r="I140" s="129">
        <v>2103</v>
      </c>
      <c r="J140" s="129">
        <v>401</v>
      </c>
      <c r="K140" s="129">
        <v>5531</v>
      </c>
      <c r="L140" s="131">
        <v>0.47799999999999998</v>
      </c>
      <c r="M140" s="131">
        <v>6.9000000000000006E-2</v>
      </c>
      <c r="N140" s="131">
        <v>0.38</v>
      </c>
      <c r="O140" s="131">
        <v>7.2999999999999995E-2</v>
      </c>
      <c r="P140" s="131">
        <v>5.3999999999999999E-2</v>
      </c>
      <c r="Q140" s="131">
        <v>0.01</v>
      </c>
      <c r="S140" s="129">
        <v>769</v>
      </c>
      <c r="T140" s="129">
        <v>204</v>
      </c>
      <c r="U140" s="129">
        <v>63</v>
      </c>
      <c r="W140" s="129">
        <v>1961.3</v>
      </c>
      <c r="X140" s="129">
        <v>1970</v>
      </c>
      <c r="Y140" s="132">
        <v>60706</v>
      </c>
      <c r="Z140" s="132">
        <v>29200</v>
      </c>
      <c r="AA140" s="132">
        <v>43508.9</v>
      </c>
      <c r="AB140" s="132">
        <v>34050</v>
      </c>
      <c r="AC140" s="131">
        <v>0.219</v>
      </c>
      <c r="AD140" s="131">
        <v>0.156</v>
      </c>
      <c r="AE140" s="132">
        <v>8347.5</v>
      </c>
      <c r="AF140" s="132">
        <v>4493.7</v>
      </c>
      <c r="AH140" s="129">
        <f t="shared" si="16"/>
        <v>5</v>
      </c>
      <c r="AI140" s="129">
        <f t="shared" si="17"/>
        <v>4</v>
      </c>
      <c r="AJ140" s="129">
        <f t="shared" si="18"/>
        <v>3</v>
      </c>
      <c r="AK140" s="129">
        <f t="shared" si="19"/>
        <v>32</v>
      </c>
      <c r="AL140" s="129">
        <f t="shared" si="20"/>
        <v>42</v>
      </c>
      <c r="AM140" s="129">
        <f t="shared" si="21"/>
        <v>42</v>
      </c>
      <c r="AN140" s="129">
        <f t="shared" si="22"/>
        <v>28</v>
      </c>
      <c r="AO140" s="129">
        <f t="shared" si="23"/>
        <v>40</v>
      </c>
    </row>
    <row r="141" spans="1:41" ht="12" hidden="1" x14ac:dyDescent="0.25">
      <c r="A141" s="19">
        <v>540097</v>
      </c>
      <c r="B141" s="22" t="s">
        <v>307</v>
      </c>
      <c r="C141" s="22" t="s">
        <v>290</v>
      </c>
      <c r="D141" s="22" t="s">
        <v>29</v>
      </c>
      <c r="E141" s="19">
        <v>6</v>
      </c>
      <c r="F141" s="19" t="s">
        <v>306</v>
      </c>
      <c r="G141" s="19">
        <v>836</v>
      </c>
      <c r="H141" s="19">
        <v>41</v>
      </c>
      <c r="I141" s="19">
        <v>228</v>
      </c>
      <c r="J141" s="19">
        <v>57</v>
      </c>
      <c r="K141" s="19">
        <v>1162</v>
      </c>
      <c r="L141" s="21">
        <v>0.71899999999999997</v>
      </c>
      <c r="M141" s="21">
        <v>3.5000000000000003E-2</v>
      </c>
      <c r="N141" s="21">
        <v>0.19600000000000001</v>
      </c>
      <c r="O141" s="21">
        <v>4.9000000000000002E-2</v>
      </c>
      <c r="P141" s="21">
        <v>0.04</v>
      </c>
      <c r="Q141" s="21">
        <v>8.0000000000000002E-3</v>
      </c>
      <c r="R141" s="2"/>
      <c r="S141" s="19">
        <v>239</v>
      </c>
      <c r="T141" s="19">
        <v>24</v>
      </c>
      <c r="U141" s="19">
        <v>13</v>
      </c>
      <c r="V141" s="2"/>
      <c r="W141" s="19">
        <v>1958.5</v>
      </c>
      <c r="X141" s="19">
        <v>1965</v>
      </c>
      <c r="Y141" s="20">
        <v>70825.5</v>
      </c>
      <c r="Z141" s="20">
        <v>50400</v>
      </c>
      <c r="AA141" s="20">
        <v>64783.199999999997</v>
      </c>
      <c r="AB141" s="20">
        <v>50750</v>
      </c>
      <c r="AC141" s="21">
        <v>0.219</v>
      </c>
      <c r="AD141" s="21">
        <v>0.14499999999999999</v>
      </c>
      <c r="AE141" s="20">
        <v>12248.5</v>
      </c>
      <c r="AF141" s="20">
        <v>6705.8</v>
      </c>
      <c r="AG141" s="2"/>
      <c r="AH141" s="19">
        <f t="shared" si="16"/>
        <v>39</v>
      </c>
      <c r="AI141" s="19">
        <f t="shared" si="17"/>
        <v>12</v>
      </c>
      <c r="AJ141" s="19">
        <f t="shared" si="18"/>
        <v>28</v>
      </c>
      <c r="AK141" s="19">
        <f t="shared" si="19"/>
        <v>12</v>
      </c>
      <c r="AL141" s="19">
        <f t="shared" si="20"/>
        <v>11</v>
      </c>
      <c r="AM141" s="19">
        <f t="shared" si="21"/>
        <v>9</v>
      </c>
      <c r="AN141" s="19">
        <f t="shared" si="22"/>
        <v>36</v>
      </c>
      <c r="AO141" s="19">
        <f t="shared" si="23"/>
        <v>24</v>
      </c>
    </row>
    <row r="142" spans="1:41" ht="12" hidden="1" x14ac:dyDescent="0.25">
      <c r="A142" s="14">
        <v>540098</v>
      </c>
      <c r="B142" s="17" t="s">
        <v>305</v>
      </c>
      <c r="C142" s="17" t="s">
        <v>290</v>
      </c>
      <c r="D142" s="17" t="s">
        <v>2</v>
      </c>
      <c r="E142" s="14">
        <v>6</v>
      </c>
      <c r="F142" s="14" t="s">
        <v>293</v>
      </c>
      <c r="G142" s="14">
        <v>24</v>
      </c>
      <c r="H142" s="14">
        <v>0</v>
      </c>
      <c r="I142" s="14">
        <v>6</v>
      </c>
      <c r="J142" s="14">
        <v>0</v>
      </c>
      <c r="K142" s="14">
        <v>30</v>
      </c>
      <c r="L142" s="16">
        <v>0.8</v>
      </c>
      <c r="M142" s="16">
        <v>0</v>
      </c>
      <c r="N142" s="16">
        <v>0.2</v>
      </c>
      <c r="O142" s="16">
        <v>0</v>
      </c>
      <c r="P142" s="16">
        <v>0</v>
      </c>
      <c r="Q142" s="16">
        <v>0</v>
      </c>
      <c r="R142" s="2"/>
      <c r="S142" s="14">
        <v>0</v>
      </c>
      <c r="T142" s="14">
        <v>0</v>
      </c>
      <c r="U142" s="14">
        <v>0</v>
      </c>
      <c r="V142" s="2"/>
      <c r="W142" s="14">
        <v>1947.9</v>
      </c>
      <c r="X142" s="14">
        <v>1956</v>
      </c>
      <c r="Y142" s="15">
        <v>49240.1</v>
      </c>
      <c r="Z142" s="15">
        <v>32400</v>
      </c>
      <c r="AA142" s="15">
        <v>50168.2</v>
      </c>
      <c r="AB142" s="15">
        <v>31200</v>
      </c>
      <c r="AC142" s="16">
        <v>6.4000000000000001E-2</v>
      </c>
      <c r="AD142" s="16">
        <v>3.4000000000000002E-2</v>
      </c>
      <c r="AE142" s="15">
        <v>1802</v>
      </c>
      <c r="AF142" s="15">
        <v>1184.3</v>
      </c>
      <c r="AG142" s="2"/>
      <c r="AH142" s="14">
        <f t="shared" si="16"/>
        <v>61</v>
      </c>
      <c r="AI142" s="14">
        <f t="shared" si="17"/>
        <v>172</v>
      </c>
      <c r="AJ142" s="14">
        <f t="shared" si="18"/>
        <v>108</v>
      </c>
      <c r="AK142" s="14">
        <f t="shared" si="19"/>
        <v>139</v>
      </c>
      <c r="AL142" s="14">
        <f t="shared" si="20"/>
        <v>146</v>
      </c>
      <c r="AM142" s="14">
        <f t="shared" si="21"/>
        <v>133</v>
      </c>
      <c r="AN142" s="14">
        <f t="shared" si="22"/>
        <v>186</v>
      </c>
      <c r="AO142" s="14">
        <f t="shared" si="23"/>
        <v>184</v>
      </c>
    </row>
    <row r="143" spans="1:41" ht="12" hidden="1" x14ac:dyDescent="0.25">
      <c r="A143" s="14">
        <v>540099</v>
      </c>
      <c r="B143" s="17" t="s">
        <v>304</v>
      </c>
      <c r="C143" s="17" t="s">
        <v>290</v>
      </c>
      <c r="D143" s="17" t="s">
        <v>2</v>
      </c>
      <c r="E143" s="14">
        <v>6</v>
      </c>
      <c r="F143" s="14" t="s">
        <v>303</v>
      </c>
      <c r="G143" s="14">
        <v>37</v>
      </c>
      <c r="H143" s="14">
        <v>0</v>
      </c>
      <c r="I143" s="14">
        <v>11</v>
      </c>
      <c r="J143" s="14">
        <v>0</v>
      </c>
      <c r="K143" s="14">
        <v>48</v>
      </c>
      <c r="L143" s="16">
        <v>0.77100000000000002</v>
      </c>
      <c r="M143" s="16">
        <v>0</v>
      </c>
      <c r="N143" s="16">
        <v>0.22900000000000001</v>
      </c>
      <c r="O143" s="16">
        <v>0</v>
      </c>
      <c r="P143" s="16">
        <v>0</v>
      </c>
      <c r="Q143" s="16">
        <v>0</v>
      </c>
      <c r="R143" s="2"/>
      <c r="S143" s="14">
        <v>2</v>
      </c>
      <c r="T143" s="14">
        <v>1</v>
      </c>
      <c r="U143" s="14">
        <v>0</v>
      </c>
      <c r="V143" s="2"/>
      <c r="W143" s="14">
        <v>1954</v>
      </c>
      <c r="X143" s="14">
        <v>1953.5</v>
      </c>
      <c r="Y143" s="15">
        <v>180618.8</v>
      </c>
      <c r="Z143" s="15">
        <v>75350</v>
      </c>
      <c r="AA143" s="15">
        <v>113636.8</v>
      </c>
      <c r="AB143" s="15">
        <v>61500</v>
      </c>
      <c r="AC143" s="16">
        <v>5.6000000000000001E-2</v>
      </c>
      <c r="AD143" s="16">
        <v>0.04</v>
      </c>
      <c r="AE143" s="15">
        <v>11107.1</v>
      </c>
      <c r="AF143" s="15">
        <v>3326.4</v>
      </c>
      <c r="AG143" s="2"/>
      <c r="AH143" s="14">
        <f t="shared" si="16"/>
        <v>51</v>
      </c>
      <c r="AI143" s="14">
        <f t="shared" si="17"/>
        <v>134</v>
      </c>
      <c r="AJ143" s="14">
        <f t="shared" si="18"/>
        <v>80</v>
      </c>
      <c r="AK143" s="14">
        <f t="shared" si="19"/>
        <v>133</v>
      </c>
      <c r="AL143" s="14">
        <f t="shared" si="20"/>
        <v>27</v>
      </c>
      <c r="AM143" s="14">
        <f t="shared" si="21"/>
        <v>36</v>
      </c>
      <c r="AN143" s="14">
        <f t="shared" si="22"/>
        <v>175</v>
      </c>
      <c r="AO143" s="14">
        <f t="shared" si="23"/>
        <v>131</v>
      </c>
    </row>
    <row r="144" spans="1:41" ht="12" hidden="1" x14ac:dyDescent="0.25">
      <c r="A144" s="14">
        <v>540100</v>
      </c>
      <c r="B144" s="17" t="s">
        <v>302</v>
      </c>
      <c r="C144" s="17" t="s">
        <v>290</v>
      </c>
      <c r="D144" s="17" t="s">
        <v>2</v>
      </c>
      <c r="E144" s="14">
        <v>6</v>
      </c>
      <c r="F144" s="14" t="s">
        <v>293</v>
      </c>
      <c r="G144" s="14">
        <v>28</v>
      </c>
      <c r="H144" s="14">
        <v>1</v>
      </c>
      <c r="I144" s="14">
        <v>4</v>
      </c>
      <c r="J144" s="14">
        <v>0</v>
      </c>
      <c r="K144" s="14">
        <v>33</v>
      </c>
      <c r="L144" s="16">
        <v>0.84799999999999998</v>
      </c>
      <c r="M144" s="16">
        <v>0.03</v>
      </c>
      <c r="N144" s="16">
        <v>0.121</v>
      </c>
      <c r="O144" s="16">
        <v>0</v>
      </c>
      <c r="P144" s="16">
        <v>0</v>
      </c>
      <c r="Q144" s="16">
        <v>0</v>
      </c>
      <c r="R144" s="2"/>
      <c r="S144" s="14">
        <v>3</v>
      </c>
      <c r="T144" s="14">
        <v>0</v>
      </c>
      <c r="U144" s="14">
        <v>0</v>
      </c>
      <c r="V144" s="2"/>
      <c r="W144" s="14">
        <v>1933.5</v>
      </c>
      <c r="X144" s="14">
        <v>1920</v>
      </c>
      <c r="Y144" s="15">
        <v>226726.39999999999</v>
      </c>
      <c r="Z144" s="15">
        <v>32200</v>
      </c>
      <c r="AA144" s="15">
        <v>37803.199999999997</v>
      </c>
      <c r="AB144" s="15">
        <v>27950</v>
      </c>
      <c r="AC144" s="16">
        <v>0.16900000000000001</v>
      </c>
      <c r="AD144" s="16">
        <v>0.14499999999999999</v>
      </c>
      <c r="AE144" s="15">
        <v>74296.399999999994</v>
      </c>
      <c r="AF144" s="15">
        <v>3842.9</v>
      </c>
      <c r="AG144" s="2"/>
      <c r="AH144" s="14">
        <f t="shared" si="16"/>
        <v>108</v>
      </c>
      <c r="AI144" s="14">
        <f t="shared" si="17"/>
        <v>125</v>
      </c>
      <c r="AJ144" s="14">
        <f t="shared" si="18"/>
        <v>108</v>
      </c>
      <c r="AK144" s="14">
        <f t="shared" si="19"/>
        <v>21</v>
      </c>
      <c r="AL144" s="14">
        <f t="shared" si="20"/>
        <v>148</v>
      </c>
      <c r="AM144" s="14">
        <f t="shared" si="21"/>
        <v>152</v>
      </c>
      <c r="AN144" s="14">
        <f t="shared" si="22"/>
        <v>80</v>
      </c>
      <c r="AO144" s="14">
        <f t="shared" si="23"/>
        <v>118</v>
      </c>
    </row>
    <row r="145" spans="1:41" ht="12" hidden="1" x14ac:dyDescent="0.25">
      <c r="A145" s="14">
        <v>540101</v>
      </c>
      <c r="B145" s="17" t="s">
        <v>301</v>
      </c>
      <c r="C145" s="17" t="s">
        <v>290</v>
      </c>
      <c r="D145" s="17" t="s">
        <v>2</v>
      </c>
      <c r="E145" s="14">
        <v>6</v>
      </c>
      <c r="F145" s="14" t="s">
        <v>293</v>
      </c>
      <c r="G145" s="14">
        <v>36</v>
      </c>
      <c r="H145" s="14">
        <v>0</v>
      </c>
      <c r="I145" s="14">
        <v>15</v>
      </c>
      <c r="J145" s="14">
        <v>0</v>
      </c>
      <c r="K145" s="14">
        <v>51</v>
      </c>
      <c r="L145" s="16">
        <v>0.70599999999999996</v>
      </c>
      <c r="M145" s="16">
        <v>0</v>
      </c>
      <c r="N145" s="16">
        <v>0.29399999999999998</v>
      </c>
      <c r="O145" s="16">
        <v>0</v>
      </c>
      <c r="P145" s="16">
        <v>0</v>
      </c>
      <c r="Q145" s="16">
        <v>0</v>
      </c>
      <c r="R145" s="2"/>
      <c r="S145" s="14">
        <v>3</v>
      </c>
      <c r="T145" s="14">
        <v>0</v>
      </c>
      <c r="U145" s="14">
        <v>0</v>
      </c>
      <c r="V145" s="2"/>
      <c r="W145" s="14">
        <v>1951.5</v>
      </c>
      <c r="X145" s="14">
        <v>1949</v>
      </c>
      <c r="Y145" s="15">
        <v>125832.1</v>
      </c>
      <c r="Z145" s="15">
        <v>48400</v>
      </c>
      <c r="AA145" s="15">
        <v>65820.2</v>
      </c>
      <c r="AB145" s="15">
        <v>37900</v>
      </c>
      <c r="AC145" s="16">
        <v>3.6999999999999998E-2</v>
      </c>
      <c r="AD145" s="16">
        <v>3.5000000000000003E-2</v>
      </c>
      <c r="AE145" s="15">
        <v>4534.8</v>
      </c>
      <c r="AF145" s="15">
        <v>633.5</v>
      </c>
      <c r="AG145" s="2"/>
      <c r="AH145" s="14">
        <f t="shared" si="16"/>
        <v>35</v>
      </c>
      <c r="AI145" s="14">
        <f t="shared" si="17"/>
        <v>125</v>
      </c>
      <c r="AJ145" s="14">
        <f t="shared" si="18"/>
        <v>108</v>
      </c>
      <c r="AK145" s="14">
        <f t="shared" si="19"/>
        <v>118</v>
      </c>
      <c r="AL145" s="14">
        <f t="shared" si="20"/>
        <v>78</v>
      </c>
      <c r="AM145" s="14">
        <f t="shared" si="21"/>
        <v>106</v>
      </c>
      <c r="AN145" s="14">
        <f t="shared" si="22"/>
        <v>185</v>
      </c>
      <c r="AO145" s="14">
        <f t="shared" si="23"/>
        <v>194</v>
      </c>
    </row>
    <row r="146" spans="1:41" ht="12" hidden="1" x14ac:dyDescent="0.25">
      <c r="A146" s="14">
        <v>540102</v>
      </c>
      <c r="B146" s="17" t="s">
        <v>300</v>
      </c>
      <c r="C146" s="17" t="s">
        <v>290</v>
      </c>
      <c r="D146" s="17" t="s">
        <v>2</v>
      </c>
      <c r="E146" s="14">
        <v>6</v>
      </c>
      <c r="F146" s="14" t="s">
        <v>299</v>
      </c>
      <c r="G146" s="14">
        <v>36</v>
      </c>
      <c r="H146" s="14">
        <v>0</v>
      </c>
      <c r="I146" s="14">
        <v>0</v>
      </c>
      <c r="J146" s="14">
        <v>0</v>
      </c>
      <c r="K146" s="14">
        <v>36</v>
      </c>
      <c r="L146" s="16">
        <v>1</v>
      </c>
      <c r="M146" s="16">
        <v>0</v>
      </c>
      <c r="N146" s="16">
        <v>0</v>
      </c>
      <c r="O146" s="16">
        <v>0</v>
      </c>
      <c r="P146" s="16">
        <v>0</v>
      </c>
      <c r="Q146" s="16">
        <v>0</v>
      </c>
      <c r="R146" s="2"/>
      <c r="S146" s="14">
        <v>0</v>
      </c>
      <c r="T146" s="14">
        <v>0</v>
      </c>
      <c r="U146" s="14">
        <v>0</v>
      </c>
      <c r="V146" s="2"/>
      <c r="W146" s="14">
        <v>1919.2</v>
      </c>
      <c r="X146" s="14">
        <v>1907</v>
      </c>
      <c r="Y146" s="15">
        <v>27547.5</v>
      </c>
      <c r="Z146" s="15">
        <v>23200</v>
      </c>
      <c r="AA146" s="15">
        <v>23690.9</v>
      </c>
      <c r="AB146" s="15">
        <v>23200</v>
      </c>
      <c r="AC146" s="16">
        <v>0.04</v>
      </c>
      <c r="AD146" s="16">
        <v>0.04</v>
      </c>
      <c r="AE146" s="15">
        <v>979</v>
      </c>
      <c r="AF146" s="15">
        <v>858</v>
      </c>
      <c r="AG146" s="2"/>
      <c r="AH146" s="14">
        <f t="shared" si="16"/>
        <v>192</v>
      </c>
      <c r="AI146" s="14">
        <f t="shared" si="17"/>
        <v>172</v>
      </c>
      <c r="AJ146" s="14">
        <f t="shared" si="18"/>
        <v>108</v>
      </c>
      <c r="AK146" s="14">
        <f t="shared" si="19"/>
        <v>14</v>
      </c>
      <c r="AL146" s="14">
        <f t="shared" si="20"/>
        <v>184</v>
      </c>
      <c r="AM146" s="14">
        <f t="shared" si="21"/>
        <v>176</v>
      </c>
      <c r="AN146" s="14">
        <f t="shared" si="22"/>
        <v>175</v>
      </c>
      <c r="AO146" s="14">
        <f t="shared" si="23"/>
        <v>191</v>
      </c>
    </row>
    <row r="147" spans="1:41" ht="12" hidden="1" x14ac:dyDescent="0.25">
      <c r="A147" s="14">
        <v>540103</v>
      </c>
      <c r="B147" s="17" t="s">
        <v>298</v>
      </c>
      <c r="C147" s="17" t="s">
        <v>290</v>
      </c>
      <c r="D147" s="17" t="s">
        <v>2</v>
      </c>
      <c r="E147" s="14">
        <v>6</v>
      </c>
      <c r="F147" s="14" t="s">
        <v>297</v>
      </c>
      <c r="G147" s="14">
        <v>178</v>
      </c>
      <c r="H147" s="14">
        <v>0</v>
      </c>
      <c r="I147" s="14">
        <v>17</v>
      </c>
      <c r="J147" s="14">
        <v>7</v>
      </c>
      <c r="K147" s="14">
        <v>202</v>
      </c>
      <c r="L147" s="16">
        <v>0.88100000000000001</v>
      </c>
      <c r="M147" s="16">
        <v>0</v>
      </c>
      <c r="N147" s="16">
        <v>8.4000000000000005E-2</v>
      </c>
      <c r="O147" s="16">
        <v>3.5000000000000003E-2</v>
      </c>
      <c r="P147" s="16">
        <v>0.01</v>
      </c>
      <c r="Q147" s="16">
        <v>0.02</v>
      </c>
      <c r="R147" s="2"/>
      <c r="S147" s="14">
        <v>16</v>
      </c>
      <c r="T147" s="14">
        <v>4</v>
      </c>
      <c r="U147" s="14">
        <v>1</v>
      </c>
      <c r="V147" s="2"/>
      <c r="W147" s="14">
        <v>1919.4</v>
      </c>
      <c r="X147" s="14">
        <v>1905</v>
      </c>
      <c r="Y147" s="15">
        <v>114561.60000000001</v>
      </c>
      <c r="Z147" s="15">
        <v>49050</v>
      </c>
      <c r="AA147" s="15">
        <v>52151.5</v>
      </c>
      <c r="AB147" s="15">
        <v>48800</v>
      </c>
      <c r="AC147" s="16">
        <v>0.11600000000000001</v>
      </c>
      <c r="AD147" s="16">
        <v>7.0000000000000007E-2</v>
      </c>
      <c r="AE147" s="15">
        <v>4990.7</v>
      </c>
      <c r="AF147" s="15">
        <v>3274.8</v>
      </c>
      <c r="AG147" s="2"/>
      <c r="AH147" s="14">
        <f t="shared" si="16"/>
        <v>141</v>
      </c>
      <c r="AI147" s="14">
        <f t="shared" si="17"/>
        <v>72</v>
      </c>
      <c r="AJ147" s="14">
        <f t="shared" si="18"/>
        <v>37</v>
      </c>
      <c r="AK147" s="14">
        <f t="shared" si="19"/>
        <v>13</v>
      </c>
      <c r="AL147" s="14">
        <f t="shared" si="20"/>
        <v>75</v>
      </c>
      <c r="AM147" s="14">
        <f t="shared" si="21"/>
        <v>63</v>
      </c>
      <c r="AN147" s="14">
        <f t="shared" si="22"/>
        <v>145</v>
      </c>
      <c r="AO147" s="14">
        <f t="shared" si="23"/>
        <v>133</v>
      </c>
    </row>
    <row r="148" spans="1:41" ht="12" hidden="1" x14ac:dyDescent="0.25">
      <c r="A148" s="14">
        <v>540104</v>
      </c>
      <c r="B148" s="17" t="s">
        <v>296</v>
      </c>
      <c r="C148" s="17" t="s">
        <v>290</v>
      </c>
      <c r="D148" s="17" t="s">
        <v>2</v>
      </c>
      <c r="E148" s="14">
        <v>6</v>
      </c>
      <c r="F148" s="14" t="s">
        <v>293</v>
      </c>
      <c r="G148" s="14">
        <v>20</v>
      </c>
      <c r="H148" s="14">
        <v>0</v>
      </c>
      <c r="I148" s="14">
        <v>2</v>
      </c>
      <c r="J148" s="14">
        <v>0</v>
      </c>
      <c r="K148" s="14">
        <v>22</v>
      </c>
      <c r="L148" s="16">
        <v>0.90900000000000003</v>
      </c>
      <c r="M148" s="16">
        <v>0</v>
      </c>
      <c r="N148" s="16">
        <v>9.0999999999999998E-2</v>
      </c>
      <c r="O148" s="16">
        <v>0</v>
      </c>
      <c r="P148" s="16">
        <v>0</v>
      </c>
      <c r="Q148" s="16">
        <v>0</v>
      </c>
      <c r="R148" s="2"/>
      <c r="S148" s="14">
        <v>4</v>
      </c>
      <c r="T148" s="14">
        <v>0</v>
      </c>
      <c r="U148" s="14">
        <v>0</v>
      </c>
      <c r="V148" s="2"/>
      <c r="W148" s="14">
        <v>1931.2</v>
      </c>
      <c r="X148" s="14">
        <v>1916</v>
      </c>
      <c r="Y148" s="15">
        <v>89031.8</v>
      </c>
      <c r="Z148" s="15">
        <v>45500</v>
      </c>
      <c r="AA148" s="15">
        <v>47761.1</v>
      </c>
      <c r="AB148" s="15">
        <v>42850</v>
      </c>
      <c r="AC148" s="16">
        <v>0.187</v>
      </c>
      <c r="AD148" s="16">
        <v>0.14899999999999999</v>
      </c>
      <c r="AE148" s="15">
        <v>7737.2</v>
      </c>
      <c r="AF148" s="15">
        <v>4505.3999999999996</v>
      </c>
      <c r="AG148" s="2"/>
      <c r="AH148" s="14">
        <f t="shared" si="16"/>
        <v>134</v>
      </c>
      <c r="AI148" s="14">
        <f t="shared" si="17"/>
        <v>116</v>
      </c>
      <c r="AJ148" s="14">
        <f t="shared" si="18"/>
        <v>108</v>
      </c>
      <c r="AK148" s="14">
        <f t="shared" si="19"/>
        <v>19</v>
      </c>
      <c r="AL148" s="14">
        <f t="shared" si="20"/>
        <v>88</v>
      </c>
      <c r="AM148" s="14">
        <f t="shared" si="21"/>
        <v>85</v>
      </c>
      <c r="AN148" s="14">
        <f t="shared" si="22"/>
        <v>75</v>
      </c>
      <c r="AO148" s="14">
        <f t="shared" si="23"/>
        <v>97</v>
      </c>
    </row>
    <row r="149" spans="1:41" ht="12" hidden="1" x14ac:dyDescent="0.25">
      <c r="A149" s="14">
        <v>540105</v>
      </c>
      <c r="B149" s="17" t="s">
        <v>295</v>
      </c>
      <c r="C149" s="17" t="s">
        <v>290</v>
      </c>
      <c r="D149" s="17" t="s">
        <v>2</v>
      </c>
      <c r="E149" s="14">
        <v>6</v>
      </c>
      <c r="F149" s="14" t="s">
        <v>293</v>
      </c>
      <c r="G149" s="14">
        <v>20</v>
      </c>
      <c r="H149" s="14">
        <v>0</v>
      </c>
      <c r="I149" s="14">
        <v>3</v>
      </c>
      <c r="J149" s="14">
        <v>0</v>
      </c>
      <c r="K149" s="14">
        <v>23</v>
      </c>
      <c r="L149" s="16">
        <v>0.87</v>
      </c>
      <c r="M149" s="16">
        <v>0</v>
      </c>
      <c r="N149" s="16">
        <v>0.13</v>
      </c>
      <c r="O149" s="16">
        <v>0</v>
      </c>
      <c r="P149" s="16">
        <v>0</v>
      </c>
      <c r="Q149" s="16">
        <v>0</v>
      </c>
      <c r="R149" s="2"/>
      <c r="S149" s="14">
        <v>4</v>
      </c>
      <c r="T149" s="14">
        <v>0</v>
      </c>
      <c r="U149" s="14">
        <v>0</v>
      </c>
      <c r="V149" s="2"/>
      <c r="W149" s="14">
        <v>1947.4</v>
      </c>
      <c r="X149" s="14">
        <v>1940</v>
      </c>
      <c r="Y149" s="15">
        <v>58006.5</v>
      </c>
      <c r="Z149" s="15">
        <v>42500</v>
      </c>
      <c r="AA149" s="15">
        <v>32018.2</v>
      </c>
      <c r="AB149" s="15">
        <v>20200</v>
      </c>
      <c r="AC149" s="16">
        <v>0.19700000000000001</v>
      </c>
      <c r="AD149" s="16">
        <v>0.19700000000000001</v>
      </c>
      <c r="AE149" s="15">
        <v>6015.9</v>
      </c>
      <c r="AF149" s="15">
        <v>3697.9</v>
      </c>
      <c r="AG149" s="2"/>
      <c r="AH149" s="14">
        <f t="shared" si="16"/>
        <v>100</v>
      </c>
      <c r="AI149" s="14">
        <f t="shared" si="17"/>
        <v>116</v>
      </c>
      <c r="AJ149" s="14">
        <f t="shared" si="18"/>
        <v>108</v>
      </c>
      <c r="AK149" s="14">
        <f t="shared" si="19"/>
        <v>72</v>
      </c>
      <c r="AL149" s="14">
        <f t="shared" si="20"/>
        <v>104</v>
      </c>
      <c r="AM149" s="14">
        <f t="shared" si="21"/>
        <v>188</v>
      </c>
      <c r="AN149" s="14">
        <f t="shared" si="22"/>
        <v>50</v>
      </c>
      <c r="AO149" s="14">
        <f t="shared" si="23"/>
        <v>121</v>
      </c>
    </row>
    <row r="150" spans="1:41" ht="12" hidden="1" x14ac:dyDescent="0.25">
      <c r="A150" s="14">
        <v>540106</v>
      </c>
      <c r="B150" s="17" t="s">
        <v>294</v>
      </c>
      <c r="C150" s="17" t="s">
        <v>290</v>
      </c>
      <c r="D150" s="17" t="s">
        <v>2</v>
      </c>
      <c r="E150" s="14">
        <v>6</v>
      </c>
      <c r="F150" s="14" t="s">
        <v>293</v>
      </c>
      <c r="G150" s="14">
        <v>46</v>
      </c>
      <c r="H150" s="14">
        <v>0</v>
      </c>
      <c r="I150" s="14">
        <v>1</v>
      </c>
      <c r="J150" s="14">
        <v>0</v>
      </c>
      <c r="K150" s="14">
        <v>47</v>
      </c>
      <c r="L150" s="16">
        <v>0.97899999999999998</v>
      </c>
      <c r="M150" s="16">
        <v>0</v>
      </c>
      <c r="N150" s="16">
        <v>2.1000000000000001E-2</v>
      </c>
      <c r="O150" s="16">
        <v>0</v>
      </c>
      <c r="P150" s="16">
        <v>0</v>
      </c>
      <c r="Q150" s="16">
        <v>0</v>
      </c>
      <c r="R150" s="2"/>
      <c r="S150" s="14">
        <v>20</v>
      </c>
      <c r="T150" s="14">
        <v>1</v>
      </c>
      <c r="U150" s="14">
        <v>0</v>
      </c>
      <c r="V150" s="2"/>
      <c r="W150" s="14">
        <v>1918.2</v>
      </c>
      <c r="X150" s="14">
        <v>1910</v>
      </c>
      <c r="Y150" s="15">
        <v>56623.4</v>
      </c>
      <c r="Z150" s="15">
        <v>51600</v>
      </c>
      <c r="AA150" s="15">
        <v>57117.1</v>
      </c>
      <c r="AB150" s="15">
        <v>52200</v>
      </c>
      <c r="AC150" s="16">
        <v>0.28299999999999997</v>
      </c>
      <c r="AD150" s="16">
        <v>0.22600000000000001</v>
      </c>
      <c r="AE150" s="15">
        <v>15595.2</v>
      </c>
      <c r="AF150" s="15">
        <v>12688.8</v>
      </c>
      <c r="AG150" s="2"/>
      <c r="AH150" s="14">
        <f t="shared" si="16"/>
        <v>179</v>
      </c>
      <c r="AI150" s="14">
        <f t="shared" si="17"/>
        <v>63</v>
      </c>
      <c r="AJ150" s="14">
        <f t="shared" si="18"/>
        <v>80</v>
      </c>
      <c r="AK150" s="14">
        <f t="shared" si="19"/>
        <v>15</v>
      </c>
      <c r="AL150" s="14">
        <f t="shared" si="20"/>
        <v>68</v>
      </c>
      <c r="AM150" s="14">
        <f t="shared" si="21"/>
        <v>52</v>
      </c>
      <c r="AN150" s="14">
        <f t="shared" si="22"/>
        <v>41</v>
      </c>
      <c r="AO150" s="14">
        <f t="shared" si="23"/>
        <v>23</v>
      </c>
    </row>
    <row r="151" spans="1:41" ht="12" hidden="1" x14ac:dyDescent="0.25">
      <c r="A151" s="14">
        <v>540292</v>
      </c>
      <c r="B151" s="17" t="s">
        <v>292</v>
      </c>
      <c r="C151" s="17" t="s">
        <v>290</v>
      </c>
      <c r="D151" s="17" t="s">
        <v>2</v>
      </c>
      <c r="E151" s="14">
        <v>6</v>
      </c>
      <c r="F151" s="14" t="s">
        <v>291</v>
      </c>
      <c r="G151" s="14">
        <v>52</v>
      </c>
      <c r="H151" s="14">
        <v>0</v>
      </c>
      <c r="I151" s="14">
        <v>1</v>
      </c>
      <c r="J151" s="14">
        <v>3</v>
      </c>
      <c r="K151" s="14">
        <v>56</v>
      </c>
      <c r="L151" s="16">
        <v>0.92900000000000005</v>
      </c>
      <c r="M151" s="16">
        <v>0</v>
      </c>
      <c r="N151" s="16">
        <v>1.7999999999999999E-2</v>
      </c>
      <c r="O151" s="16">
        <v>5.3999999999999999E-2</v>
      </c>
      <c r="P151" s="16">
        <v>3.5999999999999997E-2</v>
      </c>
      <c r="Q151" s="16">
        <v>0</v>
      </c>
      <c r="R151" s="2"/>
      <c r="S151" s="14">
        <v>32</v>
      </c>
      <c r="T151" s="14">
        <v>1</v>
      </c>
      <c r="U151" s="14">
        <v>2</v>
      </c>
      <c r="V151" s="2"/>
      <c r="W151" s="14">
        <v>1982.1</v>
      </c>
      <c r="X151" s="14">
        <v>1984</v>
      </c>
      <c r="Y151" s="15">
        <v>89578</v>
      </c>
      <c r="Z151" s="15">
        <v>71050</v>
      </c>
      <c r="AA151" s="15">
        <v>89578</v>
      </c>
      <c r="AB151" s="15">
        <v>71050</v>
      </c>
      <c r="AC151" s="16">
        <v>0.34499999999999997</v>
      </c>
      <c r="AD151" s="16">
        <v>0.33800000000000002</v>
      </c>
      <c r="AE151" s="15">
        <v>28205.7</v>
      </c>
      <c r="AF151" s="15">
        <v>18981.900000000001</v>
      </c>
      <c r="AG151" s="2"/>
      <c r="AH151" s="14">
        <f t="shared" si="16"/>
        <v>183</v>
      </c>
      <c r="AI151" s="14">
        <f t="shared" si="17"/>
        <v>43</v>
      </c>
      <c r="AJ151" s="14">
        <f t="shared" si="18"/>
        <v>80</v>
      </c>
      <c r="AK151" s="14">
        <f t="shared" si="19"/>
        <v>197</v>
      </c>
      <c r="AL151" s="14">
        <f t="shared" si="20"/>
        <v>29</v>
      </c>
      <c r="AM151" s="14">
        <f t="shared" si="21"/>
        <v>17</v>
      </c>
      <c r="AN151" s="14">
        <f t="shared" si="22"/>
        <v>12</v>
      </c>
      <c r="AO151" s="14">
        <f t="shared" si="23"/>
        <v>9</v>
      </c>
    </row>
    <row r="152" spans="1:41" hidden="1" x14ac:dyDescent="0.3">
      <c r="A152" s="129"/>
      <c r="B152" s="130"/>
      <c r="C152" s="130" t="s">
        <v>290</v>
      </c>
      <c r="D152" s="130" t="s">
        <v>26</v>
      </c>
      <c r="E152" s="129">
        <v>6</v>
      </c>
      <c r="F152" s="129"/>
      <c r="G152" s="129">
        <v>1313</v>
      </c>
      <c r="H152" s="129">
        <v>42</v>
      </c>
      <c r="I152" s="129">
        <v>288</v>
      </c>
      <c r="J152" s="129">
        <v>67</v>
      </c>
      <c r="K152" s="129">
        <v>1710</v>
      </c>
      <c r="L152" s="131">
        <v>0.76800000000000002</v>
      </c>
      <c r="M152" s="131">
        <v>2.5000000000000001E-2</v>
      </c>
      <c r="N152" s="131">
        <v>0.16800000000000001</v>
      </c>
      <c r="O152" s="131">
        <v>3.9E-2</v>
      </c>
      <c r="P152" s="131">
        <v>0.03</v>
      </c>
      <c r="Q152" s="131">
        <v>8.0000000000000002E-3</v>
      </c>
      <c r="S152" s="129">
        <v>323</v>
      </c>
      <c r="T152" s="129">
        <v>31</v>
      </c>
      <c r="U152" s="129">
        <v>16</v>
      </c>
      <c r="W152" s="129">
        <v>1950.9</v>
      </c>
      <c r="X152" s="129">
        <v>1951</v>
      </c>
      <c r="Y152" s="132">
        <v>82689.2</v>
      </c>
      <c r="Z152" s="132">
        <v>49000</v>
      </c>
      <c r="AA152" s="132">
        <v>73253.5</v>
      </c>
      <c r="AB152" s="132">
        <v>58900</v>
      </c>
      <c r="AC152" s="131">
        <v>0.19800000000000001</v>
      </c>
      <c r="AD152" s="131">
        <v>0.126</v>
      </c>
      <c r="AE152" s="132">
        <v>11971.5</v>
      </c>
      <c r="AF152" s="132">
        <v>5586.2</v>
      </c>
      <c r="AH152" s="129">
        <f t="shared" si="16"/>
        <v>39</v>
      </c>
      <c r="AI152" s="129">
        <f t="shared" si="17"/>
        <v>17</v>
      </c>
      <c r="AJ152" s="129">
        <f t="shared" si="18"/>
        <v>29</v>
      </c>
      <c r="AK152" s="129">
        <f t="shared" si="19"/>
        <v>8</v>
      </c>
      <c r="AL152" s="129">
        <f t="shared" si="20"/>
        <v>15</v>
      </c>
      <c r="AM152" s="129">
        <f t="shared" si="21"/>
        <v>10</v>
      </c>
      <c r="AN152" s="129">
        <f t="shared" si="22"/>
        <v>44</v>
      </c>
      <c r="AO152" s="129">
        <f t="shared" si="23"/>
        <v>32</v>
      </c>
    </row>
    <row r="153" spans="1:41" ht="12" hidden="1" x14ac:dyDescent="0.25">
      <c r="A153" s="19">
        <v>540107</v>
      </c>
      <c r="B153" s="22" t="s">
        <v>289</v>
      </c>
      <c r="C153" s="22" t="s">
        <v>279</v>
      </c>
      <c r="D153" s="22" t="s">
        <v>29</v>
      </c>
      <c r="E153" s="19">
        <v>10</v>
      </c>
      <c r="F153" s="19" t="s">
        <v>288</v>
      </c>
      <c r="G153" s="19">
        <v>414</v>
      </c>
      <c r="H153" s="19">
        <v>16</v>
      </c>
      <c r="I153" s="19">
        <v>192</v>
      </c>
      <c r="J153" s="19">
        <v>22</v>
      </c>
      <c r="K153" s="19">
        <v>644</v>
      </c>
      <c r="L153" s="21">
        <v>0.64300000000000002</v>
      </c>
      <c r="M153" s="21">
        <v>2.5000000000000001E-2</v>
      </c>
      <c r="N153" s="21">
        <v>0.29799999999999999</v>
      </c>
      <c r="O153" s="21">
        <v>3.4000000000000002E-2</v>
      </c>
      <c r="P153" s="21">
        <v>2.5999999999999999E-2</v>
      </c>
      <c r="Q153" s="21">
        <v>0</v>
      </c>
      <c r="R153" s="2"/>
      <c r="S153" s="19">
        <v>120</v>
      </c>
      <c r="T153" s="19">
        <v>36</v>
      </c>
      <c r="U153" s="19">
        <v>9</v>
      </c>
      <c r="V153" s="2"/>
      <c r="W153" s="19">
        <v>1960.1</v>
      </c>
      <c r="X153" s="19">
        <v>1965</v>
      </c>
      <c r="Y153" s="20">
        <v>113671.6</v>
      </c>
      <c r="Z153" s="20">
        <v>49250</v>
      </c>
      <c r="AA153" s="20">
        <v>59369.1</v>
      </c>
      <c r="AB153" s="20">
        <v>44700</v>
      </c>
      <c r="AC153" s="21">
        <v>0.33400000000000002</v>
      </c>
      <c r="AD153" s="21">
        <v>0.30299999999999999</v>
      </c>
      <c r="AE153" s="20">
        <v>17122.7</v>
      </c>
      <c r="AF153" s="20">
        <v>9759.9</v>
      </c>
      <c r="AG153" s="2"/>
      <c r="AH153" s="19">
        <f t="shared" si="16"/>
        <v>14</v>
      </c>
      <c r="AI153" s="19">
        <f t="shared" si="17"/>
        <v>28</v>
      </c>
      <c r="AJ153" s="19">
        <f t="shared" si="18"/>
        <v>17</v>
      </c>
      <c r="AK153" s="19">
        <f t="shared" si="19"/>
        <v>12</v>
      </c>
      <c r="AL153" s="19">
        <f t="shared" si="20"/>
        <v>13</v>
      </c>
      <c r="AM153" s="19">
        <f t="shared" si="21"/>
        <v>14</v>
      </c>
      <c r="AN153" s="19">
        <f t="shared" si="22"/>
        <v>11</v>
      </c>
      <c r="AO153" s="19">
        <f t="shared" si="23"/>
        <v>13</v>
      </c>
    </row>
    <row r="154" spans="1:41" ht="12" hidden="1" x14ac:dyDescent="0.25">
      <c r="A154" s="14">
        <v>540108</v>
      </c>
      <c r="B154" s="17" t="s">
        <v>287</v>
      </c>
      <c r="C154" s="17" t="s">
        <v>279</v>
      </c>
      <c r="D154" s="17" t="s">
        <v>2</v>
      </c>
      <c r="E154" s="14">
        <v>10</v>
      </c>
      <c r="F154" s="14" t="s">
        <v>286</v>
      </c>
      <c r="G154" s="14">
        <v>285</v>
      </c>
      <c r="H154" s="14">
        <v>0</v>
      </c>
      <c r="I154" s="14">
        <v>34</v>
      </c>
      <c r="J154" s="14">
        <v>1</v>
      </c>
      <c r="K154" s="14">
        <v>320</v>
      </c>
      <c r="L154" s="16">
        <v>0.89100000000000001</v>
      </c>
      <c r="M154" s="16">
        <v>0</v>
      </c>
      <c r="N154" s="16">
        <v>0.106</v>
      </c>
      <c r="O154" s="16">
        <v>3.0000000000000001E-3</v>
      </c>
      <c r="P154" s="16">
        <v>0</v>
      </c>
      <c r="Q154" s="16">
        <v>0</v>
      </c>
      <c r="R154" s="2"/>
      <c r="S154" s="14">
        <v>173</v>
      </c>
      <c r="T154" s="14">
        <v>20</v>
      </c>
      <c r="U154" s="14">
        <v>2</v>
      </c>
      <c r="V154" s="2"/>
      <c r="W154" s="14">
        <v>1919.7</v>
      </c>
      <c r="X154" s="14">
        <v>1900</v>
      </c>
      <c r="Y154" s="15">
        <v>84584.5</v>
      </c>
      <c r="Z154" s="15">
        <v>37800</v>
      </c>
      <c r="AA154" s="15">
        <v>36963</v>
      </c>
      <c r="AB154" s="15">
        <v>34500</v>
      </c>
      <c r="AC154" s="16">
        <v>0.32200000000000001</v>
      </c>
      <c r="AD154" s="16">
        <v>0.30499999999999999</v>
      </c>
      <c r="AE154" s="15">
        <v>15732.5</v>
      </c>
      <c r="AF154" s="15">
        <v>11484.2</v>
      </c>
      <c r="AG154" s="2"/>
      <c r="AH154" s="14">
        <f t="shared" si="16"/>
        <v>118</v>
      </c>
      <c r="AI154" s="14">
        <f t="shared" si="17"/>
        <v>5</v>
      </c>
      <c r="AJ154" s="14">
        <f t="shared" si="18"/>
        <v>9</v>
      </c>
      <c r="AK154" s="14">
        <f t="shared" si="19"/>
        <v>10</v>
      </c>
      <c r="AL154" s="14">
        <f t="shared" si="20"/>
        <v>120</v>
      </c>
      <c r="AM154" s="14">
        <f t="shared" si="21"/>
        <v>116</v>
      </c>
      <c r="AN154" s="14">
        <f t="shared" si="22"/>
        <v>17</v>
      </c>
      <c r="AO154" s="14">
        <f t="shared" si="23"/>
        <v>28</v>
      </c>
    </row>
    <row r="155" spans="1:41" ht="12" hidden="1" x14ac:dyDescent="0.25">
      <c r="A155" s="14">
        <v>540109</v>
      </c>
      <c r="B155" s="17" t="s">
        <v>285</v>
      </c>
      <c r="C155" s="17" t="s">
        <v>279</v>
      </c>
      <c r="D155" s="17" t="s">
        <v>2</v>
      </c>
      <c r="E155" s="14">
        <v>10</v>
      </c>
      <c r="F155" s="14" t="s">
        <v>284</v>
      </c>
      <c r="G155" s="14">
        <v>31</v>
      </c>
      <c r="H155" s="14">
        <v>0</v>
      </c>
      <c r="I155" s="14">
        <v>9</v>
      </c>
      <c r="J155" s="14">
        <v>0</v>
      </c>
      <c r="K155" s="14">
        <v>40</v>
      </c>
      <c r="L155" s="16">
        <v>0.77500000000000002</v>
      </c>
      <c r="M155" s="16">
        <v>0</v>
      </c>
      <c r="N155" s="16">
        <v>0.22500000000000001</v>
      </c>
      <c r="O155" s="16">
        <v>0</v>
      </c>
      <c r="P155" s="16">
        <v>0</v>
      </c>
      <c r="Q155" s="16">
        <v>0</v>
      </c>
      <c r="R155" s="2"/>
      <c r="S155" s="14">
        <v>13</v>
      </c>
      <c r="T155" s="14">
        <v>1</v>
      </c>
      <c r="U155" s="14">
        <v>0</v>
      </c>
      <c r="V155" s="2"/>
      <c r="W155" s="14">
        <v>1955.1</v>
      </c>
      <c r="X155" s="14">
        <v>1955</v>
      </c>
      <c r="Y155" s="15">
        <v>1316118.6000000001</v>
      </c>
      <c r="Z155" s="15">
        <v>68250</v>
      </c>
      <c r="AA155" s="15">
        <v>66778.8</v>
      </c>
      <c r="AB155" s="15">
        <v>63100</v>
      </c>
      <c r="AC155" s="16">
        <v>0.192</v>
      </c>
      <c r="AD155" s="16">
        <v>0.18099999999999999</v>
      </c>
      <c r="AE155" s="15">
        <v>10813.8</v>
      </c>
      <c r="AF155" s="15">
        <v>8645.1</v>
      </c>
      <c r="AG155" s="2"/>
      <c r="AH155" s="14">
        <f t="shared" si="16"/>
        <v>53</v>
      </c>
      <c r="AI155" s="14">
        <f t="shared" si="17"/>
        <v>78</v>
      </c>
      <c r="AJ155" s="14">
        <f t="shared" si="18"/>
        <v>80</v>
      </c>
      <c r="AK155" s="14">
        <f t="shared" si="19"/>
        <v>135</v>
      </c>
      <c r="AL155" s="14">
        <f t="shared" si="20"/>
        <v>36</v>
      </c>
      <c r="AM155" s="14">
        <f t="shared" si="21"/>
        <v>33</v>
      </c>
      <c r="AN155" s="14">
        <f t="shared" si="22"/>
        <v>61</v>
      </c>
      <c r="AO155" s="14">
        <f t="shared" si="23"/>
        <v>47</v>
      </c>
    </row>
    <row r="156" spans="1:41" ht="12" hidden="1" x14ac:dyDescent="0.25">
      <c r="A156" s="14">
        <v>540110</v>
      </c>
      <c r="B156" s="17" t="s">
        <v>283</v>
      </c>
      <c r="C156" s="17" t="s">
        <v>279</v>
      </c>
      <c r="D156" s="17" t="s">
        <v>2</v>
      </c>
      <c r="E156" s="14">
        <v>10</v>
      </c>
      <c r="F156" s="14" t="s">
        <v>102</v>
      </c>
      <c r="G156" s="14">
        <v>141</v>
      </c>
      <c r="H156" s="14">
        <v>0</v>
      </c>
      <c r="I156" s="14">
        <v>3</v>
      </c>
      <c r="J156" s="14">
        <v>0</v>
      </c>
      <c r="K156" s="14">
        <v>144</v>
      </c>
      <c r="L156" s="16">
        <v>0.97899999999999998</v>
      </c>
      <c r="M156" s="16">
        <v>0</v>
      </c>
      <c r="N156" s="16">
        <v>2.1000000000000001E-2</v>
      </c>
      <c r="O156" s="16">
        <v>0</v>
      </c>
      <c r="P156" s="16">
        <v>0</v>
      </c>
      <c r="Q156" s="16">
        <v>0</v>
      </c>
      <c r="R156" s="2"/>
      <c r="S156" s="14">
        <v>18</v>
      </c>
      <c r="T156" s="14">
        <v>0</v>
      </c>
      <c r="U156" s="14">
        <v>0</v>
      </c>
      <c r="V156" s="2"/>
      <c r="W156" s="14">
        <v>1930.7</v>
      </c>
      <c r="X156" s="14">
        <v>1920.5</v>
      </c>
      <c r="Y156" s="15">
        <v>60074.7</v>
      </c>
      <c r="Z156" s="15">
        <v>46350</v>
      </c>
      <c r="AA156" s="15">
        <v>48562.1</v>
      </c>
      <c r="AB156" s="15">
        <v>46100</v>
      </c>
      <c r="AC156" s="16">
        <v>0.187</v>
      </c>
      <c r="AD156" s="16">
        <v>0.187</v>
      </c>
      <c r="AE156" s="15">
        <v>8467.1</v>
      </c>
      <c r="AF156" s="15">
        <v>8625.7999999999993</v>
      </c>
      <c r="AG156" s="2"/>
      <c r="AH156" s="14">
        <f t="shared" si="16"/>
        <v>179</v>
      </c>
      <c r="AI156" s="14">
        <f t="shared" si="17"/>
        <v>66</v>
      </c>
      <c r="AJ156" s="14">
        <f t="shared" si="18"/>
        <v>108</v>
      </c>
      <c r="AK156" s="14">
        <f t="shared" si="19"/>
        <v>37</v>
      </c>
      <c r="AL156" s="14">
        <f t="shared" si="20"/>
        <v>84</v>
      </c>
      <c r="AM156" s="14">
        <f t="shared" si="21"/>
        <v>72</v>
      </c>
      <c r="AN156" s="14">
        <f t="shared" si="22"/>
        <v>59</v>
      </c>
      <c r="AO156" s="14">
        <f t="shared" si="23"/>
        <v>48</v>
      </c>
    </row>
    <row r="157" spans="1:41" ht="12" hidden="1" x14ac:dyDescent="0.25">
      <c r="A157" s="14">
        <v>540111</v>
      </c>
      <c r="B157" s="17" t="s">
        <v>282</v>
      </c>
      <c r="C157" s="17" t="s">
        <v>279</v>
      </c>
      <c r="D157" s="17" t="s">
        <v>2</v>
      </c>
      <c r="E157" s="14">
        <v>10</v>
      </c>
      <c r="F157" s="14" t="s">
        <v>281</v>
      </c>
      <c r="G157" s="14">
        <v>159</v>
      </c>
      <c r="H157" s="14">
        <v>6</v>
      </c>
      <c r="I157" s="14">
        <v>140</v>
      </c>
      <c r="J157" s="14">
        <v>30</v>
      </c>
      <c r="K157" s="14">
        <v>335</v>
      </c>
      <c r="L157" s="16">
        <v>0.47499999999999998</v>
      </c>
      <c r="M157" s="16">
        <v>1.7999999999999999E-2</v>
      </c>
      <c r="N157" s="16">
        <v>0.41799999999999998</v>
      </c>
      <c r="O157" s="16">
        <v>0.09</v>
      </c>
      <c r="P157" s="16">
        <v>0.09</v>
      </c>
      <c r="Q157" s="16">
        <v>0</v>
      </c>
      <c r="R157" s="2"/>
      <c r="S157" s="14">
        <v>78</v>
      </c>
      <c r="T157" s="14">
        <v>39</v>
      </c>
      <c r="U157" s="14">
        <v>28</v>
      </c>
      <c r="V157" s="2"/>
      <c r="W157" s="14">
        <v>1964.7</v>
      </c>
      <c r="X157" s="14">
        <v>1972</v>
      </c>
      <c r="Y157" s="15">
        <v>129527.4</v>
      </c>
      <c r="Z157" s="15">
        <v>19800</v>
      </c>
      <c r="AA157" s="15">
        <v>25254.2</v>
      </c>
      <c r="AB157" s="15">
        <v>14800</v>
      </c>
      <c r="AC157" s="16">
        <v>0.34100000000000003</v>
      </c>
      <c r="AD157" s="16">
        <v>0.26400000000000001</v>
      </c>
      <c r="AE157" s="15">
        <v>40879.1</v>
      </c>
      <c r="AF157" s="15">
        <v>6668</v>
      </c>
      <c r="AG157" s="2"/>
      <c r="AH157" s="14">
        <f t="shared" si="16"/>
        <v>18</v>
      </c>
      <c r="AI157" s="14">
        <f t="shared" si="17"/>
        <v>20</v>
      </c>
      <c r="AJ157" s="14">
        <f t="shared" si="18"/>
        <v>3</v>
      </c>
      <c r="AK157" s="14">
        <f t="shared" si="19"/>
        <v>169</v>
      </c>
      <c r="AL157" s="14">
        <f t="shared" si="20"/>
        <v>195</v>
      </c>
      <c r="AM157" s="14">
        <f t="shared" si="21"/>
        <v>200</v>
      </c>
      <c r="AN157" s="14">
        <f t="shared" si="22"/>
        <v>28</v>
      </c>
      <c r="AO157" s="14">
        <f t="shared" si="23"/>
        <v>67</v>
      </c>
    </row>
    <row r="158" spans="1:41" ht="12" hidden="1" x14ac:dyDescent="0.25">
      <c r="A158" s="14">
        <v>540287</v>
      </c>
      <c r="B158" s="17" t="s">
        <v>280</v>
      </c>
      <c r="C158" s="17" t="s">
        <v>279</v>
      </c>
      <c r="D158" s="17" t="s">
        <v>2</v>
      </c>
      <c r="E158" s="14">
        <v>10</v>
      </c>
      <c r="F158" s="14" t="s">
        <v>102</v>
      </c>
      <c r="G158" s="14">
        <v>71</v>
      </c>
      <c r="H158" s="14">
        <v>0</v>
      </c>
      <c r="I158" s="14">
        <v>2</v>
      </c>
      <c r="J158" s="14">
        <v>3</v>
      </c>
      <c r="K158" s="14">
        <v>76</v>
      </c>
      <c r="L158" s="16">
        <v>0.93400000000000005</v>
      </c>
      <c r="M158" s="16">
        <v>0</v>
      </c>
      <c r="N158" s="16">
        <v>2.5999999999999999E-2</v>
      </c>
      <c r="O158" s="16">
        <v>3.9E-2</v>
      </c>
      <c r="P158" s="16">
        <v>0</v>
      </c>
      <c r="Q158" s="16">
        <v>1.2999999999999999E-2</v>
      </c>
      <c r="R158" s="2"/>
      <c r="S158" s="14">
        <v>2</v>
      </c>
      <c r="T158" s="14">
        <v>0</v>
      </c>
      <c r="U158" s="14">
        <v>0</v>
      </c>
      <c r="V158" s="2"/>
      <c r="W158" s="14">
        <v>1937.1</v>
      </c>
      <c r="X158" s="14">
        <v>1925</v>
      </c>
      <c r="Y158" s="15">
        <v>170196</v>
      </c>
      <c r="Z158" s="15">
        <v>41500</v>
      </c>
      <c r="AA158" s="15">
        <v>38623.5</v>
      </c>
      <c r="AB158" s="15">
        <v>37600</v>
      </c>
      <c r="AC158" s="16">
        <v>9.5000000000000001E-2</v>
      </c>
      <c r="AD158" s="16">
        <v>4.2000000000000003E-2</v>
      </c>
      <c r="AE158" s="15">
        <v>9612.6</v>
      </c>
      <c r="AF158" s="15">
        <v>2098</v>
      </c>
      <c r="AG158" s="2"/>
      <c r="AH158" s="14">
        <f t="shared" si="16"/>
        <v>178</v>
      </c>
      <c r="AI158" s="14">
        <f t="shared" si="17"/>
        <v>134</v>
      </c>
      <c r="AJ158" s="14">
        <f t="shared" si="18"/>
        <v>108</v>
      </c>
      <c r="AK158" s="14">
        <f t="shared" si="19"/>
        <v>40</v>
      </c>
      <c r="AL158" s="14">
        <f t="shared" si="20"/>
        <v>108</v>
      </c>
      <c r="AM158" s="14">
        <f t="shared" si="21"/>
        <v>107</v>
      </c>
      <c r="AN158" s="14">
        <f t="shared" si="22"/>
        <v>174</v>
      </c>
      <c r="AO158" s="14">
        <f t="shared" si="23"/>
        <v>163</v>
      </c>
    </row>
    <row r="159" spans="1:41" ht="12" hidden="1" x14ac:dyDescent="0.25">
      <c r="A159" s="25">
        <v>540152</v>
      </c>
      <c r="B159" s="26" t="s">
        <v>4</v>
      </c>
      <c r="C159" s="26" t="s">
        <v>279</v>
      </c>
      <c r="D159" s="26" t="s">
        <v>58</v>
      </c>
      <c r="E159" s="25">
        <v>10</v>
      </c>
      <c r="F159" s="25" t="s">
        <v>189</v>
      </c>
      <c r="G159" s="25">
        <v>4</v>
      </c>
      <c r="H159" s="25">
        <v>0</v>
      </c>
      <c r="I159" s="25">
        <v>0</v>
      </c>
      <c r="J159" s="25">
        <v>0</v>
      </c>
      <c r="K159" s="25">
        <v>4</v>
      </c>
      <c r="L159" s="24">
        <v>1</v>
      </c>
      <c r="M159" s="24">
        <v>0</v>
      </c>
      <c r="N159" s="24">
        <v>0</v>
      </c>
      <c r="O159" s="24">
        <v>0</v>
      </c>
      <c r="P159" s="24">
        <v>0</v>
      </c>
      <c r="Q159" s="24">
        <v>0</v>
      </c>
      <c r="R159" s="2"/>
      <c r="S159" s="25">
        <v>0</v>
      </c>
      <c r="T159" s="25">
        <v>0</v>
      </c>
      <c r="U159" s="25">
        <v>0</v>
      </c>
      <c r="V159" s="2"/>
      <c r="W159" s="25">
        <v>1901</v>
      </c>
      <c r="X159" s="25">
        <v>1900</v>
      </c>
      <c r="Y159" s="23">
        <v>41000</v>
      </c>
      <c r="Z159" s="23">
        <v>39400</v>
      </c>
      <c r="AA159" s="23">
        <v>41000</v>
      </c>
      <c r="AB159" s="23">
        <v>39400</v>
      </c>
      <c r="AC159" s="24">
        <v>0.20399999999999999</v>
      </c>
      <c r="AD159" s="24">
        <v>0.189</v>
      </c>
      <c r="AE159" s="23">
        <v>7923.2</v>
      </c>
      <c r="AF159" s="23">
        <v>8684.6</v>
      </c>
      <c r="AG159" s="2"/>
      <c r="AH159" s="14" t="str">
        <f t="shared" si="16"/>
        <v/>
      </c>
      <c r="AI159" s="14" t="str">
        <f t="shared" si="17"/>
        <v/>
      </c>
      <c r="AJ159" s="14" t="str">
        <f t="shared" si="18"/>
        <v/>
      </c>
      <c r="AK159" s="14" t="str">
        <f t="shared" si="19"/>
        <v/>
      </c>
      <c r="AL159" s="14" t="str">
        <f t="shared" si="20"/>
        <v/>
      </c>
      <c r="AM159" s="14" t="str">
        <f t="shared" si="21"/>
        <v/>
      </c>
      <c r="AN159" s="14" t="str">
        <f t="shared" si="22"/>
        <v/>
      </c>
      <c r="AO159" s="14" t="str">
        <f t="shared" si="23"/>
        <v/>
      </c>
    </row>
    <row r="160" spans="1:41" hidden="1" x14ac:dyDescent="0.3">
      <c r="A160" s="129"/>
      <c r="B160" s="130"/>
      <c r="C160" s="130" t="s">
        <v>279</v>
      </c>
      <c r="D160" s="130" t="s">
        <v>26</v>
      </c>
      <c r="E160" s="129">
        <v>10</v>
      </c>
      <c r="F160" s="129"/>
      <c r="G160" s="129">
        <v>1105</v>
      </c>
      <c r="H160" s="129">
        <v>22</v>
      </c>
      <c r="I160" s="129">
        <v>380</v>
      </c>
      <c r="J160" s="129">
        <v>56</v>
      </c>
      <c r="K160" s="129">
        <v>1563</v>
      </c>
      <c r="L160" s="131">
        <v>0.70699999999999996</v>
      </c>
      <c r="M160" s="131">
        <v>1.4E-2</v>
      </c>
      <c r="N160" s="131">
        <v>0.24299999999999999</v>
      </c>
      <c r="O160" s="131">
        <v>3.5999999999999997E-2</v>
      </c>
      <c r="P160" s="131">
        <v>0.03</v>
      </c>
      <c r="Q160" s="131">
        <v>1E-3</v>
      </c>
      <c r="S160" s="129">
        <v>404</v>
      </c>
      <c r="T160" s="129">
        <v>96</v>
      </c>
      <c r="U160" s="129">
        <v>39</v>
      </c>
      <c r="W160" s="129">
        <v>1947.2</v>
      </c>
      <c r="X160" s="129">
        <v>1955</v>
      </c>
      <c r="Y160" s="132">
        <v>139512.20000000001</v>
      </c>
      <c r="Z160" s="132">
        <v>38900</v>
      </c>
      <c r="AA160" s="132">
        <v>54858.1</v>
      </c>
      <c r="AB160" s="132">
        <v>45600</v>
      </c>
      <c r="AC160" s="131">
        <v>0.309</v>
      </c>
      <c r="AD160" s="131">
        <v>0.27800000000000002</v>
      </c>
      <c r="AE160" s="132">
        <v>20962.7</v>
      </c>
      <c r="AF160" s="132">
        <v>9710.9</v>
      </c>
      <c r="AH160" s="129">
        <f t="shared" si="16"/>
        <v>20</v>
      </c>
      <c r="AI160" s="129">
        <f t="shared" si="17"/>
        <v>11</v>
      </c>
      <c r="AJ160" s="129">
        <f t="shared" si="18"/>
        <v>9</v>
      </c>
      <c r="AK160" s="129">
        <f t="shared" si="19"/>
        <v>10</v>
      </c>
      <c r="AL160" s="129">
        <f t="shared" si="20"/>
        <v>32</v>
      </c>
      <c r="AM160" s="129">
        <f t="shared" si="21"/>
        <v>29</v>
      </c>
      <c r="AN160" s="129">
        <f t="shared" si="22"/>
        <v>7</v>
      </c>
      <c r="AO160" s="129">
        <f t="shared" si="23"/>
        <v>12</v>
      </c>
    </row>
    <row r="161" spans="1:41" ht="12" x14ac:dyDescent="0.25">
      <c r="A161" s="19">
        <v>540112</v>
      </c>
      <c r="B161" s="22" t="s">
        <v>278</v>
      </c>
      <c r="C161" s="22" t="s">
        <v>267</v>
      </c>
      <c r="D161" s="22" t="s">
        <v>29</v>
      </c>
      <c r="E161" s="19">
        <v>2</v>
      </c>
      <c r="F161" s="19" t="s">
        <v>205</v>
      </c>
      <c r="G161" s="19">
        <v>338</v>
      </c>
      <c r="H161" s="19">
        <v>3</v>
      </c>
      <c r="I161" s="19">
        <v>397</v>
      </c>
      <c r="J161" s="19">
        <v>140</v>
      </c>
      <c r="K161" s="19">
        <v>878</v>
      </c>
      <c r="L161" s="21">
        <v>0.38500000000000001</v>
      </c>
      <c r="M161" s="21">
        <v>3.0000000000000001E-3</v>
      </c>
      <c r="N161" s="21">
        <v>0.45200000000000001</v>
      </c>
      <c r="O161" s="21">
        <v>0.159</v>
      </c>
      <c r="P161" s="21">
        <v>0.151</v>
      </c>
      <c r="Q161" s="21">
        <v>0</v>
      </c>
      <c r="R161" s="2"/>
      <c r="S161" s="19">
        <v>354</v>
      </c>
      <c r="T161" s="19">
        <v>146</v>
      </c>
      <c r="U161" s="19">
        <v>76</v>
      </c>
      <c r="V161" s="2"/>
      <c r="W161" s="19">
        <v>1974.7</v>
      </c>
      <c r="X161" s="19">
        <v>1983</v>
      </c>
      <c r="Y161" s="20">
        <v>47465.2</v>
      </c>
      <c r="Z161" s="20">
        <v>28000</v>
      </c>
      <c r="AA161" s="20">
        <v>44984.7</v>
      </c>
      <c r="AB161" s="20">
        <v>27600</v>
      </c>
      <c r="AC161" s="21">
        <v>0.48399999999999999</v>
      </c>
      <c r="AD161" s="21">
        <v>0.49399999999999999</v>
      </c>
      <c r="AE161" s="20">
        <v>15729.7</v>
      </c>
      <c r="AF161" s="20">
        <v>10936.5</v>
      </c>
      <c r="AG161" s="2"/>
      <c r="AH161" s="19">
        <f t="shared" si="16"/>
        <v>1</v>
      </c>
      <c r="AI161" s="19">
        <f t="shared" si="17"/>
        <v>7</v>
      </c>
      <c r="AJ161" s="19">
        <f t="shared" si="18"/>
        <v>3</v>
      </c>
      <c r="AK161" s="19">
        <f t="shared" si="19"/>
        <v>50</v>
      </c>
      <c r="AL161" s="19">
        <f t="shared" si="20"/>
        <v>43</v>
      </c>
      <c r="AM161" s="19">
        <f t="shared" si="21"/>
        <v>39</v>
      </c>
      <c r="AN161" s="19">
        <f t="shared" si="22"/>
        <v>2</v>
      </c>
      <c r="AO161" s="19">
        <f t="shared" si="23"/>
        <v>9</v>
      </c>
    </row>
    <row r="162" spans="1:41" ht="12" x14ac:dyDescent="0.25">
      <c r="A162" s="14">
        <v>540113</v>
      </c>
      <c r="B162" s="17" t="s">
        <v>277</v>
      </c>
      <c r="C162" s="17" t="s">
        <v>267</v>
      </c>
      <c r="D162" s="17" t="s">
        <v>2</v>
      </c>
      <c r="E162" s="14">
        <v>2</v>
      </c>
      <c r="F162" s="14" t="s">
        <v>276</v>
      </c>
      <c r="G162" s="14">
        <v>25</v>
      </c>
      <c r="H162" s="14">
        <v>0</v>
      </c>
      <c r="I162" s="14">
        <v>8</v>
      </c>
      <c r="J162" s="14">
        <v>0</v>
      </c>
      <c r="K162" s="14">
        <v>33</v>
      </c>
      <c r="L162" s="16">
        <v>0.75800000000000001</v>
      </c>
      <c r="M162" s="16">
        <v>0</v>
      </c>
      <c r="N162" s="16">
        <v>0.24199999999999999</v>
      </c>
      <c r="O162" s="16">
        <v>0</v>
      </c>
      <c r="P162" s="16">
        <v>0</v>
      </c>
      <c r="Q162" s="16">
        <v>0</v>
      </c>
      <c r="R162" s="2"/>
      <c r="S162" s="14">
        <v>11</v>
      </c>
      <c r="T162" s="14">
        <v>4</v>
      </c>
      <c r="U162" s="14">
        <v>0</v>
      </c>
      <c r="V162" s="2"/>
      <c r="W162" s="14">
        <v>1939.4</v>
      </c>
      <c r="X162" s="14">
        <v>1930</v>
      </c>
      <c r="Y162" s="15">
        <v>27957.599999999999</v>
      </c>
      <c r="Z162" s="15">
        <v>21900</v>
      </c>
      <c r="AA162" s="15">
        <v>23993.1</v>
      </c>
      <c r="AB162" s="15">
        <v>20300</v>
      </c>
      <c r="AC162" s="16">
        <v>0.37</v>
      </c>
      <c r="AD162" s="16">
        <v>0.38400000000000001</v>
      </c>
      <c r="AE162" s="15">
        <v>7426.7</v>
      </c>
      <c r="AF162" s="15">
        <v>4216.5</v>
      </c>
      <c r="AG162" s="2"/>
      <c r="AH162" s="14">
        <f t="shared" si="16"/>
        <v>48</v>
      </c>
      <c r="AI162" s="14">
        <f t="shared" si="17"/>
        <v>89</v>
      </c>
      <c r="AJ162" s="14">
        <f t="shared" si="18"/>
        <v>37</v>
      </c>
      <c r="AK162" s="14">
        <f t="shared" si="19"/>
        <v>48</v>
      </c>
      <c r="AL162" s="14">
        <f t="shared" si="20"/>
        <v>187</v>
      </c>
      <c r="AM162" s="14">
        <f t="shared" si="21"/>
        <v>187</v>
      </c>
      <c r="AN162" s="14">
        <f t="shared" si="22"/>
        <v>11</v>
      </c>
      <c r="AO162" s="14">
        <f t="shared" si="23"/>
        <v>106</v>
      </c>
    </row>
    <row r="163" spans="1:41" ht="12" x14ac:dyDescent="0.25">
      <c r="A163" s="14">
        <v>540247</v>
      </c>
      <c r="B163" s="17" t="s">
        <v>275</v>
      </c>
      <c r="C163" s="17" t="s">
        <v>267</v>
      </c>
      <c r="D163" s="17" t="s">
        <v>2</v>
      </c>
      <c r="E163" s="14">
        <v>2</v>
      </c>
      <c r="F163" s="14" t="s">
        <v>273</v>
      </c>
      <c r="G163" s="14">
        <v>85</v>
      </c>
      <c r="H163" s="14">
        <v>0</v>
      </c>
      <c r="I163" s="14">
        <v>95</v>
      </c>
      <c r="J163" s="14">
        <v>30</v>
      </c>
      <c r="K163" s="14">
        <v>210</v>
      </c>
      <c r="L163" s="16">
        <v>0.40500000000000003</v>
      </c>
      <c r="M163" s="16">
        <v>0</v>
      </c>
      <c r="N163" s="16">
        <v>0.45200000000000001</v>
      </c>
      <c r="O163" s="16">
        <v>0.14299999999999999</v>
      </c>
      <c r="P163" s="16">
        <v>0.129</v>
      </c>
      <c r="Q163" s="16">
        <v>0</v>
      </c>
      <c r="R163" s="2"/>
      <c r="S163" s="14">
        <v>71</v>
      </c>
      <c r="T163" s="14">
        <v>27</v>
      </c>
      <c r="U163" s="14">
        <v>4</v>
      </c>
      <c r="V163" s="2"/>
      <c r="W163" s="14">
        <v>1965.8</v>
      </c>
      <c r="X163" s="14">
        <v>1978</v>
      </c>
      <c r="Y163" s="15">
        <v>42968.9</v>
      </c>
      <c r="Z163" s="15">
        <v>29150</v>
      </c>
      <c r="AA163" s="15">
        <v>43001.7</v>
      </c>
      <c r="AB163" s="15">
        <v>28250</v>
      </c>
      <c r="AC163" s="16">
        <v>0.27700000000000002</v>
      </c>
      <c r="AD163" s="16">
        <v>0.221</v>
      </c>
      <c r="AE163" s="15">
        <v>10638.7</v>
      </c>
      <c r="AF163" s="15">
        <v>6806.6</v>
      </c>
      <c r="AG163" s="2"/>
      <c r="AH163" s="14">
        <f t="shared" si="16"/>
        <v>15</v>
      </c>
      <c r="AI163" s="14">
        <f t="shared" si="17"/>
        <v>22</v>
      </c>
      <c r="AJ163" s="14">
        <f t="shared" si="18"/>
        <v>5</v>
      </c>
      <c r="AK163" s="14">
        <f t="shared" si="19"/>
        <v>190</v>
      </c>
      <c r="AL163" s="14">
        <f t="shared" si="20"/>
        <v>156</v>
      </c>
      <c r="AM163" s="14">
        <f t="shared" si="21"/>
        <v>146</v>
      </c>
      <c r="AN163" s="14">
        <f t="shared" si="22"/>
        <v>42</v>
      </c>
      <c r="AO163" s="14">
        <f t="shared" si="23"/>
        <v>65</v>
      </c>
    </row>
    <row r="164" spans="1:41" ht="12" x14ac:dyDescent="0.25">
      <c r="A164" s="14">
        <v>540248</v>
      </c>
      <c r="B164" s="17" t="s">
        <v>274</v>
      </c>
      <c r="C164" s="17" t="s">
        <v>267</v>
      </c>
      <c r="D164" s="17" t="s">
        <v>2</v>
      </c>
      <c r="E164" s="14">
        <v>2</v>
      </c>
      <c r="F164" s="14" t="s">
        <v>273</v>
      </c>
      <c r="G164" s="14">
        <v>47</v>
      </c>
      <c r="H164" s="14">
        <v>3</v>
      </c>
      <c r="I164" s="14">
        <v>38</v>
      </c>
      <c r="J164" s="14">
        <v>20</v>
      </c>
      <c r="K164" s="14">
        <v>108</v>
      </c>
      <c r="L164" s="16">
        <v>0.435</v>
      </c>
      <c r="M164" s="16">
        <v>2.8000000000000001E-2</v>
      </c>
      <c r="N164" s="16">
        <v>0.35199999999999998</v>
      </c>
      <c r="O164" s="16">
        <v>0.185</v>
      </c>
      <c r="P164" s="16">
        <v>0.185</v>
      </c>
      <c r="Q164" s="16">
        <v>0</v>
      </c>
      <c r="R164" s="2"/>
      <c r="S164" s="14">
        <v>41</v>
      </c>
      <c r="T164" s="14">
        <v>13</v>
      </c>
      <c r="U164" s="14">
        <v>2</v>
      </c>
      <c r="V164" s="2"/>
      <c r="W164" s="14">
        <v>1969.5</v>
      </c>
      <c r="X164" s="14">
        <v>1976</v>
      </c>
      <c r="Y164" s="15">
        <v>35746.800000000003</v>
      </c>
      <c r="Z164" s="15">
        <v>23750</v>
      </c>
      <c r="AA164" s="15">
        <v>34938.1</v>
      </c>
      <c r="AB164" s="15">
        <v>23500</v>
      </c>
      <c r="AC164" s="16">
        <v>0.33700000000000002</v>
      </c>
      <c r="AD164" s="16">
        <v>0.31</v>
      </c>
      <c r="AE164" s="15">
        <v>8635.7999999999993</v>
      </c>
      <c r="AF164" s="15">
        <v>7456.1</v>
      </c>
      <c r="AG164" s="2"/>
      <c r="AH164" s="14">
        <f t="shared" si="16"/>
        <v>25</v>
      </c>
      <c r="AI164" s="14">
        <f t="shared" si="17"/>
        <v>35</v>
      </c>
      <c r="AJ164" s="14">
        <f t="shared" si="18"/>
        <v>15</v>
      </c>
      <c r="AK164" s="14">
        <f t="shared" si="19"/>
        <v>181</v>
      </c>
      <c r="AL164" s="14">
        <f t="shared" si="20"/>
        <v>183</v>
      </c>
      <c r="AM164" s="14">
        <f t="shared" si="21"/>
        <v>175</v>
      </c>
      <c r="AN164" s="14">
        <f t="shared" si="22"/>
        <v>15</v>
      </c>
      <c r="AO164" s="14">
        <f t="shared" si="23"/>
        <v>59</v>
      </c>
    </row>
    <row r="165" spans="1:41" ht="12" x14ac:dyDescent="0.25">
      <c r="A165" s="14">
        <v>540249</v>
      </c>
      <c r="B165" s="17" t="s">
        <v>272</v>
      </c>
      <c r="C165" s="17" t="s">
        <v>267</v>
      </c>
      <c r="D165" s="17" t="s">
        <v>2</v>
      </c>
      <c r="E165" s="14">
        <v>2</v>
      </c>
      <c r="F165" s="14" t="s">
        <v>271</v>
      </c>
      <c r="G165" s="14">
        <v>30</v>
      </c>
      <c r="H165" s="14">
        <v>4</v>
      </c>
      <c r="I165" s="14">
        <v>35</v>
      </c>
      <c r="J165" s="14">
        <v>1</v>
      </c>
      <c r="K165" s="14">
        <v>70</v>
      </c>
      <c r="L165" s="16">
        <v>0.42899999999999999</v>
      </c>
      <c r="M165" s="16">
        <v>5.7000000000000002E-2</v>
      </c>
      <c r="N165" s="16">
        <v>0.5</v>
      </c>
      <c r="O165" s="16">
        <v>1.4E-2</v>
      </c>
      <c r="P165" s="16">
        <v>1.4E-2</v>
      </c>
      <c r="Q165" s="16">
        <v>0</v>
      </c>
      <c r="R165" s="2"/>
      <c r="S165" s="14">
        <v>12</v>
      </c>
      <c r="T165" s="14">
        <v>2</v>
      </c>
      <c r="U165" s="14">
        <v>0</v>
      </c>
      <c r="V165" s="2"/>
      <c r="W165" s="14">
        <v>1978.5</v>
      </c>
      <c r="X165" s="14">
        <v>1980</v>
      </c>
      <c r="Y165" s="15">
        <v>65079.4</v>
      </c>
      <c r="Z165" s="15">
        <v>61300</v>
      </c>
      <c r="AA165" s="15">
        <v>63848.7</v>
      </c>
      <c r="AB165" s="15">
        <v>60900</v>
      </c>
      <c r="AC165" s="16">
        <v>0.161</v>
      </c>
      <c r="AD165" s="16">
        <v>0.12</v>
      </c>
      <c r="AE165" s="15">
        <v>9950.7999999999993</v>
      </c>
      <c r="AF165" s="15">
        <v>7670</v>
      </c>
      <c r="AG165" s="2"/>
      <c r="AH165" s="14">
        <f t="shared" si="16"/>
        <v>11</v>
      </c>
      <c r="AI165" s="14">
        <f t="shared" si="17"/>
        <v>81</v>
      </c>
      <c r="AJ165" s="14">
        <f t="shared" si="18"/>
        <v>56</v>
      </c>
      <c r="AK165" s="14">
        <f t="shared" si="19"/>
        <v>192</v>
      </c>
      <c r="AL165" s="14">
        <f t="shared" si="20"/>
        <v>47</v>
      </c>
      <c r="AM165" s="14">
        <f t="shared" si="21"/>
        <v>37</v>
      </c>
      <c r="AN165" s="14">
        <f t="shared" si="22"/>
        <v>95</v>
      </c>
      <c r="AO165" s="14">
        <f t="shared" si="23"/>
        <v>55</v>
      </c>
    </row>
    <row r="166" spans="1:41" ht="12" x14ac:dyDescent="0.25">
      <c r="A166" s="14">
        <v>540250</v>
      </c>
      <c r="B166" s="17" t="s">
        <v>270</v>
      </c>
      <c r="C166" s="17" t="s">
        <v>267</v>
      </c>
      <c r="D166" s="17" t="s">
        <v>2</v>
      </c>
      <c r="E166" s="14">
        <v>2</v>
      </c>
      <c r="F166" s="14" t="s">
        <v>268</v>
      </c>
      <c r="G166" s="14">
        <v>37</v>
      </c>
      <c r="H166" s="14">
        <v>0</v>
      </c>
      <c r="I166" s="14">
        <v>27</v>
      </c>
      <c r="J166" s="14">
        <v>5</v>
      </c>
      <c r="K166" s="14">
        <v>69</v>
      </c>
      <c r="L166" s="16">
        <v>0.53600000000000003</v>
      </c>
      <c r="M166" s="16">
        <v>0</v>
      </c>
      <c r="N166" s="16">
        <v>0.39100000000000001</v>
      </c>
      <c r="O166" s="16">
        <v>7.1999999999999995E-2</v>
      </c>
      <c r="P166" s="16">
        <v>7.1999999999999995E-2</v>
      </c>
      <c r="Q166" s="16">
        <v>0</v>
      </c>
      <c r="R166" s="2"/>
      <c r="S166" s="14">
        <v>49</v>
      </c>
      <c r="T166" s="14">
        <v>24</v>
      </c>
      <c r="U166" s="14">
        <v>5</v>
      </c>
      <c r="V166" s="2"/>
      <c r="W166" s="14">
        <v>1963.7</v>
      </c>
      <c r="X166" s="14">
        <v>1967.5</v>
      </c>
      <c r="Y166" s="15">
        <v>71179.600000000006</v>
      </c>
      <c r="Z166" s="15">
        <v>34800</v>
      </c>
      <c r="AA166" s="15">
        <v>40926.400000000001</v>
      </c>
      <c r="AB166" s="15">
        <v>31300</v>
      </c>
      <c r="AC166" s="16">
        <v>0.53600000000000003</v>
      </c>
      <c r="AD166" s="16">
        <v>0.58699999999999997</v>
      </c>
      <c r="AE166" s="15">
        <v>20489.900000000001</v>
      </c>
      <c r="AF166" s="15">
        <v>14132.7</v>
      </c>
      <c r="AG166" s="2"/>
      <c r="AH166" s="14">
        <f t="shared" si="16"/>
        <v>21</v>
      </c>
      <c r="AI166" s="14">
        <f t="shared" si="17"/>
        <v>31</v>
      </c>
      <c r="AJ166" s="14">
        <f t="shared" si="18"/>
        <v>6</v>
      </c>
      <c r="AK166" s="14">
        <f t="shared" si="19"/>
        <v>160</v>
      </c>
      <c r="AL166" s="14">
        <f t="shared" si="20"/>
        <v>139</v>
      </c>
      <c r="AM166" s="14">
        <f t="shared" si="21"/>
        <v>130</v>
      </c>
      <c r="AN166" s="14">
        <f t="shared" si="22"/>
        <v>3</v>
      </c>
      <c r="AO166" s="14">
        <f t="shared" si="23"/>
        <v>17</v>
      </c>
    </row>
    <row r="167" spans="1:41" ht="12" x14ac:dyDescent="0.25">
      <c r="A167" s="14">
        <v>540251</v>
      </c>
      <c r="B167" s="17" t="s">
        <v>269</v>
      </c>
      <c r="C167" s="17" t="s">
        <v>267</v>
      </c>
      <c r="D167" s="17" t="s">
        <v>2</v>
      </c>
      <c r="E167" s="14">
        <v>2</v>
      </c>
      <c r="F167" s="14" t="s">
        <v>268</v>
      </c>
      <c r="G167" s="14">
        <v>90</v>
      </c>
      <c r="H167" s="14">
        <v>0</v>
      </c>
      <c r="I167" s="14">
        <v>36</v>
      </c>
      <c r="J167" s="14">
        <v>8</v>
      </c>
      <c r="K167" s="14">
        <v>134</v>
      </c>
      <c r="L167" s="16">
        <v>0.67200000000000004</v>
      </c>
      <c r="M167" s="16">
        <v>0</v>
      </c>
      <c r="N167" s="16">
        <v>0.26900000000000002</v>
      </c>
      <c r="O167" s="16">
        <v>0.06</v>
      </c>
      <c r="P167" s="16">
        <v>0.06</v>
      </c>
      <c r="Q167" s="16">
        <v>0</v>
      </c>
      <c r="R167" s="2"/>
      <c r="S167" s="14">
        <v>105</v>
      </c>
      <c r="T167" s="14">
        <v>33</v>
      </c>
      <c r="U167" s="14">
        <v>7</v>
      </c>
      <c r="V167" s="2"/>
      <c r="W167" s="14">
        <v>1953.1</v>
      </c>
      <c r="X167" s="14">
        <v>1950</v>
      </c>
      <c r="Y167" s="15">
        <v>27971.4</v>
      </c>
      <c r="Z167" s="15">
        <v>22150</v>
      </c>
      <c r="AA167" s="15">
        <v>23225.599999999999</v>
      </c>
      <c r="AB167" s="15">
        <v>20700</v>
      </c>
      <c r="AC167" s="16">
        <v>0.51800000000000002</v>
      </c>
      <c r="AD167" s="16">
        <v>0.52600000000000002</v>
      </c>
      <c r="AE167" s="15">
        <v>11937.9</v>
      </c>
      <c r="AF167" s="15">
        <v>10631.2</v>
      </c>
      <c r="AG167" s="2"/>
      <c r="AH167" s="14">
        <f t="shared" si="16"/>
        <v>45</v>
      </c>
      <c r="AI167" s="14">
        <f t="shared" si="17"/>
        <v>12</v>
      </c>
      <c r="AJ167" s="14">
        <f t="shared" si="18"/>
        <v>4</v>
      </c>
      <c r="AK167" s="14">
        <f t="shared" si="19"/>
        <v>120</v>
      </c>
      <c r="AL167" s="14">
        <f t="shared" si="20"/>
        <v>186</v>
      </c>
      <c r="AM167" s="14">
        <f t="shared" si="21"/>
        <v>184</v>
      </c>
      <c r="AN167" s="14">
        <f t="shared" si="22"/>
        <v>5</v>
      </c>
      <c r="AO167" s="14">
        <f t="shared" si="23"/>
        <v>31</v>
      </c>
    </row>
    <row r="168" spans="1:41" x14ac:dyDescent="0.3">
      <c r="A168" s="129"/>
      <c r="B168" s="130"/>
      <c r="C168" s="130" t="s">
        <v>267</v>
      </c>
      <c r="D168" s="130" t="s">
        <v>26</v>
      </c>
      <c r="E168" s="129">
        <v>2</v>
      </c>
      <c r="F168" s="129"/>
      <c r="G168" s="129">
        <v>652</v>
      </c>
      <c r="H168" s="129">
        <v>10</v>
      </c>
      <c r="I168" s="129">
        <v>636</v>
      </c>
      <c r="J168" s="129">
        <v>204</v>
      </c>
      <c r="K168" s="129">
        <v>1502</v>
      </c>
      <c r="L168" s="131">
        <v>0.434</v>
      </c>
      <c r="M168" s="131">
        <v>7.0000000000000001E-3</v>
      </c>
      <c r="N168" s="131">
        <v>0.42299999999999999</v>
      </c>
      <c r="O168" s="131">
        <v>0.13600000000000001</v>
      </c>
      <c r="P168" s="131">
        <v>0.129</v>
      </c>
      <c r="Q168" s="131">
        <v>0</v>
      </c>
      <c r="S168" s="129">
        <v>643</v>
      </c>
      <c r="T168" s="129">
        <v>249</v>
      </c>
      <c r="U168" s="129">
        <v>94</v>
      </c>
      <c r="W168" s="129">
        <v>1969.8</v>
      </c>
      <c r="X168" s="129">
        <v>1978</v>
      </c>
      <c r="Y168" s="132">
        <v>45736.5</v>
      </c>
      <c r="Z168" s="132">
        <v>28000</v>
      </c>
      <c r="AA168" s="132">
        <v>58129.3</v>
      </c>
      <c r="AB168" s="132">
        <v>49300</v>
      </c>
      <c r="AC168" s="131">
        <v>0.42899999999999999</v>
      </c>
      <c r="AD168" s="131">
        <v>0.40100000000000002</v>
      </c>
      <c r="AE168" s="132">
        <v>13622.9</v>
      </c>
      <c r="AF168" s="132">
        <v>9967.7000000000007</v>
      </c>
      <c r="AH168" s="129">
        <f t="shared" si="16"/>
        <v>1</v>
      </c>
      <c r="AI168" s="129">
        <f t="shared" si="17"/>
        <v>7</v>
      </c>
      <c r="AJ168" s="129">
        <f t="shared" si="18"/>
        <v>2</v>
      </c>
      <c r="AK168" s="129">
        <f t="shared" si="19"/>
        <v>50</v>
      </c>
      <c r="AL168" s="129">
        <f t="shared" si="20"/>
        <v>44</v>
      </c>
      <c r="AM168" s="129">
        <f t="shared" si="21"/>
        <v>25</v>
      </c>
      <c r="AN168" s="129">
        <f t="shared" si="22"/>
        <v>3</v>
      </c>
      <c r="AO168" s="129">
        <f t="shared" si="23"/>
        <v>10</v>
      </c>
    </row>
    <row r="169" spans="1:41" ht="12" hidden="1" x14ac:dyDescent="0.25">
      <c r="A169" s="19">
        <v>540114</v>
      </c>
      <c r="B169" s="22" t="s">
        <v>266</v>
      </c>
      <c r="C169" s="22" t="s">
        <v>251</v>
      </c>
      <c r="D169" s="22" t="s">
        <v>29</v>
      </c>
      <c r="E169" s="19">
        <v>1</v>
      </c>
      <c r="F169" s="19" t="s">
        <v>252</v>
      </c>
      <c r="G169" s="19">
        <v>1615</v>
      </c>
      <c r="H169" s="19">
        <v>88</v>
      </c>
      <c r="I169" s="19">
        <v>120</v>
      </c>
      <c r="J169" s="19">
        <v>585</v>
      </c>
      <c r="K169" s="19">
        <v>2408</v>
      </c>
      <c r="L169" s="21">
        <v>0.67100000000000004</v>
      </c>
      <c r="M169" s="21">
        <v>3.6999999999999998E-2</v>
      </c>
      <c r="N169" s="21">
        <v>0.05</v>
      </c>
      <c r="O169" s="21">
        <v>0.24299999999999999</v>
      </c>
      <c r="P169" s="21">
        <v>0.19800000000000001</v>
      </c>
      <c r="Q169" s="21">
        <v>0.02</v>
      </c>
      <c r="R169" s="2"/>
      <c r="S169" s="19">
        <v>199</v>
      </c>
      <c r="T169" s="19">
        <v>13</v>
      </c>
      <c r="U169" s="19">
        <v>56</v>
      </c>
      <c r="V169" s="2"/>
      <c r="W169" s="19">
        <v>1942.5</v>
      </c>
      <c r="X169" s="19">
        <v>1930</v>
      </c>
      <c r="Y169" s="20">
        <v>23074.3</v>
      </c>
      <c r="Z169" s="20">
        <v>14000</v>
      </c>
      <c r="AA169" s="20">
        <v>16599.099999999999</v>
      </c>
      <c r="AB169" s="20">
        <v>13900</v>
      </c>
      <c r="AC169" s="21">
        <v>0.22</v>
      </c>
      <c r="AD169" s="21">
        <v>0.16600000000000001</v>
      </c>
      <c r="AE169" s="20">
        <v>3888.8</v>
      </c>
      <c r="AF169" s="20">
        <v>2198.1</v>
      </c>
      <c r="AG169" s="2"/>
      <c r="AH169" s="19">
        <f t="shared" ref="AH169:AH200" si="24">IF($D169 = "SPLIT", "",COUNTIFS($D$7:$D$346,$D169,N$7:N$346,"&gt;"&amp;N169)+1)</f>
        <v>53</v>
      </c>
      <c r="AI169" s="19">
        <f t="shared" ref="AI169:AI200" si="25">IF($D169 = "SPLIT", "",COUNTIFS($D$7:$D$346,$D169,S$7:S$346,"&gt;"&amp;S169)+1)</f>
        <v>18</v>
      </c>
      <c r="AJ169" s="19">
        <f t="shared" ref="AJ169:AJ200" si="26">IF($D169 = "SPLIT", "",COUNTIFS($D$7:$D$346,$D169,T$7:T$346,"&gt;"&amp;T169)+1)</f>
        <v>36</v>
      </c>
      <c r="AK169" s="19">
        <f t="shared" ref="AK169:AK200" si="27">IF($D169 = "SPLIT", "",COUNTIFS($D$7:$D$346,$D169,X$7:X$346,"&lt;"&amp;X169)+1)</f>
        <v>1</v>
      </c>
      <c r="AL169" s="19">
        <f t="shared" ref="AL169:AL200" si="28">IF($D169 = "SPLIT", "",COUNTIFS($D$7:$D$346,$D169,Z$7:Z$346,"&gt;"&amp;Z169)+1)</f>
        <v>54</v>
      </c>
      <c r="AM169" s="19">
        <f t="shared" ref="AM169:AM200" si="29">IF($D169 = "SPLIT", "",COUNTIFS($D$7:$D$346,$D169,AB$7:AB$346,"&gt;"&amp;AB169)+1)</f>
        <v>54</v>
      </c>
      <c r="AN169" s="19">
        <f t="shared" ref="AN169:AN200" si="30">IF($D169 = "SPLIT", "",COUNTIFS($D$7:$D$346,$D169,AD$7:AD$346,"&gt;"&amp;AD169)+1)</f>
        <v>30</v>
      </c>
      <c r="AO169" s="19">
        <f t="shared" ref="AO169:AO200" si="31">IF($D169 = "SPLIT", "",COUNTIFS($D$7:$D$346,$D169,AF$7:AF$346,"&gt;"&amp;AF169)+1)</f>
        <v>54</v>
      </c>
    </row>
    <row r="170" spans="1:41" ht="12" hidden="1" x14ac:dyDescent="0.25">
      <c r="A170" s="14">
        <v>540115</v>
      </c>
      <c r="B170" s="17" t="s">
        <v>265</v>
      </c>
      <c r="C170" s="17" t="s">
        <v>251</v>
      </c>
      <c r="D170" s="17" t="s">
        <v>2</v>
      </c>
      <c r="E170" s="14">
        <v>1</v>
      </c>
      <c r="F170" s="14" t="s">
        <v>249</v>
      </c>
      <c r="G170" s="14">
        <v>43</v>
      </c>
      <c r="H170" s="14">
        <v>0</v>
      </c>
      <c r="I170" s="14">
        <v>1</v>
      </c>
      <c r="J170" s="14">
        <v>6</v>
      </c>
      <c r="K170" s="14">
        <v>50</v>
      </c>
      <c r="L170" s="16">
        <v>0.86</v>
      </c>
      <c r="M170" s="16">
        <v>0</v>
      </c>
      <c r="N170" s="16">
        <v>0.02</v>
      </c>
      <c r="O170" s="16">
        <v>0.12</v>
      </c>
      <c r="P170" s="16">
        <v>0.12</v>
      </c>
      <c r="Q170" s="16">
        <v>0</v>
      </c>
      <c r="R170" s="2"/>
      <c r="S170" s="14">
        <v>2</v>
      </c>
      <c r="T170" s="14">
        <v>0</v>
      </c>
      <c r="U170" s="14">
        <v>0</v>
      </c>
      <c r="V170" s="2"/>
      <c r="W170" s="14">
        <v>1936.1</v>
      </c>
      <c r="X170" s="14">
        <v>1935</v>
      </c>
      <c r="Y170" s="15">
        <v>15163.8</v>
      </c>
      <c r="Z170" s="15">
        <v>13600</v>
      </c>
      <c r="AA170" s="15">
        <v>14558</v>
      </c>
      <c r="AB170" s="15">
        <v>13800</v>
      </c>
      <c r="AC170" s="16">
        <v>0.214</v>
      </c>
      <c r="AD170" s="16">
        <v>0.19</v>
      </c>
      <c r="AE170" s="15">
        <v>2871.7</v>
      </c>
      <c r="AF170" s="15">
        <v>2623.3</v>
      </c>
      <c r="AG170" s="2"/>
      <c r="AH170" s="14">
        <f t="shared" si="24"/>
        <v>181</v>
      </c>
      <c r="AI170" s="14">
        <f t="shared" si="25"/>
        <v>134</v>
      </c>
      <c r="AJ170" s="14">
        <f t="shared" si="26"/>
        <v>108</v>
      </c>
      <c r="AK170" s="14">
        <f t="shared" si="27"/>
        <v>62</v>
      </c>
      <c r="AL170" s="14">
        <f t="shared" si="28"/>
        <v>206</v>
      </c>
      <c r="AM170" s="14">
        <f t="shared" si="29"/>
        <v>202</v>
      </c>
      <c r="AN170" s="14">
        <f t="shared" si="30"/>
        <v>56</v>
      </c>
      <c r="AO170" s="14">
        <f t="shared" si="31"/>
        <v>150</v>
      </c>
    </row>
    <row r="171" spans="1:41" ht="12" hidden="1" x14ac:dyDescent="0.25">
      <c r="A171" s="14">
        <v>540116</v>
      </c>
      <c r="B171" s="17" t="s">
        <v>264</v>
      </c>
      <c r="C171" s="17" t="s">
        <v>251</v>
      </c>
      <c r="D171" s="17" t="s">
        <v>2</v>
      </c>
      <c r="E171" s="14">
        <v>1</v>
      </c>
      <c r="F171" s="14" t="s">
        <v>256</v>
      </c>
      <c r="G171" s="14">
        <v>44</v>
      </c>
      <c r="H171" s="14">
        <v>1</v>
      </c>
      <c r="I171" s="14">
        <v>3</v>
      </c>
      <c r="J171" s="14">
        <v>11</v>
      </c>
      <c r="K171" s="14">
        <v>59</v>
      </c>
      <c r="L171" s="16">
        <v>0.746</v>
      </c>
      <c r="M171" s="16">
        <v>1.7000000000000001E-2</v>
      </c>
      <c r="N171" s="16">
        <v>5.0999999999999997E-2</v>
      </c>
      <c r="O171" s="16">
        <v>0.186</v>
      </c>
      <c r="P171" s="16">
        <v>0.10199999999999999</v>
      </c>
      <c r="Q171" s="16">
        <v>3.4000000000000002E-2</v>
      </c>
      <c r="R171" s="2"/>
      <c r="S171" s="14">
        <v>11</v>
      </c>
      <c r="T171" s="14">
        <v>1</v>
      </c>
      <c r="U171" s="14">
        <v>3</v>
      </c>
      <c r="V171" s="2"/>
      <c r="W171" s="14">
        <v>1935.3</v>
      </c>
      <c r="X171" s="14">
        <v>1927.5</v>
      </c>
      <c r="Y171" s="15">
        <v>21460.7</v>
      </c>
      <c r="Z171" s="15">
        <v>15800</v>
      </c>
      <c r="AA171" s="15">
        <v>17877.900000000001</v>
      </c>
      <c r="AB171" s="15">
        <v>15750</v>
      </c>
      <c r="AC171" s="16">
        <v>0.30499999999999999</v>
      </c>
      <c r="AD171" s="16">
        <v>0.27900000000000003</v>
      </c>
      <c r="AE171" s="15">
        <v>5276.4</v>
      </c>
      <c r="AF171" s="15">
        <v>4220.3999999999996</v>
      </c>
      <c r="AG171" s="2"/>
      <c r="AH171" s="14">
        <f t="shared" si="24"/>
        <v>161</v>
      </c>
      <c r="AI171" s="14">
        <f t="shared" si="25"/>
        <v>89</v>
      </c>
      <c r="AJ171" s="14">
        <f t="shared" si="26"/>
        <v>80</v>
      </c>
      <c r="AK171" s="14">
        <f t="shared" si="27"/>
        <v>45</v>
      </c>
      <c r="AL171" s="14">
        <f t="shared" si="28"/>
        <v>202</v>
      </c>
      <c r="AM171" s="14">
        <f t="shared" si="29"/>
        <v>197</v>
      </c>
      <c r="AN171" s="14">
        <f t="shared" si="30"/>
        <v>24</v>
      </c>
      <c r="AO171" s="14">
        <f t="shared" si="31"/>
        <v>105</v>
      </c>
    </row>
    <row r="172" spans="1:41" ht="12" hidden="1" x14ac:dyDescent="0.25">
      <c r="A172" s="14">
        <v>540117</v>
      </c>
      <c r="B172" s="17" t="s">
        <v>263</v>
      </c>
      <c r="C172" s="17" t="s">
        <v>251</v>
      </c>
      <c r="D172" s="17" t="s">
        <v>2</v>
      </c>
      <c r="E172" s="14">
        <v>1</v>
      </c>
      <c r="F172" s="14" t="s">
        <v>249</v>
      </c>
      <c r="G172" s="14">
        <v>255</v>
      </c>
      <c r="H172" s="14">
        <v>0</v>
      </c>
      <c r="I172" s="14">
        <v>5</v>
      </c>
      <c r="J172" s="14">
        <v>17</v>
      </c>
      <c r="K172" s="14">
        <v>277</v>
      </c>
      <c r="L172" s="16">
        <v>0.92100000000000004</v>
      </c>
      <c r="M172" s="16">
        <v>0</v>
      </c>
      <c r="N172" s="16">
        <v>1.7999999999999999E-2</v>
      </c>
      <c r="O172" s="16">
        <v>6.0999999999999999E-2</v>
      </c>
      <c r="P172" s="16">
        <v>2.9000000000000001E-2</v>
      </c>
      <c r="Q172" s="16">
        <v>2.1999999999999999E-2</v>
      </c>
      <c r="R172" s="2"/>
      <c r="S172" s="14">
        <v>30</v>
      </c>
      <c r="T172" s="14">
        <v>2</v>
      </c>
      <c r="U172" s="14">
        <v>6</v>
      </c>
      <c r="V172" s="2"/>
      <c r="W172" s="14">
        <v>1916</v>
      </c>
      <c r="X172" s="14">
        <v>1910</v>
      </c>
      <c r="Y172" s="15">
        <v>29021</v>
      </c>
      <c r="Z172" s="15">
        <v>12900</v>
      </c>
      <c r="AA172" s="15">
        <v>14077.8</v>
      </c>
      <c r="AB172" s="15">
        <v>12600</v>
      </c>
      <c r="AC172" s="16">
        <v>0.24199999999999999</v>
      </c>
      <c r="AD172" s="16">
        <v>0.19400000000000001</v>
      </c>
      <c r="AE172" s="15">
        <v>3802.3</v>
      </c>
      <c r="AF172" s="15">
        <v>2343.1</v>
      </c>
      <c r="AG172" s="2"/>
      <c r="AH172" s="14">
        <f t="shared" si="24"/>
        <v>183</v>
      </c>
      <c r="AI172" s="14">
        <f t="shared" si="25"/>
        <v>46</v>
      </c>
      <c r="AJ172" s="14">
        <f t="shared" si="26"/>
        <v>56</v>
      </c>
      <c r="AK172" s="14">
        <f t="shared" si="27"/>
        <v>15</v>
      </c>
      <c r="AL172" s="14">
        <f t="shared" si="28"/>
        <v>208</v>
      </c>
      <c r="AM172" s="14">
        <f t="shared" si="29"/>
        <v>205</v>
      </c>
      <c r="AN172" s="14">
        <f t="shared" si="30"/>
        <v>51</v>
      </c>
      <c r="AO172" s="14">
        <f t="shared" si="31"/>
        <v>155</v>
      </c>
    </row>
    <row r="173" spans="1:41" ht="12" hidden="1" x14ac:dyDescent="0.25">
      <c r="A173" s="14">
        <v>540118</v>
      </c>
      <c r="B173" s="17" t="s">
        <v>262</v>
      </c>
      <c r="C173" s="17" t="s">
        <v>251</v>
      </c>
      <c r="D173" s="17" t="s">
        <v>2</v>
      </c>
      <c r="E173" s="14">
        <v>1</v>
      </c>
      <c r="F173" s="14" t="s">
        <v>256</v>
      </c>
      <c r="G173" s="14">
        <v>59</v>
      </c>
      <c r="H173" s="14">
        <v>0</v>
      </c>
      <c r="I173" s="14">
        <v>3</v>
      </c>
      <c r="J173" s="14">
        <v>9</v>
      </c>
      <c r="K173" s="14">
        <v>71</v>
      </c>
      <c r="L173" s="16">
        <v>0.83099999999999996</v>
      </c>
      <c r="M173" s="16">
        <v>0</v>
      </c>
      <c r="N173" s="16">
        <v>4.2000000000000003E-2</v>
      </c>
      <c r="O173" s="16">
        <v>0.127</v>
      </c>
      <c r="P173" s="16">
        <v>7.0000000000000007E-2</v>
      </c>
      <c r="Q173" s="16">
        <v>2.8000000000000001E-2</v>
      </c>
      <c r="R173" s="2"/>
      <c r="S173" s="14">
        <v>10</v>
      </c>
      <c r="T173" s="14">
        <v>0</v>
      </c>
      <c r="U173" s="14">
        <v>0</v>
      </c>
      <c r="V173" s="2"/>
      <c r="W173" s="14">
        <v>1943.1</v>
      </c>
      <c r="X173" s="14">
        <v>1937.5</v>
      </c>
      <c r="Y173" s="15">
        <v>214287.9</v>
      </c>
      <c r="Z173" s="15">
        <v>21800</v>
      </c>
      <c r="AA173" s="15">
        <v>23916</v>
      </c>
      <c r="AB173" s="15">
        <v>16450</v>
      </c>
      <c r="AC173" s="16">
        <v>0.17499999999999999</v>
      </c>
      <c r="AD173" s="16">
        <v>0.14599999999999999</v>
      </c>
      <c r="AE173" s="15">
        <v>12846.4</v>
      </c>
      <c r="AF173" s="15">
        <v>2604.6999999999998</v>
      </c>
      <c r="AG173" s="2"/>
      <c r="AH173" s="14">
        <f t="shared" si="24"/>
        <v>167</v>
      </c>
      <c r="AI173" s="14">
        <f t="shared" si="25"/>
        <v>93</v>
      </c>
      <c r="AJ173" s="14">
        <f t="shared" si="26"/>
        <v>108</v>
      </c>
      <c r="AK173" s="14">
        <f t="shared" si="27"/>
        <v>67</v>
      </c>
      <c r="AL173" s="14">
        <f t="shared" si="28"/>
        <v>189</v>
      </c>
      <c r="AM173" s="14">
        <f t="shared" si="29"/>
        <v>194</v>
      </c>
      <c r="AN173" s="14">
        <f t="shared" si="30"/>
        <v>79</v>
      </c>
      <c r="AO173" s="14">
        <f t="shared" si="31"/>
        <v>151</v>
      </c>
    </row>
    <row r="174" spans="1:41" ht="12" hidden="1" x14ac:dyDescent="0.25">
      <c r="A174" s="14">
        <v>540119</v>
      </c>
      <c r="B174" s="17" t="s">
        <v>261</v>
      </c>
      <c r="C174" s="17" t="s">
        <v>251</v>
      </c>
      <c r="D174" s="17" t="s">
        <v>2</v>
      </c>
      <c r="E174" s="14">
        <v>1</v>
      </c>
      <c r="F174" s="14" t="s">
        <v>249</v>
      </c>
      <c r="G174" s="14">
        <v>74</v>
      </c>
      <c r="H174" s="14">
        <v>0</v>
      </c>
      <c r="I174" s="14">
        <v>7</v>
      </c>
      <c r="J174" s="14">
        <v>11</v>
      </c>
      <c r="K174" s="14">
        <v>92</v>
      </c>
      <c r="L174" s="16">
        <v>0.80400000000000005</v>
      </c>
      <c r="M174" s="16">
        <v>0</v>
      </c>
      <c r="N174" s="16">
        <v>7.5999999999999998E-2</v>
      </c>
      <c r="O174" s="16">
        <v>0.12</v>
      </c>
      <c r="P174" s="16">
        <v>8.6999999999999994E-2</v>
      </c>
      <c r="Q174" s="16">
        <v>0</v>
      </c>
      <c r="R174" s="2"/>
      <c r="S174" s="14">
        <v>23</v>
      </c>
      <c r="T174" s="14">
        <v>2</v>
      </c>
      <c r="U174" s="14">
        <v>6</v>
      </c>
      <c r="V174" s="2"/>
      <c r="W174" s="14">
        <v>1940.3</v>
      </c>
      <c r="X174" s="14">
        <v>1930</v>
      </c>
      <c r="Y174" s="15">
        <v>34313.199999999997</v>
      </c>
      <c r="Z174" s="15">
        <v>18350</v>
      </c>
      <c r="AA174" s="15">
        <v>17865.599999999999</v>
      </c>
      <c r="AB174" s="15">
        <v>17300</v>
      </c>
      <c r="AC174" s="16">
        <v>0.26800000000000002</v>
      </c>
      <c r="AD174" s="16">
        <v>0.17599999999999999</v>
      </c>
      <c r="AE174" s="15">
        <v>5728.9</v>
      </c>
      <c r="AF174" s="15">
        <v>3364.1</v>
      </c>
      <c r="AG174" s="2"/>
      <c r="AH174" s="14">
        <f t="shared" si="24"/>
        <v>144</v>
      </c>
      <c r="AI174" s="14">
        <f t="shared" si="25"/>
        <v>58</v>
      </c>
      <c r="AJ174" s="14">
        <f t="shared" si="26"/>
        <v>56</v>
      </c>
      <c r="AK174" s="14">
        <f t="shared" si="27"/>
        <v>48</v>
      </c>
      <c r="AL174" s="14">
        <f t="shared" si="28"/>
        <v>196</v>
      </c>
      <c r="AM174" s="14">
        <f t="shared" si="29"/>
        <v>190</v>
      </c>
      <c r="AN174" s="14">
        <f t="shared" si="30"/>
        <v>62</v>
      </c>
      <c r="AO174" s="14">
        <f t="shared" si="31"/>
        <v>128</v>
      </c>
    </row>
    <row r="175" spans="1:41" ht="12" hidden="1" x14ac:dyDescent="0.25">
      <c r="A175" s="14">
        <v>540120</v>
      </c>
      <c r="B175" s="17" t="s">
        <v>260</v>
      </c>
      <c r="C175" s="17" t="s">
        <v>251</v>
      </c>
      <c r="D175" s="17" t="s">
        <v>2</v>
      </c>
      <c r="E175" s="14">
        <v>1</v>
      </c>
      <c r="F175" s="14" t="s">
        <v>249</v>
      </c>
      <c r="G175" s="14">
        <v>41</v>
      </c>
      <c r="H175" s="14">
        <v>0</v>
      </c>
      <c r="I175" s="14">
        <v>1</v>
      </c>
      <c r="J175" s="14">
        <v>9</v>
      </c>
      <c r="K175" s="14">
        <v>51</v>
      </c>
      <c r="L175" s="16">
        <v>0.80400000000000005</v>
      </c>
      <c r="M175" s="16">
        <v>0</v>
      </c>
      <c r="N175" s="16">
        <v>0.02</v>
      </c>
      <c r="O175" s="16">
        <v>0.17599999999999999</v>
      </c>
      <c r="P175" s="16">
        <v>0.13700000000000001</v>
      </c>
      <c r="Q175" s="16">
        <v>5.8999999999999997E-2</v>
      </c>
      <c r="R175" s="2"/>
      <c r="S175" s="14">
        <v>12</v>
      </c>
      <c r="T175" s="14">
        <v>1</v>
      </c>
      <c r="U175" s="14">
        <v>5</v>
      </c>
      <c r="V175" s="2"/>
      <c r="W175" s="14">
        <v>1937.7</v>
      </c>
      <c r="X175" s="14">
        <v>1939.5</v>
      </c>
      <c r="Y175" s="15">
        <v>50483.3</v>
      </c>
      <c r="Z175" s="15">
        <v>14600</v>
      </c>
      <c r="AA175" s="15">
        <v>15236.1</v>
      </c>
      <c r="AB175" s="15">
        <v>13750</v>
      </c>
      <c r="AC175" s="16">
        <v>0.30199999999999999</v>
      </c>
      <c r="AD175" s="16">
        <v>0.26400000000000001</v>
      </c>
      <c r="AE175" s="15">
        <v>6692.4</v>
      </c>
      <c r="AF175" s="15">
        <v>4061.5</v>
      </c>
      <c r="AG175" s="2"/>
      <c r="AH175" s="14">
        <f t="shared" si="24"/>
        <v>181</v>
      </c>
      <c r="AI175" s="14">
        <f t="shared" si="25"/>
        <v>81</v>
      </c>
      <c r="AJ175" s="14">
        <f t="shared" si="26"/>
        <v>80</v>
      </c>
      <c r="AK175" s="14">
        <f t="shared" si="27"/>
        <v>71</v>
      </c>
      <c r="AL175" s="14">
        <f t="shared" si="28"/>
        <v>205</v>
      </c>
      <c r="AM175" s="14">
        <f t="shared" si="29"/>
        <v>203</v>
      </c>
      <c r="AN175" s="14">
        <f t="shared" si="30"/>
        <v>28</v>
      </c>
      <c r="AO175" s="14">
        <f t="shared" si="31"/>
        <v>110</v>
      </c>
    </row>
    <row r="176" spans="1:41" ht="12" hidden="1" x14ac:dyDescent="0.25">
      <c r="A176" s="14">
        <v>540121</v>
      </c>
      <c r="B176" s="17" t="s">
        <v>259</v>
      </c>
      <c r="C176" s="17" t="s">
        <v>251</v>
      </c>
      <c r="D176" s="17" t="s">
        <v>2</v>
      </c>
      <c r="E176" s="14">
        <v>1</v>
      </c>
      <c r="F176" s="14" t="s">
        <v>258</v>
      </c>
      <c r="G176" s="14">
        <v>111</v>
      </c>
      <c r="H176" s="14">
        <v>0</v>
      </c>
      <c r="I176" s="14">
        <v>4</v>
      </c>
      <c r="J176" s="14">
        <v>19</v>
      </c>
      <c r="K176" s="14">
        <v>134</v>
      </c>
      <c r="L176" s="16">
        <v>0.82799999999999996</v>
      </c>
      <c r="M176" s="16">
        <v>0</v>
      </c>
      <c r="N176" s="16">
        <v>0.03</v>
      </c>
      <c r="O176" s="16">
        <v>0.14199999999999999</v>
      </c>
      <c r="P176" s="16">
        <v>0.06</v>
      </c>
      <c r="Q176" s="16">
        <v>2.1999999999999999E-2</v>
      </c>
      <c r="R176" s="2"/>
      <c r="S176" s="14">
        <v>17</v>
      </c>
      <c r="T176" s="14">
        <v>3</v>
      </c>
      <c r="U176" s="14">
        <v>5</v>
      </c>
      <c r="V176" s="2"/>
      <c r="W176" s="14">
        <v>1932.4</v>
      </c>
      <c r="X176" s="14">
        <v>1923</v>
      </c>
      <c r="Y176" s="15">
        <v>35211.5</v>
      </c>
      <c r="Z176" s="15">
        <v>13500</v>
      </c>
      <c r="AA176" s="15">
        <v>14498.6</v>
      </c>
      <c r="AB176" s="15">
        <v>12100</v>
      </c>
      <c r="AC176" s="16">
        <v>0.20200000000000001</v>
      </c>
      <c r="AD176" s="16">
        <v>0.16</v>
      </c>
      <c r="AE176" s="15">
        <v>5079.7</v>
      </c>
      <c r="AF176" s="15">
        <v>2723.4</v>
      </c>
      <c r="AG176" s="2"/>
      <c r="AH176" s="14">
        <f t="shared" si="24"/>
        <v>175</v>
      </c>
      <c r="AI176" s="14">
        <f t="shared" si="25"/>
        <v>68</v>
      </c>
      <c r="AJ176" s="14">
        <f t="shared" si="26"/>
        <v>42</v>
      </c>
      <c r="AK176" s="14">
        <f t="shared" si="27"/>
        <v>39</v>
      </c>
      <c r="AL176" s="14">
        <f t="shared" si="28"/>
        <v>207</v>
      </c>
      <c r="AM176" s="14">
        <f t="shared" si="29"/>
        <v>206</v>
      </c>
      <c r="AN176" s="14">
        <f t="shared" si="30"/>
        <v>67</v>
      </c>
      <c r="AO176" s="14">
        <f t="shared" si="31"/>
        <v>146</v>
      </c>
    </row>
    <row r="177" spans="1:41" ht="12" hidden="1" x14ac:dyDescent="0.25">
      <c r="A177" s="14">
        <v>540122</v>
      </c>
      <c r="B177" s="17" t="s">
        <v>257</v>
      </c>
      <c r="C177" s="17" t="s">
        <v>251</v>
      </c>
      <c r="D177" s="17" t="s">
        <v>2</v>
      </c>
      <c r="E177" s="14">
        <v>1</v>
      </c>
      <c r="F177" s="14" t="s">
        <v>256</v>
      </c>
      <c r="G177" s="14">
        <v>134</v>
      </c>
      <c r="H177" s="14">
        <v>1</v>
      </c>
      <c r="I177" s="14">
        <v>6</v>
      </c>
      <c r="J177" s="14">
        <v>14</v>
      </c>
      <c r="K177" s="14">
        <v>155</v>
      </c>
      <c r="L177" s="16">
        <v>0.86499999999999999</v>
      </c>
      <c r="M177" s="16">
        <v>6.0000000000000001E-3</v>
      </c>
      <c r="N177" s="16">
        <v>3.9E-2</v>
      </c>
      <c r="O177" s="16">
        <v>0.09</v>
      </c>
      <c r="P177" s="16">
        <v>5.8000000000000003E-2</v>
      </c>
      <c r="Q177" s="16">
        <v>1.9E-2</v>
      </c>
      <c r="R177" s="2"/>
      <c r="S177" s="14">
        <v>13</v>
      </c>
      <c r="T177" s="14">
        <v>0</v>
      </c>
      <c r="U177" s="14">
        <v>0</v>
      </c>
      <c r="V177" s="2"/>
      <c r="W177" s="14">
        <v>1929.9</v>
      </c>
      <c r="X177" s="14">
        <v>1920</v>
      </c>
      <c r="Y177" s="15">
        <v>33909.5</v>
      </c>
      <c r="Z177" s="15">
        <v>17900</v>
      </c>
      <c r="AA177" s="15">
        <v>18852.599999999999</v>
      </c>
      <c r="AB177" s="15">
        <v>16500</v>
      </c>
      <c r="AC177" s="16">
        <v>0.18</v>
      </c>
      <c r="AD177" s="16">
        <v>0.13500000000000001</v>
      </c>
      <c r="AE177" s="15">
        <v>5450.2</v>
      </c>
      <c r="AF177" s="15">
        <v>3110.2</v>
      </c>
      <c r="AG177" s="2"/>
      <c r="AH177" s="14">
        <f t="shared" si="24"/>
        <v>168</v>
      </c>
      <c r="AI177" s="14">
        <f t="shared" si="25"/>
        <v>78</v>
      </c>
      <c r="AJ177" s="14">
        <f t="shared" si="26"/>
        <v>108</v>
      </c>
      <c r="AK177" s="14">
        <f t="shared" si="27"/>
        <v>21</v>
      </c>
      <c r="AL177" s="14">
        <f t="shared" si="28"/>
        <v>197</v>
      </c>
      <c r="AM177" s="14">
        <f t="shared" si="29"/>
        <v>193</v>
      </c>
      <c r="AN177" s="14">
        <f t="shared" si="30"/>
        <v>85</v>
      </c>
      <c r="AO177" s="14">
        <f t="shared" si="31"/>
        <v>135</v>
      </c>
    </row>
    <row r="178" spans="1:41" ht="12" hidden="1" x14ac:dyDescent="0.25">
      <c r="A178" s="14">
        <v>540123</v>
      </c>
      <c r="B178" s="17" t="s">
        <v>255</v>
      </c>
      <c r="C178" s="17" t="s">
        <v>251</v>
      </c>
      <c r="D178" s="17" t="s">
        <v>2</v>
      </c>
      <c r="E178" s="14">
        <v>1</v>
      </c>
      <c r="F178" s="14" t="s">
        <v>254</v>
      </c>
      <c r="G178" s="14">
        <v>336</v>
      </c>
      <c r="H178" s="14">
        <v>1</v>
      </c>
      <c r="I178" s="14">
        <v>10</v>
      </c>
      <c r="J178" s="14">
        <v>19</v>
      </c>
      <c r="K178" s="14">
        <v>366</v>
      </c>
      <c r="L178" s="16">
        <v>0.91800000000000004</v>
      </c>
      <c r="M178" s="16">
        <v>3.0000000000000001E-3</v>
      </c>
      <c r="N178" s="16">
        <v>2.7E-2</v>
      </c>
      <c r="O178" s="16">
        <v>5.1999999999999998E-2</v>
      </c>
      <c r="P178" s="16">
        <v>2.1999999999999999E-2</v>
      </c>
      <c r="Q178" s="16">
        <v>1.6E-2</v>
      </c>
      <c r="R178" s="2"/>
      <c r="S178" s="14">
        <v>41</v>
      </c>
      <c r="T178" s="14">
        <v>0</v>
      </c>
      <c r="U178" s="14">
        <v>7</v>
      </c>
      <c r="V178" s="2"/>
      <c r="W178" s="14">
        <v>1945</v>
      </c>
      <c r="X178" s="14">
        <v>1946</v>
      </c>
      <c r="Y178" s="15">
        <v>103486.2</v>
      </c>
      <c r="Z178" s="15">
        <v>28800</v>
      </c>
      <c r="AA178" s="15">
        <v>35224.199999999997</v>
      </c>
      <c r="AB178" s="15">
        <v>25500</v>
      </c>
      <c r="AC178" s="16">
        <v>0.14000000000000001</v>
      </c>
      <c r="AD178" s="16">
        <v>0.111</v>
      </c>
      <c r="AE178" s="15">
        <v>6453.4</v>
      </c>
      <c r="AF178" s="15">
        <v>3187.6</v>
      </c>
      <c r="AG178" s="2"/>
      <c r="AH178" s="14">
        <f t="shared" si="24"/>
        <v>177</v>
      </c>
      <c r="AI178" s="14">
        <f t="shared" si="25"/>
        <v>35</v>
      </c>
      <c r="AJ178" s="14">
        <f t="shared" si="26"/>
        <v>108</v>
      </c>
      <c r="AK178" s="14">
        <f t="shared" si="27"/>
        <v>103</v>
      </c>
      <c r="AL178" s="14">
        <f t="shared" si="28"/>
        <v>160</v>
      </c>
      <c r="AM178" s="14">
        <f t="shared" si="29"/>
        <v>164</v>
      </c>
      <c r="AN178" s="14">
        <f t="shared" si="30"/>
        <v>104</v>
      </c>
      <c r="AO178" s="14">
        <f t="shared" si="31"/>
        <v>134</v>
      </c>
    </row>
    <row r="179" spans="1:41" ht="12" hidden="1" x14ac:dyDescent="0.25">
      <c r="A179" s="14">
        <v>540291</v>
      </c>
      <c r="B179" s="17" t="s">
        <v>253</v>
      </c>
      <c r="C179" s="17" t="s">
        <v>251</v>
      </c>
      <c r="D179" s="17" t="s">
        <v>2</v>
      </c>
      <c r="E179" s="14">
        <v>1</v>
      </c>
      <c r="F179" s="14" t="s">
        <v>252</v>
      </c>
      <c r="G179" s="14">
        <v>33</v>
      </c>
      <c r="H179" s="14">
        <v>9</v>
      </c>
      <c r="I179" s="14">
        <v>2</v>
      </c>
      <c r="J179" s="14">
        <v>10</v>
      </c>
      <c r="K179" s="14">
        <v>54</v>
      </c>
      <c r="L179" s="16">
        <v>0.61099999999999999</v>
      </c>
      <c r="M179" s="16">
        <v>0.16700000000000001</v>
      </c>
      <c r="N179" s="16">
        <v>3.6999999999999998E-2</v>
      </c>
      <c r="O179" s="16">
        <v>0.185</v>
      </c>
      <c r="P179" s="16">
        <v>0.14799999999999999</v>
      </c>
      <c r="Q179" s="16">
        <v>3.6999999999999998E-2</v>
      </c>
      <c r="R179" s="2"/>
      <c r="S179" s="14">
        <v>4</v>
      </c>
      <c r="T179" s="14">
        <v>0</v>
      </c>
      <c r="U179" s="14">
        <v>0</v>
      </c>
      <c r="V179" s="2"/>
      <c r="W179" s="14">
        <v>1961.5</v>
      </c>
      <c r="X179" s="14">
        <v>1944.5</v>
      </c>
      <c r="Y179" s="15">
        <v>217131.5</v>
      </c>
      <c r="Z179" s="15">
        <v>20900</v>
      </c>
      <c r="AA179" s="15">
        <v>25800</v>
      </c>
      <c r="AB179" s="15">
        <v>15280</v>
      </c>
      <c r="AC179" s="16">
        <v>0.14799999999999999</v>
      </c>
      <c r="AD179" s="16">
        <v>0.11</v>
      </c>
      <c r="AE179" s="15">
        <v>28631.599999999999</v>
      </c>
      <c r="AF179" s="15">
        <v>2342.6999999999998</v>
      </c>
      <c r="AG179" s="2"/>
      <c r="AH179" s="14">
        <f t="shared" si="24"/>
        <v>171</v>
      </c>
      <c r="AI179" s="14">
        <f t="shared" si="25"/>
        <v>116</v>
      </c>
      <c r="AJ179" s="14">
        <f t="shared" si="26"/>
        <v>108</v>
      </c>
      <c r="AK179" s="14">
        <f t="shared" si="27"/>
        <v>97</v>
      </c>
      <c r="AL179" s="14">
        <f t="shared" si="28"/>
        <v>190</v>
      </c>
      <c r="AM179" s="14">
        <f t="shared" si="29"/>
        <v>198</v>
      </c>
      <c r="AN179" s="14">
        <f t="shared" si="30"/>
        <v>106</v>
      </c>
      <c r="AO179" s="14">
        <f t="shared" si="31"/>
        <v>156</v>
      </c>
    </row>
    <row r="180" spans="1:41" hidden="1" x14ac:dyDescent="0.3">
      <c r="A180" s="129"/>
      <c r="B180" s="130"/>
      <c r="C180" s="130" t="s">
        <v>251</v>
      </c>
      <c r="D180" s="130" t="s">
        <v>26</v>
      </c>
      <c r="E180" s="129">
        <v>1</v>
      </c>
      <c r="F180" s="129"/>
      <c r="G180" s="129">
        <v>2745</v>
      </c>
      <c r="H180" s="129">
        <v>100</v>
      </c>
      <c r="I180" s="129">
        <v>162</v>
      </c>
      <c r="J180" s="129">
        <v>710</v>
      </c>
      <c r="K180" s="129">
        <v>3717</v>
      </c>
      <c r="L180" s="131">
        <v>0.73799999999999999</v>
      </c>
      <c r="M180" s="131">
        <v>2.7E-2</v>
      </c>
      <c r="N180" s="131">
        <v>4.3999999999999997E-2</v>
      </c>
      <c r="O180" s="131">
        <v>0.191</v>
      </c>
      <c r="P180" s="131">
        <v>0.14799999999999999</v>
      </c>
      <c r="Q180" s="131">
        <v>0.02</v>
      </c>
      <c r="S180" s="129">
        <v>362</v>
      </c>
      <c r="T180" s="129">
        <v>22</v>
      </c>
      <c r="U180" s="129">
        <v>88</v>
      </c>
      <c r="W180" s="129">
        <v>1939.5</v>
      </c>
      <c r="X180" s="129">
        <v>1930</v>
      </c>
      <c r="Y180" s="132">
        <v>39318.699999999997</v>
      </c>
      <c r="Z180" s="132">
        <v>14400</v>
      </c>
      <c r="AA180" s="132">
        <v>17915.8</v>
      </c>
      <c r="AB180" s="132">
        <v>14260</v>
      </c>
      <c r="AC180" s="131">
        <v>0.214</v>
      </c>
      <c r="AD180" s="131">
        <v>0.16</v>
      </c>
      <c r="AE180" s="132">
        <v>4946.3</v>
      </c>
      <c r="AF180" s="132">
        <v>2493.1</v>
      </c>
      <c r="AH180" s="129">
        <f t="shared" si="24"/>
        <v>55</v>
      </c>
      <c r="AI180" s="129">
        <f t="shared" si="25"/>
        <v>13</v>
      </c>
      <c r="AJ180" s="129">
        <f t="shared" si="26"/>
        <v>34</v>
      </c>
      <c r="AK180" s="129">
        <f t="shared" si="27"/>
        <v>3</v>
      </c>
      <c r="AL180" s="129">
        <f t="shared" si="28"/>
        <v>55</v>
      </c>
      <c r="AM180" s="129">
        <f t="shared" si="29"/>
        <v>55</v>
      </c>
      <c r="AN180" s="129">
        <f t="shared" si="30"/>
        <v>27</v>
      </c>
      <c r="AO180" s="129">
        <f t="shared" si="31"/>
        <v>54</v>
      </c>
    </row>
    <row r="181" spans="1:41" ht="12" hidden="1" x14ac:dyDescent="0.25">
      <c r="A181" s="19">
        <v>540124</v>
      </c>
      <c r="B181" s="22" t="s">
        <v>250</v>
      </c>
      <c r="C181" s="22" t="s">
        <v>241</v>
      </c>
      <c r="D181" s="22" t="s">
        <v>29</v>
      </c>
      <c r="E181" s="19">
        <v>1</v>
      </c>
      <c r="F181" s="19" t="s">
        <v>249</v>
      </c>
      <c r="G181" s="19">
        <v>1384</v>
      </c>
      <c r="H181" s="19">
        <v>45</v>
      </c>
      <c r="I181" s="19">
        <v>576</v>
      </c>
      <c r="J181" s="19">
        <v>227</v>
      </c>
      <c r="K181" s="19">
        <v>2232</v>
      </c>
      <c r="L181" s="21">
        <v>0.62</v>
      </c>
      <c r="M181" s="21">
        <v>0.02</v>
      </c>
      <c r="N181" s="21">
        <v>0.25800000000000001</v>
      </c>
      <c r="O181" s="21">
        <v>0.10199999999999999</v>
      </c>
      <c r="P181" s="21">
        <v>0.09</v>
      </c>
      <c r="Q181" s="21">
        <v>8.0000000000000002E-3</v>
      </c>
      <c r="R181" s="2"/>
      <c r="S181" s="19">
        <v>73</v>
      </c>
      <c r="T181" s="19">
        <v>19</v>
      </c>
      <c r="U181" s="19">
        <v>19</v>
      </c>
      <c r="V181" s="2"/>
      <c r="W181" s="19">
        <v>1964.3</v>
      </c>
      <c r="X181" s="19">
        <v>1970</v>
      </c>
      <c r="Y181" s="20">
        <v>52181.9</v>
      </c>
      <c r="Z181" s="20">
        <v>27000</v>
      </c>
      <c r="AA181" s="20">
        <v>33318.9</v>
      </c>
      <c r="AB181" s="20">
        <v>27000</v>
      </c>
      <c r="AC181" s="21">
        <v>0.154</v>
      </c>
      <c r="AD181" s="21">
        <v>0.111</v>
      </c>
      <c r="AE181" s="20">
        <v>5263.3</v>
      </c>
      <c r="AF181" s="20">
        <v>2333.4</v>
      </c>
      <c r="AG181" s="2"/>
      <c r="AH181" s="19">
        <f t="shared" si="24"/>
        <v>24</v>
      </c>
      <c r="AI181" s="19">
        <f t="shared" si="25"/>
        <v>40</v>
      </c>
      <c r="AJ181" s="19">
        <f t="shared" si="26"/>
        <v>30</v>
      </c>
      <c r="AK181" s="19">
        <f t="shared" si="27"/>
        <v>21</v>
      </c>
      <c r="AL181" s="19">
        <f t="shared" si="28"/>
        <v>45</v>
      </c>
      <c r="AM181" s="19">
        <f t="shared" si="29"/>
        <v>42</v>
      </c>
      <c r="AN181" s="19">
        <f t="shared" si="30"/>
        <v>51</v>
      </c>
      <c r="AO181" s="19">
        <f t="shared" si="31"/>
        <v>53</v>
      </c>
    </row>
    <row r="182" spans="1:41" ht="12" hidden="1" x14ac:dyDescent="0.25">
      <c r="A182" s="14">
        <v>540125</v>
      </c>
      <c r="B182" s="17" t="s">
        <v>248</v>
      </c>
      <c r="C182" s="17" t="s">
        <v>241</v>
      </c>
      <c r="D182" s="17" t="s">
        <v>2</v>
      </c>
      <c r="E182" s="14">
        <v>1</v>
      </c>
      <c r="F182" s="14" t="s">
        <v>247</v>
      </c>
      <c r="G182" s="14">
        <v>39</v>
      </c>
      <c r="H182" s="14">
        <v>1</v>
      </c>
      <c r="I182" s="14">
        <v>2</v>
      </c>
      <c r="J182" s="14">
        <v>4</v>
      </c>
      <c r="K182" s="14">
        <v>46</v>
      </c>
      <c r="L182" s="16">
        <v>0.84799999999999998</v>
      </c>
      <c r="M182" s="16">
        <v>2.1999999999999999E-2</v>
      </c>
      <c r="N182" s="16">
        <v>4.2999999999999997E-2</v>
      </c>
      <c r="O182" s="16">
        <v>8.6999999999999994E-2</v>
      </c>
      <c r="P182" s="16">
        <v>2.1999999999999999E-2</v>
      </c>
      <c r="Q182" s="16">
        <v>4.2999999999999997E-2</v>
      </c>
      <c r="R182" s="2"/>
      <c r="S182" s="14">
        <v>2</v>
      </c>
      <c r="T182" s="14">
        <v>0</v>
      </c>
      <c r="U182" s="14">
        <v>1</v>
      </c>
      <c r="V182" s="2"/>
      <c r="W182" s="14">
        <v>1921.9</v>
      </c>
      <c r="X182" s="14">
        <v>1911</v>
      </c>
      <c r="Y182" s="15">
        <v>55674.8</v>
      </c>
      <c r="Z182" s="15">
        <v>32600</v>
      </c>
      <c r="AA182" s="15">
        <v>44299.7</v>
      </c>
      <c r="AB182" s="15">
        <v>30100</v>
      </c>
      <c r="AC182" s="16">
        <v>7.4999999999999997E-2</v>
      </c>
      <c r="AD182" s="16">
        <v>7.0000000000000007E-2</v>
      </c>
      <c r="AE182" s="15">
        <v>3794.4</v>
      </c>
      <c r="AF182" s="15">
        <v>2240</v>
      </c>
      <c r="AG182" s="2"/>
      <c r="AH182" s="14">
        <f t="shared" si="24"/>
        <v>165</v>
      </c>
      <c r="AI182" s="14">
        <f t="shared" si="25"/>
        <v>134</v>
      </c>
      <c r="AJ182" s="14">
        <f t="shared" si="26"/>
        <v>108</v>
      </c>
      <c r="AK182" s="14">
        <f t="shared" si="27"/>
        <v>17</v>
      </c>
      <c r="AL182" s="14">
        <f t="shared" si="28"/>
        <v>145</v>
      </c>
      <c r="AM182" s="14">
        <f t="shared" si="29"/>
        <v>139</v>
      </c>
      <c r="AN182" s="14">
        <f t="shared" si="30"/>
        <v>145</v>
      </c>
      <c r="AO182" s="14">
        <f t="shared" si="31"/>
        <v>159</v>
      </c>
    </row>
    <row r="183" spans="1:41" ht="12" hidden="1" x14ac:dyDescent="0.25">
      <c r="A183" s="14">
        <v>540127</v>
      </c>
      <c r="B183" s="17" t="s">
        <v>246</v>
      </c>
      <c r="C183" s="17" t="s">
        <v>241</v>
      </c>
      <c r="D183" s="17" t="s">
        <v>2</v>
      </c>
      <c r="E183" s="14">
        <v>1</v>
      </c>
      <c r="F183" s="14" t="s">
        <v>216</v>
      </c>
      <c r="G183" s="14">
        <v>17</v>
      </c>
      <c r="H183" s="14">
        <v>3</v>
      </c>
      <c r="I183" s="14">
        <v>6</v>
      </c>
      <c r="J183" s="14">
        <v>1</v>
      </c>
      <c r="K183" s="14">
        <v>27</v>
      </c>
      <c r="L183" s="16">
        <v>0.63</v>
      </c>
      <c r="M183" s="16">
        <v>0.111</v>
      </c>
      <c r="N183" s="16">
        <v>0.222</v>
      </c>
      <c r="O183" s="16">
        <v>3.6999999999999998E-2</v>
      </c>
      <c r="P183" s="16">
        <v>3.6999999999999998E-2</v>
      </c>
      <c r="Q183" s="16">
        <v>0</v>
      </c>
      <c r="R183" s="2"/>
      <c r="S183" s="14">
        <v>0</v>
      </c>
      <c r="T183" s="14">
        <v>0</v>
      </c>
      <c r="U183" s="14">
        <v>0</v>
      </c>
      <c r="V183" s="2"/>
      <c r="W183" s="14">
        <v>1949.8</v>
      </c>
      <c r="X183" s="14">
        <v>1952.5</v>
      </c>
      <c r="Y183" s="15">
        <v>17913.7</v>
      </c>
      <c r="Z183" s="15">
        <v>14850</v>
      </c>
      <c r="AA183" s="15">
        <v>17913.7</v>
      </c>
      <c r="AB183" s="15">
        <v>14850</v>
      </c>
      <c r="AC183" s="16">
        <v>7.5999999999999998E-2</v>
      </c>
      <c r="AD183" s="16">
        <v>3.4000000000000002E-2</v>
      </c>
      <c r="AE183" s="15">
        <v>795.6</v>
      </c>
      <c r="AF183" s="15">
        <v>430.3</v>
      </c>
      <c r="AG183" s="2"/>
      <c r="AH183" s="14">
        <f t="shared" si="24"/>
        <v>54</v>
      </c>
      <c r="AI183" s="14">
        <f t="shared" si="25"/>
        <v>172</v>
      </c>
      <c r="AJ183" s="14">
        <f t="shared" si="26"/>
        <v>108</v>
      </c>
      <c r="AK183" s="14">
        <f t="shared" si="27"/>
        <v>132</v>
      </c>
      <c r="AL183" s="14">
        <f t="shared" si="28"/>
        <v>204</v>
      </c>
      <c r="AM183" s="14">
        <f t="shared" si="29"/>
        <v>199</v>
      </c>
      <c r="AN183" s="14">
        <f t="shared" si="30"/>
        <v>186</v>
      </c>
      <c r="AO183" s="14">
        <f t="shared" si="31"/>
        <v>195</v>
      </c>
    </row>
    <row r="184" spans="1:41" ht="12" hidden="1" x14ac:dyDescent="0.25">
      <c r="A184" s="14">
        <v>540128</v>
      </c>
      <c r="B184" s="17" t="s">
        <v>245</v>
      </c>
      <c r="C184" s="17" t="s">
        <v>241</v>
      </c>
      <c r="D184" s="17" t="s">
        <v>2</v>
      </c>
      <c r="E184" s="14">
        <v>1</v>
      </c>
      <c r="F184" s="14" t="s">
        <v>244</v>
      </c>
      <c r="G184" s="14">
        <v>124</v>
      </c>
      <c r="H184" s="14">
        <v>7</v>
      </c>
      <c r="I184" s="14">
        <v>104</v>
      </c>
      <c r="J184" s="14">
        <v>6</v>
      </c>
      <c r="K184" s="14">
        <v>241</v>
      </c>
      <c r="L184" s="16">
        <v>0.51500000000000001</v>
      </c>
      <c r="M184" s="16">
        <v>2.9000000000000001E-2</v>
      </c>
      <c r="N184" s="16">
        <v>0.432</v>
      </c>
      <c r="O184" s="16">
        <v>2.5000000000000001E-2</v>
      </c>
      <c r="P184" s="16">
        <v>8.0000000000000002E-3</v>
      </c>
      <c r="Q184" s="16">
        <v>8.0000000000000002E-3</v>
      </c>
      <c r="R184" s="2"/>
      <c r="S184" s="14">
        <v>10</v>
      </c>
      <c r="T184" s="14">
        <v>1</v>
      </c>
      <c r="U184" s="14">
        <v>0</v>
      </c>
      <c r="V184" s="2"/>
      <c r="W184" s="14">
        <v>1974.8</v>
      </c>
      <c r="X184" s="14">
        <v>1980</v>
      </c>
      <c r="Y184" s="15">
        <v>328867.59999999998</v>
      </c>
      <c r="Z184" s="15">
        <v>100600</v>
      </c>
      <c r="AA184" s="15">
        <v>72938</v>
      </c>
      <c r="AB184" s="15">
        <v>48700</v>
      </c>
      <c r="AC184" s="16">
        <v>4.2000000000000003E-2</v>
      </c>
      <c r="AD184" s="16">
        <v>0.02</v>
      </c>
      <c r="AE184" s="15">
        <v>4593.2</v>
      </c>
      <c r="AF184" s="15">
        <v>1660</v>
      </c>
      <c r="AG184" s="2"/>
      <c r="AH184" s="14">
        <f t="shared" si="24"/>
        <v>17</v>
      </c>
      <c r="AI184" s="14">
        <f t="shared" si="25"/>
        <v>93</v>
      </c>
      <c r="AJ184" s="14">
        <f t="shared" si="26"/>
        <v>80</v>
      </c>
      <c r="AK184" s="14">
        <f t="shared" si="27"/>
        <v>192</v>
      </c>
      <c r="AL184" s="14">
        <f t="shared" si="28"/>
        <v>14</v>
      </c>
      <c r="AM184" s="14">
        <f t="shared" si="29"/>
        <v>64</v>
      </c>
      <c r="AN184" s="14">
        <f t="shared" si="30"/>
        <v>193</v>
      </c>
      <c r="AO184" s="14">
        <f t="shared" si="31"/>
        <v>179</v>
      </c>
    </row>
    <row r="185" spans="1:41" ht="12" hidden="1" x14ac:dyDescent="0.25">
      <c r="A185" s="14">
        <v>540285</v>
      </c>
      <c r="B185" s="17" t="s">
        <v>243</v>
      </c>
      <c r="C185" s="17" t="s">
        <v>241</v>
      </c>
      <c r="D185" s="17" t="s">
        <v>2</v>
      </c>
      <c r="E185" s="14">
        <v>1</v>
      </c>
      <c r="F185" s="14" t="s">
        <v>242</v>
      </c>
      <c r="G185" s="14">
        <v>0</v>
      </c>
      <c r="H185" s="14">
        <v>0</v>
      </c>
      <c r="I185" s="14">
        <v>1</v>
      </c>
      <c r="J185" s="14">
        <v>1</v>
      </c>
      <c r="K185" s="14">
        <v>2</v>
      </c>
      <c r="L185" s="16">
        <v>0</v>
      </c>
      <c r="M185" s="16">
        <v>0</v>
      </c>
      <c r="N185" s="16">
        <v>0.5</v>
      </c>
      <c r="O185" s="16">
        <v>0.5</v>
      </c>
      <c r="P185" s="16">
        <v>0</v>
      </c>
      <c r="Q185" s="16">
        <v>0</v>
      </c>
      <c r="R185" s="2"/>
      <c r="S185" s="14">
        <v>0</v>
      </c>
      <c r="T185" s="14">
        <v>0</v>
      </c>
      <c r="U185" s="14">
        <v>0</v>
      </c>
      <c r="V185" s="2"/>
      <c r="W185" s="14">
        <v>0</v>
      </c>
      <c r="X185" s="14">
        <v>0</v>
      </c>
      <c r="Y185" s="15">
        <v>15500</v>
      </c>
      <c r="Z185" s="15">
        <v>15500</v>
      </c>
      <c r="AA185" s="15">
        <v>27000</v>
      </c>
      <c r="AB185" s="15">
        <v>27000</v>
      </c>
      <c r="AC185" s="16">
        <v>0</v>
      </c>
      <c r="AD185" s="16">
        <v>0</v>
      </c>
      <c r="AE185" s="15">
        <v>0</v>
      </c>
      <c r="AF185" s="15">
        <v>0</v>
      </c>
      <c r="AG185" s="2"/>
      <c r="AH185" s="14">
        <f t="shared" si="24"/>
        <v>11</v>
      </c>
      <c r="AI185" s="14">
        <f t="shared" si="25"/>
        <v>172</v>
      </c>
      <c r="AJ185" s="14">
        <f t="shared" si="26"/>
        <v>108</v>
      </c>
      <c r="AK185" s="14">
        <f t="shared" si="27"/>
        <v>1</v>
      </c>
      <c r="AL185" s="14">
        <f t="shared" si="28"/>
        <v>203</v>
      </c>
      <c r="AM185" s="14">
        <f t="shared" si="29"/>
        <v>154</v>
      </c>
      <c r="AN185" s="14">
        <f t="shared" si="30"/>
        <v>198</v>
      </c>
      <c r="AO185" s="14">
        <f t="shared" si="31"/>
        <v>198</v>
      </c>
    </row>
    <row r="186" spans="1:41" hidden="1" x14ac:dyDescent="0.3">
      <c r="A186" s="129"/>
      <c r="B186" s="130"/>
      <c r="C186" s="130" t="s">
        <v>241</v>
      </c>
      <c r="D186" s="130" t="s">
        <v>26</v>
      </c>
      <c r="E186" s="129">
        <v>1</v>
      </c>
      <c r="F186" s="129"/>
      <c r="G186" s="129">
        <v>1564</v>
      </c>
      <c r="H186" s="129">
        <v>56</v>
      </c>
      <c r="I186" s="129">
        <v>689</v>
      </c>
      <c r="J186" s="129">
        <v>239</v>
      </c>
      <c r="K186" s="129">
        <v>2548</v>
      </c>
      <c r="L186" s="131">
        <v>0.61399999999999999</v>
      </c>
      <c r="M186" s="131">
        <v>2.1999999999999999E-2</v>
      </c>
      <c r="N186" s="131">
        <v>0.27</v>
      </c>
      <c r="O186" s="131">
        <v>9.4E-2</v>
      </c>
      <c r="P186" s="131">
        <v>0.08</v>
      </c>
      <c r="Q186" s="131">
        <v>8.9999999999999993E-3</v>
      </c>
      <c r="S186" s="129">
        <v>85</v>
      </c>
      <c r="T186" s="129">
        <v>20</v>
      </c>
      <c r="U186" s="129">
        <v>20</v>
      </c>
      <c r="W186" s="129">
        <v>1964.5</v>
      </c>
      <c r="X186" s="129">
        <v>1970</v>
      </c>
      <c r="Y186" s="132">
        <v>78023.100000000006</v>
      </c>
      <c r="Z186" s="132">
        <v>27000</v>
      </c>
      <c r="AA186" s="132">
        <v>41559.199999999997</v>
      </c>
      <c r="AB186" s="132">
        <v>30400</v>
      </c>
      <c r="AC186" s="131">
        <v>0.13600000000000001</v>
      </c>
      <c r="AD186" s="131">
        <v>9.0999999999999998E-2</v>
      </c>
      <c r="AE186" s="132">
        <v>5095.3999999999996</v>
      </c>
      <c r="AF186" s="132">
        <v>2240</v>
      </c>
      <c r="AH186" s="129">
        <f t="shared" si="24"/>
        <v>13</v>
      </c>
      <c r="AI186" s="129">
        <f t="shared" si="25"/>
        <v>44</v>
      </c>
      <c r="AJ186" s="129">
        <f t="shared" si="26"/>
        <v>36</v>
      </c>
      <c r="AK186" s="129">
        <f t="shared" si="27"/>
        <v>32</v>
      </c>
      <c r="AL186" s="129">
        <f t="shared" si="28"/>
        <v>47</v>
      </c>
      <c r="AM186" s="129">
        <f t="shared" si="29"/>
        <v>47</v>
      </c>
      <c r="AN186" s="129">
        <f t="shared" si="30"/>
        <v>53</v>
      </c>
      <c r="AO186" s="129">
        <f t="shared" si="31"/>
        <v>55</v>
      </c>
    </row>
    <row r="187" spans="1:41" ht="12" hidden="1" x14ac:dyDescent="0.25">
      <c r="A187" s="19">
        <v>540129</v>
      </c>
      <c r="B187" s="22" t="s">
        <v>240</v>
      </c>
      <c r="C187" s="22" t="s">
        <v>236</v>
      </c>
      <c r="D187" s="22" t="s">
        <v>29</v>
      </c>
      <c r="E187" s="19">
        <v>8</v>
      </c>
      <c r="F187" s="19" t="s">
        <v>128</v>
      </c>
      <c r="G187" s="19">
        <v>503</v>
      </c>
      <c r="H187" s="19">
        <v>16</v>
      </c>
      <c r="I187" s="19">
        <v>91</v>
      </c>
      <c r="J187" s="19">
        <v>132</v>
      </c>
      <c r="K187" s="19">
        <v>742</v>
      </c>
      <c r="L187" s="21">
        <v>0.67800000000000005</v>
      </c>
      <c r="M187" s="21">
        <v>2.1999999999999999E-2</v>
      </c>
      <c r="N187" s="21">
        <v>0.123</v>
      </c>
      <c r="O187" s="21">
        <v>0.17799999999999999</v>
      </c>
      <c r="P187" s="21">
        <v>0.124</v>
      </c>
      <c r="Q187" s="21">
        <v>1.2999999999999999E-2</v>
      </c>
      <c r="R187" s="2"/>
      <c r="S187" s="19">
        <v>209</v>
      </c>
      <c r="T187" s="19">
        <v>16</v>
      </c>
      <c r="U187" s="19">
        <v>30</v>
      </c>
      <c r="V187" s="2"/>
      <c r="W187" s="19">
        <v>1957.5</v>
      </c>
      <c r="X187" s="19">
        <v>1963</v>
      </c>
      <c r="Y187" s="20">
        <v>224678.39999999999</v>
      </c>
      <c r="Z187" s="20">
        <v>51250</v>
      </c>
      <c r="AA187" s="20">
        <v>57913.9</v>
      </c>
      <c r="AB187" s="20">
        <v>47900</v>
      </c>
      <c r="AC187" s="21">
        <v>0.23799999999999999</v>
      </c>
      <c r="AD187" s="21">
        <v>0.17199999999999999</v>
      </c>
      <c r="AE187" s="20">
        <v>13086</v>
      </c>
      <c r="AF187" s="20">
        <v>8707.4</v>
      </c>
      <c r="AG187" s="2"/>
      <c r="AH187" s="19">
        <f t="shared" si="24"/>
        <v>50</v>
      </c>
      <c r="AI187" s="19">
        <f t="shared" si="25"/>
        <v>15</v>
      </c>
      <c r="AJ187" s="19">
        <f t="shared" si="26"/>
        <v>31</v>
      </c>
      <c r="AK187" s="19">
        <f t="shared" si="27"/>
        <v>9</v>
      </c>
      <c r="AL187" s="19">
        <f t="shared" si="28"/>
        <v>9</v>
      </c>
      <c r="AM187" s="19">
        <f t="shared" si="29"/>
        <v>11</v>
      </c>
      <c r="AN187" s="19">
        <f t="shared" si="30"/>
        <v>29</v>
      </c>
      <c r="AO187" s="19">
        <f t="shared" si="31"/>
        <v>17</v>
      </c>
    </row>
    <row r="188" spans="1:41" ht="12" hidden="1" x14ac:dyDescent="0.25">
      <c r="A188" s="14">
        <v>540130</v>
      </c>
      <c r="B188" s="17" t="s">
        <v>239</v>
      </c>
      <c r="C188" s="17" t="s">
        <v>236</v>
      </c>
      <c r="D188" s="17" t="s">
        <v>2</v>
      </c>
      <c r="E188" s="14">
        <v>8</v>
      </c>
      <c r="F188" s="14" t="s">
        <v>128</v>
      </c>
      <c r="G188" s="14">
        <v>476</v>
      </c>
      <c r="H188" s="14">
        <v>4</v>
      </c>
      <c r="I188" s="14">
        <v>4</v>
      </c>
      <c r="J188" s="14">
        <v>27</v>
      </c>
      <c r="K188" s="14">
        <v>511</v>
      </c>
      <c r="L188" s="16">
        <v>0.93200000000000005</v>
      </c>
      <c r="M188" s="16">
        <v>8.0000000000000002E-3</v>
      </c>
      <c r="N188" s="16">
        <v>8.0000000000000002E-3</v>
      </c>
      <c r="O188" s="16">
        <v>5.2999999999999999E-2</v>
      </c>
      <c r="P188" s="16">
        <v>6.0000000000000001E-3</v>
      </c>
      <c r="Q188" s="16">
        <v>2.1999999999999999E-2</v>
      </c>
      <c r="R188" s="2"/>
      <c r="S188" s="14">
        <v>96</v>
      </c>
      <c r="T188" s="14">
        <v>0</v>
      </c>
      <c r="U188" s="14">
        <v>6</v>
      </c>
      <c r="V188" s="2"/>
      <c r="W188" s="14">
        <v>1921.9</v>
      </c>
      <c r="X188" s="14">
        <v>1912</v>
      </c>
      <c r="Y188" s="15">
        <v>113597.5</v>
      </c>
      <c r="Z188" s="15">
        <v>52700</v>
      </c>
      <c r="AA188" s="15">
        <v>53235.6</v>
      </c>
      <c r="AB188" s="15">
        <v>51200</v>
      </c>
      <c r="AC188" s="16">
        <v>0.13800000000000001</v>
      </c>
      <c r="AD188" s="16">
        <v>0.111</v>
      </c>
      <c r="AE188" s="15">
        <v>9753.6</v>
      </c>
      <c r="AF188" s="15">
        <v>5092</v>
      </c>
      <c r="AG188" s="2"/>
      <c r="AH188" s="14">
        <f t="shared" si="24"/>
        <v>188</v>
      </c>
      <c r="AI188" s="14">
        <f t="shared" si="25"/>
        <v>14</v>
      </c>
      <c r="AJ188" s="14">
        <f t="shared" si="26"/>
        <v>108</v>
      </c>
      <c r="AK188" s="14">
        <f t="shared" si="27"/>
        <v>18</v>
      </c>
      <c r="AL188" s="14">
        <f t="shared" si="28"/>
        <v>65</v>
      </c>
      <c r="AM188" s="14">
        <f t="shared" si="29"/>
        <v>56</v>
      </c>
      <c r="AN188" s="14">
        <f t="shared" si="30"/>
        <v>104</v>
      </c>
      <c r="AO188" s="14">
        <f t="shared" si="31"/>
        <v>88</v>
      </c>
    </row>
    <row r="189" spans="1:41" ht="12" hidden="1" x14ac:dyDescent="0.25">
      <c r="A189" s="14">
        <v>540131</v>
      </c>
      <c r="B189" s="17" t="s">
        <v>238</v>
      </c>
      <c r="C189" s="17" t="s">
        <v>236</v>
      </c>
      <c r="D189" s="17" t="s">
        <v>2</v>
      </c>
      <c r="E189" s="14">
        <v>8</v>
      </c>
      <c r="F189" s="14" t="s">
        <v>128</v>
      </c>
      <c r="G189" s="14">
        <v>44</v>
      </c>
      <c r="H189" s="14">
        <v>0</v>
      </c>
      <c r="I189" s="14">
        <v>2</v>
      </c>
      <c r="J189" s="14">
        <v>5</v>
      </c>
      <c r="K189" s="14">
        <v>51</v>
      </c>
      <c r="L189" s="16">
        <v>0.86299999999999999</v>
      </c>
      <c r="M189" s="16">
        <v>0</v>
      </c>
      <c r="N189" s="16">
        <v>3.9E-2</v>
      </c>
      <c r="O189" s="16">
        <v>9.8000000000000004E-2</v>
      </c>
      <c r="P189" s="16">
        <v>0.02</v>
      </c>
      <c r="Q189" s="16">
        <v>7.8E-2</v>
      </c>
      <c r="R189" s="2"/>
      <c r="S189" s="14">
        <v>2</v>
      </c>
      <c r="T189" s="14">
        <v>1</v>
      </c>
      <c r="U189" s="14">
        <v>1</v>
      </c>
      <c r="V189" s="2"/>
      <c r="W189" s="14">
        <v>1925.7</v>
      </c>
      <c r="X189" s="14">
        <v>1920</v>
      </c>
      <c r="Y189" s="15">
        <v>97245.9</v>
      </c>
      <c r="Z189" s="15">
        <v>30900</v>
      </c>
      <c r="AA189" s="15">
        <v>79090.399999999994</v>
      </c>
      <c r="AB189" s="15">
        <v>30150</v>
      </c>
      <c r="AC189" s="16">
        <v>0.159</v>
      </c>
      <c r="AD189" s="16">
        <v>2E-3</v>
      </c>
      <c r="AE189" s="15">
        <v>4819.8</v>
      </c>
      <c r="AF189" s="15">
        <v>21.4</v>
      </c>
      <c r="AG189" s="2"/>
      <c r="AH189" s="14">
        <f t="shared" si="24"/>
        <v>168</v>
      </c>
      <c r="AI189" s="14">
        <f t="shared" si="25"/>
        <v>134</v>
      </c>
      <c r="AJ189" s="14">
        <f t="shared" si="26"/>
        <v>80</v>
      </c>
      <c r="AK189" s="14">
        <f t="shared" si="27"/>
        <v>21</v>
      </c>
      <c r="AL189" s="14">
        <f t="shared" si="28"/>
        <v>151</v>
      </c>
      <c r="AM189" s="14">
        <f t="shared" si="29"/>
        <v>138</v>
      </c>
      <c r="AN189" s="14">
        <f t="shared" si="30"/>
        <v>197</v>
      </c>
      <c r="AO189" s="14">
        <f t="shared" si="31"/>
        <v>197</v>
      </c>
    </row>
    <row r="190" spans="1:41" ht="12" hidden="1" x14ac:dyDescent="0.25">
      <c r="A190" s="14">
        <v>540155</v>
      </c>
      <c r="B190" s="17" t="s">
        <v>237</v>
      </c>
      <c r="C190" s="17" t="s">
        <v>236</v>
      </c>
      <c r="D190" s="17" t="s">
        <v>2</v>
      </c>
      <c r="E190" s="14">
        <v>8</v>
      </c>
      <c r="F190" s="14" t="s">
        <v>128</v>
      </c>
      <c r="G190" s="14">
        <v>9</v>
      </c>
      <c r="H190" s="14">
        <v>0</v>
      </c>
      <c r="I190" s="14">
        <v>0</v>
      </c>
      <c r="J190" s="14">
        <v>0</v>
      </c>
      <c r="K190" s="14">
        <v>9</v>
      </c>
      <c r="L190" s="16">
        <v>1</v>
      </c>
      <c r="M190" s="16">
        <v>0</v>
      </c>
      <c r="N190" s="16">
        <v>0</v>
      </c>
      <c r="O190" s="16">
        <v>0</v>
      </c>
      <c r="P190" s="16">
        <v>0</v>
      </c>
      <c r="Q190" s="16">
        <v>0</v>
      </c>
      <c r="R190" s="2"/>
      <c r="S190" s="14">
        <v>0</v>
      </c>
      <c r="T190" s="14">
        <v>0</v>
      </c>
      <c r="U190" s="14">
        <v>0</v>
      </c>
      <c r="V190" s="2"/>
      <c r="W190" s="14">
        <v>1916.9</v>
      </c>
      <c r="X190" s="14">
        <v>1930</v>
      </c>
      <c r="Y190" s="15">
        <v>48533.3</v>
      </c>
      <c r="Z190" s="15">
        <v>48900</v>
      </c>
      <c r="AA190" s="15">
        <v>48533.3</v>
      </c>
      <c r="AB190" s="15">
        <v>48900</v>
      </c>
      <c r="AC190" s="16">
        <v>0</v>
      </c>
      <c r="AD190" s="16">
        <v>0</v>
      </c>
      <c r="AE190" s="15">
        <v>0</v>
      </c>
      <c r="AF190" s="15">
        <v>0</v>
      </c>
      <c r="AG190" s="2"/>
      <c r="AH190" s="14">
        <f t="shared" si="24"/>
        <v>192</v>
      </c>
      <c r="AI190" s="14">
        <f t="shared" si="25"/>
        <v>172</v>
      </c>
      <c r="AJ190" s="14">
        <f t="shared" si="26"/>
        <v>108</v>
      </c>
      <c r="AK190" s="14">
        <f t="shared" si="27"/>
        <v>48</v>
      </c>
      <c r="AL190" s="14">
        <f t="shared" si="28"/>
        <v>76</v>
      </c>
      <c r="AM190" s="14">
        <f t="shared" si="29"/>
        <v>62</v>
      </c>
      <c r="AN190" s="14">
        <f t="shared" si="30"/>
        <v>198</v>
      </c>
      <c r="AO190" s="14">
        <f t="shared" si="31"/>
        <v>198</v>
      </c>
    </row>
    <row r="191" spans="1:41" hidden="1" x14ac:dyDescent="0.3">
      <c r="A191" s="129"/>
      <c r="B191" s="130"/>
      <c r="C191" s="130" t="s">
        <v>236</v>
      </c>
      <c r="D191" s="130" t="s">
        <v>26</v>
      </c>
      <c r="E191" s="129">
        <v>8</v>
      </c>
      <c r="F191" s="129"/>
      <c r="G191" s="129">
        <v>1032</v>
      </c>
      <c r="H191" s="129">
        <v>20</v>
      </c>
      <c r="I191" s="129">
        <v>97</v>
      </c>
      <c r="J191" s="129">
        <v>164</v>
      </c>
      <c r="K191" s="129">
        <v>1313</v>
      </c>
      <c r="L191" s="131">
        <v>0.78600000000000003</v>
      </c>
      <c r="M191" s="131">
        <v>1.4999999999999999E-2</v>
      </c>
      <c r="N191" s="131">
        <v>7.3999999999999996E-2</v>
      </c>
      <c r="O191" s="131">
        <v>0.125</v>
      </c>
      <c r="P191" s="131">
        <v>7.2999999999999995E-2</v>
      </c>
      <c r="Q191" s="131">
        <v>1.9E-2</v>
      </c>
      <c r="S191" s="129">
        <v>307</v>
      </c>
      <c r="T191" s="129">
        <v>17</v>
      </c>
      <c r="U191" s="129">
        <v>37</v>
      </c>
      <c r="W191" s="129">
        <v>1940.9</v>
      </c>
      <c r="X191" s="129">
        <v>1940</v>
      </c>
      <c r="Y191" s="132">
        <v>175290.2</v>
      </c>
      <c r="Z191" s="132">
        <v>51300</v>
      </c>
      <c r="AA191" s="132">
        <v>61978</v>
      </c>
      <c r="AB191" s="132">
        <v>54900</v>
      </c>
      <c r="AC191" s="131">
        <v>0.191</v>
      </c>
      <c r="AD191" s="131">
        <v>0.13</v>
      </c>
      <c r="AE191" s="132">
        <v>11425</v>
      </c>
      <c r="AF191" s="132">
        <v>6139.9</v>
      </c>
      <c r="AH191" s="129">
        <f t="shared" si="24"/>
        <v>52</v>
      </c>
      <c r="AI191" s="129">
        <f t="shared" si="25"/>
        <v>20</v>
      </c>
      <c r="AJ191" s="129">
        <f t="shared" si="26"/>
        <v>40</v>
      </c>
      <c r="AK191" s="129">
        <f t="shared" si="27"/>
        <v>4</v>
      </c>
      <c r="AL191" s="129">
        <f t="shared" si="28"/>
        <v>11</v>
      </c>
      <c r="AM191" s="129">
        <f t="shared" si="29"/>
        <v>14</v>
      </c>
      <c r="AN191" s="129">
        <f t="shared" si="30"/>
        <v>39</v>
      </c>
      <c r="AO191" s="129">
        <f t="shared" si="31"/>
        <v>29</v>
      </c>
    </row>
    <row r="192" spans="1:41" ht="12" x14ac:dyDescent="0.25">
      <c r="A192" s="19">
        <v>540133</v>
      </c>
      <c r="B192" s="22" t="s">
        <v>235</v>
      </c>
      <c r="C192" s="22" t="s">
        <v>223</v>
      </c>
      <c r="D192" s="22" t="s">
        <v>29</v>
      </c>
      <c r="E192" s="19">
        <v>2</v>
      </c>
      <c r="F192" s="19" t="s">
        <v>234</v>
      </c>
      <c r="G192" s="19">
        <v>1110</v>
      </c>
      <c r="H192" s="19">
        <v>299</v>
      </c>
      <c r="I192" s="19">
        <v>1386</v>
      </c>
      <c r="J192" s="19">
        <v>598</v>
      </c>
      <c r="K192" s="19">
        <v>3393</v>
      </c>
      <c r="L192" s="21">
        <v>0.32700000000000001</v>
      </c>
      <c r="M192" s="21">
        <v>8.7999999999999995E-2</v>
      </c>
      <c r="N192" s="21">
        <v>0.40799999999999997</v>
      </c>
      <c r="O192" s="21">
        <v>0.17599999999999999</v>
      </c>
      <c r="P192" s="21">
        <v>0.11700000000000001</v>
      </c>
      <c r="Q192" s="21">
        <v>2.5999999999999999E-2</v>
      </c>
      <c r="R192" s="2"/>
      <c r="S192" s="19">
        <v>375</v>
      </c>
      <c r="T192" s="19">
        <v>97</v>
      </c>
      <c r="U192" s="19">
        <v>90</v>
      </c>
      <c r="V192" s="2"/>
      <c r="W192" s="19">
        <v>1997</v>
      </c>
      <c r="X192" s="19">
        <v>1983</v>
      </c>
      <c r="Y192" s="20">
        <v>46279.9</v>
      </c>
      <c r="Z192" s="20">
        <v>25000</v>
      </c>
      <c r="AA192" s="20">
        <v>29022.3</v>
      </c>
      <c r="AB192" s="20">
        <v>23900</v>
      </c>
      <c r="AC192" s="21">
        <v>0.224</v>
      </c>
      <c r="AD192" s="21">
        <v>0.13800000000000001</v>
      </c>
      <c r="AE192" s="20">
        <v>6501.1</v>
      </c>
      <c r="AF192" s="20">
        <v>3371.1</v>
      </c>
      <c r="AG192" s="2"/>
      <c r="AH192" s="19">
        <f t="shared" si="24"/>
        <v>3</v>
      </c>
      <c r="AI192" s="19">
        <f t="shared" si="25"/>
        <v>6</v>
      </c>
      <c r="AJ192" s="19">
        <f t="shared" si="26"/>
        <v>7</v>
      </c>
      <c r="AK192" s="19">
        <f t="shared" si="27"/>
        <v>50</v>
      </c>
      <c r="AL192" s="19">
        <f t="shared" si="28"/>
        <v>51</v>
      </c>
      <c r="AM192" s="19">
        <f t="shared" si="29"/>
        <v>51</v>
      </c>
      <c r="AN192" s="19">
        <f t="shared" si="30"/>
        <v>41</v>
      </c>
      <c r="AO192" s="19">
        <f t="shared" si="31"/>
        <v>47</v>
      </c>
    </row>
    <row r="193" spans="1:41" ht="12" x14ac:dyDescent="0.25">
      <c r="A193" s="14">
        <v>540134</v>
      </c>
      <c r="B193" s="17" t="s">
        <v>233</v>
      </c>
      <c r="C193" s="17" t="s">
        <v>223</v>
      </c>
      <c r="D193" s="17" t="s">
        <v>2</v>
      </c>
      <c r="E193" s="14">
        <v>2</v>
      </c>
      <c r="F193" s="14" t="s">
        <v>232</v>
      </c>
      <c r="G193" s="14">
        <v>51</v>
      </c>
      <c r="H193" s="14">
        <v>6</v>
      </c>
      <c r="I193" s="14">
        <v>61</v>
      </c>
      <c r="J193" s="14">
        <v>13</v>
      </c>
      <c r="K193" s="14">
        <v>131</v>
      </c>
      <c r="L193" s="16">
        <v>0.38900000000000001</v>
      </c>
      <c r="M193" s="16">
        <v>4.5999999999999999E-2</v>
      </c>
      <c r="N193" s="16">
        <v>0.46600000000000003</v>
      </c>
      <c r="O193" s="16">
        <v>9.9000000000000005E-2</v>
      </c>
      <c r="P193" s="16">
        <v>4.5999999999999999E-2</v>
      </c>
      <c r="Q193" s="16">
        <v>3.7999999999999999E-2</v>
      </c>
      <c r="R193" s="2"/>
      <c r="S193" s="14">
        <v>8</v>
      </c>
      <c r="T193" s="14">
        <v>1</v>
      </c>
      <c r="U193" s="14">
        <v>2</v>
      </c>
      <c r="V193" s="2"/>
      <c r="W193" s="14">
        <v>1971.6</v>
      </c>
      <c r="X193" s="14">
        <v>1977</v>
      </c>
      <c r="Y193" s="15">
        <v>55039.5</v>
      </c>
      <c r="Z193" s="15">
        <v>20200</v>
      </c>
      <c r="AA193" s="15">
        <v>30249.1</v>
      </c>
      <c r="AB193" s="15">
        <v>14750</v>
      </c>
      <c r="AC193" s="16">
        <v>0.16300000000000001</v>
      </c>
      <c r="AD193" s="16">
        <v>8.3000000000000004E-2</v>
      </c>
      <c r="AE193" s="15">
        <v>3590.3</v>
      </c>
      <c r="AF193" s="15">
        <v>2151.8000000000002</v>
      </c>
      <c r="AG193" s="2"/>
      <c r="AH193" s="14">
        <f t="shared" si="24"/>
        <v>14</v>
      </c>
      <c r="AI193" s="14">
        <f t="shared" si="25"/>
        <v>100</v>
      </c>
      <c r="AJ193" s="14">
        <f t="shared" si="26"/>
        <v>80</v>
      </c>
      <c r="AK193" s="14">
        <f t="shared" si="27"/>
        <v>184</v>
      </c>
      <c r="AL193" s="14">
        <f t="shared" si="28"/>
        <v>193</v>
      </c>
      <c r="AM193" s="14">
        <f t="shared" si="29"/>
        <v>201</v>
      </c>
      <c r="AN193" s="14">
        <f t="shared" si="30"/>
        <v>131</v>
      </c>
      <c r="AO193" s="14">
        <f t="shared" si="31"/>
        <v>160</v>
      </c>
    </row>
    <row r="194" spans="1:41" ht="12" x14ac:dyDescent="0.25">
      <c r="A194" s="14">
        <v>540135</v>
      </c>
      <c r="B194" s="17" t="s">
        <v>231</v>
      </c>
      <c r="C194" s="17" t="s">
        <v>223</v>
      </c>
      <c r="D194" s="17" t="s">
        <v>2</v>
      </c>
      <c r="E194" s="14">
        <v>2</v>
      </c>
      <c r="F194" s="14" t="s">
        <v>230</v>
      </c>
      <c r="G194" s="14">
        <v>31</v>
      </c>
      <c r="H194" s="14">
        <v>0</v>
      </c>
      <c r="I194" s="14">
        <v>17</v>
      </c>
      <c r="J194" s="14">
        <v>30</v>
      </c>
      <c r="K194" s="14">
        <v>78</v>
      </c>
      <c r="L194" s="16">
        <v>0.39700000000000002</v>
      </c>
      <c r="M194" s="16">
        <v>0</v>
      </c>
      <c r="N194" s="16">
        <v>0.218</v>
      </c>
      <c r="O194" s="16">
        <v>0.38500000000000001</v>
      </c>
      <c r="P194" s="16">
        <v>0.14099999999999999</v>
      </c>
      <c r="Q194" s="16">
        <v>2.5999999999999999E-2</v>
      </c>
      <c r="R194" s="2"/>
      <c r="S194" s="14">
        <v>14</v>
      </c>
      <c r="T194" s="14">
        <v>3</v>
      </c>
      <c r="U194" s="14">
        <v>8</v>
      </c>
      <c r="V194" s="2"/>
      <c r="W194" s="14">
        <v>1967.5</v>
      </c>
      <c r="X194" s="14">
        <v>1968.5</v>
      </c>
      <c r="Y194" s="15">
        <v>85605.3</v>
      </c>
      <c r="Z194" s="15">
        <v>31350</v>
      </c>
      <c r="AA194" s="15">
        <v>40485</v>
      </c>
      <c r="AB194" s="15">
        <v>28000</v>
      </c>
      <c r="AC194" s="16">
        <v>0.17100000000000001</v>
      </c>
      <c r="AD194" s="16">
        <v>0.15</v>
      </c>
      <c r="AE194" s="15">
        <v>9260.5</v>
      </c>
      <c r="AF194" s="15">
        <v>4834.8999999999996</v>
      </c>
      <c r="AG194" s="2"/>
      <c r="AH194" s="14">
        <f t="shared" si="24"/>
        <v>57</v>
      </c>
      <c r="AI194" s="14">
        <f t="shared" si="25"/>
        <v>77</v>
      </c>
      <c r="AJ194" s="14">
        <f t="shared" si="26"/>
        <v>42</v>
      </c>
      <c r="AK194" s="14">
        <f t="shared" si="27"/>
        <v>163</v>
      </c>
      <c r="AL194" s="14">
        <f t="shared" si="28"/>
        <v>149</v>
      </c>
      <c r="AM194" s="14">
        <f t="shared" si="29"/>
        <v>150</v>
      </c>
      <c r="AN194" s="14">
        <f t="shared" si="30"/>
        <v>74</v>
      </c>
      <c r="AO194" s="14">
        <f t="shared" si="31"/>
        <v>91</v>
      </c>
    </row>
    <row r="195" spans="1:41" ht="12" x14ac:dyDescent="0.25">
      <c r="A195" s="14">
        <v>540136</v>
      </c>
      <c r="B195" s="17" t="s">
        <v>229</v>
      </c>
      <c r="C195" s="17" t="s">
        <v>223</v>
      </c>
      <c r="D195" s="17" t="s">
        <v>2</v>
      </c>
      <c r="E195" s="14">
        <v>2</v>
      </c>
      <c r="F195" s="14" t="s">
        <v>228</v>
      </c>
      <c r="G195" s="14">
        <v>26</v>
      </c>
      <c r="H195" s="14">
        <v>0</v>
      </c>
      <c r="I195" s="14">
        <v>45</v>
      </c>
      <c r="J195" s="14">
        <v>9</v>
      </c>
      <c r="K195" s="14">
        <v>80</v>
      </c>
      <c r="L195" s="16">
        <v>0.32500000000000001</v>
      </c>
      <c r="M195" s="16">
        <v>0</v>
      </c>
      <c r="N195" s="16">
        <v>0.56299999999999994</v>
      </c>
      <c r="O195" s="16">
        <v>0.113</v>
      </c>
      <c r="P195" s="16">
        <v>6.3E-2</v>
      </c>
      <c r="Q195" s="16">
        <v>2.5000000000000001E-2</v>
      </c>
      <c r="R195" s="2"/>
      <c r="S195" s="14">
        <v>16</v>
      </c>
      <c r="T195" s="14">
        <v>0</v>
      </c>
      <c r="U195" s="14">
        <v>2</v>
      </c>
      <c r="V195" s="2"/>
      <c r="W195" s="14">
        <v>1975.3</v>
      </c>
      <c r="X195" s="14">
        <v>1985</v>
      </c>
      <c r="Y195" s="15">
        <v>52909</v>
      </c>
      <c r="Z195" s="15">
        <v>36950</v>
      </c>
      <c r="AA195" s="15">
        <v>42810.5</v>
      </c>
      <c r="AB195" s="15">
        <v>34700</v>
      </c>
      <c r="AC195" s="16">
        <v>0.159</v>
      </c>
      <c r="AD195" s="16">
        <v>0.121</v>
      </c>
      <c r="AE195" s="15">
        <v>7039.7</v>
      </c>
      <c r="AF195" s="15">
        <v>4382.3999999999996</v>
      </c>
      <c r="AG195" s="2"/>
      <c r="AH195" s="14">
        <f t="shared" si="24"/>
        <v>10</v>
      </c>
      <c r="AI195" s="14">
        <f t="shared" si="25"/>
        <v>72</v>
      </c>
      <c r="AJ195" s="14">
        <f t="shared" si="26"/>
        <v>108</v>
      </c>
      <c r="AK195" s="14">
        <f t="shared" si="27"/>
        <v>198</v>
      </c>
      <c r="AL195" s="14">
        <f t="shared" si="28"/>
        <v>124</v>
      </c>
      <c r="AM195" s="14">
        <f t="shared" si="29"/>
        <v>115</v>
      </c>
      <c r="AN195" s="14">
        <f t="shared" si="30"/>
        <v>93</v>
      </c>
      <c r="AO195" s="14">
        <f t="shared" si="31"/>
        <v>101</v>
      </c>
    </row>
    <row r="196" spans="1:41" ht="12" x14ac:dyDescent="0.25">
      <c r="A196" s="14">
        <v>540138</v>
      </c>
      <c r="B196" s="17" t="s">
        <v>227</v>
      </c>
      <c r="C196" s="17" t="s">
        <v>223</v>
      </c>
      <c r="D196" s="17" t="s">
        <v>2</v>
      </c>
      <c r="E196" s="14">
        <v>2</v>
      </c>
      <c r="F196" s="14" t="s">
        <v>226</v>
      </c>
      <c r="G196" s="14">
        <v>32</v>
      </c>
      <c r="H196" s="14">
        <v>0</v>
      </c>
      <c r="I196" s="14">
        <v>4</v>
      </c>
      <c r="J196" s="14">
        <v>4</v>
      </c>
      <c r="K196" s="14">
        <v>40</v>
      </c>
      <c r="L196" s="16">
        <v>0.8</v>
      </c>
      <c r="M196" s="16">
        <v>0</v>
      </c>
      <c r="N196" s="16">
        <v>0.1</v>
      </c>
      <c r="O196" s="16">
        <v>0.1</v>
      </c>
      <c r="P196" s="16">
        <v>0</v>
      </c>
      <c r="Q196" s="16">
        <v>7.4999999999999997E-2</v>
      </c>
      <c r="R196" s="2"/>
      <c r="S196" s="14">
        <v>4</v>
      </c>
      <c r="T196" s="14">
        <v>1</v>
      </c>
      <c r="U196" s="14">
        <v>2</v>
      </c>
      <c r="V196" s="2"/>
      <c r="W196" s="14">
        <v>1947</v>
      </c>
      <c r="X196" s="14">
        <v>1946</v>
      </c>
      <c r="Y196" s="15">
        <v>182682.8</v>
      </c>
      <c r="Z196" s="15">
        <v>43600</v>
      </c>
      <c r="AA196" s="15">
        <v>41923.300000000003</v>
      </c>
      <c r="AB196" s="15">
        <v>38300</v>
      </c>
      <c r="AC196" s="16">
        <v>0.153</v>
      </c>
      <c r="AD196" s="16">
        <v>0.11</v>
      </c>
      <c r="AE196" s="15">
        <v>73125.5</v>
      </c>
      <c r="AF196" s="15">
        <v>5124.2</v>
      </c>
      <c r="AG196" s="2"/>
      <c r="AH196" s="14">
        <f t="shared" si="24"/>
        <v>124</v>
      </c>
      <c r="AI196" s="14">
        <f t="shared" si="25"/>
        <v>116</v>
      </c>
      <c r="AJ196" s="14">
        <f t="shared" si="26"/>
        <v>80</v>
      </c>
      <c r="AK196" s="14">
        <f t="shared" si="27"/>
        <v>103</v>
      </c>
      <c r="AL196" s="14">
        <f t="shared" si="28"/>
        <v>98</v>
      </c>
      <c r="AM196" s="14">
        <f t="shared" si="29"/>
        <v>103</v>
      </c>
      <c r="AN196" s="14">
        <f t="shared" si="30"/>
        <v>106</v>
      </c>
      <c r="AO196" s="14">
        <f t="shared" si="31"/>
        <v>86</v>
      </c>
    </row>
    <row r="197" spans="1:41" ht="12" x14ac:dyDescent="0.25">
      <c r="A197" s="14">
        <v>545538</v>
      </c>
      <c r="B197" s="17" t="s">
        <v>225</v>
      </c>
      <c r="C197" s="17" t="s">
        <v>223</v>
      </c>
      <c r="D197" s="17" t="s">
        <v>2</v>
      </c>
      <c r="E197" s="14">
        <v>2</v>
      </c>
      <c r="F197" s="14" t="s">
        <v>224</v>
      </c>
      <c r="G197" s="14">
        <v>14</v>
      </c>
      <c r="H197" s="14">
        <v>1</v>
      </c>
      <c r="I197" s="14">
        <v>21</v>
      </c>
      <c r="J197" s="14">
        <v>15</v>
      </c>
      <c r="K197" s="14">
        <v>51</v>
      </c>
      <c r="L197" s="16">
        <v>0.27500000000000002</v>
      </c>
      <c r="M197" s="16">
        <v>0.02</v>
      </c>
      <c r="N197" s="16">
        <v>0.41199999999999998</v>
      </c>
      <c r="O197" s="16">
        <v>0.29399999999999998</v>
      </c>
      <c r="P197" s="16">
        <v>0.216</v>
      </c>
      <c r="Q197" s="16">
        <v>5.8999999999999997E-2</v>
      </c>
      <c r="R197" s="2"/>
      <c r="S197" s="14">
        <v>1</v>
      </c>
      <c r="T197" s="14">
        <v>1</v>
      </c>
      <c r="U197" s="14">
        <v>0</v>
      </c>
      <c r="V197" s="2"/>
      <c r="W197" s="14">
        <v>1975.7</v>
      </c>
      <c r="X197" s="14">
        <v>1987.5</v>
      </c>
      <c r="Y197" s="15">
        <v>154893.70000000001</v>
      </c>
      <c r="Z197" s="15">
        <v>28000</v>
      </c>
      <c r="AA197" s="15">
        <v>31247.8</v>
      </c>
      <c r="AB197" s="15">
        <v>21900</v>
      </c>
      <c r="AC197" s="16">
        <v>0.122</v>
      </c>
      <c r="AD197" s="16">
        <v>7.4999999999999997E-2</v>
      </c>
      <c r="AE197" s="15">
        <v>2875.7</v>
      </c>
      <c r="AF197" s="15">
        <v>2358.8000000000002</v>
      </c>
      <c r="AG197" s="2"/>
      <c r="AH197" s="14">
        <f t="shared" si="24"/>
        <v>19</v>
      </c>
      <c r="AI197" s="14">
        <f t="shared" si="25"/>
        <v>151</v>
      </c>
      <c r="AJ197" s="14">
        <f t="shared" si="26"/>
        <v>80</v>
      </c>
      <c r="AK197" s="14">
        <f t="shared" si="27"/>
        <v>204</v>
      </c>
      <c r="AL197" s="14">
        <f t="shared" si="28"/>
        <v>164</v>
      </c>
      <c r="AM197" s="14">
        <f t="shared" si="29"/>
        <v>178</v>
      </c>
      <c r="AN197" s="14">
        <f t="shared" si="30"/>
        <v>139</v>
      </c>
      <c r="AO197" s="14">
        <f t="shared" si="31"/>
        <v>154</v>
      </c>
    </row>
    <row r="198" spans="1:41" x14ac:dyDescent="0.3">
      <c r="A198" s="129"/>
      <c r="B198" s="130"/>
      <c r="C198" s="130" t="s">
        <v>223</v>
      </c>
      <c r="D198" s="130" t="s">
        <v>26</v>
      </c>
      <c r="E198" s="129">
        <v>2</v>
      </c>
      <c r="F198" s="129"/>
      <c r="G198" s="129">
        <v>1264</v>
      </c>
      <c r="H198" s="129">
        <v>306</v>
      </c>
      <c r="I198" s="129">
        <v>1534</v>
      </c>
      <c r="J198" s="129">
        <v>669</v>
      </c>
      <c r="K198" s="129">
        <v>3773</v>
      </c>
      <c r="L198" s="131">
        <v>0.33500000000000002</v>
      </c>
      <c r="M198" s="131">
        <v>8.1000000000000003E-2</v>
      </c>
      <c r="N198" s="131">
        <v>0.40699999999999997</v>
      </c>
      <c r="O198" s="131">
        <v>0.17699999999999999</v>
      </c>
      <c r="P198" s="131">
        <v>0.114</v>
      </c>
      <c r="Q198" s="131">
        <v>2.7E-2</v>
      </c>
      <c r="S198" s="129">
        <v>418</v>
      </c>
      <c r="T198" s="129">
        <v>103</v>
      </c>
      <c r="U198" s="129">
        <v>104</v>
      </c>
      <c r="W198" s="129">
        <v>1994.1</v>
      </c>
      <c r="X198" s="129">
        <v>1982</v>
      </c>
      <c r="Y198" s="132">
        <v>50451.8</v>
      </c>
      <c r="Z198" s="132">
        <v>25700</v>
      </c>
      <c r="AA198" s="132">
        <v>37908.9</v>
      </c>
      <c r="AB198" s="132">
        <v>29100</v>
      </c>
      <c r="AC198" s="131">
        <v>0.217</v>
      </c>
      <c r="AD198" s="131">
        <v>0.13500000000000001</v>
      </c>
      <c r="AE198" s="132">
        <v>6961.5</v>
      </c>
      <c r="AF198" s="132">
        <v>3407.3</v>
      </c>
      <c r="AH198" s="129">
        <f t="shared" si="24"/>
        <v>2</v>
      </c>
      <c r="AI198" s="129">
        <f t="shared" si="25"/>
        <v>10</v>
      </c>
      <c r="AJ198" s="129">
        <f t="shared" si="26"/>
        <v>7</v>
      </c>
      <c r="AK198" s="129">
        <f t="shared" si="27"/>
        <v>53</v>
      </c>
      <c r="AL198" s="129">
        <f t="shared" si="28"/>
        <v>50</v>
      </c>
      <c r="AM198" s="129">
        <f t="shared" si="29"/>
        <v>51</v>
      </c>
      <c r="AN198" s="129">
        <f t="shared" si="30"/>
        <v>37</v>
      </c>
      <c r="AO198" s="129">
        <f t="shared" si="31"/>
        <v>49</v>
      </c>
    </row>
    <row r="199" spans="1:41" ht="12" hidden="1" x14ac:dyDescent="0.25">
      <c r="A199" s="19">
        <v>540139</v>
      </c>
      <c r="B199" s="22" t="s">
        <v>222</v>
      </c>
      <c r="C199" s="22" t="s">
        <v>212</v>
      </c>
      <c r="D199" s="22" t="s">
        <v>29</v>
      </c>
      <c r="E199" s="19">
        <v>6</v>
      </c>
      <c r="F199" s="19" t="s">
        <v>221</v>
      </c>
      <c r="G199" s="19">
        <v>556</v>
      </c>
      <c r="H199" s="19">
        <v>94</v>
      </c>
      <c r="I199" s="19">
        <v>257</v>
      </c>
      <c r="J199" s="19">
        <v>97</v>
      </c>
      <c r="K199" s="19">
        <v>1004</v>
      </c>
      <c r="L199" s="21">
        <v>0.55400000000000005</v>
      </c>
      <c r="M199" s="21">
        <v>9.4E-2</v>
      </c>
      <c r="N199" s="21">
        <v>0.25600000000000001</v>
      </c>
      <c r="O199" s="21">
        <v>9.7000000000000003E-2</v>
      </c>
      <c r="P199" s="21">
        <v>7.0000000000000007E-2</v>
      </c>
      <c r="Q199" s="21">
        <v>8.0000000000000002E-3</v>
      </c>
      <c r="R199" s="2"/>
      <c r="S199" s="19">
        <v>111</v>
      </c>
      <c r="T199" s="19">
        <v>13</v>
      </c>
      <c r="U199" s="19">
        <v>12</v>
      </c>
      <c r="V199" s="2"/>
      <c r="W199" s="19">
        <v>1964.5</v>
      </c>
      <c r="X199" s="19">
        <v>1975</v>
      </c>
      <c r="Y199" s="20">
        <v>149144.5</v>
      </c>
      <c r="Z199" s="20">
        <v>55950</v>
      </c>
      <c r="AA199" s="20">
        <v>89959.6</v>
      </c>
      <c r="AB199" s="20">
        <v>50270</v>
      </c>
      <c r="AC199" s="21">
        <v>0.14399999999999999</v>
      </c>
      <c r="AD199" s="21">
        <v>7.9000000000000001E-2</v>
      </c>
      <c r="AE199" s="20">
        <v>34131</v>
      </c>
      <c r="AF199" s="20">
        <v>4140.8</v>
      </c>
      <c r="AG199" s="2"/>
      <c r="AH199" s="19">
        <f t="shared" si="24"/>
        <v>27</v>
      </c>
      <c r="AI199" s="19">
        <f t="shared" si="25"/>
        <v>31</v>
      </c>
      <c r="AJ199" s="19">
        <f t="shared" si="26"/>
        <v>36</v>
      </c>
      <c r="AK199" s="19">
        <f t="shared" si="27"/>
        <v>32</v>
      </c>
      <c r="AL199" s="19">
        <f t="shared" si="28"/>
        <v>7</v>
      </c>
      <c r="AM199" s="19">
        <f t="shared" si="29"/>
        <v>10</v>
      </c>
      <c r="AN199" s="19">
        <f t="shared" si="30"/>
        <v>53</v>
      </c>
      <c r="AO199" s="19">
        <f t="shared" si="31"/>
        <v>42</v>
      </c>
    </row>
    <row r="200" spans="1:41" ht="12" hidden="1" x14ac:dyDescent="0.25">
      <c r="A200" s="14">
        <v>540140</v>
      </c>
      <c r="B200" s="17" t="s">
        <v>220</v>
      </c>
      <c r="C200" s="17" t="s">
        <v>212</v>
      </c>
      <c r="D200" s="17" t="s">
        <v>2</v>
      </c>
      <c r="E200" s="14">
        <v>6</v>
      </c>
      <c r="F200" s="14" t="s">
        <v>219</v>
      </c>
      <c r="G200" s="14">
        <v>11</v>
      </c>
      <c r="H200" s="14">
        <v>0</v>
      </c>
      <c r="I200" s="14">
        <v>0</v>
      </c>
      <c r="J200" s="14">
        <v>4</v>
      </c>
      <c r="K200" s="14">
        <v>15</v>
      </c>
      <c r="L200" s="16">
        <v>0.73299999999999998</v>
      </c>
      <c r="M200" s="16">
        <v>0</v>
      </c>
      <c r="N200" s="16">
        <v>0</v>
      </c>
      <c r="O200" s="16">
        <v>0.26700000000000002</v>
      </c>
      <c r="P200" s="16">
        <v>0.26700000000000002</v>
      </c>
      <c r="Q200" s="16">
        <v>0</v>
      </c>
      <c r="R200" s="2"/>
      <c r="S200" s="14">
        <v>4</v>
      </c>
      <c r="T200" s="14">
        <v>0</v>
      </c>
      <c r="U200" s="14">
        <v>0</v>
      </c>
      <c r="V200" s="2"/>
      <c r="W200" s="14">
        <v>1946.8</v>
      </c>
      <c r="X200" s="14">
        <v>1968</v>
      </c>
      <c r="Y200" s="15">
        <v>44658</v>
      </c>
      <c r="Z200" s="15">
        <v>41700</v>
      </c>
      <c r="AA200" s="15">
        <v>37174.6</v>
      </c>
      <c r="AB200" s="15">
        <v>41700</v>
      </c>
      <c r="AC200" s="16">
        <v>0.19800000000000001</v>
      </c>
      <c r="AD200" s="16">
        <v>0.11600000000000001</v>
      </c>
      <c r="AE200" s="15">
        <v>9530.6</v>
      </c>
      <c r="AF200" s="15">
        <v>3975.2</v>
      </c>
      <c r="AG200" s="2"/>
      <c r="AH200" s="14">
        <f t="shared" si="24"/>
        <v>192</v>
      </c>
      <c r="AI200" s="14">
        <f t="shared" si="25"/>
        <v>116</v>
      </c>
      <c r="AJ200" s="14">
        <f t="shared" si="26"/>
        <v>108</v>
      </c>
      <c r="AK200" s="14">
        <f t="shared" si="27"/>
        <v>161</v>
      </c>
      <c r="AL200" s="14">
        <f t="shared" si="28"/>
        <v>107</v>
      </c>
      <c r="AM200" s="14">
        <f t="shared" si="29"/>
        <v>87</v>
      </c>
      <c r="AN200" s="14">
        <f t="shared" si="30"/>
        <v>98</v>
      </c>
      <c r="AO200" s="14">
        <f t="shared" si="31"/>
        <v>113</v>
      </c>
    </row>
    <row r="201" spans="1:41" ht="12" hidden="1" x14ac:dyDescent="0.25">
      <c r="A201" s="14">
        <v>540141</v>
      </c>
      <c r="B201" s="17" t="s">
        <v>218</v>
      </c>
      <c r="C201" s="17" t="s">
        <v>212</v>
      </c>
      <c r="D201" s="17" t="s">
        <v>2</v>
      </c>
      <c r="E201" s="14">
        <v>6</v>
      </c>
      <c r="F201" s="14" t="s">
        <v>31</v>
      </c>
      <c r="G201" s="14">
        <v>100</v>
      </c>
      <c r="H201" s="14">
        <v>0</v>
      </c>
      <c r="I201" s="14">
        <v>37</v>
      </c>
      <c r="J201" s="14">
        <v>33</v>
      </c>
      <c r="K201" s="14">
        <v>170</v>
      </c>
      <c r="L201" s="16">
        <v>0.58799999999999997</v>
      </c>
      <c r="M201" s="16">
        <v>0</v>
      </c>
      <c r="N201" s="16">
        <v>0.218</v>
      </c>
      <c r="O201" s="16">
        <v>0.19400000000000001</v>
      </c>
      <c r="P201" s="16">
        <v>0.14699999999999999</v>
      </c>
      <c r="Q201" s="16">
        <v>3.5000000000000003E-2</v>
      </c>
      <c r="R201" s="2"/>
      <c r="S201" s="14">
        <v>27</v>
      </c>
      <c r="T201" s="14">
        <v>0</v>
      </c>
      <c r="U201" s="14">
        <v>0</v>
      </c>
      <c r="V201" s="2"/>
      <c r="W201" s="14">
        <v>1957.7</v>
      </c>
      <c r="X201" s="14">
        <v>1962</v>
      </c>
      <c r="Y201" s="15">
        <v>251462.8</v>
      </c>
      <c r="Z201" s="15">
        <v>87650</v>
      </c>
      <c r="AA201" s="15">
        <v>75326.8</v>
      </c>
      <c r="AB201" s="15">
        <v>62600</v>
      </c>
      <c r="AC201" s="16">
        <v>8.4000000000000005E-2</v>
      </c>
      <c r="AD201" s="16">
        <v>6.6000000000000003E-2</v>
      </c>
      <c r="AE201" s="15">
        <v>9232.7000000000007</v>
      </c>
      <c r="AF201" s="15">
        <v>4529.2</v>
      </c>
      <c r="AG201" s="2"/>
      <c r="AH201" s="14">
        <f t="shared" ref="AH201:AH232" si="32">IF($D201 = "SPLIT", "",COUNTIFS($D$7:$D$346,$D201,N$7:N$346,"&gt;"&amp;N201)+1)</f>
        <v>57</v>
      </c>
      <c r="AI201" s="14">
        <f t="shared" ref="AI201:AI232" si="33">IF($D201 = "SPLIT", "",COUNTIFS($D$7:$D$346,$D201,S$7:S$346,"&gt;"&amp;S201)+1)</f>
        <v>54</v>
      </c>
      <c r="AJ201" s="14">
        <f t="shared" ref="AJ201:AJ232" si="34">IF($D201 = "SPLIT", "",COUNTIFS($D$7:$D$346,$D201,T$7:T$346,"&gt;"&amp;T201)+1)</f>
        <v>108</v>
      </c>
      <c r="AK201" s="14">
        <f t="shared" ref="AK201:AK232" si="35">IF($D201 = "SPLIT", "",COUNTIFS($D$7:$D$346,$D201,X$7:X$346,"&lt;"&amp;X201)+1)</f>
        <v>151</v>
      </c>
      <c r="AL201" s="14">
        <f t="shared" ref="AL201:AL232" si="36">IF($D201 = "SPLIT", "",COUNTIFS($D$7:$D$346,$D201,Z$7:Z$346,"&gt;"&amp;Z201)+1)</f>
        <v>20</v>
      </c>
      <c r="AM201" s="14">
        <f t="shared" ref="AM201:AM232" si="37">IF($D201 = "SPLIT", "",COUNTIFS($D$7:$D$346,$D201,AB$7:AB$346,"&gt;"&amp;AB201)+1)</f>
        <v>35</v>
      </c>
      <c r="AN201" s="14">
        <f t="shared" ref="AN201:AN232" si="38">IF($D201 = "SPLIT", "",COUNTIFS($D$7:$D$346,$D201,AD$7:AD$346,"&gt;"&amp;AD201)+1)</f>
        <v>151</v>
      </c>
      <c r="AO201" s="14">
        <f t="shared" ref="AO201:AO232" si="39">IF($D201 = "SPLIT", "",COUNTIFS($D$7:$D$346,$D201,AF$7:AF$346,"&gt;"&amp;AF201)+1)</f>
        <v>96</v>
      </c>
    </row>
    <row r="202" spans="1:41" ht="12" hidden="1" x14ac:dyDescent="0.25">
      <c r="A202" s="14">
        <v>540272</v>
      </c>
      <c r="B202" s="17" t="s">
        <v>217</v>
      </c>
      <c r="C202" s="17" t="s">
        <v>212</v>
      </c>
      <c r="D202" s="17" t="s">
        <v>2</v>
      </c>
      <c r="E202" s="14">
        <v>6</v>
      </c>
      <c r="F202" s="14" t="s">
        <v>216</v>
      </c>
      <c r="G202" s="14">
        <v>20</v>
      </c>
      <c r="H202" s="14">
        <v>0</v>
      </c>
      <c r="I202" s="14">
        <v>5</v>
      </c>
      <c r="J202" s="14">
        <v>4</v>
      </c>
      <c r="K202" s="14">
        <v>29</v>
      </c>
      <c r="L202" s="16">
        <v>0.69</v>
      </c>
      <c r="M202" s="16">
        <v>0</v>
      </c>
      <c r="N202" s="16">
        <v>0.17199999999999999</v>
      </c>
      <c r="O202" s="16">
        <v>0.13800000000000001</v>
      </c>
      <c r="P202" s="16">
        <v>0.13800000000000001</v>
      </c>
      <c r="Q202" s="16">
        <v>0</v>
      </c>
      <c r="R202" s="2"/>
      <c r="S202" s="14">
        <v>1</v>
      </c>
      <c r="T202" s="14">
        <v>0</v>
      </c>
      <c r="U202" s="14">
        <v>0</v>
      </c>
      <c r="V202" s="2"/>
      <c r="W202" s="14">
        <v>1955.8</v>
      </c>
      <c r="X202" s="14">
        <v>1976</v>
      </c>
      <c r="Y202" s="15">
        <v>45496.2</v>
      </c>
      <c r="Z202" s="15">
        <v>29600</v>
      </c>
      <c r="AA202" s="15">
        <v>32324.5</v>
      </c>
      <c r="AB202" s="15">
        <v>26160</v>
      </c>
      <c r="AC202" s="16">
        <v>5.8000000000000003E-2</v>
      </c>
      <c r="AD202" s="16">
        <v>0.04</v>
      </c>
      <c r="AE202" s="15">
        <v>2428.1999999999998</v>
      </c>
      <c r="AF202" s="15">
        <v>1960</v>
      </c>
      <c r="AG202" s="2"/>
      <c r="AH202" s="14">
        <f t="shared" si="32"/>
        <v>75</v>
      </c>
      <c r="AI202" s="14">
        <f t="shared" si="33"/>
        <v>151</v>
      </c>
      <c r="AJ202" s="14">
        <f t="shared" si="34"/>
        <v>108</v>
      </c>
      <c r="AK202" s="14">
        <f t="shared" si="35"/>
        <v>181</v>
      </c>
      <c r="AL202" s="14">
        <f t="shared" si="36"/>
        <v>155</v>
      </c>
      <c r="AM202" s="14">
        <f t="shared" si="37"/>
        <v>160</v>
      </c>
      <c r="AN202" s="14">
        <f t="shared" si="38"/>
        <v>175</v>
      </c>
      <c r="AO202" s="14">
        <f t="shared" si="39"/>
        <v>168</v>
      </c>
    </row>
    <row r="203" spans="1:41" ht="12" hidden="1" x14ac:dyDescent="0.25">
      <c r="A203" s="14">
        <v>540273</v>
      </c>
      <c r="B203" s="17" t="s">
        <v>215</v>
      </c>
      <c r="C203" s="17" t="s">
        <v>212</v>
      </c>
      <c r="D203" s="17" t="s">
        <v>2</v>
      </c>
      <c r="E203" s="14">
        <v>6</v>
      </c>
      <c r="F203" s="14" t="s">
        <v>213</v>
      </c>
      <c r="G203" s="14">
        <v>1</v>
      </c>
      <c r="H203" s="14">
        <v>0</v>
      </c>
      <c r="I203" s="14">
        <v>15</v>
      </c>
      <c r="J203" s="14">
        <v>1</v>
      </c>
      <c r="K203" s="14">
        <v>17</v>
      </c>
      <c r="L203" s="16">
        <v>5.8999999999999997E-2</v>
      </c>
      <c r="M203" s="16">
        <v>0</v>
      </c>
      <c r="N203" s="16">
        <v>0.88200000000000001</v>
      </c>
      <c r="O203" s="16">
        <v>5.8999999999999997E-2</v>
      </c>
      <c r="P203" s="16">
        <v>0</v>
      </c>
      <c r="Q203" s="16">
        <v>5.8999999999999997E-2</v>
      </c>
      <c r="R203" s="2"/>
      <c r="S203" s="14">
        <v>2</v>
      </c>
      <c r="T203" s="14">
        <v>1</v>
      </c>
      <c r="U203" s="14">
        <v>1</v>
      </c>
      <c r="V203" s="2"/>
      <c r="W203" s="14">
        <v>2002</v>
      </c>
      <c r="X203" s="14">
        <v>2006</v>
      </c>
      <c r="Y203" s="15">
        <v>359041.2</v>
      </c>
      <c r="Z203" s="15">
        <v>113200</v>
      </c>
      <c r="AA203" s="15">
        <v>113442.9</v>
      </c>
      <c r="AB203" s="15">
        <v>113200</v>
      </c>
      <c r="AC203" s="16">
        <v>3.4000000000000002E-2</v>
      </c>
      <c r="AD203" s="16">
        <v>1.4999999999999999E-2</v>
      </c>
      <c r="AE203" s="15">
        <v>51506.7</v>
      </c>
      <c r="AF203" s="15">
        <v>1698</v>
      </c>
      <c r="AG203" s="2"/>
      <c r="AH203" s="14">
        <f t="shared" si="32"/>
        <v>3</v>
      </c>
      <c r="AI203" s="14">
        <f t="shared" si="33"/>
        <v>134</v>
      </c>
      <c r="AJ203" s="14">
        <f t="shared" si="34"/>
        <v>80</v>
      </c>
      <c r="AK203" s="14">
        <f t="shared" si="35"/>
        <v>213</v>
      </c>
      <c r="AL203" s="14">
        <f t="shared" si="36"/>
        <v>11</v>
      </c>
      <c r="AM203" s="14">
        <f t="shared" si="37"/>
        <v>6</v>
      </c>
      <c r="AN203" s="14">
        <f t="shared" si="38"/>
        <v>194</v>
      </c>
      <c r="AO203" s="14">
        <f t="shared" si="39"/>
        <v>177</v>
      </c>
    </row>
    <row r="204" spans="1:41" ht="12" hidden="1" x14ac:dyDescent="0.25">
      <c r="A204" s="14">
        <v>540274</v>
      </c>
      <c r="B204" s="17" t="s">
        <v>214</v>
      </c>
      <c r="C204" s="17" t="s">
        <v>212</v>
      </c>
      <c r="D204" s="17" t="s">
        <v>2</v>
      </c>
      <c r="E204" s="14">
        <v>6</v>
      </c>
      <c r="F204" s="14" t="s">
        <v>213</v>
      </c>
      <c r="G204" s="14">
        <v>10</v>
      </c>
      <c r="H204" s="14">
        <v>0</v>
      </c>
      <c r="I204" s="14">
        <v>14</v>
      </c>
      <c r="J204" s="14">
        <v>5</v>
      </c>
      <c r="K204" s="14">
        <v>29</v>
      </c>
      <c r="L204" s="16">
        <v>0.34499999999999997</v>
      </c>
      <c r="M204" s="16">
        <v>0</v>
      </c>
      <c r="N204" s="16">
        <v>0.48299999999999998</v>
      </c>
      <c r="O204" s="16">
        <v>0.17199999999999999</v>
      </c>
      <c r="P204" s="16">
        <v>0.17199999999999999</v>
      </c>
      <c r="Q204" s="16">
        <v>0</v>
      </c>
      <c r="R204" s="2"/>
      <c r="S204" s="14">
        <v>10</v>
      </c>
      <c r="T204" s="14">
        <v>3</v>
      </c>
      <c r="U204" s="14">
        <v>4</v>
      </c>
      <c r="V204" s="2"/>
      <c r="W204" s="14">
        <v>1978.5</v>
      </c>
      <c r="X204" s="14">
        <v>1980.5</v>
      </c>
      <c r="Y204" s="15">
        <v>109296.9</v>
      </c>
      <c r="Z204" s="15">
        <v>59500</v>
      </c>
      <c r="AA204" s="15">
        <v>48609.1</v>
      </c>
      <c r="AB204" s="15">
        <v>19300</v>
      </c>
      <c r="AC204" s="16">
        <v>0.36299999999999999</v>
      </c>
      <c r="AD204" s="16">
        <v>0.28299999999999997</v>
      </c>
      <c r="AE204" s="15">
        <v>12511.7</v>
      </c>
      <c r="AF204" s="15">
        <v>10650</v>
      </c>
      <c r="AG204" s="2"/>
      <c r="AH204" s="14">
        <f t="shared" si="32"/>
        <v>13</v>
      </c>
      <c r="AI204" s="14">
        <f t="shared" si="33"/>
        <v>93</v>
      </c>
      <c r="AJ204" s="14">
        <f t="shared" si="34"/>
        <v>42</v>
      </c>
      <c r="AK204" s="14">
        <f t="shared" si="35"/>
        <v>195</v>
      </c>
      <c r="AL204" s="14">
        <f t="shared" si="36"/>
        <v>49</v>
      </c>
      <c r="AM204" s="14">
        <f t="shared" si="37"/>
        <v>189</v>
      </c>
      <c r="AN204" s="14">
        <f t="shared" si="38"/>
        <v>20</v>
      </c>
      <c r="AO204" s="14">
        <f t="shared" si="39"/>
        <v>30</v>
      </c>
    </row>
    <row r="205" spans="1:41" hidden="1" x14ac:dyDescent="0.3">
      <c r="A205" s="129"/>
      <c r="B205" s="130"/>
      <c r="C205" s="130" t="s">
        <v>212</v>
      </c>
      <c r="D205" s="130" t="s">
        <v>26</v>
      </c>
      <c r="E205" s="129">
        <v>6</v>
      </c>
      <c r="F205" s="129"/>
      <c r="G205" s="129">
        <v>698</v>
      </c>
      <c r="H205" s="129">
        <v>94</v>
      </c>
      <c r="I205" s="129">
        <v>328</v>
      </c>
      <c r="J205" s="129">
        <v>144</v>
      </c>
      <c r="K205" s="129">
        <v>1264</v>
      </c>
      <c r="L205" s="131">
        <v>0.55200000000000005</v>
      </c>
      <c r="M205" s="131">
        <v>7.3999999999999996E-2</v>
      </c>
      <c r="N205" s="131">
        <v>0.25900000000000001</v>
      </c>
      <c r="O205" s="131">
        <v>0.114</v>
      </c>
      <c r="P205" s="131">
        <v>8.5000000000000006E-2</v>
      </c>
      <c r="Q205" s="131">
        <v>1.2E-2</v>
      </c>
      <c r="S205" s="129">
        <v>155</v>
      </c>
      <c r="T205" s="129">
        <v>17</v>
      </c>
      <c r="U205" s="129">
        <v>17</v>
      </c>
      <c r="W205" s="129">
        <v>1964.1</v>
      </c>
      <c r="X205" s="129">
        <v>1974</v>
      </c>
      <c r="Y205" s="132">
        <v>161196.4</v>
      </c>
      <c r="Z205" s="132">
        <v>58500</v>
      </c>
      <c r="AA205" s="132">
        <v>102060.6</v>
      </c>
      <c r="AB205" s="132">
        <v>73400</v>
      </c>
      <c r="AC205" s="131">
        <v>0.13800000000000001</v>
      </c>
      <c r="AD205" s="131">
        <v>7.5999999999999998E-2</v>
      </c>
      <c r="AE205" s="132">
        <v>28326.6</v>
      </c>
      <c r="AF205" s="132">
        <v>4100</v>
      </c>
      <c r="AH205" s="129">
        <f t="shared" si="32"/>
        <v>16</v>
      </c>
      <c r="AI205" s="129">
        <f t="shared" si="33"/>
        <v>33</v>
      </c>
      <c r="AJ205" s="129">
        <f t="shared" si="34"/>
        <v>40</v>
      </c>
      <c r="AK205" s="129">
        <f t="shared" si="35"/>
        <v>42</v>
      </c>
      <c r="AL205" s="129">
        <f t="shared" si="36"/>
        <v>7</v>
      </c>
      <c r="AM205" s="129">
        <f t="shared" si="37"/>
        <v>7</v>
      </c>
      <c r="AN205" s="129">
        <f t="shared" si="38"/>
        <v>55</v>
      </c>
      <c r="AO205" s="129">
        <f t="shared" si="39"/>
        <v>42</v>
      </c>
    </row>
    <row r="206" spans="1:41" ht="12" hidden="1" x14ac:dyDescent="0.25">
      <c r="A206" s="19">
        <v>540278</v>
      </c>
      <c r="B206" s="22" t="s">
        <v>211</v>
      </c>
      <c r="C206" s="22" t="s">
        <v>208</v>
      </c>
      <c r="D206" s="22" t="s">
        <v>29</v>
      </c>
      <c r="E206" s="19">
        <v>1</v>
      </c>
      <c r="F206" s="19" t="s">
        <v>210</v>
      </c>
      <c r="G206" s="19">
        <v>227</v>
      </c>
      <c r="H206" s="19">
        <v>16</v>
      </c>
      <c r="I206" s="19">
        <v>99</v>
      </c>
      <c r="J206" s="19">
        <v>71</v>
      </c>
      <c r="K206" s="19">
        <v>413</v>
      </c>
      <c r="L206" s="21">
        <v>0.55000000000000004</v>
      </c>
      <c r="M206" s="21">
        <v>3.9E-2</v>
      </c>
      <c r="N206" s="21">
        <v>0.24</v>
      </c>
      <c r="O206" s="21">
        <v>0.17199999999999999</v>
      </c>
      <c r="P206" s="21">
        <v>0.111</v>
      </c>
      <c r="Q206" s="21">
        <v>3.1E-2</v>
      </c>
      <c r="R206" s="2"/>
      <c r="S206" s="19">
        <v>43</v>
      </c>
      <c r="T206" s="19">
        <v>8</v>
      </c>
      <c r="U206" s="19">
        <v>5</v>
      </c>
      <c r="V206" s="2"/>
      <c r="W206" s="19">
        <v>1959.5</v>
      </c>
      <c r="X206" s="19">
        <v>1965.5</v>
      </c>
      <c r="Y206" s="20">
        <v>55879</v>
      </c>
      <c r="Z206" s="20">
        <v>38900</v>
      </c>
      <c r="AA206" s="20">
        <v>46978.5</v>
      </c>
      <c r="AB206" s="20">
        <v>37100</v>
      </c>
      <c r="AC206" s="21">
        <v>0.17699999999999999</v>
      </c>
      <c r="AD206" s="21">
        <v>0.109</v>
      </c>
      <c r="AE206" s="20">
        <v>7559.4</v>
      </c>
      <c r="AF206" s="20">
        <v>3573.6</v>
      </c>
      <c r="AG206" s="2"/>
      <c r="AH206" s="19">
        <f t="shared" si="32"/>
        <v>30</v>
      </c>
      <c r="AI206" s="19">
        <f t="shared" si="33"/>
        <v>48</v>
      </c>
      <c r="AJ206" s="19">
        <f t="shared" si="34"/>
        <v>40</v>
      </c>
      <c r="AK206" s="19">
        <f t="shared" si="35"/>
        <v>14</v>
      </c>
      <c r="AL206" s="19">
        <f t="shared" si="36"/>
        <v>26</v>
      </c>
      <c r="AM206" s="19">
        <f t="shared" si="37"/>
        <v>26</v>
      </c>
      <c r="AN206" s="19">
        <f t="shared" si="38"/>
        <v>52</v>
      </c>
      <c r="AO206" s="19">
        <f t="shared" si="39"/>
        <v>45</v>
      </c>
    </row>
    <row r="207" spans="1:41" ht="12" hidden="1" x14ac:dyDescent="0.25">
      <c r="A207" s="25">
        <v>540041</v>
      </c>
      <c r="B207" s="26" t="s">
        <v>24</v>
      </c>
      <c r="C207" s="26" t="s">
        <v>208</v>
      </c>
      <c r="D207" s="26" t="s">
        <v>58</v>
      </c>
      <c r="E207" s="25">
        <v>1</v>
      </c>
      <c r="F207" s="25" t="s">
        <v>128</v>
      </c>
      <c r="G207" s="25">
        <v>52</v>
      </c>
      <c r="H207" s="25">
        <v>1</v>
      </c>
      <c r="I207" s="25">
        <v>5</v>
      </c>
      <c r="J207" s="25">
        <v>8</v>
      </c>
      <c r="K207" s="25">
        <v>66</v>
      </c>
      <c r="L207" s="24">
        <v>0.78800000000000003</v>
      </c>
      <c r="M207" s="24">
        <v>1.4999999999999999E-2</v>
      </c>
      <c r="N207" s="24">
        <v>7.5999999999999998E-2</v>
      </c>
      <c r="O207" s="24">
        <v>0.121</v>
      </c>
      <c r="P207" s="24">
        <v>6.0999999999999999E-2</v>
      </c>
      <c r="Q207" s="24">
        <v>6.0999999999999999E-2</v>
      </c>
      <c r="R207" s="2"/>
      <c r="S207" s="25">
        <v>14</v>
      </c>
      <c r="T207" s="25">
        <v>0</v>
      </c>
      <c r="U207" s="25">
        <v>3</v>
      </c>
      <c r="V207" s="2"/>
      <c r="W207" s="25">
        <v>1938.2</v>
      </c>
      <c r="X207" s="25">
        <v>1935</v>
      </c>
      <c r="Y207" s="23">
        <v>49085.5</v>
      </c>
      <c r="Z207" s="23">
        <v>40565</v>
      </c>
      <c r="AA207" s="23">
        <v>41531.300000000003</v>
      </c>
      <c r="AB207" s="23">
        <v>37200</v>
      </c>
      <c r="AC207" s="24">
        <v>0.16400000000000001</v>
      </c>
      <c r="AD207" s="24">
        <v>0.106</v>
      </c>
      <c r="AE207" s="23">
        <v>6932</v>
      </c>
      <c r="AF207" s="23">
        <v>3740</v>
      </c>
      <c r="AG207" s="2"/>
      <c r="AH207" s="14" t="str">
        <f t="shared" si="32"/>
        <v/>
      </c>
      <c r="AI207" s="14" t="str">
        <f t="shared" si="33"/>
        <v/>
      </c>
      <c r="AJ207" s="14" t="str">
        <f t="shared" si="34"/>
        <v/>
      </c>
      <c r="AK207" s="14" t="str">
        <f t="shared" si="35"/>
        <v/>
      </c>
      <c r="AL207" s="14" t="str">
        <f t="shared" si="36"/>
        <v/>
      </c>
      <c r="AM207" s="14" t="str">
        <f t="shared" si="37"/>
        <v/>
      </c>
      <c r="AN207" s="14" t="str">
        <f t="shared" si="38"/>
        <v/>
      </c>
      <c r="AO207" s="14" t="str">
        <f t="shared" si="39"/>
        <v/>
      </c>
    </row>
    <row r="208" spans="1:41" ht="12" hidden="1" x14ac:dyDescent="0.25">
      <c r="A208" s="14">
        <v>540143</v>
      </c>
      <c r="B208" s="17" t="s">
        <v>209</v>
      </c>
      <c r="C208" s="17" t="s">
        <v>208</v>
      </c>
      <c r="D208" s="17" t="s">
        <v>2</v>
      </c>
      <c r="E208" s="14">
        <v>1</v>
      </c>
      <c r="F208" s="14" t="s">
        <v>31</v>
      </c>
      <c r="G208" s="14">
        <v>21</v>
      </c>
      <c r="H208" s="14">
        <v>2</v>
      </c>
      <c r="I208" s="14">
        <v>5</v>
      </c>
      <c r="J208" s="14">
        <v>3</v>
      </c>
      <c r="K208" s="14">
        <v>31</v>
      </c>
      <c r="L208" s="16">
        <v>0.67700000000000005</v>
      </c>
      <c r="M208" s="16">
        <v>6.5000000000000002E-2</v>
      </c>
      <c r="N208" s="16">
        <v>0.161</v>
      </c>
      <c r="O208" s="16">
        <v>9.7000000000000003E-2</v>
      </c>
      <c r="P208" s="16">
        <v>6.5000000000000002E-2</v>
      </c>
      <c r="Q208" s="16">
        <v>3.2000000000000001E-2</v>
      </c>
      <c r="R208" s="2"/>
      <c r="S208" s="14">
        <v>4</v>
      </c>
      <c r="T208" s="14">
        <v>0</v>
      </c>
      <c r="U208" s="14">
        <v>0</v>
      </c>
      <c r="V208" s="2"/>
      <c r="W208" s="14">
        <v>1957</v>
      </c>
      <c r="X208" s="14">
        <v>1958</v>
      </c>
      <c r="Y208" s="15">
        <v>63469.1</v>
      </c>
      <c r="Z208" s="15">
        <v>41000</v>
      </c>
      <c r="AA208" s="15">
        <v>42270.2</v>
      </c>
      <c r="AB208" s="15">
        <v>39350</v>
      </c>
      <c r="AC208" s="16">
        <v>0.14499999999999999</v>
      </c>
      <c r="AD208" s="16">
        <v>9.4E-2</v>
      </c>
      <c r="AE208" s="15">
        <v>5191.8999999999996</v>
      </c>
      <c r="AF208" s="15">
        <v>4073</v>
      </c>
      <c r="AG208" s="2"/>
      <c r="AH208" s="14">
        <f t="shared" si="32"/>
        <v>80</v>
      </c>
      <c r="AI208" s="14">
        <f t="shared" si="33"/>
        <v>116</v>
      </c>
      <c r="AJ208" s="14">
        <f t="shared" si="34"/>
        <v>108</v>
      </c>
      <c r="AK208" s="14">
        <f t="shared" si="35"/>
        <v>143</v>
      </c>
      <c r="AL208" s="14">
        <f t="shared" si="36"/>
        <v>112</v>
      </c>
      <c r="AM208" s="14">
        <f t="shared" si="37"/>
        <v>102</v>
      </c>
      <c r="AN208" s="14">
        <f t="shared" si="38"/>
        <v>125</v>
      </c>
      <c r="AO208" s="14">
        <f t="shared" si="39"/>
        <v>109</v>
      </c>
    </row>
    <row r="209" spans="1:41" hidden="1" x14ac:dyDescent="0.3">
      <c r="A209" s="129"/>
      <c r="B209" s="130"/>
      <c r="C209" s="130" t="s">
        <v>208</v>
      </c>
      <c r="D209" s="130" t="s">
        <v>26</v>
      </c>
      <c r="E209" s="129">
        <v>1</v>
      </c>
      <c r="F209" s="129"/>
      <c r="G209" s="129">
        <v>300</v>
      </c>
      <c r="H209" s="129">
        <v>19</v>
      </c>
      <c r="I209" s="129">
        <v>109</v>
      </c>
      <c r="J209" s="129">
        <v>82</v>
      </c>
      <c r="K209" s="129">
        <v>510</v>
      </c>
      <c r="L209" s="131">
        <v>0.58799999999999997</v>
      </c>
      <c r="M209" s="131">
        <v>3.6999999999999998E-2</v>
      </c>
      <c r="N209" s="131">
        <v>0.214</v>
      </c>
      <c r="O209" s="131">
        <v>0.161</v>
      </c>
      <c r="P209" s="131">
        <v>0.10199999999999999</v>
      </c>
      <c r="Q209" s="131">
        <v>3.5000000000000003E-2</v>
      </c>
      <c r="S209" s="129">
        <v>61</v>
      </c>
      <c r="T209" s="129">
        <v>8</v>
      </c>
      <c r="U209" s="129">
        <v>8</v>
      </c>
      <c r="W209" s="129">
        <v>1956.3</v>
      </c>
      <c r="X209" s="129">
        <v>1958</v>
      </c>
      <c r="Y209" s="132">
        <v>55461.2</v>
      </c>
      <c r="Z209" s="132">
        <v>39100</v>
      </c>
      <c r="AA209" s="132">
        <v>52461.599999999999</v>
      </c>
      <c r="AB209" s="132">
        <v>42700</v>
      </c>
      <c r="AC209" s="131">
        <v>0.17100000000000001</v>
      </c>
      <c r="AD209" s="131">
        <v>0.104</v>
      </c>
      <c r="AE209" s="132">
        <v>7179.7</v>
      </c>
      <c r="AF209" s="132">
        <v>3612.4</v>
      </c>
      <c r="AH209" s="129">
        <f t="shared" si="32"/>
        <v>26</v>
      </c>
      <c r="AI209" s="129">
        <f t="shared" si="33"/>
        <v>51</v>
      </c>
      <c r="AJ209" s="129">
        <f t="shared" si="34"/>
        <v>47</v>
      </c>
      <c r="AK209" s="129">
        <f t="shared" si="35"/>
        <v>17</v>
      </c>
      <c r="AL209" s="129">
        <f t="shared" si="36"/>
        <v>30</v>
      </c>
      <c r="AM209" s="129">
        <f t="shared" si="37"/>
        <v>33</v>
      </c>
      <c r="AN209" s="129">
        <f t="shared" si="38"/>
        <v>51</v>
      </c>
      <c r="AO209" s="129">
        <f t="shared" si="39"/>
        <v>46</v>
      </c>
    </row>
    <row r="210" spans="1:41" ht="12" hidden="1" x14ac:dyDescent="0.25">
      <c r="A210" s="19">
        <v>540144</v>
      </c>
      <c r="B210" s="22" t="s">
        <v>207</v>
      </c>
      <c r="C210" s="22" t="s">
        <v>202</v>
      </c>
      <c r="D210" s="22" t="s">
        <v>29</v>
      </c>
      <c r="E210" s="19">
        <v>9</v>
      </c>
      <c r="F210" s="19" t="s">
        <v>81</v>
      </c>
      <c r="G210" s="19">
        <v>314</v>
      </c>
      <c r="H210" s="19">
        <v>14</v>
      </c>
      <c r="I210" s="19">
        <v>145</v>
      </c>
      <c r="J210" s="19">
        <v>11</v>
      </c>
      <c r="K210" s="19">
        <v>484</v>
      </c>
      <c r="L210" s="21">
        <v>0.64900000000000002</v>
      </c>
      <c r="M210" s="21">
        <v>2.9000000000000001E-2</v>
      </c>
      <c r="N210" s="21">
        <v>0.3</v>
      </c>
      <c r="O210" s="21">
        <v>2.3E-2</v>
      </c>
      <c r="P210" s="21">
        <v>1.9E-2</v>
      </c>
      <c r="Q210" s="21">
        <v>0</v>
      </c>
      <c r="R210" s="2"/>
      <c r="S210" s="19">
        <v>166</v>
      </c>
      <c r="T210" s="19">
        <v>45</v>
      </c>
      <c r="U210" s="19">
        <v>5</v>
      </c>
      <c r="V210" s="2"/>
      <c r="W210" s="19">
        <v>1971</v>
      </c>
      <c r="X210" s="19">
        <v>1975</v>
      </c>
      <c r="Y210" s="20">
        <v>144353.9</v>
      </c>
      <c r="Z210" s="20">
        <v>69550</v>
      </c>
      <c r="AA210" s="20">
        <v>80516.399999999994</v>
      </c>
      <c r="AB210" s="20">
        <v>65200</v>
      </c>
      <c r="AC210" s="21">
        <v>0.41499999999999998</v>
      </c>
      <c r="AD210" s="21">
        <v>0.41</v>
      </c>
      <c r="AE210" s="20">
        <v>30029.599999999999</v>
      </c>
      <c r="AF210" s="20">
        <v>16293.5</v>
      </c>
      <c r="AG210" s="2"/>
      <c r="AH210" s="19">
        <f t="shared" si="32"/>
        <v>13</v>
      </c>
      <c r="AI210" s="19">
        <f t="shared" si="33"/>
        <v>23</v>
      </c>
      <c r="AJ210" s="19">
        <f t="shared" si="34"/>
        <v>14</v>
      </c>
      <c r="AK210" s="19">
        <f t="shared" si="35"/>
        <v>32</v>
      </c>
      <c r="AL210" s="19">
        <f t="shared" si="36"/>
        <v>2</v>
      </c>
      <c r="AM210" s="19">
        <f t="shared" si="37"/>
        <v>2</v>
      </c>
      <c r="AN210" s="19">
        <f t="shared" si="38"/>
        <v>5</v>
      </c>
      <c r="AO210" s="19">
        <f t="shared" si="39"/>
        <v>3</v>
      </c>
    </row>
    <row r="211" spans="1:41" ht="12" hidden="1" x14ac:dyDescent="0.25">
      <c r="A211" s="14">
        <v>540005</v>
      </c>
      <c r="B211" s="17" t="s">
        <v>206</v>
      </c>
      <c r="C211" s="17" t="s">
        <v>202</v>
      </c>
      <c r="D211" s="17" t="s">
        <v>2</v>
      </c>
      <c r="E211" s="14">
        <v>9</v>
      </c>
      <c r="F211" s="14" t="s">
        <v>205</v>
      </c>
      <c r="G211" s="14">
        <v>113</v>
      </c>
      <c r="H211" s="14">
        <v>1</v>
      </c>
      <c r="I211" s="14">
        <v>15</v>
      </c>
      <c r="J211" s="14">
        <v>0</v>
      </c>
      <c r="K211" s="14">
        <v>129</v>
      </c>
      <c r="L211" s="16">
        <v>0.876</v>
      </c>
      <c r="M211" s="16">
        <v>8.0000000000000002E-3</v>
      </c>
      <c r="N211" s="16">
        <v>0.11600000000000001</v>
      </c>
      <c r="O211" s="16">
        <v>0</v>
      </c>
      <c r="P211" s="16">
        <v>0</v>
      </c>
      <c r="Q211" s="16">
        <v>0</v>
      </c>
      <c r="R211" s="2"/>
      <c r="S211" s="14">
        <v>44</v>
      </c>
      <c r="T211" s="14">
        <v>1</v>
      </c>
      <c r="U211" s="14">
        <v>0</v>
      </c>
      <c r="V211" s="2"/>
      <c r="W211" s="14">
        <v>1941.1</v>
      </c>
      <c r="X211" s="14">
        <v>1940</v>
      </c>
      <c r="Y211" s="15">
        <v>273053.5</v>
      </c>
      <c r="Z211" s="15">
        <v>113000</v>
      </c>
      <c r="AA211" s="15">
        <v>112900</v>
      </c>
      <c r="AB211" s="15">
        <v>92200</v>
      </c>
      <c r="AC211" s="16">
        <v>0.11700000000000001</v>
      </c>
      <c r="AD211" s="16">
        <v>0.104</v>
      </c>
      <c r="AE211" s="15">
        <v>30839.7</v>
      </c>
      <c r="AF211" s="15">
        <v>10813.2</v>
      </c>
      <c r="AG211" s="2"/>
      <c r="AH211" s="14">
        <f t="shared" si="32"/>
        <v>110</v>
      </c>
      <c r="AI211" s="14">
        <f t="shared" si="33"/>
        <v>33</v>
      </c>
      <c r="AJ211" s="14">
        <f t="shared" si="34"/>
        <v>80</v>
      </c>
      <c r="AK211" s="14">
        <f t="shared" si="35"/>
        <v>72</v>
      </c>
      <c r="AL211" s="14">
        <f t="shared" si="36"/>
        <v>12</v>
      </c>
      <c r="AM211" s="14">
        <f t="shared" si="37"/>
        <v>10</v>
      </c>
      <c r="AN211" s="14">
        <f t="shared" si="38"/>
        <v>116</v>
      </c>
      <c r="AO211" s="14">
        <f t="shared" si="39"/>
        <v>29</v>
      </c>
    </row>
    <row r="212" spans="1:41" ht="12" hidden="1" x14ac:dyDescent="0.25">
      <c r="A212" s="14">
        <v>540252</v>
      </c>
      <c r="B212" s="17" t="s">
        <v>204</v>
      </c>
      <c r="C212" s="17" t="s">
        <v>202</v>
      </c>
      <c r="D212" s="17" t="s">
        <v>2</v>
      </c>
      <c r="E212" s="14">
        <v>9</v>
      </c>
      <c r="F212" s="14" t="s">
        <v>203</v>
      </c>
      <c r="G212" s="14">
        <v>27</v>
      </c>
      <c r="H212" s="14">
        <v>0</v>
      </c>
      <c r="I212" s="14">
        <v>3</v>
      </c>
      <c r="J212" s="14">
        <v>0</v>
      </c>
      <c r="K212" s="14">
        <v>30</v>
      </c>
      <c r="L212" s="16">
        <v>0.9</v>
      </c>
      <c r="M212" s="16">
        <v>0</v>
      </c>
      <c r="N212" s="16">
        <v>0.1</v>
      </c>
      <c r="O212" s="16">
        <v>0</v>
      </c>
      <c r="P212" s="16">
        <v>0</v>
      </c>
      <c r="Q212" s="16">
        <v>0</v>
      </c>
      <c r="R212" s="2"/>
      <c r="S212" s="14">
        <v>0</v>
      </c>
      <c r="T212" s="14">
        <v>0</v>
      </c>
      <c r="U212" s="14">
        <v>0</v>
      </c>
      <c r="V212" s="2"/>
      <c r="W212" s="14">
        <v>1946.9</v>
      </c>
      <c r="X212" s="14">
        <v>1941</v>
      </c>
      <c r="Y212" s="15">
        <v>92346.7</v>
      </c>
      <c r="Z212" s="15">
        <v>65550</v>
      </c>
      <c r="AA212" s="15">
        <v>70818.8</v>
      </c>
      <c r="AB212" s="15">
        <v>65550</v>
      </c>
      <c r="AC212" s="16">
        <v>7.9000000000000001E-2</v>
      </c>
      <c r="AD212" s="16">
        <v>5.7000000000000002E-2</v>
      </c>
      <c r="AE212" s="15">
        <v>3262.9</v>
      </c>
      <c r="AF212" s="15">
        <v>3082.8</v>
      </c>
      <c r="AG212" s="2"/>
      <c r="AH212" s="14">
        <f t="shared" si="32"/>
        <v>124</v>
      </c>
      <c r="AI212" s="14">
        <f t="shared" si="33"/>
        <v>172</v>
      </c>
      <c r="AJ212" s="14">
        <f t="shared" si="34"/>
        <v>108</v>
      </c>
      <c r="AK212" s="14">
        <f t="shared" si="35"/>
        <v>89</v>
      </c>
      <c r="AL212" s="14">
        <f t="shared" si="36"/>
        <v>42</v>
      </c>
      <c r="AM212" s="14">
        <f t="shared" si="37"/>
        <v>27</v>
      </c>
      <c r="AN212" s="14">
        <f t="shared" si="38"/>
        <v>163</v>
      </c>
      <c r="AO212" s="14">
        <f t="shared" si="39"/>
        <v>136</v>
      </c>
    </row>
    <row r="213" spans="1:41" hidden="1" x14ac:dyDescent="0.3">
      <c r="A213" s="129"/>
      <c r="B213" s="130"/>
      <c r="C213" s="130" t="s">
        <v>202</v>
      </c>
      <c r="D213" s="130" t="s">
        <v>26</v>
      </c>
      <c r="E213" s="129">
        <v>9</v>
      </c>
      <c r="F213" s="129"/>
      <c r="G213" s="129">
        <v>454</v>
      </c>
      <c r="H213" s="129">
        <v>15</v>
      </c>
      <c r="I213" s="129">
        <v>163</v>
      </c>
      <c r="J213" s="129">
        <v>11</v>
      </c>
      <c r="K213" s="129">
        <v>643</v>
      </c>
      <c r="L213" s="131">
        <v>0.70599999999999996</v>
      </c>
      <c r="M213" s="131">
        <v>2.3E-2</v>
      </c>
      <c r="N213" s="131">
        <v>0.253</v>
      </c>
      <c r="O213" s="131">
        <v>1.7000000000000001E-2</v>
      </c>
      <c r="P213" s="131">
        <v>1.4E-2</v>
      </c>
      <c r="Q213" s="131">
        <v>0</v>
      </c>
      <c r="S213" s="129">
        <v>210</v>
      </c>
      <c r="T213" s="129">
        <v>46</v>
      </c>
      <c r="U213" s="129">
        <v>5</v>
      </c>
      <c r="W213" s="129">
        <v>1963.7</v>
      </c>
      <c r="X213" s="129">
        <v>1968</v>
      </c>
      <c r="Y213" s="132">
        <v>167747.4</v>
      </c>
      <c r="Z213" s="132">
        <v>78500</v>
      </c>
      <c r="AA213" s="132">
        <v>93108.1</v>
      </c>
      <c r="AB213" s="132">
        <v>80400</v>
      </c>
      <c r="AC213" s="131">
        <v>0.33200000000000002</v>
      </c>
      <c r="AD213" s="131">
        <v>0.219</v>
      </c>
      <c r="AE213" s="132">
        <v>29829.7</v>
      </c>
      <c r="AF213" s="132">
        <v>14458.5</v>
      </c>
      <c r="AH213" s="129">
        <f t="shared" si="32"/>
        <v>17</v>
      </c>
      <c r="AI213" s="129">
        <f t="shared" si="33"/>
        <v>27</v>
      </c>
      <c r="AJ213" s="129">
        <f t="shared" si="34"/>
        <v>23</v>
      </c>
      <c r="AK213" s="129">
        <f t="shared" si="35"/>
        <v>29</v>
      </c>
      <c r="AL213" s="129">
        <f t="shared" si="36"/>
        <v>2</v>
      </c>
      <c r="AM213" s="129">
        <f t="shared" si="37"/>
        <v>4</v>
      </c>
      <c r="AN213" s="129">
        <f t="shared" si="38"/>
        <v>14</v>
      </c>
      <c r="AO213" s="129">
        <f t="shared" si="39"/>
        <v>4</v>
      </c>
    </row>
    <row r="214" spans="1:41" ht="12" hidden="1" x14ac:dyDescent="0.25">
      <c r="A214" s="19">
        <v>540146</v>
      </c>
      <c r="B214" s="22" t="s">
        <v>201</v>
      </c>
      <c r="C214" s="22" t="s">
        <v>197</v>
      </c>
      <c r="D214" s="22" t="s">
        <v>29</v>
      </c>
      <c r="E214" s="19">
        <v>4</v>
      </c>
      <c r="F214" s="19" t="s">
        <v>200</v>
      </c>
      <c r="G214" s="19">
        <v>486</v>
      </c>
      <c r="H214" s="19">
        <v>4</v>
      </c>
      <c r="I214" s="19">
        <v>147</v>
      </c>
      <c r="J214" s="19">
        <v>55</v>
      </c>
      <c r="K214" s="19">
        <v>692</v>
      </c>
      <c r="L214" s="21">
        <v>0.70199999999999996</v>
      </c>
      <c r="M214" s="21">
        <v>6.0000000000000001E-3</v>
      </c>
      <c r="N214" s="21">
        <v>0.21199999999999999</v>
      </c>
      <c r="O214" s="21">
        <v>7.9000000000000001E-2</v>
      </c>
      <c r="P214" s="21">
        <v>5.8999999999999997E-2</v>
      </c>
      <c r="Q214" s="21">
        <v>4.0000000000000001E-3</v>
      </c>
      <c r="R214" s="2"/>
      <c r="S214" s="19">
        <v>61</v>
      </c>
      <c r="T214" s="19">
        <v>5</v>
      </c>
      <c r="U214" s="19">
        <v>10</v>
      </c>
      <c r="V214" s="2"/>
      <c r="W214" s="19">
        <v>1966.6</v>
      </c>
      <c r="X214" s="19">
        <v>1970</v>
      </c>
      <c r="Y214" s="20">
        <v>44705.599999999999</v>
      </c>
      <c r="Z214" s="20">
        <v>27850</v>
      </c>
      <c r="AA214" s="20">
        <v>33750.5</v>
      </c>
      <c r="AB214" s="20">
        <v>26240</v>
      </c>
      <c r="AC214" s="21">
        <v>0.28199999999999997</v>
      </c>
      <c r="AD214" s="21">
        <v>0.23</v>
      </c>
      <c r="AE214" s="20">
        <v>10645.3</v>
      </c>
      <c r="AF214" s="20">
        <v>5725.4</v>
      </c>
      <c r="AG214" s="2"/>
      <c r="AH214" s="19">
        <f t="shared" si="32"/>
        <v>36</v>
      </c>
      <c r="AI214" s="19">
        <f t="shared" si="33"/>
        <v>44</v>
      </c>
      <c r="AJ214" s="19">
        <f t="shared" si="34"/>
        <v>46</v>
      </c>
      <c r="AK214" s="19">
        <f t="shared" si="35"/>
        <v>21</v>
      </c>
      <c r="AL214" s="19">
        <f t="shared" si="36"/>
        <v>44</v>
      </c>
      <c r="AM214" s="19">
        <f t="shared" si="37"/>
        <v>44</v>
      </c>
      <c r="AN214" s="19">
        <f t="shared" si="38"/>
        <v>15</v>
      </c>
      <c r="AO214" s="19">
        <f t="shared" si="39"/>
        <v>31</v>
      </c>
    </row>
    <row r="215" spans="1:41" ht="12" hidden="1" x14ac:dyDescent="0.25">
      <c r="A215" s="14">
        <v>540147</v>
      </c>
      <c r="B215" s="17" t="s">
        <v>199</v>
      </c>
      <c r="C215" s="17" t="s">
        <v>197</v>
      </c>
      <c r="D215" s="17" t="s">
        <v>2</v>
      </c>
      <c r="E215" s="14">
        <v>4</v>
      </c>
      <c r="F215" s="14" t="s">
        <v>128</v>
      </c>
      <c r="G215" s="14">
        <v>284</v>
      </c>
      <c r="H215" s="14">
        <v>2</v>
      </c>
      <c r="I215" s="14">
        <v>18</v>
      </c>
      <c r="J215" s="14">
        <v>25</v>
      </c>
      <c r="K215" s="14">
        <v>329</v>
      </c>
      <c r="L215" s="16">
        <v>0.86299999999999999</v>
      </c>
      <c r="M215" s="16">
        <v>6.0000000000000001E-3</v>
      </c>
      <c r="N215" s="16">
        <v>5.5E-2</v>
      </c>
      <c r="O215" s="16">
        <v>7.5999999999999998E-2</v>
      </c>
      <c r="P215" s="16">
        <v>5.8000000000000003E-2</v>
      </c>
      <c r="Q215" s="16">
        <v>6.0000000000000001E-3</v>
      </c>
      <c r="R215" s="2"/>
      <c r="S215" s="14">
        <v>12</v>
      </c>
      <c r="T215" s="14">
        <v>2</v>
      </c>
      <c r="U215" s="14">
        <v>2</v>
      </c>
      <c r="V215" s="2"/>
      <c r="W215" s="14">
        <v>1942.5</v>
      </c>
      <c r="X215" s="14">
        <v>1944</v>
      </c>
      <c r="Y215" s="15">
        <v>38666</v>
      </c>
      <c r="Z215" s="15">
        <v>20400</v>
      </c>
      <c r="AA215" s="15">
        <v>28368.5</v>
      </c>
      <c r="AB215" s="15">
        <v>21000</v>
      </c>
      <c r="AC215" s="16">
        <v>0.125</v>
      </c>
      <c r="AD215" s="16">
        <v>0.105</v>
      </c>
      <c r="AE215" s="15">
        <v>3059.8</v>
      </c>
      <c r="AF215" s="15">
        <v>1904</v>
      </c>
      <c r="AG215" s="2"/>
      <c r="AH215" s="14">
        <f t="shared" si="32"/>
        <v>157</v>
      </c>
      <c r="AI215" s="14">
        <f t="shared" si="33"/>
        <v>81</v>
      </c>
      <c r="AJ215" s="14">
        <f t="shared" si="34"/>
        <v>56</v>
      </c>
      <c r="AK215" s="14">
        <f t="shared" si="35"/>
        <v>96</v>
      </c>
      <c r="AL215" s="14">
        <f t="shared" si="36"/>
        <v>192</v>
      </c>
      <c r="AM215" s="14">
        <f t="shared" si="37"/>
        <v>182</v>
      </c>
      <c r="AN215" s="14">
        <f t="shared" si="38"/>
        <v>113</v>
      </c>
      <c r="AO215" s="14">
        <f t="shared" si="39"/>
        <v>169</v>
      </c>
    </row>
    <row r="216" spans="1:41" ht="12" hidden="1" x14ac:dyDescent="0.25">
      <c r="A216" s="14">
        <v>540148</v>
      </c>
      <c r="B216" s="17" t="s">
        <v>198</v>
      </c>
      <c r="C216" s="17" t="s">
        <v>197</v>
      </c>
      <c r="D216" s="17" t="s">
        <v>2</v>
      </c>
      <c r="E216" s="14">
        <v>4</v>
      </c>
      <c r="F216" s="14" t="s">
        <v>62</v>
      </c>
      <c r="G216" s="14">
        <v>21</v>
      </c>
      <c r="H216" s="14">
        <v>0</v>
      </c>
      <c r="I216" s="14">
        <v>13</v>
      </c>
      <c r="J216" s="14">
        <v>1</v>
      </c>
      <c r="K216" s="14">
        <v>35</v>
      </c>
      <c r="L216" s="16">
        <v>0.6</v>
      </c>
      <c r="M216" s="16">
        <v>0</v>
      </c>
      <c r="N216" s="16">
        <v>0.371</v>
      </c>
      <c r="O216" s="16">
        <v>2.9000000000000001E-2</v>
      </c>
      <c r="P216" s="16">
        <v>2.9000000000000001E-2</v>
      </c>
      <c r="Q216" s="16">
        <v>0</v>
      </c>
      <c r="R216" s="2"/>
      <c r="S216" s="14">
        <v>3</v>
      </c>
      <c r="T216" s="14">
        <v>2</v>
      </c>
      <c r="U216" s="14">
        <v>0</v>
      </c>
      <c r="V216" s="2"/>
      <c r="W216" s="14">
        <v>1975.7</v>
      </c>
      <c r="X216" s="14">
        <v>1975.5</v>
      </c>
      <c r="Y216" s="15">
        <v>93218.3</v>
      </c>
      <c r="Z216" s="15">
        <v>69900</v>
      </c>
      <c r="AA216" s="15">
        <v>65075.7</v>
      </c>
      <c r="AB216" s="15">
        <v>60300</v>
      </c>
      <c r="AC216" s="16">
        <v>0.24299999999999999</v>
      </c>
      <c r="AD216" s="16">
        <v>0.22</v>
      </c>
      <c r="AE216" s="15">
        <v>56235.7</v>
      </c>
      <c r="AF216" s="15">
        <v>30419</v>
      </c>
      <c r="AG216" s="2"/>
      <c r="AH216" s="14">
        <f t="shared" si="32"/>
        <v>22</v>
      </c>
      <c r="AI216" s="14">
        <f t="shared" si="33"/>
        <v>125</v>
      </c>
      <c r="AJ216" s="14">
        <f t="shared" si="34"/>
        <v>56</v>
      </c>
      <c r="AK216" s="14">
        <f t="shared" si="35"/>
        <v>179</v>
      </c>
      <c r="AL216" s="14">
        <f t="shared" si="36"/>
        <v>32</v>
      </c>
      <c r="AM216" s="14">
        <f t="shared" si="37"/>
        <v>38</v>
      </c>
      <c r="AN216" s="14">
        <f t="shared" si="38"/>
        <v>43</v>
      </c>
      <c r="AO216" s="14">
        <f t="shared" si="39"/>
        <v>5</v>
      </c>
    </row>
    <row r="217" spans="1:41" hidden="1" x14ac:dyDescent="0.3">
      <c r="A217" s="129"/>
      <c r="B217" s="130"/>
      <c r="C217" s="130" t="s">
        <v>197</v>
      </c>
      <c r="D217" s="130" t="s">
        <v>26</v>
      </c>
      <c r="E217" s="129">
        <v>4</v>
      </c>
      <c r="F217" s="129"/>
      <c r="G217" s="129">
        <v>791</v>
      </c>
      <c r="H217" s="129">
        <v>6</v>
      </c>
      <c r="I217" s="129">
        <v>178</v>
      </c>
      <c r="J217" s="129">
        <v>81</v>
      </c>
      <c r="K217" s="129">
        <v>1056</v>
      </c>
      <c r="L217" s="131">
        <v>0.749</v>
      </c>
      <c r="M217" s="131">
        <v>6.0000000000000001E-3</v>
      </c>
      <c r="N217" s="131">
        <v>0.16900000000000001</v>
      </c>
      <c r="O217" s="131">
        <v>7.6999999999999999E-2</v>
      </c>
      <c r="P217" s="131">
        <v>5.8000000000000003E-2</v>
      </c>
      <c r="Q217" s="131">
        <v>5.0000000000000001E-3</v>
      </c>
      <c r="S217" s="129">
        <v>76</v>
      </c>
      <c r="T217" s="129">
        <v>9</v>
      </c>
      <c r="U217" s="129">
        <v>12</v>
      </c>
      <c r="W217" s="129">
        <v>1959.3</v>
      </c>
      <c r="X217" s="129">
        <v>1960</v>
      </c>
      <c r="Y217" s="132">
        <v>44431.9</v>
      </c>
      <c r="Z217" s="132">
        <v>25700</v>
      </c>
      <c r="AA217" s="132">
        <v>37599.699999999997</v>
      </c>
      <c r="AB217" s="132">
        <v>30000</v>
      </c>
      <c r="AC217" s="131">
        <v>0.19800000000000001</v>
      </c>
      <c r="AD217" s="131">
        <v>0.13</v>
      </c>
      <c r="AE217" s="132">
        <v>6996.2</v>
      </c>
      <c r="AF217" s="132">
        <v>3078.8</v>
      </c>
      <c r="AH217" s="129">
        <f t="shared" si="32"/>
        <v>38</v>
      </c>
      <c r="AI217" s="129">
        <f t="shared" si="33"/>
        <v>47</v>
      </c>
      <c r="AJ217" s="129">
        <f t="shared" si="34"/>
        <v>46</v>
      </c>
      <c r="AK217" s="129">
        <f t="shared" si="35"/>
        <v>18</v>
      </c>
      <c r="AL217" s="129">
        <f t="shared" si="36"/>
        <v>50</v>
      </c>
      <c r="AM217" s="129">
        <f t="shared" si="37"/>
        <v>49</v>
      </c>
      <c r="AN217" s="129">
        <f t="shared" si="38"/>
        <v>39</v>
      </c>
      <c r="AO217" s="129">
        <f t="shared" si="39"/>
        <v>51</v>
      </c>
    </row>
    <row r="218" spans="1:41" ht="12" hidden="1" x14ac:dyDescent="0.25">
      <c r="A218" s="19">
        <v>540149</v>
      </c>
      <c r="B218" s="22" t="s">
        <v>196</v>
      </c>
      <c r="C218" s="22" t="s">
        <v>188</v>
      </c>
      <c r="D218" s="22" t="s">
        <v>29</v>
      </c>
      <c r="E218" s="19">
        <v>10</v>
      </c>
      <c r="F218" s="19" t="s">
        <v>59</v>
      </c>
      <c r="G218" s="19">
        <v>238</v>
      </c>
      <c r="H218" s="19">
        <v>11</v>
      </c>
      <c r="I218" s="19">
        <v>96</v>
      </c>
      <c r="J218" s="19">
        <v>28</v>
      </c>
      <c r="K218" s="19">
        <v>373</v>
      </c>
      <c r="L218" s="21">
        <v>0.63800000000000001</v>
      </c>
      <c r="M218" s="21">
        <v>2.9000000000000001E-2</v>
      </c>
      <c r="N218" s="21">
        <v>0.25700000000000001</v>
      </c>
      <c r="O218" s="21">
        <v>7.4999999999999997E-2</v>
      </c>
      <c r="P218" s="21">
        <v>7.0000000000000007E-2</v>
      </c>
      <c r="Q218" s="21">
        <v>3.0000000000000001E-3</v>
      </c>
      <c r="R218" s="2"/>
      <c r="S218" s="19">
        <v>8</v>
      </c>
      <c r="T218" s="19">
        <v>2</v>
      </c>
      <c r="U218" s="19">
        <v>0</v>
      </c>
      <c r="V218" s="2"/>
      <c r="W218" s="19">
        <v>1958.9</v>
      </c>
      <c r="X218" s="19">
        <v>1964</v>
      </c>
      <c r="Y218" s="20">
        <v>44422.9</v>
      </c>
      <c r="Z218" s="20">
        <v>28170</v>
      </c>
      <c r="AA218" s="20">
        <v>42424.5</v>
      </c>
      <c r="AB218" s="20">
        <v>26450</v>
      </c>
      <c r="AC218" s="21">
        <v>0.14499999999999999</v>
      </c>
      <c r="AD218" s="21">
        <v>7.9000000000000001E-2</v>
      </c>
      <c r="AE218" s="20">
        <v>5750.9</v>
      </c>
      <c r="AF218" s="20">
        <v>3213.6</v>
      </c>
      <c r="AG218" s="2"/>
      <c r="AH218" s="19">
        <f t="shared" si="32"/>
        <v>26</v>
      </c>
      <c r="AI218" s="19">
        <f t="shared" si="33"/>
        <v>54</v>
      </c>
      <c r="AJ218" s="19">
        <f t="shared" si="34"/>
        <v>53</v>
      </c>
      <c r="AK218" s="19">
        <f t="shared" si="35"/>
        <v>10</v>
      </c>
      <c r="AL218" s="19">
        <f t="shared" si="36"/>
        <v>42</v>
      </c>
      <c r="AM218" s="19">
        <f t="shared" si="37"/>
        <v>43</v>
      </c>
      <c r="AN218" s="19">
        <f t="shared" si="38"/>
        <v>53</v>
      </c>
      <c r="AO218" s="19">
        <f t="shared" si="39"/>
        <v>50</v>
      </c>
    </row>
    <row r="219" spans="1:41" ht="12" hidden="1" x14ac:dyDescent="0.25">
      <c r="A219" s="14">
        <v>540094</v>
      </c>
      <c r="B219" s="17" t="s">
        <v>195</v>
      </c>
      <c r="C219" s="17" t="s">
        <v>188</v>
      </c>
      <c r="D219" s="17" t="s">
        <v>2</v>
      </c>
      <c r="E219" s="14">
        <v>10</v>
      </c>
      <c r="F219" s="14" t="s">
        <v>194</v>
      </c>
      <c r="G219" s="14">
        <v>12</v>
      </c>
      <c r="H219" s="14">
        <v>0</v>
      </c>
      <c r="I219" s="14">
        <v>0</v>
      </c>
      <c r="J219" s="14">
        <v>0</v>
      </c>
      <c r="K219" s="14">
        <v>12</v>
      </c>
      <c r="L219" s="16">
        <v>1</v>
      </c>
      <c r="M219" s="16">
        <v>0</v>
      </c>
      <c r="N219" s="16">
        <v>0</v>
      </c>
      <c r="O219" s="16">
        <v>0</v>
      </c>
      <c r="P219" s="16">
        <v>0</v>
      </c>
      <c r="Q219" s="16">
        <v>0</v>
      </c>
      <c r="R219" s="2"/>
      <c r="S219" s="14">
        <v>0</v>
      </c>
      <c r="T219" s="14">
        <v>0</v>
      </c>
      <c r="U219" s="14">
        <v>0</v>
      </c>
      <c r="V219" s="2"/>
      <c r="W219" s="14">
        <v>1969.7</v>
      </c>
      <c r="X219" s="14">
        <v>1975</v>
      </c>
      <c r="Y219" s="15">
        <v>81881.7</v>
      </c>
      <c r="Z219" s="15">
        <v>44650</v>
      </c>
      <c r="AA219" s="15">
        <v>51518</v>
      </c>
      <c r="AB219" s="15">
        <v>44650</v>
      </c>
      <c r="AC219" s="16">
        <v>0</v>
      </c>
      <c r="AD219" s="16">
        <v>0</v>
      </c>
      <c r="AE219" s="15">
        <v>0</v>
      </c>
      <c r="AF219" s="15">
        <v>0</v>
      </c>
      <c r="AG219" s="2"/>
      <c r="AH219" s="14">
        <f t="shared" si="32"/>
        <v>192</v>
      </c>
      <c r="AI219" s="14">
        <f t="shared" si="33"/>
        <v>172</v>
      </c>
      <c r="AJ219" s="14">
        <f t="shared" si="34"/>
        <v>108</v>
      </c>
      <c r="AK219" s="14">
        <f t="shared" si="35"/>
        <v>175</v>
      </c>
      <c r="AL219" s="14">
        <f t="shared" si="36"/>
        <v>94</v>
      </c>
      <c r="AM219" s="14">
        <f t="shared" si="37"/>
        <v>77</v>
      </c>
      <c r="AN219" s="14">
        <f t="shared" si="38"/>
        <v>198</v>
      </c>
      <c r="AO219" s="14">
        <f t="shared" si="39"/>
        <v>198</v>
      </c>
    </row>
    <row r="220" spans="1:41" ht="12" hidden="1" x14ac:dyDescent="0.25">
      <c r="A220" s="14">
        <v>540150</v>
      </c>
      <c r="B220" s="17" t="s">
        <v>193</v>
      </c>
      <c r="C220" s="17" t="s">
        <v>188</v>
      </c>
      <c r="D220" s="17" t="s">
        <v>2</v>
      </c>
      <c r="E220" s="14">
        <v>10</v>
      </c>
      <c r="F220" s="14" t="s">
        <v>192</v>
      </c>
      <c r="G220" s="14">
        <v>112</v>
      </c>
      <c r="H220" s="14">
        <v>1</v>
      </c>
      <c r="I220" s="14">
        <v>14</v>
      </c>
      <c r="J220" s="14">
        <v>4</v>
      </c>
      <c r="K220" s="14">
        <v>131</v>
      </c>
      <c r="L220" s="16">
        <v>0.85499999999999998</v>
      </c>
      <c r="M220" s="16">
        <v>8.0000000000000002E-3</v>
      </c>
      <c r="N220" s="16">
        <v>0.107</v>
      </c>
      <c r="O220" s="16">
        <v>3.1E-2</v>
      </c>
      <c r="P220" s="16">
        <v>2.3E-2</v>
      </c>
      <c r="Q220" s="16">
        <v>0</v>
      </c>
      <c r="R220" s="2"/>
      <c r="S220" s="14">
        <v>2</v>
      </c>
      <c r="T220" s="14">
        <v>2</v>
      </c>
      <c r="U220" s="14">
        <v>0</v>
      </c>
      <c r="V220" s="2"/>
      <c r="W220" s="14">
        <v>1939.1</v>
      </c>
      <c r="X220" s="14">
        <v>1930</v>
      </c>
      <c r="Y220" s="15">
        <v>49736.3</v>
      </c>
      <c r="Z220" s="15">
        <v>44200</v>
      </c>
      <c r="AA220" s="15">
        <v>48069.4</v>
      </c>
      <c r="AB220" s="15">
        <v>44400</v>
      </c>
      <c r="AC220" s="16">
        <v>8.3000000000000004E-2</v>
      </c>
      <c r="AD220" s="16">
        <v>5.8000000000000003E-2</v>
      </c>
      <c r="AE220" s="15">
        <v>3214</v>
      </c>
      <c r="AF220" s="15">
        <v>2556</v>
      </c>
      <c r="AG220" s="2"/>
      <c r="AH220" s="14">
        <f t="shared" si="32"/>
        <v>117</v>
      </c>
      <c r="AI220" s="14">
        <f t="shared" si="33"/>
        <v>134</v>
      </c>
      <c r="AJ220" s="14">
        <f t="shared" si="34"/>
        <v>56</v>
      </c>
      <c r="AK220" s="14">
        <f t="shared" si="35"/>
        <v>48</v>
      </c>
      <c r="AL220" s="14">
        <f t="shared" si="36"/>
        <v>96</v>
      </c>
      <c r="AM220" s="14">
        <f t="shared" si="37"/>
        <v>79</v>
      </c>
      <c r="AN220" s="14">
        <f t="shared" si="38"/>
        <v>162</v>
      </c>
      <c r="AO220" s="14">
        <f t="shared" si="39"/>
        <v>153</v>
      </c>
    </row>
    <row r="221" spans="1:41" ht="12" hidden="1" x14ac:dyDescent="0.25">
      <c r="A221" s="14">
        <v>540151</v>
      </c>
      <c r="B221" s="17" t="s">
        <v>191</v>
      </c>
      <c r="C221" s="17" t="s">
        <v>188</v>
      </c>
      <c r="D221" s="17" t="s">
        <v>2</v>
      </c>
      <c r="E221" s="14">
        <v>10</v>
      </c>
      <c r="F221" s="14" t="s">
        <v>190</v>
      </c>
      <c r="G221" s="14">
        <v>79</v>
      </c>
      <c r="H221" s="14">
        <v>0</v>
      </c>
      <c r="I221" s="14">
        <v>7</v>
      </c>
      <c r="J221" s="14">
        <v>3</v>
      </c>
      <c r="K221" s="14">
        <v>89</v>
      </c>
      <c r="L221" s="16">
        <v>0.88800000000000001</v>
      </c>
      <c r="M221" s="16">
        <v>0</v>
      </c>
      <c r="N221" s="16">
        <v>7.9000000000000001E-2</v>
      </c>
      <c r="O221" s="16">
        <v>3.4000000000000002E-2</v>
      </c>
      <c r="P221" s="16">
        <v>3.4000000000000002E-2</v>
      </c>
      <c r="Q221" s="16">
        <v>0</v>
      </c>
      <c r="R221" s="2"/>
      <c r="S221" s="14">
        <v>0</v>
      </c>
      <c r="T221" s="14">
        <v>0</v>
      </c>
      <c r="U221" s="14">
        <v>0</v>
      </c>
      <c r="V221" s="2"/>
      <c r="W221" s="14">
        <v>1934.3</v>
      </c>
      <c r="X221" s="14">
        <v>1930</v>
      </c>
      <c r="Y221" s="15">
        <v>50734.7</v>
      </c>
      <c r="Z221" s="15">
        <v>44800</v>
      </c>
      <c r="AA221" s="15">
        <v>43004.9</v>
      </c>
      <c r="AB221" s="15">
        <v>44200</v>
      </c>
      <c r="AC221" s="16">
        <v>6.0999999999999999E-2</v>
      </c>
      <c r="AD221" s="16">
        <v>0.04</v>
      </c>
      <c r="AE221" s="15">
        <v>2604.4</v>
      </c>
      <c r="AF221" s="15">
        <v>2112.9</v>
      </c>
      <c r="AG221" s="2"/>
      <c r="AH221" s="14">
        <f t="shared" si="32"/>
        <v>142</v>
      </c>
      <c r="AI221" s="14">
        <f t="shared" si="33"/>
        <v>172</v>
      </c>
      <c r="AJ221" s="14">
        <f t="shared" si="34"/>
        <v>108</v>
      </c>
      <c r="AK221" s="14">
        <f t="shared" si="35"/>
        <v>48</v>
      </c>
      <c r="AL221" s="14">
        <f t="shared" si="36"/>
        <v>93</v>
      </c>
      <c r="AM221" s="14">
        <f t="shared" si="37"/>
        <v>80</v>
      </c>
      <c r="AN221" s="14">
        <f t="shared" si="38"/>
        <v>175</v>
      </c>
      <c r="AO221" s="14">
        <f t="shared" si="39"/>
        <v>161</v>
      </c>
    </row>
    <row r="222" spans="1:41" ht="12" hidden="1" x14ac:dyDescent="0.25">
      <c r="A222" s="25">
        <v>540152</v>
      </c>
      <c r="B222" s="26" t="s">
        <v>4</v>
      </c>
      <c r="C222" s="26" t="s">
        <v>188</v>
      </c>
      <c r="D222" s="26" t="s">
        <v>58</v>
      </c>
      <c r="E222" s="25">
        <v>10</v>
      </c>
      <c r="F222" s="25" t="s">
        <v>189</v>
      </c>
      <c r="G222" s="25">
        <v>2681</v>
      </c>
      <c r="H222" s="25">
        <v>10</v>
      </c>
      <c r="I222" s="25">
        <v>126</v>
      </c>
      <c r="J222" s="25">
        <v>15</v>
      </c>
      <c r="K222" s="25">
        <v>2832</v>
      </c>
      <c r="L222" s="24">
        <v>0.94699999999999995</v>
      </c>
      <c r="M222" s="24">
        <v>4.0000000000000001E-3</v>
      </c>
      <c r="N222" s="24">
        <v>4.3999999999999997E-2</v>
      </c>
      <c r="O222" s="24">
        <v>5.0000000000000001E-3</v>
      </c>
      <c r="P222" s="24">
        <v>3.0000000000000001E-3</v>
      </c>
      <c r="Q222" s="24">
        <v>1E-3</v>
      </c>
      <c r="R222" s="2"/>
      <c r="S222" s="25">
        <v>900</v>
      </c>
      <c r="T222" s="25">
        <v>46</v>
      </c>
      <c r="U222" s="25">
        <v>7</v>
      </c>
      <c r="V222" s="2"/>
      <c r="W222" s="25">
        <v>1922.6</v>
      </c>
      <c r="X222" s="25">
        <v>1920</v>
      </c>
      <c r="Y222" s="23">
        <v>129266.7</v>
      </c>
      <c r="Z222" s="23">
        <v>40600</v>
      </c>
      <c r="AA222" s="23">
        <v>52570.6</v>
      </c>
      <c r="AB222" s="23">
        <v>35900</v>
      </c>
      <c r="AC222" s="24">
        <v>0.22800000000000001</v>
      </c>
      <c r="AD222" s="24">
        <v>0.20399999999999999</v>
      </c>
      <c r="AE222" s="23">
        <v>14832.4</v>
      </c>
      <c r="AF222" s="23">
        <v>7710.1</v>
      </c>
      <c r="AG222" s="2"/>
      <c r="AH222" s="14" t="str">
        <f t="shared" si="32"/>
        <v/>
      </c>
      <c r="AI222" s="14" t="str">
        <f t="shared" si="33"/>
        <v/>
      </c>
      <c r="AJ222" s="14" t="str">
        <f t="shared" si="34"/>
        <v/>
      </c>
      <c r="AK222" s="14" t="str">
        <f t="shared" si="35"/>
        <v/>
      </c>
      <c r="AL222" s="14" t="str">
        <f t="shared" si="36"/>
        <v/>
      </c>
      <c r="AM222" s="14" t="str">
        <f t="shared" si="37"/>
        <v/>
      </c>
      <c r="AN222" s="14" t="str">
        <f t="shared" si="38"/>
        <v/>
      </c>
      <c r="AO222" s="14" t="str">
        <f t="shared" si="39"/>
        <v/>
      </c>
    </row>
    <row r="223" spans="1:41" hidden="1" x14ac:dyDescent="0.3">
      <c r="A223" s="129"/>
      <c r="B223" s="130"/>
      <c r="C223" s="130" t="s">
        <v>188</v>
      </c>
      <c r="D223" s="130" t="s">
        <v>26</v>
      </c>
      <c r="E223" s="129">
        <v>10</v>
      </c>
      <c r="F223" s="129"/>
      <c r="G223" s="129">
        <v>3122</v>
      </c>
      <c r="H223" s="129">
        <v>22</v>
      </c>
      <c r="I223" s="129">
        <v>243</v>
      </c>
      <c r="J223" s="129">
        <v>50</v>
      </c>
      <c r="K223" s="129">
        <v>3437</v>
      </c>
      <c r="L223" s="131">
        <v>0.90800000000000003</v>
      </c>
      <c r="M223" s="131">
        <v>6.0000000000000001E-3</v>
      </c>
      <c r="N223" s="131">
        <v>7.0999999999999994E-2</v>
      </c>
      <c r="O223" s="131">
        <v>1.4999999999999999E-2</v>
      </c>
      <c r="P223" s="131">
        <v>1.2E-2</v>
      </c>
      <c r="Q223" s="131">
        <v>1E-3</v>
      </c>
      <c r="S223" s="129">
        <v>910</v>
      </c>
      <c r="T223" s="129">
        <v>50</v>
      </c>
      <c r="U223" s="129">
        <v>7</v>
      </c>
      <c r="W223" s="129">
        <v>1926.9</v>
      </c>
      <c r="X223" s="129">
        <v>1920</v>
      </c>
      <c r="Y223" s="132">
        <v>114828.8</v>
      </c>
      <c r="Z223" s="132">
        <v>39900</v>
      </c>
      <c r="AA223" s="132">
        <v>48216.7</v>
      </c>
      <c r="AB223" s="132">
        <v>39700</v>
      </c>
      <c r="AC223" s="131">
        <v>0.222</v>
      </c>
      <c r="AD223" s="131">
        <v>0.20100000000000001</v>
      </c>
      <c r="AE223" s="132">
        <v>14329.3</v>
      </c>
      <c r="AF223" s="132">
        <v>7435</v>
      </c>
      <c r="AH223" s="129">
        <f t="shared" si="32"/>
        <v>53</v>
      </c>
      <c r="AI223" s="129">
        <f t="shared" si="33"/>
        <v>2</v>
      </c>
      <c r="AJ223" s="129">
        <f t="shared" si="34"/>
        <v>18</v>
      </c>
      <c r="AK223" s="129">
        <f t="shared" si="35"/>
        <v>1</v>
      </c>
      <c r="AL223" s="129">
        <f t="shared" si="36"/>
        <v>27</v>
      </c>
      <c r="AM223" s="129">
        <f t="shared" si="37"/>
        <v>37</v>
      </c>
      <c r="AN223" s="129">
        <f t="shared" si="38"/>
        <v>19</v>
      </c>
      <c r="AO223" s="129">
        <f t="shared" si="39"/>
        <v>19</v>
      </c>
    </row>
    <row r="224" spans="1:41" ht="12" hidden="1" x14ac:dyDescent="0.25">
      <c r="A224" s="19">
        <v>540153</v>
      </c>
      <c r="B224" s="22" t="s">
        <v>187</v>
      </c>
      <c r="C224" s="22" t="s">
        <v>185</v>
      </c>
      <c r="D224" s="22" t="s">
        <v>29</v>
      </c>
      <c r="E224" s="19">
        <v>8</v>
      </c>
      <c r="F224" s="19" t="s">
        <v>81</v>
      </c>
      <c r="G224" s="19">
        <v>450</v>
      </c>
      <c r="H224" s="19">
        <v>41</v>
      </c>
      <c r="I224" s="19">
        <v>142</v>
      </c>
      <c r="J224" s="19">
        <v>104</v>
      </c>
      <c r="K224" s="19">
        <v>737</v>
      </c>
      <c r="L224" s="21">
        <v>0.61099999999999999</v>
      </c>
      <c r="M224" s="21">
        <v>5.6000000000000001E-2</v>
      </c>
      <c r="N224" s="21">
        <v>0.193</v>
      </c>
      <c r="O224" s="21">
        <v>0.14099999999999999</v>
      </c>
      <c r="P224" s="21">
        <v>9.0999999999999998E-2</v>
      </c>
      <c r="Q224" s="21">
        <v>3.6999999999999998E-2</v>
      </c>
      <c r="R224" s="2"/>
      <c r="S224" s="19">
        <v>85</v>
      </c>
      <c r="T224" s="19">
        <v>7</v>
      </c>
      <c r="U224" s="19">
        <v>9</v>
      </c>
      <c r="V224" s="2"/>
      <c r="W224" s="19">
        <v>1957.4</v>
      </c>
      <c r="X224" s="19">
        <v>1970</v>
      </c>
      <c r="Y224" s="20">
        <v>89643.8</v>
      </c>
      <c r="Z224" s="20">
        <v>59400</v>
      </c>
      <c r="AA224" s="20">
        <v>66910.100000000006</v>
      </c>
      <c r="AB224" s="20">
        <v>57500</v>
      </c>
      <c r="AC224" s="21">
        <v>0.17899999999999999</v>
      </c>
      <c r="AD224" s="21">
        <v>0.12</v>
      </c>
      <c r="AE224" s="20">
        <v>10623</v>
      </c>
      <c r="AF224" s="20">
        <v>6558.3</v>
      </c>
      <c r="AG224" s="2"/>
      <c r="AH224" s="19">
        <f t="shared" si="32"/>
        <v>40</v>
      </c>
      <c r="AI224" s="19">
        <f t="shared" si="33"/>
        <v>35</v>
      </c>
      <c r="AJ224" s="19">
        <f t="shared" si="34"/>
        <v>42</v>
      </c>
      <c r="AK224" s="19">
        <f t="shared" si="35"/>
        <v>21</v>
      </c>
      <c r="AL224" s="19">
        <f t="shared" si="36"/>
        <v>4</v>
      </c>
      <c r="AM224" s="19">
        <f t="shared" si="37"/>
        <v>3</v>
      </c>
      <c r="AN224" s="19">
        <f t="shared" si="38"/>
        <v>45</v>
      </c>
      <c r="AO224" s="19">
        <f t="shared" si="39"/>
        <v>26</v>
      </c>
    </row>
    <row r="225" spans="1:41" ht="12" hidden="1" x14ac:dyDescent="0.25">
      <c r="A225" s="14">
        <v>540154</v>
      </c>
      <c r="B225" s="17" t="s">
        <v>186</v>
      </c>
      <c r="C225" s="17" t="s">
        <v>185</v>
      </c>
      <c r="D225" s="17" t="s">
        <v>2</v>
      </c>
      <c r="E225" s="14">
        <v>8</v>
      </c>
      <c r="F225" s="14" t="s">
        <v>143</v>
      </c>
      <c r="G225" s="14">
        <v>8</v>
      </c>
      <c r="H225" s="14">
        <v>0</v>
      </c>
      <c r="I225" s="14">
        <v>4</v>
      </c>
      <c r="J225" s="14">
        <v>2</v>
      </c>
      <c r="K225" s="14">
        <v>14</v>
      </c>
      <c r="L225" s="16">
        <v>0.57099999999999995</v>
      </c>
      <c r="M225" s="16">
        <v>0</v>
      </c>
      <c r="N225" s="16">
        <v>0.28599999999999998</v>
      </c>
      <c r="O225" s="16">
        <v>0.14299999999999999</v>
      </c>
      <c r="P225" s="16">
        <v>0</v>
      </c>
      <c r="Q225" s="16">
        <v>0.14299999999999999</v>
      </c>
      <c r="R225" s="2"/>
      <c r="S225" s="14">
        <v>0</v>
      </c>
      <c r="T225" s="14">
        <v>0</v>
      </c>
      <c r="U225" s="14">
        <v>0</v>
      </c>
      <c r="V225" s="2"/>
      <c r="W225" s="14">
        <v>1972.2</v>
      </c>
      <c r="X225" s="14">
        <v>1973.5</v>
      </c>
      <c r="Y225" s="15">
        <v>236507.1</v>
      </c>
      <c r="Z225" s="15">
        <v>169150</v>
      </c>
      <c r="AA225" s="15">
        <v>80750</v>
      </c>
      <c r="AB225" s="15">
        <v>80800</v>
      </c>
      <c r="AC225" s="16">
        <v>1.2999999999999999E-2</v>
      </c>
      <c r="AD225" s="16">
        <v>6.0000000000000001E-3</v>
      </c>
      <c r="AE225" s="15">
        <v>2281.9</v>
      </c>
      <c r="AF225" s="15">
        <v>776.2</v>
      </c>
      <c r="AG225" s="2"/>
      <c r="AH225" s="14">
        <f t="shared" si="32"/>
        <v>39</v>
      </c>
      <c r="AI225" s="14">
        <f t="shared" si="33"/>
        <v>172</v>
      </c>
      <c r="AJ225" s="14">
        <f t="shared" si="34"/>
        <v>108</v>
      </c>
      <c r="AK225" s="14">
        <f t="shared" si="35"/>
        <v>173</v>
      </c>
      <c r="AL225" s="14">
        <f t="shared" si="36"/>
        <v>6</v>
      </c>
      <c r="AM225" s="14">
        <f t="shared" si="37"/>
        <v>13</v>
      </c>
      <c r="AN225" s="14">
        <f t="shared" si="38"/>
        <v>196</v>
      </c>
      <c r="AO225" s="14">
        <f t="shared" si="39"/>
        <v>192</v>
      </c>
    </row>
    <row r="226" spans="1:41" hidden="1" x14ac:dyDescent="0.3">
      <c r="A226" s="129"/>
      <c r="B226" s="130"/>
      <c r="C226" s="130" t="s">
        <v>185</v>
      </c>
      <c r="D226" s="130" t="s">
        <v>26</v>
      </c>
      <c r="E226" s="129">
        <v>8</v>
      </c>
      <c r="F226" s="129"/>
      <c r="G226" s="129">
        <v>458</v>
      </c>
      <c r="H226" s="129">
        <v>41</v>
      </c>
      <c r="I226" s="129">
        <v>146</v>
      </c>
      <c r="J226" s="129">
        <v>106</v>
      </c>
      <c r="K226" s="129">
        <v>751</v>
      </c>
      <c r="L226" s="131">
        <v>0.61</v>
      </c>
      <c r="M226" s="131">
        <v>5.5E-2</v>
      </c>
      <c r="N226" s="131">
        <v>0.19400000000000001</v>
      </c>
      <c r="O226" s="131">
        <v>0.14099999999999999</v>
      </c>
      <c r="P226" s="131">
        <v>8.8999999999999996E-2</v>
      </c>
      <c r="Q226" s="131">
        <v>3.9E-2</v>
      </c>
      <c r="S226" s="129">
        <v>85</v>
      </c>
      <c r="T226" s="129">
        <v>7</v>
      </c>
      <c r="U226" s="129">
        <v>9</v>
      </c>
      <c r="W226" s="129">
        <v>1957.7</v>
      </c>
      <c r="X226" s="129">
        <v>1970</v>
      </c>
      <c r="Y226" s="132">
        <v>92381.6</v>
      </c>
      <c r="Z226" s="132">
        <v>59800</v>
      </c>
      <c r="AA226" s="132">
        <v>83379.399999999994</v>
      </c>
      <c r="AB226" s="132">
        <v>75100</v>
      </c>
      <c r="AC226" s="131">
        <v>0.17599999999999999</v>
      </c>
      <c r="AD226" s="131">
        <v>0.12</v>
      </c>
      <c r="AE226" s="132">
        <v>10482.200000000001</v>
      </c>
      <c r="AF226" s="132">
        <v>6519.1</v>
      </c>
      <c r="AH226" s="129">
        <f t="shared" si="32"/>
        <v>32</v>
      </c>
      <c r="AI226" s="129">
        <f t="shared" si="33"/>
        <v>44</v>
      </c>
      <c r="AJ226" s="129">
        <f t="shared" si="34"/>
        <v>49</v>
      </c>
      <c r="AK226" s="129">
        <f t="shared" si="35"/>
        <v>32</v>
      </c>
      <c r="AL226" s="129">
        <f t="shared" si="36"/>
        <v>5</v>
      </c>
      <c r="AM226" s="129">
        <f t="shared" si="37"/>
        <v>5</v>
      </c>
      <c r="AN226" s="129">
        <f t="shared" si="38"/>
        <v>45</v>
      </c>
      <c r="AO226" s="129">
        <f t="shared" si="39"/>
        <v>22</v>
      </c>
    </row>
    <row r="227" spans="1:41" ht="12" hidden="1" x14ac:dyDescent="0.25">
      <c r="A227" s="19">
        <v>540225</v>
      </c>
      <c r="B227" s="22" t="s">
        <v>184</v>
      </c>
      <c r="C227" s="22" t="s">
        <v>180</v>
      </c>
      <c r="D227" s="22" t="s">
        <v>29</v>
      </c>
      <c r="E227" s="19">
        <v>5</v>
      </c>
      <c r="F227" s="19" t="s">
        <v>181</v>
      </c>
      <c r="G227" s="19">
        <v>144</v>
      </c>
      <c r="H227" s="19">
        <v>25</v>
      </c>
      <c r="I227" s="19">
        <v>87</v>
      </c>
      <c r="J227" s="19">
        <v>20</v>
      </c>
      <c r="K227" s="19">
        <v>276</v>
      </c>
      <c r="L227" s="21">
        <v>0.52200000000000002</v>
      </c>
      <c r="M227" s="21">
        <v>9.0999999999999998E-2</v>
      </c>
      <c r="N227" s="21">
        <v>0.315</v>
      </c>
      <c r="O227" s="21">
        <v>7.1999999999999995E-2</v>
      </c>
      <c r="P227" s="21">
        <v>3.3000000000000002E-2</v>
      </c>
      <c r="Q227" s="21">
        <v>4.0000000000000001E-3</v>
      </c>
      <c r="R227" s="2"/>
      <c r="S227" s="19">
        <v>105</v>
      </c>
      <c r="T227" s="19">
        <v>36</v>
      </c>
      <c r="U227" s="19">
        <v>46</v>
      </c>
      <c r="V227" s="2"/>
      <c r="W227" s="19">
        <v>1974</v>
      </c>
      <c r="X227" s="19">
        <v>1988.5</v>
      </c>
      <c r="Y227" s="20">
        <v>83125.5</v>
      </c>
      <c r="Z227" s="20">
        <v>32075</v>
      </c>
      <c r="AA227" s="20">
        <v>54716.9</v>
      </c>
      <c r="AB227" s="20">
        <v>26195</v>
      </c>
      <c r="AC227" s="21">
        <v>0.442</v>
      </c>
      <c r="AD227" s="21">
        <v>0.42599999999999999</v>
      </c>
      <c r="AE227" s="20">
        <v>19609.400000000001</v>
      </c>
      <c r="AF227" s="20">
        <v>10407.4</v>
      </c>
      <c r="AG227" s="2"/>
      <c r="AH227" s="19">
        <f t="shared" si="32"/>
        <v>11</v>
      </c>
      <c r="AI227" s="19">
        <f t="shared" si="33"/>
        <v>32</v>
      </c>
      <c r="AJ227" s="19">
        <f t="shared" si="34"/>
        <v>17</v>
      </c>
      <c r="AK227" s="19">
        <f t="shared" si="35"/>
        <v>54</v>
      </c>
      <c r="AL227" s="19">
        <f t="shared" si="36"/>
        <v>36</v>
      </c>
      <c r="AM227" s="19">
        <f t="shared" si="37"/>
        <v>45</v>
      </c>
      <c r="AN227" s="19">
        <f t="shared" si="38"/>
        <v>4</v>
      </c>
      <c r="AO227" s="19">
        <f t="shared" si="39"/>
        <v>10</v>
      </c>
    </row>
    <row r="228" spans="1:41" ht="12" hidden="1" x14ac:dyDescent="0.25">
      <c r="A228" s="14">
        <v>540156</v>
      </c>
      <c r="B228" s="17" t="s">
        <v>183</v>
      </c>
      <c r="C228" s="17" t="s">
        <v>180</v>
      </c>
      <c r="D228" s="17" t="s">
        <v>2</v>
      </c>
      <c r="E228" s="14">
        <v>5</v>
      </c>
      <c r="F228" s="14" t="s">
        <v>181</v>
      </c>
      <c r="G228" s="14">
        <v>124</v>
      </c>
      <c r="H228" s="14">
        <v>2</v>
      </c>
      <c r="I228" s="14">
        <v>16</v>
      </c>
      <c r="J228" s="14">
        <v>9</v>
      </c>
      <c r="K228" s="14">
        <v>151</v>
      </c>
      <c r="L228" s="16">
        <v>0.82099999999999995</v>
      </c>
      <c r="M228" s="16">
        <v>1.2999999999999999E-2</v>
      </c>
      <c r="N228" s="16">
        <v>0.106</v>
      </c>
      <c r="O228" s="16">
        <v>0.06</v>
      </c>
      <c r="P228" s="16">
        <v>0</v>
      </c>
      <c r="Q228" s="16">
        <v>5.2999999999999999E-2</v>
      </c>
      <c r="R228" s="2"/>
      <c r="S228" s="14">
        <v>42</v>
      </c>
      <c r="T228" s="14">
        <v>5</v>
      </c>
      <c r="U228" s="14">
        <v>10</v>
      </c>
      <c r="V228" s="2"/>
      <c r="W228" s="14">
        <v>1939.6</v>
      </c>
      <c r="X228" s="14">
        <v>1945</v>
      </c>
      <c r="Y228" s="15">
        <v>101501.9</v>
      </c>
      <c r="Z228" s="15">
        <v>70200</v>
      </c>
      <c r="AA228" s="15">
        <v>59575.7</v>
      </c>
      <c r="AB228" s="15">
        <v>56300</v>
      </c>
      <c r="AC228" s="16">
        <v>0.214</v>
      </c>
      <c r="AD228" s="16">
        <v>0.113</v>
      </c>
      <c r="AE228" s="15">
        <v>10777.5</v>
      </c>
      <c r="AF228" s="15">
        <v>7972.4</v>
      </c>
      <c r="AG228" s="2"/>
      <c r="AH228" s="14">
        <f t="shared" si="32"/>
        <v>118</v>
      </c>
      <c r="AI228" s="14">
        <f t="shared" si="33"/>
        <v>34</v>
      </c>
      <c r="AJ228" s="14">
        <f t="shared" si="34"/>
        <v>31</v>
      </c>
      <c r="AK228" s="14">
        <f t="shared" si="35"/>
        <v>98</v>
      </c>
      <c r="AL228" s="14">
        <f t="shared" si="36"/>
        <v>31</v>
      </c>
      <c r="AM228" s="14">
        <f t="shared" si="37"/>
        <v>46</v>
      </c>
      <c r="AN228" s="14">
        <f t="shared" si="38"/>
        <v>101</v>
      </c>
      <c r="AO228" s="14">
        <f t="shared" si="39"/>
        <v>52</v>
      </c>
    </row>
    <row r="229" spans="1:41" ht="12" hidden="1" x14ac:dyDescent="0.25">
      <c r="A229" s="14">
        <v>540253</v>
      </c>
      <c r="B229" s="17" t="s">
        <v>182</v>
      </c>
      <c r="C229" s="17" t="s">
        <v>180</v>
      </c>
      <c r="D229" s="17" t="s">
        <v>2</v>
      </c>
      <c r="E229" s="14">
        <v>5</v>
      </c>
      <c r="F229" s="14" t="s">
        <v>181</v>
      </c>
      <c r="G229" s="14">
        <v>12</v>
      </c>
      <c r="H229" s="14">
        <v>1</v>
      </c>
      <c r="I229" s="14">
        <v>2</v>
      </c>
      <c r="J229" s="14">
        <v>1</v>
      </c>
      <c r="K229" s="14">
        <v>16</v>
      </c>
      <c r="L229" s="16">
        <v>0.75</v>
      </c>
      <c r="M229" s="16">
        <v>6.3E-2</v>
      </c>
      <c r="N229" s="16">
        <v>0.125</v>
      </c>
      <c r="O229" s="16">
        <v>6.3E-2</v>
      </c>
      <c r="P229" s="16">
        <v>0</v>
      </c>
      <c r="Q229" s="16">
        <v>6.3E-2</v>
      </c>
      <c r="R229" s="2"/>
      <c r="S229" s="14">
        <v>5</v>
      </c>
      <c r="T229" s="14">
        <v>0</v>
      </c>
      <c r="U229" s="14">
        <v>0</v>
      </c>
      <c r="V229" s="2"/>
      <c r="W229" s="14">
        <v>1974.5</v>
      </c>
      <c r="X229" s="14">
        <v>1970</v>
      </c>
      <c r="Y229" s="15">
        <v>131151.29999999999</v>
      </c>
      <c r="Z229" s="15">
        <v>67350</v>
      </c>
      <c r="AA229" s="15">
        <v>96577.8</v>
      </c>
      <c r="AB229" s="15">
        <v>68600</v>
      </c>
      <c r="AC229" s="16">
        <v>0.128</v>
      </c>
      <c r="AD229" s="16">
        <v>0.10199999999999999</v>
      </c>
      <c r="AE229" s="15">
        <v>10783.1</v>
      </c>
      <c r="AF229" s="15">
        <v>8219.7999999999993</v>
      </c>
      <c r="AG229" s="2"/>
      <c r="AH229" s="14">
        <f t="shared" si="32"/>
        <v>104</v>
      </c>
      <c r="AI229" s="14">
        <f t="shared" si="33"/>
        <v>110</v>
      </c>
      <c r="AJ229" s="14">
        <f t="shared" si="34"/>
        <v>108</v>
      </c>
      <c r="AK229" s="14">
        <f t="shared" si="35"/>
        <v>164</v>
      </c>
      <c r="AL229" s="14">
        <f t="shared" si="36"/>
        <v>38</v>
      </c>
      <c r="AM229" s="14">
        <f t="shared" si="37"/>
        <v>20</v>
      </c>
      <c r="AN229" s="14">
        <f t="shared" si="38"/>
        <v>120</v>
      </c>
      <c r="AO229" s="14">
        <f t="shared" si="39"/>
        <v>50</v>
      </c>
    </row>
    <row r="230" spans="1:41" hidden="1" x14ac:dyDescent="0.3">
      <c r="A230" s="129"/>
      <c r="B230" s="130"/>
      <c r="C230" s="130" t="s">
        <v>180</v>
      </c>
      <c r="D230" s="130" t="s">
        <v>26</v>
      </c>
      <c r="E230" s="129">
        <v>5</v>
      </c>
      <c r="F230" s="129"/>
      <c r="G230" s="129">
        <v>280</v>
      </c>
      <c r="H230" s="129">
        <v>28</v>
      </c>
      <c r="I230" s="129">
        <v>105</v>
      </c>
      <c r="J230" s="129">
        <v>30</v>
      </c>
      <c r="K230" s="129">
        <v>443</v>
      </c>
      <c r="L230" s="131">
        <v>0.63200000000000001</v>
      </c>
      <c r="M230" s="131">
        <v>6.3E-2</v>
      </c>
      <c r="N230" s="131">
        <v>0.23699999999999999</v>
      </c>
      <c r="O230" s="131">
        <v>6.8000000000000005E-2</v>
      </c>
      <c r="P230" s="131">
        <v>0.02</v>
      </c>
      <c r="Q230" s="131">
        <v>2.3E-2</v>
      </c>
      <c r="S230" s="129">
        <v>152</v>
      </c>
      <c r="T230" s="129">
        <v>41</v>
      </c>
      <c r="U230" s="129">
        <v>56</v>
      </c>
      <c r="W230" s="129">
        <v>1961.1</v>
      </c>
      <c r="X230" s="129">
        <v>1971</v>
      </c>
      <c r="Y230" s="132">
        <v>91123.8</v>
      </c>
      <c r="Z230" s="132">
        <v>45300</v>
      </c>
      <c r="AA230" s="132">
        <v>72882</v>
      </c>
      <c r="AB230" s="132">
        <v>54000</v>
      </c>
      <c r="AC230" s="131">
        <v>0.34499999999999997</v>
      </c>
      <c r="AD230" s="131">
        <v>0.21099999999999999</v>
      </c>
      <c r="AE230" s="132">
        <v>15998.1</v>
      </c>
      <c r="AF230" s="132">
        <v>10024.5</v>
      </c>
      <c r="AH230" s="129">
        <f t="shared" si="32"/>
        <v>22</v>
      </c>
      <c r="AI230" s="129">
        <f t="shared" si="33"/>
        <v>35</v>
      </c>
      <c r="AJ230" s="129">
        <f t="shared" si="34"/>
        <v>26</v>
      </c>
      <c r="AK230" s="129">
        <f t="shared" si="35"/>
        <v>39</v>
      </c>
      <c r="AL230" s="129">
        <f t="shared" si="36"/>
        <v>20</v>
      </c>
      <c r="AM230" s="129">
        <f t="shared" si="37"/>
        <v>16</v>
      </c>
      <c r="AN230" s="129">
        <f t="shared" si="38"/>
        <v>16</v>
      </c>
      <c r="AO230" s="129">
        <f t="shared" si="39"/>
        <v>9</v>
      </c>
    </row>
    <row r="231" spans="1:41" ht="12" hidden="1" x14ac:dyDescent="0.25">
      <c r="A231" s="19">
        <v>540283</v>
      </c>
      <c r="B231" s="22" t="s">
        <v>179</v>
      </c>
      <c r="C231" s="22" t="s">
        <v>175</v>
      </c>
      <c r="D231" s="22" t="s">
        <v>29</v>
      </c>
      <c r="E231" s="19">
        <v>4</v>
      </c>
      <c r="F231" s="19" t="s">
        <v>176</v>
      </c>
      <c r="G231" s="19">
        <v>342</v>
      </c>
      <c r="H231" s="19">
        <v>26</v>
      </c>
      <c r="I231" s="19">
        <v>144</v>
      </c>
      <c r="J231" s="19">
        <v>28</v>
      </c>
      <c r="K231" s="19">
        <v>540</v>
      </c>
      <c r="L231" s="21">
        <v>0.63300000000000001</v>
      </c>
      <c r="M231" s="21">
        <v>4.8000000000000001E-2</v>
      </c>
      <c r="N231" s="21">
        <v>0.26700000000000002</v>
      </c>
      <c r="O231" s="21">
        <v>5.1999999999999998E-2</v>
      </c>
      <c r="P231" s="21">
        <v>2.8000000000000001E-2</v>
      </c>
      <c r="Q231" s="21">
        <v>7.0000000000000001E-3</v>
      </c>
      <c r="R231" s="2"/>
      <c r="S231" s="19">
        <v>76</v>
      </c>
      <c r="T231" s="19">
        <v>29</v>
      </c>
      <c r="U231" s="19">
        <v>5</v>
      </c>
      <c r="V231" s="2"/>
      <c r="W231" s="19">
        <v>1967.5</v>
      </c>
      <c r="X231" s="19">
        <v>1975</v>
      </c>
      <c r="Y231" s="20">
        <v>50662.3</v>
      </c>
      <c r="Z231" s="20">
        <v>34950</v>
      </c>
      <c r="AA231" s="20">
        <v>46003.9</v>
      </c>
      <c r="AB231" s="20">
        <v>32800</v>
      </c>
      <c r="AC231" s="21">
        <v>0.23300000000000001</v>
      </c>
      <c r="AD231" s="21">
        <v>0.17299999999999999</v>
      </c>
      <c r="AE231" s="20">
        <v>10421.200000000001</v>
      </c>
      <c r="AF231" s="20">
        <v>5630.8</v>
      </c>
      <c r="AG231" s="2"/>
      <c r="AH231" s="19">
        <f t="shared" si="32"/>
        <v>21</v>
      </c>
      <c r="AI231" s="19">
        <f t="shared" si="33"/>
        <v>38</v>
      </c>
      <c r="AJ231" s="19">
        <f t="shared" si="34"/>
        <v>23</v>
      </c>
      <c r="AK231" s="19">
        <f t="shared" si="35"/>
        <v>32</v>
      </c>
      <c r="AL231" s="19">
        <f t="shared" si="36"/>
        <v>29</v>
      </c>
      <c r="AM231" s="19">
        <f t="shared" si="37"/>
        <v>30</v>
      </c>
      <c r="AN231" s="19">
        <f t="shared" si="38"/>
        <v>28</v>
      </c>
      <c r="AO231" s="19">
        <f t="shared" si="39"/>
        <v>33</v>
      </c>
    </row>
    <row r="232" spans="1:41" ht="12" hidden="1" x14ac:dyDescent="0.25">
      <c r="A232" s="14">
        <v>540158</v>
      </c>
      <c r="B232" s="17" t="s">
        <v>178</v>
      </c>
      <c r="C232" s="17" t="s">
        <v>175</v>
      </c>
      <c r="D232" s="17" t="s">
        <v>2</v>
      </c>
      <c r="E232" s="14">
        <v>4</v>
      </c>
      <c r="F232" s="14" t="s">
        <v>62</v>
      </c>
      <c r="G232" s="14">
        <v>18</v>
      </c>
      <c r="H232" s="14">
        <v>4</v>
      </c>
      <c r="I232" s="14">
        <v>3</v>
      </c>
      <c r="J232" s="14">
        <v>2</v>
      </c>
      <c r="K232" s="14">
        <v>27</v>
      </c>
      <c r="L232" s="16">
        <v>0.66700000000000004</v>
      </c>
      <c r="M232" s="16">
        <v>0.14799999999999999</v>
      </c>
      <c r="N232" s="16">
        <v>0.111</v>
      </c>
      <c r="O232" s="16">
        <v>7.3999999999999996E-2</v>
      </c>
      <c r="P232" s="16">
        <v>0</v>
      </c>
      <c r="Q232" s="16">
        <v>7.3999999999999996E-2</v>
      </c>
      <c r="R232" s="2"/>
      <c r="S232" s="14">
        <v>0</v>
      </c>
      <c r="T232" s="14">
        <v>0</v>
      </c>
      <c r="U232" s="14">
        <v>0</v>
      </c>
      <c r="V232" s="2"/>
      <c r="W232" s="14">
        <v>1942.2</v>
      </c>
      <c r="X232" s="14">
        <v>1940</v>
      </c>
      <c r="Y232" s="15">
        <v>33014.400000000001</v>
      </c>
      <c r="Z232" s="15">
        <v>25000</v>
      </c>
      <c r="AA232" s="15">
        <v>28063.5</v>
      </c>
      <c r="AB232" s="15">
        <v>25000</v>
      </c>
      <c r="AC232" s="16">
        <v>9.5000000000000001E-2</v>
      </c>
      <c r="AD232" s="16">
        <v>7.6999999999999999E-2</v>
      </c>
      <c r="AE232" s="15">
        <v>2314.4</v>
      </c>
      <c r="AF232" s="15">
        <v>1884.1</v>
      </c>
      <c r="AG232" s="2"/>
      <c r="AH232" s="14">
        <f t="shared" si="32"/>
        <v>113</v>
      </c>
      <c r="AI232" s="14">
        <f t="shared" si="33"/>
        <v>172</v>
      </c>
      <c r="AJ232" s="14">
        <f t="shared" si="34"/>
        <v>108</v>
      </c>
      <c r="AK232" s="14">
        <f t="shared" si="35"/>
        <v>72</v>
      </c>
      <c r="AL232" s="14">
        <f t="shared" si="36"/>
        <v>172</v>
      </c>
      <c r="AM232" s="14">
        <f t="shared" si="37"/>
        <v>166</v>
      </c>
      <c r="AN232" s="14">
        <f t="shared" si="38"/>
        <v>137</v>
      </c>
      <c r="AO232" s="14">
        <f t="shared" si="39"/>
        <v>171</v>
      </c>
    </row>
    <row r="233" spans="1:41" ht="12" hidden="1" x14ac:dyDescent="0.25">
      <c r="A233" s="14">
        <v>540159</v>
      </c>
      <c r="B233" s="17" t="s">
        <v>177</v>
      </c>
      <c r="C233" s="17" t="s">
        <v>175</v>
      </c>
      <c r="D233" s="17" t="s">
        <v>2</v>
      </c>
      <c r="E233" s="14">
        <v>4</v>
      </c>
      <c r="F233" s="14" t="s">
        <v>176</v>
      </c>
      <c r="G233" s="14">
        <v>333</v>
      </c>
      <c r="H233" s="14">
        <v>2</v>
      </c>
      <c r="I233" s="14">
        <v>40</v>
      </c>
      <c r="J233" s="14">
        <v>6</v>
      </c>
      <c r="K233" s="14">
        <v>381</v>
      </c>
      <c r="L233" s="16">
        <v>0.874</v>
      </c>
      <c r="M233" s="16">
        <v>5.0000000000000001E-3</v>
      </c>
      <c r="N233" s="16">
        <v>0.105</v>
      </c>
      <c r="O233" s="16">
        <v>1.6E-2</v>
      </c>
      <c r="P233" s="16">
        <v>5.0000000000000001E-3</v>
      </c>
      <c r="Q233" s="16">
        <v>3.0000000000000001E-3</v>
      </c>
      <c r="R233" s="2"/>
      <c r="S233" s="14">
        <v>91</v>
      </c>
      <c r="T233" s="14">
        <v>20</v>
      </c>
      <c r="U233" s="14">
        <v>1</v>
      </c>
      <c r="V233" s="2"/>
      <c r="W233" s="14">
        <v>1942.7</v>
      </c>
      <c r="X233" s="14">
        <v>1940</v>
      </c>
      <c r="Y233" s="15">
        <v>90628.6</v>
      </c>
      <c r="Z233" s="15">
        <v>30300</v>
      </c>
      <c r="AA233" s="15">
        <v>35025.1</v>
      </c>
      <c r="AB233" s="15">
        <v>26730</v>
      </c>
      <c r="AC233" s="16">
        <v>0.20499999999999999</v>
      </c>
      <c r="AD233" s="16">
        <v>0.152</v>
      </c>
      <c r="AE233" s="15">
        <v>10519.4</v>
      </c>
      <c r="AF233" s="15">
        <v>5459.2</v>
      </c>
      <c r="AG233" s="2"/>
      <c r="AH233" s="14">
        <f t="shared" ref="AH233:AH264" si="40">IF($D233 = "SPLIT", "",COUNTIFS($D$7:$D$346,$D233,N$7:N$346,"&gt;"&amp;N233)+1)</f>
        <v>120</v>
      </c>
      <c r="AI233" s="14">
        <f t="shared" ref="AI233:AI264" si="41">IF($D233 = "SPLIT", "",COUNTIFS($D$7:$D$346,$D233,S$7:S$346,"&gt;"&amp;S233)+1)</f>
        <v>16</v>
      </c>
      <c r="AJ233" s="14">
        <f t="shared" ref="AJ233:AJ264" si="42">IF($D233 = "SPLIT", "",COUNTIFS($D$7:$D$346,$D233,T$7:T$346,"&gt;"&amp;T233)+1)</f>
        <v>9</v>
      </c>
      <c r="AK233" s="14">
        <f t="shared" ref="AK233:AK264" si="43">IF($D233 = "SPLIT", "",COUNTIFS($D$7:$D$346,$D233,X$7:X$346,"&lt;"&amp;X233)+1)</f>
        <v>72</v>
      </c>
      <c r="AL233" s="14">
        <f t="shared" ref="AL233:AL264" si="44">IF($D233 = "SPLIT", "",COUNTIFS($D$7:$D$346,$D233,Z$7:Z$346,"&gt;"&amp;Z233)+1)</f>
        <v>153</v>
      </c>
      <c r="AM233" s="14">
        <f t="shared" ref="AM233:AM264" si="45">IF($D233 = "SPLIT", "",COUNTIFS($D$7:$D$346,$D233,AB$7:AB$346,"&gt;"&amp;AB233)+1)</f>
        <v>156</v>
      </c>
      <c r="AN233" s="14">
        <f t="shared" ref="AN233:AN264" si="46">IF($D233 = "SPLIT", "",COUNTIFS($D$7:$D$346,$D233,AD$7:AD$346,"&gt;"&amp;AD233)+1)</f>
        <v>71</v>
      </c>
      <c r="AO233" s="14">
        <f t="shared" ref="AO233:AO264" si="47">IF($D233 = "SPLIT", "",COUNTIFS($D$7:$D$346,$D233,AF$7:AF$346,"&gt;"&amp;AF233)+1)</f>
        <v>83</v>
      </c>
    </row>
    <row r="234" spans="1:41" hidden="1" x14ac:dyDescent="0.3">
      <c r="A234" s="129"/>
      <c r="B234" s="130"/>
      <c r="C234" s="130" t="s">
        <v>175</v>
      </c>
      <c r="D234" s="130" t="s">
        <v>26</v>
      </c>
      <c r="E234" s="129">
        <v>4</v>
      </c>
      <c r="F234" s="129"/>
      <c r="G234" s="129">
        <v>693</v>
      </c>
      <c r="H234" s="129">
        <v>32</v>
      </c>
      <c r="I234" s="129">
        <v>187</v>
      </c>
      <c r="J234" s="129">
        <v>36</v>
      </c>
      <c r="K234" s="129">
        <v>948</v>
      </c>
      <c r="L234" s="131">
        <v>0.73099999999999998</v>
      </c>
      <c r="M234" s="131">
        <v>3.4000000000000002E-2</v>
      </c>
      <c r="N234" s="131">
        <v>0.19700000000000001</v>
      </c>
      <c r="O234" s="131">
        <v>3.7999999999999999E-2</v>
      </c>
      <c r="P234" s="131">
        <v>1.7999999999999999E-2</v>
      </c>
      <c r="Q234" s="131">
        <v>7.0000000000000001E-3</v>
      </c>
      <c r="S234" s="129">
        <v>167</v>
      </c>
      <c r="T234" s="129">
        <v>49</v>
      </c>
      <c r="U234" s="129">
        <v>6</v>
      </c>
      <c r="W234" s="129">
        <v>1956.6</v>
      </c>
      <c r="X234" s="129">
        <v>1960</v>
      </c>
      <c r="Y234" s="132">
        <v>66222.100000000006</v>
      </c>
      <c r="Z234" s="132">
        <v>32200</v>
      </c>
      <c r="AA234" s="132">
        <v>45188.2</v>
      </c>
      <c r="AB234" s="132">
        <v>34000</v>
      </c>
      <c r="AC234" s="131">
        <v>0.214</v>
      </c>
      <c r="AD234" s="131">
        <v>0.155</v>
      </c>
      <c r="AE234" s="132">
        <v>10330.799999999999</v>
      </c>
      <c r="AF234" s="132">
        <v>5426.4</v>
      </c>
      <c r="AH234" s="129">
        <f t="shared" si="40"/>
        <v>31</v>
      </c>
      <c r="AI234" s="129">
        <f t="shared" si="41"/>
        <v>31</v>
      </c>
      <c r="AJ234" s="129">
        <f t="shared" si="42"/>
        <v>19</v>
      </c>
      <c r="AK234" s="129">
        <f t="shared" si="43"/>
        <v>18</v>
      </c>
      <c r="AL234" s="129">
        <f t="shared" si="44"/>
        <v>38</v>
      </c>
      <c r="AM234" s="129">
        <f t="shared" si="45"/>
        <v>43</v>
      </c>
      <c r="AN234" s="129">
        <f t="shared" si="46"/>
        <v>29</v>
      </c>
      <c r="AO234" s="129">
        <f t="shared" si="47"/>
        <v>34</v>
      </c>
    </row>
    <row r="235" spans="1:41" ht="12" hidden="1" x14ac:dyDescent="0.25">
      <c r="A235" s="19">
        <v>540160</v>
      </c>
      <c r="B235" s="22" t="s">
        <v>174</v>
      </c>
      <c r="C235" s="22" t="s">
        <v>163</v>
      </c>
      <c r="D235" s="22" t="s">
        <v>29</v>
      </c>
      <c r="E235" s="19">
        <v>6</v>
      </c>
      <c r="F235" s="19" t="s">
        <v>173</v>
      </c>
      <c r="G235" s="19">
        <v>299</v>
      </c>
      <c r="H235" s="19">
        <v>22</v>
      </c>
      <c r="I235" s="19">
        <v>105</v>
      </c>
      <c r="J235" s="19">
        <v>57</v>
      </c>
      <c r="K235" s="19">
        <v>483</v>
      </c>
      <c r="L235" s="21">
        <v>0.61899999999999999</v>
      </c>
      <c r="M235" s="21">
        <v>4.5999999999999999E-2</v>
      </c>
      <c r="N235" s="21">
        <v>0.217</v>
      </c>
      <c r="O235" s="21">
        <v>0.11799999999999999</v>
      </c>
      <c r="P235" s="21">
        <v>6.8000000000000005E-2</v>
      </c>
      <c r="Q235" s="21">
        <v>3.9E-2</v>
      </c>
      <c r="R235" s="2"/>
      <c r="S235" s="19">
        <v>151</v>
      </c>
      <c r="T235" s="19">
        <v>27</v>
      </c>
      <c r="U235" s="19">
        <v>22</v>
      </c>
      <c r="V235" s="2"/>
      <c r="W235" s="19">
        <v>1965</v>
      </c>
      <c r="X235" s="19">
        <v>1976</v>
      </c>
      <c r="Y235" s="20">
        <v>702993.3</v>
      </c>
      <c r="Z235" s="20">
        <v>50000</v>
      </c>
      <c r="AA235" s="20">
        <v>59530.5</v>
      </c>
      <c r="AB235" s="20">
        <v>47150</v>
      </c>
      <c r="AC235" s="21">
        <v>0.249</v>
      </c>
      <c r="AD235" s="21">
        <v>0.16600000000000001</v>
      </c>
      <c r="AE235" s="20">
        <v>86533.6</v>
      </c>
      <c r="AF235" s="20">
        <v>8858.6</v>
      </c>
      <c r="AG235" s="2"/>
      <c r="AH235" s="19">
        <f t="shared" si="40"/>
        <v>34</v>
      </c>
      <c r="AI235" s="19">
        <f t="shared" si="41"/>
        <v>25</v>
      </c>
      <c r="AJ235" s="19">
        <f t="shared" si="42"/>
        <v>26</v>
      </c>
      <c r="AK235" s="19">
        <f t="shared" si="43"/>
        <v>37</v>
      </c>
      <c r="AL235" s="19">
        <f t="shared" si="44"/>
        <v>12</v>
      </c>
      <c r="AM235" s="19">
        <f t="shared" si="45"/>
        <v>12</v>
      </c>
      <c r="AN235" s="19">
        <f t="shared" si="46"/>
        <v>30</v>
      </c>
      <c r="AO235" s="19">
        <f t="shared" si="47"/>
        <v>15</v>
      </c>
    </row>
    <row r="236" spans="1:41" ht="12" hidden="1" x14ac:dyDescent="0.25">
      <c r="A236" s="14">
        <v>540161</v>
      </c>
      <c r="B236" s="17" t="s">
        <v>172</v>
      </c>
      <c r="C236" s="17" t="s">
        <v>163</v>
      </c>
      <c r="D236" s="17" t="s">
        <v>2</v>
      </c>
      <c r="E236" s="14">
        <v>6</v>
      </c>
      <c r="F236" s="14" t="s">
        <v>97</v>
      </c>
      <c r="G236" s="14">
        <v>23</v>
      </c>
      <c r="H236" s="14">
        <v>0</v>
      </c>
      <c r="I236" s="14">
        <v>15</v>
      </c>
      <c r="J236" s="14">
        <v>14</v>
      </c>
      <c r="K236" s="14">
        <v>52</v>
      </c>
      <c r="L236" s="16">
        <v>0.442</v>
      </c>
      <c r="M236" s="16">
        <v>0</v>
      </c>
      <c r="N236" s="16">
        <v>0.28799999999999998</v>
      </c>
      <c r="O236" s="16">
        <v>0.26900000000000002</v>
      </c>
      <c r="P236" s="16">
        <v>0.23100000000000001</v>
      </c>
      <c r="Q236" s="16">
        <v>3.7999999999999999E-2</v>
      </c>
      <c r="R236" s="2"/>
      <c r="S236" s="14">
        <v>24</v>
      </c>
      <c r="T236" s="14">
        <v>3</v>
      </c>
      <c r="U236" s="14">
        <v>4</v>
      </c>
      <c r="V236" s="2"/>
      <c r="W236" s="14">
        <v>1968.9</v>
      </c>
      <c r="X236" s="14">
        <v>1986</v>
      </c>
      <c r="Y236" s="15">
        <v>38103.300000000003</v>
      </c>
      <c r="Z236" s="15">
        <v>28240</v>
      </c>
      <c r="AA236" s="15">
        <v>27807.3</v>
      </c>
      <c r="AB236" s="15">
        <v>23920</v>
      </c>
      <c r="AC236" s="16">
        <v>0.34100000000000003</v>
      </c>
      <c r="AD236" s="16">
        <v>0.24199999999999999</v>
      </c>
      <c r="AE236" s="15">
        <v>9418.1</v>
      </c>
      <c r="AF236" s="15">
        <v>9488.7000000000007</v>
      </c>
      <c r="AG236" s="2"/>
      <c r="AH236" s="14">
        <f t="shared" si="40"/>
        <v>38</v>
      </c>
      <c r="AI236" s="14">
        <f t="shared" si="41"/>
        <v>57</v>
      </c>
      <c r="AJ236" s="14">
        <f t="shared" si="42"/>
        <v>42</v>
      </c>
      <c r="AK236" s="14">
        <f t="shared" si="43"/>
        <v>200</v>
      </c>
      <c r="AL236" s="14">
        <f t="shared" si="44"/>
        <v>163</v>
      </c>
      <c r="AM236" s="14">
        <f t="shared" si="45"/>
        <v>171</v>
      </c>
      <c r="AN236" s="14">
        <f t="shared" si="46"/>
        <v>36</v>
      </c>
      <c r="AO236" s="14">
        <f t="shared" si="47"/>
        <v>42</v>
      </c>
    </row>
    <row r="237" spans="1:41" ht="12" hidden="1" x14ac:dyDescent="0.25">
      <c r="A237" s="14">
        <v>540162</v>
      </c>
      <c r="B237" s="17" t="s">
        <v>171</v>
      </c>
      <c r="C237" s="17" t="s">
        <v>163</v>
      </c>
      <c r="D237" s="17" t="s">
        <v>2</v>
      </c>
      <c r="E237" s="14">
        <v>6</v>
      </c>
      <c r="F237" s="14" t="s">
        <v>97</v>
      </c>
      <c r="G237" s="14">
        <v>19</v>
      </c>
      <c r="H237" s="14">
        <v>0</v>
      </c>
      <c r="I237" s="14">
        <v>5</v>
      </c>
      <c r="J237" s="14">
        <v>5</v>
      </c>
      <c r="K237" s="14">
        <v>29</v>
      </c>
      <c r="L237" s="16">
        <v>0.65500000000000003</v>
      </c>
      <c r="M237" s="16">
        <v>0</v>
      </c>
      <c r="N237" s="16">
        <v>0.17199999999999999</v>
      </c>
      <c r="O237" s="16">
        <v>0.17199999999999999</v>
      </c>
      <c r="P237" s="16">
        <v>0.13800000000000001</v>
      </c>
      <c r="Q237" s="16">
        <v>0</v>
      </c>
      <c r="R237" s="2"/>
      <c r="S237" s="14">
        <v>9</v>
      </c>
      <c r="T237" s="14">
        <v>2</v>
      </c>
      <c r="U237" s="14">
        <v>0</v>
      </c>
      <c r="V237" s="2"/>
      <c r="W237" s="14">
        <v>1949</v>
      </c>
      <c r="X237" s="14">
        <v>1955</v>
      </c>
      <c r="Y237" s="15">
        <v>128282.8</v>
      </c>
      <c r="Z237" s="15">
        <v>87800</v>
      </c>
      <c r="AA237" s="15">
        <v>61335.7</v>
      </c>
      <c r="AB237" s="15">
        <v>57500</v>
      </c>
      <c r="AC237" s="16">
        <v>0.158</v>
      </c>
      <c r="AD237" s="16">
        <v>0.156</v>
      </c>
      <c r="AE237" s="15">
        <v>18019.7</v>
      </c>
      <c r="AF237" s="15">
        <v>9883.2000000000007</v>
      </c>
      <c r="AG237" s="2"/>
      <c r="AH237" s="14">
        <f t="shared" si="40"/>
        <v>75</v>
      </c>
      <c r="AI237" s="14">
        <f t="shared" si="41"/>
        <v>97</v>
      </c>
      <c r="AJ237" s="14">
        <f t="shared" si="42"/>
        <v>56</v>
      </c>
      <c r="AK237" s="14">
        <f t="shared" si="43"/>
        <v>135</v>
      </c>
      <c r="AL237" s="14">
        <f t="shared" si="44"/>
        <v>19</v>
      </c>
      <c r="AM237" s="14">
        <f t="shared" si="45"/>
        <v>42</v>
      </c>
      <c r="AN237" s="14">
        <f t="shared" si="46"/>
        <v>69</v>
      </c>
      <c r="AO237" s="14">
        <f t="shared" si="47"/>
        <v>39</v>
      </c>
    </row>
    <row r="238" spans="1:41" ht="12" hidden="1" x14ac:dyDescent="0.25">
      <c r="A238" s="14">
        <v>540163</v>
      </c>
      <c r="B238" s="17" t="s">
        <v>170</v>
      </c>
      <c r="C238" s="17" t="s">
        <v>163</v>
      </c>
      <c r="D238" s="17" t="s">
        <v>2</v>
      </c>
      <c r="E238" s="14">
        <v>6</v>
      </c>
      <c r="F238" s="14" t="s">
        <v>31</v>
      </c>
      <c r="G238" s="14">
        <v>57</v>
      </c>
      <c r="H238" s="14">
        <v>45</v>
      </c>
      <c r="I238" s="14">
        <v>23</v>
      </c>
      <c r="J238" s="14">
        <v>0</v>
      </c>
      <c r="K238" s="14">
        <v>125</v>
      </c>
      <c r="L238" s="16">
        <v>0.45600000000000002</v>
      </c>
      <c r="M238" s="16">
        <v>0.36</v>
      </c>
      <c r="N238" s="16">
        <v>0.184</v>
      </c>
      <c r="O238" s="16">
        <v>0</v>
      </c>
      <c r="P238" s="16">
        <v>0</v>
      </c>
      <c r="Q238" s="16">
        <v>0</v>
      </c>
      <c r="R238" s="2"/>
      <c r="S238" s="14">
        <v>70</v>
      </c>
      <c r="T238" s="14">
        <v>19</v>
      </c>
      <c r="U238" s="14">
        <v>34</v>
      </c>
      <c r="V238" s="2"/>
      <c r="W238" s="14">
        <v>1933</v>
      </c>
      <c r="X238" s="14">
        <v>1925</v>
      </c>
      <c r="Y238" s="15">
        <v>58610</v>
      </c>
      <c r="Z238" s="15">
        <v>42700</v>
      </c>
      <c r="AA238" s="15">
        <v>41518.800000000003</v>
      </c>
      <c r="AB238" s="15">
        <v>40050</v>
      </c>
      <c r="AC238" s="16">
        <v>0.377</v>
      </c>
      <c r="AD238" s="16">
        <v>0.313</v>
      </c>
      <c r="AE238" s="15">
        <v>19775.400000000001</v>
      </c>
      <c r="AF238" s="15">
        <v>13881</v>
      </c>
      <c r="AG238" s="2"/>
      <c r="AH238" s="14">
        <f t="shared" si="40"/>
        <v>70</v>
      </c>
      <c r="AI238" s="14">
        <f t="shared" si="41"/>
        <v>24</v>
      </c>
      <c r="AJ238" s="14">
        <f t="shared" si="42"/>
        <v>12</v>
      </c>
      <c r="AK238" s="14">
        <f t="shared" si="43"/>
        <v>40</v>
      </c>
      <c r="AL238" s="14">
        <f t="shared" si="44"/>
        <v>103</v>
      </c>
      <c r="AM238" s="14">
        <f t="shared" si="45"/>
        <v>100</v>
      </c>
      <c r="AN238" s="14">
        <f t="shared" si="46"/>
        <v>13</v>
      </c>
      <c r="AO238" s="14">
        <f t="shared" si="47"/>
        <v>19</v>
      </c>
    </row>
    <row r="239" spans="1:41" ht="12" hidden="1" x14ac:dyDescent="0.25">
      <c r="A239" s="14">
        <v>540254</v>
      </c>
      <c r="B239" s="17" t="s">
        <v>169</v>
      </c>
      <c r="C239" s="17" t="s">
        <v>163</v>
      </c>
      <c r="D239" s="17" t="s">
        <v>2</v>
      </c>
      <c r="E239" s="14">
        <v>6</v>
      </c>
      <c r="F239" s="14" t="s">
        <v>164</v>
      </c>
      <c r="G239" s="14">
        <v>1</v>
      </c>
      <c r="H239" s="14">
        <v>0</v>
      </c>
      <c r="I239" s="14">
        <v>0</v>
      </c>
      <c r="J239" s="14">
        <v>0</v>
      </c>
      <c r="K239" s="14">
        <v>1</v>
      </c>
      <c r="L239" s="16">
        <v>1</v>
      </c>
      <c r="M239" s="16">
        <v>0</v>
      </c>
      <c r="N239" s="16">
        <v>0</v>
      </c>
      <c r="O239" s="16">
        <v>0</v>
      </c>
      <c r="P239" s="16">
        <v>0</v>
      </c>
      <c r="Q239" s="16">
        <v>0</v>
      </c>
      <c r="R239" s="2"/>
      <c r="S239" s="14">
        <v>0</v>
      </c>
      <c r="T239" s="14">
        <v>0</v>
      </c>
      <c r="U239" s="14">
        <v>0</v>
      </c>
      <c r="V239" s="2"/>
      <c r="W239" s="14">
        <v>1940</v>
      </c>
      <c r="X239" s="14">
        <v>1940</v>
      </c>
      <c r="Y239" s="15">
        <v>30600</v>
      </c>
      <c r="Z239" s="15">
        <v>30600</v>
      </c>
      <c r="AA239" s="15">
        <v>30600</v>
      </c>
      <c r="AB239" s="15">
        <v>30600</v>
      </c>
      <c r="AC239" s="16">
        <v>0</v>
      </c>
      <c r="AD239" s="16">
        <v>0</v>
      </c>
      <c r="AE239" s="15">
        <v>0</v>
      </c>
      <c r="AF239" s="15">
        <v>0</v>
      </c>
      <c r="AG239" s="2"/>
      <c r="AH239" s="14">
        <f t="shared" si="40"/>
        <v>192</v>
      </c>
      <c r="AI239" s="14">
        <f t="shared" si="41"/>
        <v>172</v>
      </c>
      <c r="AJ239" s="14">
        <f t="shared" si="42"/>
        <v>108</v>
      </c>
      <c r="AK239" s="14">
        <f t="shared" si="43"/>
        <v>72</v>
      </c>
      <c r="AL239" s="14">
        <f t="shared" si="44"/>
        <v>152</v>
      </c>
      <c r="AM239" s="14">
        <f t="shared" si="45"/>
        <v>136</v>
      </c>
      <c r="AN239" s="14">
        <f t="shared" si="46"/>
        <v>198</v>
      </c>
      <c r="AO239" s="14">
        <f t="shared" si="47"/>
        <v>198</v>
      </c>
    </row>
    <row r="240" spans="1:41" ht="12" hidden="1" x14ac:dyDescent="0.25">
      <c r="A240" s="14">
        <v>540257</v>
      </c>
      <c r="B240" s="17" t="s">
        <v>168</v>
      </c>
      <c r="C240" s="17" t="s">
        <v>163</v>
      </c>
      <c r="D240" s="17" t="s">
        <v>2</v>
      </c>
      <c r="E240" s="14">
        <v>6</v>
      </c>
      <c r="F240" s="14" t="s">
        <v>97</v>
      </c>
      <c r="G240" s="14">
        <v>24</v>
      </c>
      <c r="H240" s="14">
        <v>0</v>
      </c>
      <c r="I240" s="14">
        <v>0</v>
      </c>
      <c r="J240" s="14">
        <v>4</v>
      </c>
      <c r="K240" s="14">
        <v>28</v>
      </c>
      <c r="L240" s="16">
        <v>0.85699999999999998</v>
      </c>
      <c r="M240" s="16">
        <v>0</v>
      </c>
      <c r="N240" s="16">
        <v>0</v>
      </c>
      <c r="O240" s="16">
        <v>0.14299999999999999</v>
      </c>
      <c r="P240" s="16">
        <v>0.14299999999999999</v>
      </c>
      <c r="Q240" s="16">
        <v>0</v>
      </c>
      <c r="R240" s="2"/>
      <c r="S240" s="14">
        <v>1</v>
      </c>
      <c r="T240" s="14">
        <v>0</v>
      </c>
      <c r="U240" s="14">
        <v>0</v>
      </c>
      <c r="V240" s="2"/>
      <c r="W240" s="14">
        <v>1935.2</v>
      </c>
      <c r="X240" s="14">
        <v>1927.5</v>
      </c>
      <c r="Y240" s="15">
        <v>57550</v>
      </c>
      <c r="Z240" s="15">
        <v>42000</v>
      </c>
      <c r="AA240" s="15">
        <v>42570.8</v>
      </c>
      <c r="AB240" s="15">
        <v>40250</v>
      </c>
      <c r="AC240" s="16">
        <v>0.04</v>
      </c>
      <c r="AD240" s="16">
        <v>0.04</v>
      </c>
      <c r="AE240" s="15">
        <v>4900.3999999999996</v>
      </c>
      <c r="AF240" s="15">
        <v>973.7</v>
      </c>
      <c r="AG240" s="2"/>
      <c r="AH240" s="14">
        <f t="shared" si="40"/>
        <v>192</v>
      </c>
      <c r="AI240" s="14">
        <f t="shared" si="41"/>
        <v>151</v>
      </c>
      <c r="AJ240" s="14">
        <f t="shared" si="42"/>
        <v>108</v>
      </c>
      <c r="AK240" s="14">
        <f t="shared" si="43"/>
        <v>45</v>
      </c>
      <c r="AL240" s="14">
        <f t="shared" si="44"/>
        <v>106</v>
      </c>
      <c r="AM240" s="14">
        <f t="shared" si="45"/>
        <v>99</v>
      </c>
      <c r="AN240" s="14">
        <f t="shared" si="46"/>
        <v>175</v>
      </c>
      <c r="AO240" s="14">
        <f t="shared" si="47"/>
        <v>189</v>
      </c>
    </row>
    <row r="241" spans="1:41" ht="12" hidden="1" x14ac:dyDescent="0.25">
      <c r="A241" s="14">
        <v>540268</v>
      </c>
      <c r="B241" s="17" t="s">
        <v>167</v>
      </c>
      <c r="C241" s="17" t="s">
        <v>163</v>
      </c>
      <c r="D241" s="17" t="s">
        <v>2</v>
      </c>
      <c r="E241" s="14">
        <v>6</v>
      </c>
      <c r="F241" s="14" t="s">
        <v>97</v>
      </c>
      <c r="G241" s="14">
        <v>16</v>
      </c>
      <c r="H241" s="14">
        <v>1</v>
      </c>
      <c r="I241" s="14">
        <v>1</v>
      </c>
      <c r="J241" s="14">
        <v>3</v>
      </c>
      <c r="K241" s="14">
        <v>21</v>
      </c>
      <c r="L241" s="16">
        <v>0.76200000000000001</v>
      </c>
      <c r="M241" s="16">
        <v>4.8000000000000001E-2</v>
      </c>
      <c r="N241" s="16">
        <v>4.8000000000000001E-2</v>
      </c>
      <c r="O241" s="16">
        <v>0.14299999999999999</v>
      </c>
      <c r="P241" s="16">
        <v>4.8000000000000001E-2</v>
      </c>
      <c r="Q241" s="16">
        <v>4.8000000000000001E-2</v>
      </c>
      <c r="R241" s="2"/>
      <c r="S241" s="14">
        <v>4</v>
      </c>
      <c r="T241" s="14">
        <v>0</v>
      </c>
      <c r="U241" s="14">
        <v>1</v>
      </c>
      <c r="V241" s="2"/>
      <c r="W241" s="14">
        <v>1929</v>
      </c>
      <c r="X241" s="14">
        <v>1900</v>
      </c>
      <c r="Y241" s="15">
        <v>36140</v>
      </c>
      <c r="Z241" s="15">
        <v>28700</v>
      </c>
      <c r="AA241" s="15">
        <v>32957.800000000003</v>
      </c>
      <c r="AB241" s="15">
        <v>26625</v>
      </c>
      <c r="AC241" s="16">
        <v>0.23599999999999999</v>
      </c>
      <c r="AD241" s="16">
        <v>0.21</v>
      </c>
      <c r="AE241" s="15">
        <v>7475.8</v>
      </c>
      <c r="AF241" s="15">
        <v>7632.9</v>
      </c>
      <c r="AG241" s="2"/>
      <c r="AH241" s="14">
        <f t="shared" si="40"/>
        <v>162</v>
      </c>
      <c r="AI241" s="14">
        <f t="shared" si="41"/>
        <v>116</v>
      </c>
      <c r="AJ241" s="14">
        <f t="shared" si="42"/>
        <v>108</v>
      </c>
      <c r="AK241" s="14">
        <f t="shared" si="43"/>
        <v>10</v>
      </c>
      <c r="AL241" s="14">
        <f t="shared" si="44"/>
        <v>161</v>
      </c>
      <c r="AM241" s="14">
        <f t="shared" si="45"/>
        <v>157</v>
      </c>
      <c r="AN241" s="14">
        <f t="shared" si="46"/>
        <v>45</v>
      </c>
      <c r="AO241" s="14">
        <f t="shared" si="47"/>
        <v>56</v>
      </c>
    </row>
    <row r="242" spans="1:41" ht="12" hidden="1" x14ac:dyDescent="0.25">
      <c r="A242" s="14">
        <v>540269</v>
      </c>
      <c r="B242" s="17" t="s">
        <v>166</v>
      </c>
      <c r="C242" s="17" t="s">
        <v>163</v>
      </c>
      <c r="D242" s="17" t="s">
        <v>2</v>
      </c>
      <c r="E242" s="14">
        <v>6</v>
      </c>
      <c r="F242" s="14" t="s">
        <v>97</v>
      </c>
      <c r="G242" s="14">
        <v>0</v>
      </c>
      <c r="H242" s="14">
        <v>0</v>
      </c>
      <c r="I242" s="14">
        <v>0</v>
      </c>
      <c r="J242" s="14">
        <v>0</v>
      </c>
      <c r="K242" s="14">
        <v>0</v>
      </c>
      <c r="L242" s="16" t="s">
        <v>5</v>
      </c>
      <c r="M242" s="16" t="s">
        <v>5</v>
      </c>
      <c r="N242" s="16" t="s">
        <v>5</v>
      </c>
      <c r="O242" s="16" t="s">
        <v>5</v>
      </c>
      <c r="P242" s="16" t="s">
        <v>5</v>
      </c>
      <c r="Q242" s="16" t="s">
        <v>5</v>
      </c>
      <c r="R242" s="2"/>
      <c r="S242" s="14">
        <v>0</v>
      </c>
      <c r="T242" s="14">
        <v>0</v>
      </c>
      <c r="U242" s="14">
        <v>0</v>
      </c>
      <c r="V242" s="2"/>
      <c r="W242" s="14">
        <v>0</v>
      </c>
      <c r="X242" s="14">
        <v>0</v>
      </c>
      <c r="Y242" s="15">
        <v>0</v>
      </c>
      <c r="Z242" s="15">
        <v>0</v>
      </c>
      <c r="AA242" s="15">
        <v>0</v>
      </c>
      <c r="AB242" s="15">
        <v>0</v>
      </c>
      <c r="AC242" s="16">
        <v>0</v>
      </c>
      <c r="AD242" s="16">
        <v>0</v>
      </c>
      <c r="AE242" s="15">
        <v>0</v>
      </c>
      <c r="AF242" s="15">
        <v>0</v>
      </c>
      <c r="AG242" s="2"/>
      <c r="AH242" s="14">
        <f t="shared" si="40"/>
        <v>1</v>
      </c>
      <c r="AI242" s="14">
        <f t="shared" si="41"/>
        <v>172</v>
      </c>
      <c r="AJ242" s="14">
        <f t="shared" si="42"/>
        <v>108</v>
      </c>
      <c r="AK242" s="14">
        <f t="shared" si="43"/>
        <v>1</v>
      </c>
      <c r="AL242" s="14">
        <f t="shared" si="44"/>
        <v>210</v>
      </c>
      <c r="AM242" s="14">
        <f t="shared" si="45"/>
        <v>208</v>
      </c>
      <c r="AN242" s="14">
        <f t="shared" si="46"/>
        <v>198</v>
      </c>
      <c r="AO242" s="14">
        <f t="shared" si="47"/>
        <v>198</v>
      </c>
    </row>
    <row r="243" spans="1:41" ht="12" hidden="1" x14ac:dyDescent="0.25">
      <c r="A243" s="14">
        <v>540270</v>
      </c>
      <c r="B243" s="17" t="s">
        <v>165</v>
      </c>
      <c r="C243" s="17" t="s">
        <v>163</v>
      </c>
      <c r="D243" s="17" t="s">
        <v>2</v>
      </c>
      <c r="E243" s="14">
        <v>6</v>
      </c>
      <c r="F243" s="14" t="s">
        <v>164</v>
      </c>
      <c r="G243" s="14">
        <v>0</v>
      </c>
      <c r="H243" s="14">
        <v>0</v>
      </c>
      <c r="I243" s="14">
        <v>0</v>
      </c>
      <c r="J243" s="14">
        <v>0</v>
      </c>
      <c r="K243" s="14">
        <v>0</v>
      </c>
      <c r="L243" s="16" t="s">
        <v>5</v>
      </c>
      <c r="M243" s="16" t="s">
        <v>5</v>
      </c>
      <c r="N243" s="16" t="s">
        <v>5</v>
      </c>
      <c r="O243" s="16" t="s">
        <v>5</v>
      </c>
      <c r="P243" s="16" t="s">
        <v>5</v>
      </c>
      <c r="Q243" s="16" t="s">
        <v>5</v>
      </c>
      <c r="R243" s="2"/>
      <c r="S243" s="14">
        <v>0</v>
      </c>
      <c r="T243" s="14">
        <v>0</v>
      </c>
      <c r="U243" s="14">
        <v>0</v>
      </c>
      <c r="V243" s="2"/>
      <c r="W243" s="14">
        <v>0</v>
      </c>
      <c r="X243" s="14">
        <v>0</v>
      </c>
      <c r="Y243" s="15">
        <v>0</v>
      </c>
      <c r="Z243" s="15">
        <v>0</v>
      </c>
      <c r="AA243" s="15">
        <v>0</v>
      </c>
      <c r="AB243" s="15">
        <v>0</v>
      </c>
      <c r="AC243" s="16">
        <v>0</v>
      </c>
      <c r="AD243" s="16">
        <v>0</v>
      </c>
      <c r="AE243" s="15">
        <v>0</v>
      </c>
      <c r="AF243" s="15">
        <v>0</v>
      </c>
      <c r="AG243" s="2"/>
      <c r="AH243" s="14">
        <f t="shared" si="40"/>
        <v>1</v>
      </c>
      <c r="AI243" s="14">
        <f t="shared" si="41"/>
        <v>172</v>
      </c>
      <c r="AJ243" s="14">
        <f t="shared" si="42"/>
        <v>108</v>
      </c>
      <c r="AK243" s="14">
        <f t="shared" si="43"/>
        <v>1</v>
      </c>
      <c r="AL243" s="14">
        <f t="shared" si="44"/>
        <v>210</v>
      </c>
      <c r="AM243" s="14">
        <f t="shared" si="45"/>
        <v>208</v>
      </c>
      <c r="AN243" s="14">
        <f t="shared" si="46"/>
        <v>198</v>
      </c>
      <c r="AO243" s="14">
        <f t="shared" si="47"/>
        <v>198</v>
      </c>
    </row>
    <row r="244" spans="1:41" hidden="1" x14ac:dyDescent="0.3">
      <c r="A244" s="129"/>
      <c r="B244" s="130"/>
      <c r="C244" s="130" t="s">
        <v>163</v>
      </c>
      <c r="D244" s="130" t="s">
        <v>26</v>
      </c>
      <c r="E244" s="129">
        <v>6</v>
      </c>
      <c r="F244" s="129"/>
      <c r="G244" s="129">
        <v>439</v>
      </c>
      <c r="H244" s="129">
        <v>68</v>
      </c>
      <c r="I244" s="129">
        <v>149</v>
      </c>
      <c r="J244" s="129">
        <v>83</v>
      </c>
      <c r="K244" s="129">
        <v>739</v>
      </c>
      <c r="L244" s="131">
        <v>0.59399999999999997</v>
      </c>
      <c r="M244" s="131">
        <v>9.1999999999999998E-2</v>
      </c>
      <c r="N244" s="131">
        <v>0.20200000000000001</v>
      </c>
      <c r="O244" s="131">
        <v>0.112</v>
      </c>
      <c r="P244" s="131">
        <v>7.2999999999999995E-2</v>
      </c>
      <c r="Q244" s="131">
        <v>0.03</v>
      </c>
      <c r="S244" s="129">
        <v>259</v>
      </c>
      <c r="T244" s="129">
        <v>51</v>
      </c>
      <c r="U244" s="129">
        <v>61</v>
      </c>
      <c r="W244" s="129">
        <v>1958.4</v>
      </c>
      <c r="X244" s="129">
        <v>1970</v>
      </c>
      <c r="Y244" s="132">
        <v>480344.4</v>
      </c>
      <c r="Z244" s="132">
        <v>45300</v>
      </c>
      <c r="AA244" s="132">
        <v>65026.3</v>
      </c>
      <c r="AB244" s="132">
        <v>52250</v>
      </c>
      <c r="AC244" s="131">
        <v>0.27700000000000002</v>
      </c>
      <c r="AD244" s="131">
        <v>0.19600000000000001</v>
      </c>
      <c r="AE244" s="132">
        <v>58274.7</v>
      </c>
      <c r="AF244" s="132">
        <v>9447.5</v>
      </c>
      <c r="AH244" s="129">
        <f t="shared" si="40"/>
        <v>29</v>
      </c>
      <c r="AI244" s="129">
        <f t="shared" si="41"/>
        <v>23</v>
      </c>
      <c r="AJ244" s="129">
        <f t="shared" si="42"/>
        <v>17</v>
      </c>
      <c r="AK244" s="129">
        <f t="shared" si="43"/>
        <v>32</v>
      </c>
      <c r="AL244" s="129">
        <f t="shared" si="44"/>
        <v>20</v>
      </c>
      <c r="AM244" s="129">
        <f t="shared" si="45"/>
        <v>21</v>
      </c>
      <c r="AN244" s="129">
        <f t="shared" si="46"/>
        <v>20</v>
      </c>
      <c r="AO244" s="129">
        <f t="shared" si="47"/>
        <v>13</v>
      </c>
    </row>
    <row r="245" spans="1:41" ht="12" hidden="1" x14ac:dyDescent="0.25">
      <c r="A245" s="25">
        <v>540081</v>
      </c>
      <c r="B245" s="26" t="s">
        <v>17</v>
      </c>
      <c r="C245" s="26" t="s">
        <v>150</v>
      </c>
      <c r="D245" s="26" t="s">
        <v>58</v>
      </c>
      <c r="E245" s="25">
        <v>3</v>
      </c>
      <c r="F245" s="25" t="s">
        <v>162</v>
      </c>
      <c r="G245" s="25">
        <v>93</v>
      </c>
      <c r="H245" s="25">
        <v>2</v>
      </c>
      <c r="I245" s="25">
        <v>3</v>
      </c>
      <c r="J245" s="25">
        <v>0</v>
      </c>
      <c r="K245" s="25">
        <v>98</v>
      </c>
      <c r="L245" s="24">
        <v>0.94899999999999995</v>
      </c>
      <c r="M245" s="24">
        <v>0.02</v>
      </c>
      <c r="N245" s="24">
        <v>3.1E-2</v>
      </c>
      <c r="O245" s="24">
        <v>0</v>
      </c>
      <c r="P245" s="24">
        <v>0</v>
      </c>
      <c r="Q245" s="24">
        <v>0</v>
      </c>
      <c r="R245" s="2"/>
      <c r="S245" s="25">
        <v>10</v>
      </c>
      <c r="T245" s="25">
        <v>1</v>
      </c>
      <c r="U245" s="25">
        <v>0</v>
      </c>
      <c r="V245" s="2"/>
      <c r="W245" s="25">
        <v>1947.4</v>
      </c>
      <c r="X245" s="25">
        <v>1951</v>
      </c>
      <c r="Y245" s="23">
        <v>53307.1</v>
      </c>
      <c r="Z245" s="23">
        <v>42600</v>
      </c>
      <c r="AA245" s="23">
        <v>45449.5</v>
      </c>
      <c r="AB245" s="23">
        <v>41100</v>
      </c>
      <c r="AC245" s="24">
        <v>0.17299999999999999</v>
      </c>
      <c r="AD245" s="24">
        <v>0.13900000000000001</v>
      </c>
      <c r="AE245" s="23">
        <v>7991.2</v>
      </c>
      <c r="AF245" s="23">
        <v>4162.1000000000004</v>
      </c>
      <c r="AG245" s="2"/>
      <c r="AH245" s="14" t="str">
        <f t="shared" si="40"/>
        <v/>
      </c>
      <c r="AI245" s="14" t="str">
        <f t="shared" si="41"/>
        <v/>
      </c>
      <c r="AJ245" s="14" t="str">
        <f t="shared" si="42"/>
        <v/>
      </c>
      <c r="AK245" s="14" t="str">
        <f t="shared" si="43"/>
        <v/>
      </c>
      <c r="AL245" s="14" t="str">
        <f t="shared" si="44"/>
        <v/>
      </c>
      <c r="AM245" s="14" t="str">
        <f t="shared" si="45"/>
        <v/>
      </c>
      <c r="AN245" s="14" t="str">
        <f t="shared" si="46"/>
        <v/>
      </c>
      <c r="AO245" s="14" t="str">
        <f t="shared" si="47"/>
        <v/>
      </c>
    </row>
    <row r="246" spans="1:41" ht="12" hidden="1" x14ac:dyDescent="0.25">
      <c r="A246" s="14">
        <v>540165</v>
      </c>
      <c r="B246" s="17" t="s">
        <v>161</v>
      </c>
      <c r="C246" s="17" t="s">
        <v>150</v>
      </c>
      <c r="D246" s="17" t="s">
        <v>2</v>
      </c>
      <c r="E246" s="14">
        <v>3</v>
      </c>
      <c r="F246" s="14" t="s">
        <v>40</v>
      </c>
      <c r="G246" s="14">
        <v>65</v>
      </c>
      <c r="H246" s="14">
        <v>9</v>
      </c>
      <c r="I246" s="14">
        <v>22</v>
      </c>
      <c r="J246" s="14">
        <v>4</v>
      </c>
      <c r="K246" s="14">
        <v>100</v>
      </c>
      <c r="L246" s="16">
        <v>0.65</v>
      </c>
      <c r="M246" s="16">
        <v>0.09</v>
      </c>
      <c r="N246" s="16">
        <v>0.22</v>
      </c>
      <c r="O246" s="16">
        <v>0.04</v>
      </c>
      <c r="P246" s="16">
        <v>0.02</v>
      </c>
      <c r="Q246" s="16">
        <v>0</v>
      </c>
      <c r="R246" s="2"/>
      <c r="S246" s="14">
        <v>30</v>
      </c>
      <c r="T246" s="14">
        <v>8</v>
      </c>
      <c r="U246" s="14">
        <v>3</v>
      </c>
      <c r="V246" s="2"/>
      <c r="W246" s="14">
        <v>1958.9</v>
      </c>
      <c r="X246" s="14">
        <v>1958</v>
      </c>
      <c r="Y246" s="15">
        <v>41425.199999999997</v>
      </c>
      <c r="Z246" s="15">
        <v>35000</v>
      </c>
      <c r="AA246" s="15">
        <v>39442.1</v>
      </c>
      <c r="AB246" s="15">
        <v>35000</v>
      </c>
      <c r="AC246" s="16">
        <v>0.248</v>
      </c>
      <c r="AD246" s="16">
        <v>0.24199999999999999</v>
      </c>
      <c r="AE246" s="15">
        <v>8885.2999999999993</v>
      </c>
      <c r="AF246" s="15">
        <v>7555.2</v>
      </c>
      <c r="AG246" s="2"/>
      <c r="AH246" s="14">
        <f t="shared" si="40"/>
        <v>56</v>
      </c>
      <c r="AI246" s="14">
        <f t="shared" si="41"/>
        <v>46</v>
      </c>
      <c r="AJ246" s="14">
        <f t="shared" si="42"/>
        <v>23</v>
      </c>
      <c r="AK246" s="14">
        <f t="shared" si="43"/>
        <v>143</v>
      </c>
      <c r="AL246" s="14">
        <f t="shared" si="44"/>
        <v>137</v>
      </c>
      <c r="AM246" s="14">
        <f t="shared" si="45"/>
        <v>114</v>
      </c>
      <c r="AN246" s="14">
        <f t="shared" si="46"/>
        <v>36</v>
      </c>
      <c r="AO246" s="14">
        <f t="shared" si="47"/>
        <v>57</v>
      </c>
    </row>
    <row r="247" spans="1:41" ht="12" hidden="1" x14ac:dyDescent="0.25">
      <c r="A247" s="14">
        <v>540166</v>
      </c>
      <c r="B247" s="17" t="s">
        <v>160</v>
      </c>
      <c r="C247" s="17" t="s">
        <v>150</v>
      </c>
      <c r="D247" s="17" t="s">
        <v>2</v>
      </c>
      <c r="E247" s="14">
        <v>3</v>
      </c>
      <c r="F247" s="14" t="s">
        <v>40</v>
      </c>
      <c r="G247" s="14">
        <v>155</v>
      </c>
      <c r="H247" s="14">
        <v>11</v>
      </c>
      <c r="I247" s="14">
        <v>104</v>
      </c>
      <c r="J247" s="14">
        <v>30</v>
      </c>
      <c r="K247" s="14">
        <v>300</v>
      </c>
      <c r="L247" s="16">
        <v>0.51700000000000002</v>
      </c>
      <c r="M247" s="16">
        <v>3.6999999999999998E-2</v>
      </c>
      <c r="N247" s="16">
        <v>0.34699999999999998</v>
      </c>
      <c r="O247" s="16">
        <v>0.1</v>
      </c>
      <c r="P247" s="16">
        <v>0.09</v>
      </c>
      <c r="Q247" s="16">
        <v>0</v>
      </c>
      <c r="R247" s="2"/>
      <c r="S247" s="14">
        <v>31</v>
      </c>
      <c r="T247" s="14">
        <v>3</v>
      </c>
      <c r="U247" s="14">
        <v>1</v>
      </c>
      <c r="V247" s="2"/>
      <c r="W247" s="14">
        <v>1965.5</v>
      </c>
      <c r="X247" s="14">
        <v>1975</v>
      </c>
      <c r="Y247" s="15">
        <v>123942.39999999999</v>
      </c>
      <c r="Z247" s="15">
        <v>45600</v>
      </c>
      <c r="AA247" s="15">
        <v>57912.2</v>
      </c>
      <c r="AB247" s="15">
        <v>44200</v>
      </c>
      <c r="AC247" s="16">
        <v>0.14399999999999999</v>
      </c>
      <c r="AD247" s="16">
        <v>0.10299999999999999</v>
      </c>
      <c r="AE247" s="15">
        <v>7822.3</v>
      </c>
      <c r="AF247" s="15">
        <v>4053.1</v>
      </c>
      <c r="AG247" s="2"/>
      <c r="AH247" s="14">
        <f t="shared" si="40"/>
        <v>26</v>
      </c>
      <c r="AI247" s="14">
        <f t="shared" si="41"/>
        <v>45</v>
      </c>
      <c r="AJ247" s="14">
        <f t="shared" si="42"/>
        <v>42</v>
      </c>
      <c r="AK247" s="14">
        <f t="shared" si="43"/>
        <v>175</v>
      </c>
      <c r="AL247" s="14">
        <f t="shared" si="44"/>
        <v>86</v>
      </c>
      <c r="AM247" s="14">
        <f t="shared" si="45"/>
        <v>80</v>
      </c>
      <c r="AN247" s="14">
        <f t="shared" si="46"/>
        <v>119</v>
      </c>
      <c r="AO247" s="14">
        <f t="shared" si="47"/>
        <v>111</v>
      </c>
    </row>
    <row r="248" spans="1:41" ht="12" hidden="1" x14ac:dyDescent="0.25">
      <c r="A248" s="14">
        <v>540167</v>
      </c>
      <c r="B248" s="17" t="s">
        <v>159</v>
      </c>
      <c r="C248" s="17" t="s">
        <v>150</v>
      </c>
      <c r="D248" s="17" t="s">
        <v>2</v>
      </c>
      <c r="E248" s="14">
        <v>3</v>
      </c>
      <c r="F248" s="14" t="s">
        <v>158</v>
      </c>
      <c r="G248" s="14">
        <v>4</v>
      </c>
      <c r="H248" s="14">
        <v>2</v>
      </c>
      <c r="I248" s="14">
        <v>18</v>
      </c>
      <c r="J248" s="14">
        <v>0</v>
      </c>
      <c r="K248" s="14">
        <v>24</v>
      </c>
      <c r="L248" s="16">
        <v>0.16700000000000001</v>
      </c>
      <c r="M248" s="16">
        <v>8.3000000000000004E-2</v>
      </c>
      <c r="N248" s="16">
        <v>0.75</v>
      </c>
      <c r="O248" s="16">
        <v>0</v>
      </c>
      <c r="P248" s="16">
        <v>0</v>
      </c>
      <c r="Q248" s="16">
        <v>0</v>
      </c>
      <c r="R248" s="2"/>
      <c r="S248" s="14">
        <v>1</v>
      </c>
      <c r="T248" s="14">
        <v>0</v>
      </c>
      <c r="U248" s="14">
        <v>0</v>
      </c>
      <c r="V248" s="2"/>
      <c r="W248" s="14">
        <v>1997.3</v>
      </c>
      <c r="X248" s="14">
        <v>2002</v>
      </c>
      <c r="Y248" s="15">
        <v>151165.5</v>
      </c>
      <c r="Z248" s="15">
        <v>129766.5</v>
      </c>
      <c r="AA248" s="15">
        <v>156014.39999999999</v>
      </c>
      <c r="AB248" s="15">
        <v>205400</v>
      </c>
      <c r="AC248" s="16">
        <v>7.3999999999999996E-2</v>
      </c>
      <c r="AD248" s="16">
        <v>7.3999999999999996E-2</v>
      </c>
      <c r="AE248" s="15">
        <v>11792.2</v>
      </c>
      <c r="AF248" s="15">
        <v>11792.2</v>
      </c>
      <c r="AG248" s="2"/>
      <c r="AH248" s="14">
        <f t="shared" si="40"/>
        <v>5</v>
      </c>
      <c r="AI248" s="14">
        <f t="shared" si="41"/>
        <v>151</v>
      </c>
      <c r="AJ248" s="14">
        <f t="shared" si="42"/>
        <v>108</v>
      </c>
      <c r="AK248" s="14">
        <f t="shared" si="43"/>
        <v>212</v>
      </c>
      <c r="AL248" s="14">
        <f t="shared" si="44"/>
        <v>9</v>
      </c>
      <c r="AM248" s="14">
        <f t="shared" si="45"/>
        <v>1</v>
      </c>
      <c r="AN248" s="14">
        <f t="shared" si="46"/>
        <v>141</v>
      </c>
      <c r="AO248" s="14">
        <f t="shared" si="47"/>
        <v>27</v>
      </c>
    </row>
    <row r="249" spans="1:41" ht="12" hidden="1" x14ac:dyDescent="0.25">
      <c r="A249" s="14">
        <v>540222</v>
      </c>
      <c r="B249" s="17" t="s">
        <v>157</v>
      </c>
      <c r="C249" s="17" t="s">
        <v>150</v>
      </c>
      <c r="D249" s="17" t="s">
        <v>2</v>
      </c>
      <c r="E249" s="14">
        <v>3</v>
      </c>
      <c r="F249" s="14" t="s">
        <v>156</v>
      </c>
      <c r="G249" s="14">
        <v>1</v>
      </c>
      <c r="H249" s="14">
        <v>0</v>
      </c>
      <c r="I249" s="14">
        <v>6</v>
      </c>
      <c r="J249" s="14">
        <v>0</v>
      </c>
      <c r="K249" s="14">
        <v>7</v>
      </c>
      <c r="L249" s="16">
        <v>0.14299999999999999</v>
      </c>
      <c r="M249" s="16">
        <v>0</v>
      </c>
      <c r="N249" s="16">
        <v>0.85699999999999998</v>
      </c>
      <c r="O249" s="16">
        <v>0</v>
      </c>
      <c r="P249" s="16">
        <v>0</v>
      </c>
      <c r="Q249" s="16">
        <v>0</v>
      </c>
      <c r="R249" s="2"/>
      <c r="S249" s="14">
        <v>0</v>
      </c>
      <c r="T249" s="14">
        <v>0</v>
      </c>
      <c r="U249" s="14">
        <v>0</v>
      </c>
      <c r="V249" s="2"/>
      <c r="W249" s="14">
        <v>1984.7</v>
      </c>
      <c r="X249" s="14">
        <v>1985</v>
      </c>
      <c r="Y249" s="15">
        <v>1982657.1</v>
      </c>
      <c r="Z249" s="15">
        <v>92700</v>
      </c>
      <c r="AA249" s="15">
        <v>74300</v>
      </c>
      <c r="AB249" s="15">
        <v>64700</v>
      </c>
      <c r="AC249" s="16">
        <v>0</v>
      </c>
      <c r="AD249" s="16">
        <v>0</v>
      </c>
      <c r="AE249" s="15">
        <v>0</v>
      </c>
      <c r="AF249" s="15">
        <v>0</v>
      </c>
      <c r="AG249" s="2"/>
      <c r="AH249" s="14">
        <f t="shared" si="40"/>
        <v>4</v>
      </c>
      <c r="AI249" s="14">
        <f t="shared" si="41"/>
        <v>172</v>
      </c>
      <c r="AJ249" s="14">
        <f t="shared" si="42"/>
        <v>108</v>
      </c>
      <c r="AK249" s="14">
        <f t="shared" si="43"/>
        <v>198</v>
      </c>
      <c r="AL249" s="14">
        <f t="shared" si="44"/>
        <v>15</v>
      </c>
      <c r="AM249" s="14">
        <f t="shared" si="45"/>
        <v>30</v>
      </c>
      <c r="AN249" s="14">
        <f t="shared" si="46"/>
        <v>198</v>
      </c>
      <c r="AO249" s="14">
        <f t="shared" si="47"/>
        <v>198</v>
      </c>
    </row>
    <row r="250" spans="1:41" ht="12" hidden="1" x14ac:dyDescent="0.25">
      <c r="A250" s="14">
        <v>540271</v>
      </c>
      <c r="B250" s="17" t="s">
        <v>155</v>
      </c>
      <c r="C250" s="17" t="s">
        <v>150</v>
      </c>
      <c r="D250" s="17" t="s">
        <v>2</v>
      </c>
      <c r="E250" s="14">
        <v>3</v>
      </c>
      <c r="F250" s="14" t="s">
        <v>40</v>
      </c>
      <c r="G250" s="14">
        <v>40</v>
      </c>
      <c r="H250" s="14">
        <v>38</v>
      </c>
      <c r="I250" s="14">
        <v>103</v>
      </c>
      <c r="J250" s="14">
        <v>0</v>
      </c>
      <c r="K250" s="14">
        <v>181</v>
      </c>
      <c r="L250" s="16">
        <v>0.221</v>
      </c>
      <c r="M250" s="16">
        <v>0.21</v>
      </c>
      <c r="N250" s="16">
        <v>0.56899999999999995</v>
      </c>
      <c r="O250" s="16">
        <v>0</v>
      </c>
      <c r="P250" s="16">
        <v>0</v>
      </c>
      <c r="Q250" s="16">
        <v>0</v>
      </c>
      <c r="R250" s="2"/>
      <c r="S250" s="14">
        <v>25</v>
      </c>
      <c r="T250" s="14">
        <v>2</v>
      </c>
      <c r="U250" s="14">
        <v>0</v>
      </c>
      <c r="V250" s="2"/>
      <c r="W250" s="14">
        <v>1987.9</v>
      </c>
      <c r="X250" s="14">
        <v>1993</v>
      </c>
      <c r="Y250" s="15">
        <v>199756.4</v>
      </c>
      <c r="Z250" s="15">
        <v>190500</v>
      </c>
      <c r="AA250" s="15">
        <v>196062.3</v>
      </c>
      <c r="AB250" s="15">
        <v>190500</v>
      </c>
      <c r="AC250" s="16">
        <v>9.2999999999999999E-2</v>
      </c>
      <c r="AD250" s="16">
        <v>8.6999999999999994E-2</v>
      </c>
      <c r="AE250" s="15">
        <v>19126.2</v>
      </c>
      <c r="AF250" s="15">
        <v>13079.5</v>
      </c>
      <c r="AG250" s="2"/>
      <c r="AH250" s="14">
        <f t="shared" si="40"/>
        <v>9</v>
      </c>
      <c r="AI250" s="14">
        <f t="shared" si="41"/>
        <v>56</v>
      </c>
      <c r="AJ250" s="14">
        <f t="shared" si="42"/>
        <v>56</v>
      </c>
      <c r="AK250" s="14">
        <f t="shared" si="43"/>
        <v>208</v>
      </c>
      <c r="AL250" s="14">
        <f t="shared" si="44"/>
        <v>4</v>
      </c>
      <c r="AM250" s="14">
        <f t="shared" si="45"/>
        <v>2</v>
      </c>
      <c r="AN250" s="14">
        <f t="shared" si="46"/>
        <v>129</v>
      </c>
      <c r="AO250" s="14">
        <f t="shared" si="47"/>
        <v>22</v>
      </c>
    </row>
    <row r="251" spans="1:41" ht="12" hidden="1" x14ac:dyDescent="0.25">
      <c r="A251" s="19">
        <v>540164</v>
      </c>
      <c r="B251" s="22" t="s">
        <v>154</v>
      </c>
      <c r="C251" s="22" t="s">
        <v>150</v>
      </c>
      <c r="D251" s="22" t="s">
        <v>29</v>
      </c>
      <c r="E251" s="19">
        <v>3</v>
      </c>
      <c r="F251" s="19" t="s">
        <v>153</v>
      </c>
      <c r="G251" s="19">
        <v>831</v>
      </c>
      <c r="H251" s="19">
        <v>98</v>
      </c>
      <c r="I251" s="19">
        <v>759</v>
      </c>
      <c r="J251" s="19">
        <v>214</v>
      </c>
      <c r="K251" s="19">
        <v>1902</v>
      </c>
      <c r="L251" s="21">
        <v>0.437</v>
      </c>
      <c r="M251" s="21">
        <v>5.1999999999999998E-2</v>
      </c>
      <c r="N251" s="21">
        <v>0.39900000000000002</v>
      </c>
      <c r="O251" s="21">
        <v>0.113</v>
      </c>
      <c r="P251" s="21">
        <v>0.108</v>
      </c>
      <c r="Q251" s="21">
        <v>1E-3</v>
      </c>
      <c r="R251" s="2"/>
      <c r="S251" s="19">
        <v>206</v>
      </c>
      <c r="T251" s="19">
        <v>48</v>
      </c>
      <c r="U251" s="19">
        <v>22</v>
      </c>
      <c r="V251" s="2"/>
      <c r="W251" s="19">
        <v>1978.9</v>
      </c>
      <c r="X251" s="19">
        <v>1984</v>
      </c>
      <c r="Y251" s="20">
        <v>215345.4</v>
      </c>
      <c r="Z251" s="20">
        <v>58450</v>
      </c>
      <c r="AA251" s="20">
        <v>80027.600000000006</v>
      </c>
      <c r="AB251" s="20">
        <v>54950</v>
      </c>
      <c r="AC251" s="21">
        <v>0.19600000000000001</v>
      </c>
      <c r="AD251" s="21">
        <v>0.115</v>
      </c>
      <c r="AE251" s="20">
        <v>376337.5</v>
      </c>
      <c r="AF251" s="20">
        <v>6328.6</v>
      </c>
      <c r="AG251" s="2"/>
      <c r="AH251" s="19">
        <f t="shared" si="40"/>
        <v>4</v>
      </c>
      <c r="AI251" s="19">
        <f t="shared" si="41"/>
        <v>16</v>
      </c>
      <c r="AJ251" s="19">
        <f t="shared" si="42"/>
        <v>13</v>
      </c>
      <c r="AK251" s="19">
        <f t="shared" si="43"/>
        <v>53</v>
      </c>
      <c r="AL251" s="19">
        <f t="shared" si="44"/>
        <v>5</v>
      </c>
      <c r="AM251" s="19">
        <f t="shared" si="45"/>
        <v>5</v>
      </c>
      <c r="AN251" s="19">
        <f t="shared" si="46"/>
        <v>47</v>
      </c>
      <c r="AO251" s="19">
        <f t="shared" si="47"/>
        <v>28</v>
      </c>
    </row>
    <row r="252" spans="1:41" ht="12" hidden="1" x14ac:dyDescent="0.25">
      <c r="A252" s="14">
        <v>540168</v>
      </c>
      <c r="B252" s="17" t="s">
        <v>152</v>
      </c>
      <c r="C252" s="17" t="s">
        <v>150</v>
      </c>
      <c r="D252" s="17" t="s">
        <v>2</v>
      </c>
      <c r="E252" s="14">
        <v>3</v>
      </c>
      <c r="F252" s="14" t="s">
        <v>151</v>
      </c>
      <c r="G252" s="14">
        <v>61</v>
      </c>
      <c r="H252" s="14">
        <v>0</v>
      </c>
      <c r="I252" s="14">
        <v>9</v>
      </c>
      <c r="J252" s="14">
        <v>0</v>
      </c>
      <c r="K252" s="14">
        <v>70</v>
      </c>
      <c r="L252" s="16">
        <v>0.871</v>
      </c>
      <c r="M252" s="16">
        <v>0</v>
      </c>
      <c r="N252" s="16">
        <v>0.129</v>
      </c>
      <c r="O252" s="16">
        <v>0</v>
      </c>
      <c r="P252" s="16">
        <v>0</v>
      </c>
      <c r="Q252" s="16">
        <v>0</v>
      </c>
      <c r="R252" s="2"/>
      <c r="S252" s="14">
        <v>16</v>
      </c>
      <c r="T252" s="14">
        <v>0</v>
      </c>
      <c r="U252" s="14">
        <v>0</v>
      </c>
      <c r="V252" s="2"/>
      <c r="W252" s="14">
        <v>1961.5</v>
      </c>
      <c r="X252" s="14">
        <v>1961</v>
      </c>
      <c r="Y252" s="15">
        <v>92372.1</v>
      </c>
      <c r="Z252" s="15">
        <v>67000</v>
      </c>
      <c r="AA252" s="15">
        <v>76164.600000000006</v>
      </c>
      <c r="AB252" s="15">
        <v>65400</v>
      </c>
      <c r="AC252" s="16">
        <v>0.152</v>
      </c>
      <c r="AD252" s="16">
        <v>0.10199999999999999</v>
      </c>
      <c r="AE252" s="15">
        <v>10667.7</v>
      </c>
      <c r="AF252" s="15">
        <v>7164.7</v>
      </c>
      <c r="AG252" s="2"/>
      <c r="AH252" s="14">
        <f t="shared" si="40"/>
        <v>102</v>
      </c>
      <c r="AI252" s="14">
        <f t="shared" si="41"/>
        <v>72</v>
      </c>
      <c r="AJ252" s="14">
        <f t="shared" si="42"/>
        <v>108</v>
      </c>
      <c r="AK252" s="14">
        <f t="shared" si="43"/>
        <v>148</v>
      </c>
      <c r="AL252" s="14">
        <f t="shared" si="44"/>
        <v>40</v>
      </c>
      <c r="AM252" s="14">
        <f t="shared" si="45"/>
        <v>28</v>
      </c>
      <c r="AN252" s="14">
        <f t="shared" si="46"/>
        <v>120</v>
      </c>
      <c r="AO252" s="14">
        <f t="shared" si="47"/>
        <v>62</v>
      </c>
    </row>
    <row r="253" spans="1:41" hidden="1" x14ac:dyDescent="0.3">
      <c r="A253" s="129"/>
      <c r="B253" s="130"/>
      <c r="C253" s="130" t="s">
        <v>150</v>
      </c>
      <c r="D253" s="130" t="s">
        <v>26</v>
      </c>
      <c r="E253" s="129">
        <v>3</v>
      </c>
      <c r="F253" s="129"/>
      <c r="G253" s="129">
        <v>1250</v>
      </c>
      <c r="H253" s="129">
        <v>160</v>
      </c>
      <c r="I253" s="129">
        <v>1024</v>
      </c>
      <c r="J253" s="129">
        <v>248</v>
      </c>
      <c r="K253" s="129">
        <v>2682</v>
      </c>
      <c r="L253" s="131">
        <v>0.46600000000000003</v>
      </c>
      <c r="M253" s="131">
        <v>0.06</v>
      </c>
      <c r="N253" s="131">
        <v>0.38200000000000001</v>
      </c>
      <c r="O253" s="131">
        <v>9.1999999999999998E-2</v>
      </c>
      <c r="P253" s="131">
        <v>8.6999999999999994E-2</v>
      </c>
      <c r="Q253" s="131">
        <v>1E-3</v>
      </c>
      <c r="S253" s="129">
        <v>319</v>
      </c>
      <c r="T253" s="129">
        <v>62</v>
      </c>
      <c r="U253" s="129">
        <v>26</v>
      </c>
      <c r="W253" s="129">
        <v>1975.6</v>
      </c>
      <c r="X253" s="129">
        <v>1982</v>
      </c>
      <c r="Y253" s="132">
        <v>192492.4</v>
      </c>
      <c r="Z253" s="132">
        <v>59600</v>
      </c>
      <c r="AA253" s="132">
        <v>110896.3</v>
      </c>
      <c r="AB253" s="132">
        <v>93800</v>
      </c>
      <c r="AC253" s="131">
        <v>0.185</v>
      </c>
      <c r="AD253" s="131">
        <v>0.11700000000000001</v>
      </c>
      <c r="AE253" s="132">
        <v>234841.3</v>
      </c>
      <c r="AF253" s="132">
        <v>6412.7</v>
      </c>
      <c r="AH253" s="129">
        <f t="shared" si="40"/>
        <v>4</v>
      </c>
      <c r="AI253" s="129">
        <f t="shared" si="41"/>
        <v>19</v>
      </c>
      <c r="AJ253" s="129">
        <f t="shared" si="42"/>
        <v>14</v>
      </c>
      <c r="AK253" s="129">
        <f t="shared" si="43"/>
        <v>53</v>
      </c>
      <c r="AL253" s="129">
        <f t="shared" si="44"/>
        <v>6</v>
      </c>
      <c r="AM253" s="129">
        <f t="shared" si="45"/>
        <v>3</v>
      </c>
      <c r="AN253" s="129">
        <f t="shared" si="46"/>
        <v>48</v>
      </c>
      <c r="AO253" s="129">
        <f t="shared" si="47"/>
        <v>23</v>
      </c>
    </row>
    <row r="254" spans="1:41" ht="12" hidden="1" x14ac:dyDescent="0.25">
      <c r="A254" s="19">
        <v>540169</v>
      </c>
      <c r="B254" s="22" t="s">
        <v>149</v>
      </c>
      <c r="C254" s="22" t="s">
        <v>139</v>
      </c>
      <c r="D254" s="22" t="s">
        <v>29</v>
      </c>
      <c r="E254" s="19">
        <v>1</v>
      </c>
      <c r="F254" s="19" t="s">
        <v>148</v>
      </c>
      <c r="G254" s="19">
        <v>1419</v>
      </c>
      <c r="H254" s="19">
        <v>79</v>
      </c>
      <c r="I254" s="19">
        <v>462</v>
      </c>
      <c r="J254" s="19">
        <v>292</v>
      </c>
      <c r="K254" s="19">
        <v>2252</v>
      </c>
      <c r="L254" s="21">
        <v>0.63</v>
      </c>
      <c r="M254" s="21">
        <v>3.5000000000000003E-2</v>
      </c>
      <c r="N254" s="21">
        <v>0.20499999999999999</v>
      </c>
      <c r="O254" s="21">
        <v>0.13</v>
      </c>
      <c r="P254" s="21">
        <v>6.6000000000000003E-2</v>
      </c>
      <c r="Q254" s="21">
        <v>1.4E-2</v>
      </c>
      <c r="R254" s="2"/>
      <c r="S254" s="19">
        <v>291</v>
      </c>
      <c r="T254" s="19">
        <v>31</v>
      </c>
      <c r="U254" s="19">
        <v>65</v>
      </c>
      <c r="V254" s="2"/>
      <c r="W254" s="19">
        <v>1956.3</v>
      </c>
      <c r="X254" s="19">
        <v>1968</v>
      </c>
      <c r="Y254" s="20">
        <v>48055.6</v>
      </c>
      <c r="Z254" s="20">
        <v>26000</v>
      </c>
      <c r="AA254" s="20">
        <v>31931.4</v>
      </c>
      <c r="AB254" s="20">
        <v>24600</v>
      </c>
      <c r="AC254" s="21">
        <v>0.246</v>
      </c>
      <c r="AD254" s="21">
        <v>0.17399999999999999</v>
      </c>
      <c r="AE254" s="20">
        <v>7645.3</v>
      </c>
      <c r="AF254" s="20">
        <v>3507.8</v>
      </c>
      <c r="AG254" s="2"/>
      <c r="AH254" s="19">
        <f t="shared" si="40"/>
        <v>37</v>
      </c>
      <c r="AI254" s="19">
        <f t="shared" si="41"/>
        <v>10</v>
      </c>
      <c r="AJ254" s="19">
        <f t="shared" si="42"/>
        <v>21</v>
      </c>
      <c r="AK254" s="19">
        <f t="shared" si="43"/>
        <v>16</v>
      </c>
      <c r="AL254" s="19">
        <f t="shared" si="44"/>
        <v>47</v>
      </c>
      <c r="AM254" s="19">
        <f t="shared" si="45"/>
        <v>50</v>
      </c>
      <c r="AN254" s="19">
        <f t="shared" si="46"/>
        <v>27</v>
      </c>
      <c r="AO254" s="19">
        <f t="shared" si="47"/>
        <v>46</v>
      </c>
    </row>
    <row r="255" spans="1:41" ht="12" hidden="1" x14ac:dyDescent="0.25">
      <c r="A255" s="14">
        <v>540170</v>
      </c>
      <c r="B255" s="17" t="s">
        <v>147</v>
      </c>
      <c r="C255" s="17" t="s">
        <v>139</v>
      </c>
      <c r="D255" s="17" t="s">
        <v>2</v>
      </c>
      <c r="E255" s="14">
        <v>1</v>
      </c>
      <c r="F255" s="14" t="s">
        <v>146</v>
      </c>
      <c r="G255" s="14">
        <v>21</v>
      </c>
      <c r="H255" s="14">
        <v>1</v>
      </c>
      <c r="I255" s="14">
        <v>4</v>
      </c>
      <c r="J255" s="14">
        <v>1</v>
      </c>
      <c r="K255" s="14">
        <v>27</v>
      </c>
      <c r="L255" s="16">
        <v>0.77800000000000002</v>
      </c>
      <c r="M255" s="16">
        <v>3.6999999999999998E-2</v>
      </c>
      <c r="N255" s="16">
        <v>0.14799999999999999</v>
      </c>
      <c r="O255" s="16">
        <v>3.6999999999999998E-2</v>
      </c>
      <c r="P255" s="16">
        <v>0</v>
      </c>
      <c r="Q255" s="16">
        <v>0</v>
      </c>
      <c r="R255" s="2"/>
      <c r="S255" s="14">
        <v>2</v>
      </c>
      <c r="T255" s="14">
        <v>0</v>
      </c>
      <c r="U255" s="14">
        <v>0</v>
      </c>
      <c r="V255" s="2"/>
      <c r="W255" s="14">
        <v>1964.9</v>
      </c>
      <c r="X255" s="14">
        <v>1966</v>
      </c>
      <c r="Y255" s="15">
        <v>138913.70000000001</v>
      </c>
      <c r="Z255" s="15">
        <v>52800</v>
      </c>
      <c r="AA255" s="15">
        <v>35475</v>
      </c>
      <c r="AB255" s="15">
        <v>30800</v>
      </c>
      <c r="AC255" s="16">
        <v>0.128</v>
      </c>
      <c r="AD255" s="16">
        <v>0.104</v>
      </c>
      <c r="AE255" s="15">
        <v>5072.5</v>
      </c>
      <c r="AF255" s="15">
        <v>4500.3</v>
      </c>
      <c r="AG255" s="2"/>
      <c r="AH255" s="14">
        <f t="shared" si="40"/>
        <v>85</v>
      </c>
      <c r="AI255" s="14">
        <f t="shared" si="41"/>
        <v>134</v>
      </c>
      <c r="AJ255" s="14">
        <f t="shared" si="42"/>
        <v>108</v>
      </c>
      <c r="AK255" s="14">
        <f t="shared" si="43"/>
        <v>155</v>
      </c>
      <c r="AL255" s="14">
        <f t="shared" si="44"/>
        <v>63</v>
      </c>
      <c r="AM255" s="14">
        <f t="shared" si="45"/>
        <v>135</v>
      </c>
      <c r="AN255" s="14">
        <f t="shared" si="46"/>
        <v>116</v>
      </c>
      <c r="AO255" s="14">
        <f t="shared" si="47"/>
        <v>99</v>
      </c>
    </row>
    <row r="256" spans="1:41" ht="12" hidden="1" x14ac:dyDescent="0.25">
      <c r="A256" s="14">
        <v>540171</v>
      </c>
      <c r="B256" s="17" t="s">
        <v>145</v>
      </c>
      <c r="C256" s="17" t="s">
        <v>139</v>
      </c>
      <c r="D256" s="17" t="s">
        <v>2</v>
      </c>
      <c r="E256" s="14">
        <v>1</v>
      </c>
      <c r="F256" s="14" t="s">
        <v>49</v>
      </c>
      <c r="G256" s="14">
        <v>24</v>
      </c>
      <c r="H256" s="14">
        <v>4</v>
      </c>
      <c r="I256" s="14">
        <v>6</v>
      </c>
      <c r="J256" s="14">
        <v>4</v>
      </c>
      <c r="K256" s="14">
        <v>38</v>
      </c>
      <c r="L256" s="16">
        <v>0.63200000000000001</v>
      </c>
      <c r="M256" s="16">
        <v>0.105</v>
      </c>
      <c r="N256" s="16">
        <v>0.158</v>
      </c>
      <c r="O256" s="16">
        <v>0.105</v>
      </c>
      <c r="P256" s="16">
        <v>2.5999999999999999E-2</v>
      </c>
      <c r="Q256" s="16">
        <v>2.5999999999999999E-2</v>
      </c>
      <c r="R256" s="2"/>
      <c r="S256" s="14">
        <v>2</v>
      </c>
      <c r="T256" s="14">
        <v>0</v>
      </c>
      <c r="U256" s="14">
        <v>0</v>
      </c>
      <c r="V256" s="2"/>
      <c r="W256" s="14">
        <v>1965.8</v>
      </c>
      <c r="X256" s="14">
        <v>1967</v>
      </c>
      <c r="Y256" s="15">
        <v>40310</v>
      </c>
      <c r="Z256" s="15">
        <v>24435</v>
      </c>
      <c r="AA256" s="15">
        <v>25354.3</v>
      </c>
      <c r="AB256" s="15">
        <v>23600</v>
      </c>
      <c r="AC256" s="16">
        <v>0.13</v>
      </c>
      <c r="AD256" s="16">
        <v>7.0999999999999994E-2</v>
      </c>
      <c r="AE256" s="15">
        <v>5467.3</v>
      </c>
      <c r="AF256" s="15">
        <v>1118.9000000000001</v>
      </c>
      <c r="AG256" s="2"/>
      <c r="AH256" s="14">
        <f t="shared" si="40"/>
        <v>82</v>
      </c>
      <c r="AI256" s="14">
        <f t="shared" si="41"/>
        <v>134</v>
      </c>
      <c r="AJ256" s="14">
        <f t="shared" si="42"/>
        <v>108</v>
      </c>
      <c r="AK256" s="14">
        <f t="shared" si="43"/>
        <v>156</v>
      </c>
      <c r="AL256" s="14">
        <f t="shared" si="44"/>
        <v>178</v>
      </c>
      <c r="AM256" s="14">
        <f t="shared" si="45"/>
        <v>174</v>
      </c>
      <c r="AN256" s="14">
        <f t="shared" si="46"/>
        <v>144</v>
      </c>
      <c r="AO256" s="14">
        <f t="shared" si="47"/>
        <v>186</v>
      </c>
    </row>
    <row r="257" spans="1:41" ht="12" hidden="1" x14ac:dyDescent="0.25">
      <c r="A257" s="14">
        <v>540173</v>
      </c>
      <c r="B257" s="17" t="s">
        <v>144</v>
      </c>
      <c r="C257" s="17" t="s">
        <v>139</v>
      </c>
      <c r="D257" s="17" t="s">
        <v>2</v>
      </c>
      <c r="E257" s="14">
        <v>1</v>
      </c>
      <c r="F257" s="14" t="s">
        <v>143</v>
      </c>
      <c r="G257" s="14">
        <v>71</v>
      </c>
      <c r="H257" s="14">
        <v>1</v>
      </c>
      <c r="I257" s="14">
        <v>9</v>
      </c>
      <c r="J257" s="14">
        <v>12</v>
      </c>
      <c r="K257" s="14">
        <v>93</v>
      </c>
      <c r="L257" s="16">
        <v>0.76300000000000001</v>
      </c>
      <c r="M257" s="16">
        <v>1.0999999999999999E-2</v>
      </c>
      <c r="N257" s="16">
        <v>9.7000000000000003E-2</v>
      </c>
      <c r="O257" s="16">
        <v>0.129</v>
      </c>
      <c r="P257" s="16">
        <v>3.2000000000000001E-2</v>
      </c>
      <c r="Q257" s="16">
        <v>6.5000000000000002E-2</v>
      </c>
      <c r="R257" s="2"/>
      <c r="S257" s="14">
        <v>10</v>
      </c>
      <c r="T257" s="14">
        <v>3</v>
      </c>
      <c r="U257" s="14">
        <v>6</v>
      </c>
      <c r="V257" s="2"/>
      <c r="W257" s="14">
        <v>1941.9</v>
      </c>
      <c r="X257" s="14">
        <v>1940</v>
      </c>
      <c r="Y257" s="15">
        <v>16958</v>
      </c>
      <c r="Z257" s="15">
        <v>8600</v>
      </c>
      <c r="AA257" s="15">
        <v>13903.5</v>
      </c>
      <c r="AB257" s="15">
        <v>8600</v>
      </c>
      <c r="AC257" s="16">
        <v>0.249</v>
      </c>
      <c r="AD257" s="16">
        <v>0.14899999999999999</v>
      </c>
      <c r="AE257" s="15">
        <v>4520.2</v>
      </c>
      <c r="AF257" s="15">
        <v>1710.6</v>
      </c>
      <c r="AG257" s="2"/>
      <c r="AH257" s="14">
        <f t="shared" si="40"/>
        <v>130</v>
      </c>
      <c r="AI257" s="14">
        <f t="shared" si="41"/>
        <v>93</v>
      </c>
      <c r="AJ257" s="14">
        <f t="shared" si="42"/>
        <v>42</v>
      </c>
      <c r="AK257" s="14">
        <f t="shared" si="43"/>
        <v>72</v>
      </c>
      <c r="AL257" s="14">
        <f t="shared" si="44"/>
        <v>209</v>
      </c>
      <c r="AM257" s="14">
        <f t="shared" si="45"/>
        <v>207</v>
      </c>
      <c r="AN257" s="14">
        <f t="shared" si="46"/>
        <v>75</v>
      </c>
      <c r="AO257" s="14">
        <f t="shared" si="47"/>
        <v>175</v>
      </c>
    </row>
    <row r="258" spans="1:41" ht="12" hidden="1" x14ac:dyDescent="0.25">
      <c r="A258" s="14">
        <v>540174</v>
      </c>
      <c r="B258" s="17" t="s">
        <v>142</v>
      </c>
      <c r="C258" s="17" t="s">
        <v>139</v>
      </c>
      <c r="D258" s="17" t="s">
        <v>2</v>
      </c>
      <c r="E258" s="14">
        <v>1</v>
      </c>
      <c r="F258" s="14" t="s">
        <v>141</v>
      </c>
      <c r="G258" s="14">
        <v>10</v>
      </c>
      <c r="H258" s="14">
        <v>0</v>
      </c>
      <c r="I258" s="14">
        <v>1</v>
      </c>
      <c r="J258" s="14">
        <v>2</v>
      </c>
      <c r="K258" s="14">
        <v>13</v>
      </c>
      <c r="L258" s="16">
        <v>0.76900000000000002</v>
      </c>
      <c r="M258" s="16">
        <v>0</v>
      </c>
      <c r="N258" s="16">
        <v>7.6999999999999999E-2</v>
      </c>
      <c r="O258" s="16">
        <v>0.154</v>
      </c>
      <c r="P258" s="16">
        <v>0</v>
      </c>
      <c r="Q258" s="16">
        <v>0.154</v>
      </c>
      <c r="R258" s="2"/>
      <c r="S258" s="14">
        <v>0</v>
      </c>
      <c r="T258" s="14">
        <v>0</v>
      </c>
      <c r="U258" s="14">
        <v>0</v>
      </c>
      <c r="V258" s="2"/>
      <c r="W258" s="14">
        <v>1957.6</v>
      </c>
      <c r="X258" s="14">
        <v>1955</v>
      </c>
      <c r="Y258" s="15">
        <v>55619.199999999997</v>
      </c>
      <c r="Z258" s="15">
        <v>37800</v>
      </c>
      <c r="AA258" s="15">
        <v>40056.400000000001</v>
      </c>
      <c r="AB258" s="15">
        <v>36400</v>
      </c>
      <c r="AC258" s="16">
        <v>0</v>
      </c>
      <c r="AD258" s="16">
        <v>0</v>
      </c>
      <c r="AE258" s="15">
        <v>0</v>
      </c>
      <c r="AF258" s="15">
        <v>0</v>
      </c>
      <c r="AG258" s="2"/>
      <c r="AH258" s="14">
        <f t="shared" si="40"/>
        <v>143</v>
      </c>
      <c r="AI258" s="14">
        <f t="shared" si="41"/>
        <v>172</v>
      </c>
      <c r="AJ258" s="14">
        <f t="shared" si="42"/>
        <v>108</v>
      </c>
      <c r="AK258" s="14">
        <f t="shared" si="43"/>
        <v>135</v>
      </c>
      <c r="AL258" s="14">
        <f t="shared" si="44"/>
        <v>120</v>
      </c>
      <c r="AM258" s="14">
        <f t="shared" si="45"/>
        <v>111</v>
      </c>
      <c r="AN258" s="14">
        <f t="shared" si="46"/>
        <v>198</v>
      </c>
      <c r="AO258" s="14">
        <f t="shared" si="47"/>
        <v>198</v>
      </c>
    </row>
    <row r="259" spans="1:41" ht="12" hidden="1" x14ac:dyDescent="0.25">
      <c r="A259" s="14">
        <v>540286</v>
      </c>
      <c r="B259" s="17" t="s">
        <v>140</v>
      </c>
      <c r="C259" s="17" t="s">
        <v>139</v>
      </c>
      <c r="D259" s="17" t="s">
        <v>2</v>
      </c>
      <c r="E259" s="14">
        <v>1</v>
      </c>
      <c r="F259" s="14" t="s">
        <v>44</v>
      </c>
      <c r="G259" s="14">
        <v>50</v>
      </c>
      <c r="H259" s="14">
        <v>1</v>
      </c>
      <c r="I259" s="14">
        <v>13</v>
      </c>
      <c r="J259" s="14">
        <v>6</v>
      </c>
      <c r="K259" s="14">
        <v>70</v>
      </c>
      <c r="L259" s="16">
        <v>0.71399999999999997</v>
      </c>
      <c r="M259" s="16">
        <v>1.4E-2</v>
      </c>
      <c r="N259" s="16">
        <v>0.186</v>
      </c>
      <c r="O259" s="16">
        <v>8.5999999999999993E-2</v>
      </c>
      <c r="P259" s="16">
        <v>1.4E-2</v>
      </c>
      <c r="Q259" s="16">
        <v>4.2999999999999997E-2</v>
      </c>
      <c r="R259" s="2"/>
      <c r="S259" s="14">
        <v>38</v>
      </c>
      <c r="T259" s="14">
        <v>9</v>
      </c>
      <c r="U259" s="14">
        <v>5</v>
      </c>
      <c r="V259" s="2"/>
      <c r="W259" s="14">
        <v>1948.8</v>
      </c>
      <c r="X259" s="14">
        <v>1941.5</v>
      </c>
      <c r="Y259" s="15">
        <v>68952.600000000006</v>
      </c>
      <c r="Z259" s="15">
        <v>26350</v>
      </c>
      <c r="AA259" s="15">
        <v>22828.1</v>
      </c>
      <c r="AB259" s="15">
        <v>21800</v>
      </c>
      <c r="AC259" s="16">
        <v>0.39100000000000001</v>
      </c>
      <c r="AD259" s="16">
        <v>0.28299999999999997</v>
      </c>
      <c r="AE259" s="15">
        <v>23012.400000000001</v>
      </c>
      <c r="AF259" s="15">
        <v>10096.299999999999</v>
      </c>
      <c r="AG259" s="2"/>
      <c r="AH259" s="14">
        <f t="shared" si="40"/>
        <v>68</v>
      </c>
      <c r="AI259" s="14">
        <f t="shared" si="41"/>
        <v>41</v>
      </c>
      <c r="AJ259" s="14">
        <f t="shared" si="42"/>
        <v>19</v>
      </c>
      <c r="AK259" s="14">
        <f t="shared" si="43"/>
        <v>91</v>
      </c>
      <c r="AL259" s="14">
        <f t="shared" si="44"/>
        <v>169</v>
      </c>
      <c r="AM259" s="14">
        <f t="shared" si="45"/>
        <v>180</v>
      </c>
      <c r="AN259" s="14">
        <f t="shared" si="46"/>
        <v>20</v>
      </c>
      <c r="AO259" s="14">
        <f t="shared" si="47"/>
        <v>37</v>
      </c>
    </row>
    <row r="260" spans="1:41" hidden="1" x14ac:dyDescent="0.3">
      <c r="A260" s="129"/>
      <c r="B260" s="130"/>
      <c r="C260" s="130" t="s">
        <v>139</v>
      </c>
      <c r="D260" s="130" t="s">
        <v>26</v>
      </c>
      <c r="E260" s="129">
        <v>1</v>
      </c>
      <c r="F260" s="129"/>
      <c r="G260" s="129">
        <v>1595</v>
      </c>
      <c r="H260" s="129">
        <v>86</v>
      </c>
      <c r="I260" s="129">
        <v>495</v>
      </c>
      <c r="J260" s="129">
        <v>317</v>
      </c>
      <c r="K260" s="129">
        <v>2493</v>
      </c>
      <c r="L260" s="131">
        <v>0.64</v>
      </c>
      <c r="M260" s="131">
        <v>3.4000000000000002E-2</v>
      </c>
      <c r="N260" s="131">
        <v>0.19900000000000001</v>
      </c>
      <c r="O260" s="131">
        <v>0.127</v>
      </c>
      <c r="P260" s="131">
        <v>6.2E-2</v>
      </c>
      <c r="Q260" s="131">
        <v>1.7999999999999999E-2</v>
      </c>
      <c r="S260" s="129">
        <v>343</v>
      </c>
      <c r="T260" s="129">
        <v>43</v>
      </c>
      <c r="U260" s="129">
        <v>76</v>
      </c>
      <c r="W260" s="129">
        <v>1955.8</v>
      </c>
      <c r="X260" s="129">
        <v>1964</v>
      </c>
      <c r="Y260" s="132">
        <v>48387.7</v>
      </c>
      <c r="Z260" s="132">
        <v>26000</v>
      </c>
      <c r="AA260" s="132">
        <v>32166.3</v>
      </c>
      <c r="AB260" s="132">
        <v>22000</v>
      </c>
      <c r="AC260" s="131">
        <v>0.251</v>
      </c>
      <c r="AD260" s="131">
        <v>0.16900000000000001</v>
      </c>
      <c r="AE260" s="132">
        <v>8253.2999999999993</v>
      </c>
      <c r="AF260" s="132">
        <v>3601.5</v>
      </c>
      <c r="AH260" s="129">
        <f t="shared" si="40"/>
        <v>30</v>
      </c>
      <c r="AI260" s="129">
        <f t="shared" si="41"/>
        <v>15</v>
      </c>
      <c r="AJ260" s="129">
        <f t="shared" si="42"/>
        <v>25</v>
      </c>
      <c r="AK260" s="129">
        <f t="shared" si="43"/>
        <v>26</v>
      </c>
      <c r="AL260" s="129">
        <f t="shared" si="44"/>
        <v>49</v>
      </c>
      <c r="AM260" s="129">
        <f t="shared" si="45"/>
        <v>54</v>
      </c>
      <c r="AN260" s="129">
        <f t="shared" si="46"/>
        <v>22</v>
      </c>
      <c r="AO260" s="129">
        <f t="shared" si="47"/>
        <v>47</v>
      </c>
    </row>
    <row r="261" spans="1:41" ht="12" hidden="1" x14ac:dyDescent="0.25">
      <c r="A261" s="14">
        <v>540176</v>
      </c>
      <c r="B261" s="17" t="s">
        <v>138</v>
      </c>
      <c r="C261" s="17" t="s">
        <v>127</v>
      </c>
      <c r="D261" s="17" t="s">
        <v>2</v>
      </c>
      <c r="E261" s="14">
        <v>7</v>
      </c>
      <c r="F261" s="14" t="s">
        <v>92</v>
      </c>
      <c r="G261" s="14">
        <v>23</v>
      </c>
      <c r="H261" s="14">
        <v>0</v>
      </c>
      <c r="I261" s="14">
        <v>10</v>
      </c>
      <c r="J261" s="14">
        <v>3</v>
      </c>
      <c r="K261" s="14">
        <v>36</v>
      </c>
      <c r="L261" s="16">
        <v>0.63900000000000001</v>
      </c>
      <c r="M261" s="16">
        <v>0</v>
      </c>
      <c r="N261" s="16">
        <v>0.27800000000000002</v>
      </c>
      <c r="O261" s="16">
        <v>8.3000000000000004E-2</v>
      </c>
      <c r="P261" s="16">
        <v>5.6000000000000001E-2</v>
      </c>
      <c r="Q261" s="16">
        <v>2.8000000000000001E-2</v>
      </c>
      <c r="R261" s="2"/>
      <c r="S261" s="14">
        <v>1</v>
      </c>
      <c r="T261" s="14">
        <v>0</v>
      </c>
      <c r="U261" s="14">
        <v>0</v>
      </c>
      <c r="V261" s="2"/>
      <c r="W261" s="14">
        <v>1948</v>
      </c>
      <c r="X261" s="14">
        <v>1940</v>
      </c>
      <c r="Y261" s="15">
        <v>192046</v>
      </c>
      <c r="Z261" s="15">
        <v>36700</v>
      </c>
      <c r="AA261" s="15">
        <v>38251.800000000003</v>
      </c>
      <c r="AB261" s="15">
        <v>36500</v>
      </c>
      <c r="AC261" s="16">
        <v>0.121</v>
      </c>
      <c r="AD261" s="16">
        <v>0.11</v>
      </c>
      <c r="AE261" s="15">
        <v>4840.2</v>
      </c>
      <c r="AF261" s="15">
        <v>4503</v>
      </c>
      <c r="AG261" s="2"/>
      <c r="AH261" s="14">
        <f t="shared" si="40"/>
        <v>42</v>
      </c>
      <c r="AI261" s="14">
        <f t="shared" si="41"/>
        <v>151</v>
      </c>
      <c r="AJ261" s="14">
        <f t="shared" si="42"/>
        <v>108</v>
      </c>
      <c r="AK261" s="14">
        <f t="shared" si="43"/>
        <v>72</v>
      </c>
      <c r="AL261" s="14">
        <f t="shared" si="44"/>
        <v>126</v>
      </c>
      <c r="AM261" s="14">
        <f t="shared" si="45"/>
        <v>110</v>
      </c>
      <c r="AN261" s="14">
        <f t="shared" si="46"/>
        <v>106</v>
      </c>
      <c r="AO261" s="14">
        <f t="shared" si="47"/>
        <v>98</v>
      </c>
    </row>
    <row r="262" spans="1:41" ht="12" hidden="1" x14ac:dyDescent="0.25">
      <c r="A262" s="14">
        <v>540178</v>
      </c>
      <c r="B262" s="17" t="s">
        <v>137</v>
      </c>
      <c r="C262" s="17" t="s">
        <v>127</v>
      </c>
      <c r="D262" s="17" t="s">
        <v>2</v>
      </c>
      <c r="E262" s="14">
        <v>7</v>
      </c>
      <c r="F262" s="14" t="s">
        <v>62</v>
      </c>
      <c r="G262" s="14">
        <v>19</v>
      </c>
      <c r="H262" s="14">
        <v>0</v>
      </c>
      <c r="I262" s="14">
        <v>9</v>
      </c>
      <c r="J262" s="14">
        <v>6</v>
      </c>
      <c r="K262" s="14">
        <v>34</v>
      </c>
      <c r="L262" s="16">
        <v>0.55900000000000005</v>
      </c>
      <c r="M262" s="16">
        <v>0</v>
      </c>
      <c r="N262" s="16">
        <v>0.26500000000000001</v>
      </c>
      <c r="O262" s="16">
        <v>0.17599999999999999</v>
      </c>
      <c r="P262" s="16">
        <v>8.7999999999999995E-2</v>
      </c>
      <c r="Q262" s="16">
        <v>5.8999999999999997E-2</v>
      </c>
      <c r="R262" s="2"/>
      <c r="S262" s="14">
        <v>6</v>
      </c>
      <c r="T262" s="14">
        <v>0</v>
      </c>
      <c r="U262" s="14">
        <v>1</v>
      </c>
      <c r="V262" s="2"/>
      <c r="W262" s="14">
        <v>1972.7</v>
      </c>
      <c r="X262" s="14">
        <v>1980</v>
      </c>
      <c r="Y262" s="15">
        <v>180077.8</v>
      </c>
      <c r="Z262" s="15">
        <v>51100</v>
      </c>
      <c r="AA262" s="15">
        <v>41665.5</v>
      </c>
      <c r="AB262" s="15">
        <v>50500</v>
      </c>
      <c r="AC262" s="16">
        <v>0.21299999999999999</v>
      </c>
      <c r="AD262" s="16">
        <v>0.19</v>
      </c>
      <c r="AE262" s="15">
        <v>10876.1</v>
      </c>
      <c r="AF262" s="15">
        <v>7420</v>
      </c>
      <c r="AG262" s="2"/>
      <c r="AH262" s="14">
        <f t="shared" si="40"/>
        <v>46</v>
      </c>
      <c r="AI262" s="14">
        <f t="shared" si="41"/>
        <v>106</v>
      </c>
      <c r="AJ262" s="14">
        <f t="shared" si="42"/>
        <v>108</v>
      </c>
      <c r="AK262" s="14">
        <f t="shared" si="43"/>
        <v>192</v>
      </c>
      <c r="AL262" s="14">
        <f t="shared" si="44"/>
        <v>72</v>
      </c>
      <c r="AM262" s="14">
        <f t="shared" si="45"/>
        <v>58</v>
      </c>
      <c r="AN262" s="14">
        <f t="shared" si="46"/>
        <v>56</v>
      </c>
      <c r="AO262" s="14">
        <f t="shared" si="47"/>
        <v>60</v>
      </c>
    </row>
    <row r="263" spans="1:41" ht="12" hidden="1" x14ac:dyDescent="0.25">
      <c r="A263" s="14">
        <v>540264</v>
      </c>
      <c r="B263" s="17" t="s">
        <v>136</v>
      </c>
      <c r="C263" s="17" t="s">
        <v>127</v>
      </c>
      <c r="D263" s="17" t="s">
        <v>2</v>
      </c>
      <c r="E263" s="14">
        <v>7</v>
      </c>
      <c r="F263" s="14" t="s">
        <v>62</v>
      </c>
      <c r="G263" s="14">
        <v>0</v>
      </c>
      <c r="H263" s="14">
        <v>0</v>
      </c>
      <c r="I263" s="14">
        <v>0</v>
      </c>
      <c r="J263" s="14">
        <v>0</v>
      </c>
      <c r="K263" s="14">
        <v>0</v>
      </c>
      <c r="L263" s="16" t="s">
        <v>5</v>
      </c>
      <c r="M263" s="16" t="s">
        <v>5</v>
      </c>
      <c r="N263" s="16" t="s">
        <v>5</v>
      </c>
      <c r="O263" s="16" t="s">
        <v>5</v>
      </c>
      <c r="P263" s="16" t="s">
        <v>5</v>
      </c>
      <c r="Q263" s="16" t="s">
        <v>5</v>
      </c>
      <c r="R263" s="2"/>
      <c r="S263" s="14">
        <v>0</v>
      </c>
      <c r="T263" s="14">
        <v>0</v>
      </c>
      <c r="U263" s="14">
        <v>0</v>
      </c>
      <c r="V263" s="2"/>
      <c r="W263" s="14">
        <v>0</v>
      </c>
      <c r="X263" s="14">
        <v>0</v>
      </c>
      <c r="Y263" s="15">
        <v>0</v>
      </c>
      <c r="Z263" s="15">
        <v>0</v>
      </c>
      <c r="AA263" s="15">
        <v>0</v>
      </c>
      <c r="AB263" s="15">
        <v>0</v>
      </c>
      <c r="AC263" s="16">
        <v>0</v>
      </c>
      <c r="AD263" s="16">
        <v>0</v>
      </c>
      <c r="AE263" s="15">
        <v>0</v>
      </c>
      <c r="AF263" s="15">
        <v>0</v>
      </c>
      <c r="AG263" s="2"/>
      <c r="AH263" s="14">
        <f t="shared" si="40"/>
        <v>1</v>
      </c>
      <c r="AI263" s="14">
        <f t="shared" si="41"/>
        <v>172</v>
      </c>
      <c r="AJ263" s="14">
        <f t="shared" si="42"/>
        <v>108</v>
      </c>
      <c r="AK263" s="14">
        <f t="shared" si="43"/>
        <v>1</v>
      </c>
      <c r="AL263" s="14">
        <f t="shared" si="44"/>
        <v>210</v>
      </c>
      <c r="AM263" s="14">
        <f t="shared" si="45"/>
        <v>208</v>
      </c>
      <c r="AN263" s="14">
        <f t="shared" si="46"/>
        <v>198</v>
      </c>
      <c r="AO263" s="14">
        <f t="shared" si="47"/>
        <v>198</v>
      </c>
    </row>
    <row r="264" spans="1:41" ht="12" hidden="1" x14ac:dyDescent="0.25">
      <c r="A264" s="14">
        <v>540265</v>
      </c>
      <c r="B264" s="17" t="s">
        <v>135</v>
      </c>
      <c r="C264" s="17" t="s">
        <v>127</v>
      </c>
      <c r="D264" s="17" t="s">
        <v>2</v>
      </c>
      <c r="E264" s="14">
        <v>7</v>
      </c>
      <c r="F264" s="14" t="s">
        <v>116</v>
      </c>
      <c r="G264" s="14">
        <v>14</v>
      </c>
      <c r="H264" s="14">
        <v>0</v>
      </c>
      <c r="I264" s="14">
        <v>5</v>
      </c>
      <c r="J264" s="14">
        <v>3</v>
      </c>
      <c r="K264" s="14">
        <v>22</v>
      </c>
      <c r="L264" s="16">
        <v>0.63600000000000001</v>
      </c>
      <c r="M264" s="16">
        <v>0</v>
      </c>
      <c r="N264" s="16">
        <v>0.22700000000000001</v>
      </c>
      <c r="O264" s="16">
        <v>0.13600000000000001</v>
      </c>
      <c r="P264" s="16">
        <v>0</v>
      </c>
      <c r="Q264" s="16">
        <v>4.4999999999999998E-2</v>
      </c>
      <c r="R264" s="2"/>
      <c r="S264" s="14">
        <v>0</v>
      </c>
      <c r="T264" s="14">
        <v>0</v>
      </c>
      <c r="U264" s="14">
        <v>0</v>
      </c>
      <c r="V264" s="2"/>
      <c r="W264" s="14">
        <v>1950.3</v>
      </c>
      <c r="X264" s="14">
        <v>1940</v>
      </c>
      <c r="Y264" s="15">
        <v>47053</v>
      </c>
      <c r="Z264" s="15">
        <v>44633.5</v>
      </c>
      <c r="AA264" s="15">
        <v>48103.199999999997</v>
      </c>
      <c r="AB264" s="15">
        <v>44867</v>
      </c>
      <c r="AC264" s="16">
        <v>0</v>
      </c>
      <c r="AD264" s="16">
        <v>0</v>
      </c>
      <c r="AE264" s="15">
        <v>0</v>
      </c>
      <c r="AF264" s="15">
        <v>0</v>
      </c>
      <c r="AG264" s="2"/>
      <c r="AH264" s="14">
        <f t="shared" si="40"/>
        <v>52</v>
      </c>
      <c r="AI264" s="14">
        <f t="shared" si="41"/>
        <v>172</v>
      </c>
      <c r="AJ264" s="14">
        <f t="shared" si="42"/>
        <v>108</v>
      </c>
      <c r="AK264" s="14">
        <f t="shared" si="43"/>
        <v>72</v>
      </c>
      <c r="AL264" s="14">
        <f t="shared" si="44"/>
        <v>95</v>
      </c>
      <c r="AM264" s="14">
        <f t="shared" si="45"/>
        <v>76</v>
      </c>
      <c r="AN264" s="14">
        <f t="shared" si="46"/>
        <v>198</v>
      </c>
      <c r="AO264" s="14">
        <f t="shared" si="47"/>
        <v>198</v>
      </c>
    </row>
    <row r="265" spans="1:41" ht="12" hidden="1" x14ac:dyDescent="0.25">
      <c r="A265" s="14">
        <v>540266</v>
      </c>
      <c r="B265" s="17" t="s">
        <v>134</v>
      </c>
      <c r="C265" s="17" t="s">
        <v>127</v>
      </c>
      <c r="D265" s="17" t="s">
        <v>2</v>
      </c>
      <c r="E265" s="14">
        <v>7</v>
      </c>
      <c r="F265" s="14" t="s">
        <v>62</v>
      </c>
      <c r="G265" s="14">
        <v>7</v>
      </c>
      <c r="H265" s="14">
        <v>0</v>
      </c>
      <c r="I265" s="14">
        <v>0</v>
      </c>
      <c r="J265" s="14">
        <v>11</v>
      </c>
      <c r="K265" s="14">
        <v>18</v>
      </c>
      <c r="L265" s="16">
        <v>0.38900000000000001</v>
      </c>
      <c r="M265" s="16">
        <v>0</v>
      </c>
      <c r="N265" s="16">
        <v>0</v>
      </c>
      <c r="O265" s="16">
        <v>0.61099999999999999</v>
      </c>
      <c r="P265" s="16">
        <v>0.61099999999999999</v>
      </c>
      <c r="Q265" s="16">
        <v>0</v>
      </c>
      <c r="R265" s="2"/>
      <c r="S265" s="14">
        <v>0</v>
      </c>
      <c r="T265" s="14">
        <v>0</v>
      </c>
      <c r="U265" s="14">
        <v>0</v>
      </c>
      <c r="V265" s="2"/>
      <c r="W265" s="14">
        <v>1940.1</v>
      </c>
      <c r="X265" s="14">
        <v>1936</v>
      </c>
      <c r="Y265" s="15">
        <v>34803.300000000003</v>
      </c>
      <c r="Z265" s="15">
        <v>20165</v>
      </c>
      <c r="AA265" s="15">
        <v>31838.799999999999</v>
      </c>
      <c r="AB265" s="15">
        <v>13000</v>
      </c>
      <c r="AC265" s="16">
        <v>4.2999999999999997E-2</v>
      </c>
      <c r="AD265" s="16">
        <v>4.2999999999999997E-2</v>
      </c>
      <c r="AE265" s="15">
        <v>1031</v>
      </c>
      <c r="AF265" s="15">
        <v>1031</v>
      </c>
      <c r="AG265" s="2"/>
      <c r="AH265" s="14">
        <f t="shared" ref="AH265:AH296" si="48">IF($D265 = "SPLIT", "",COUNTIFS($D$7:$D$346,$D265,N$7:N$346,"&gt;"&amp;N265)+1)</f>
        <v>192</v>
      </c>
      <c r="AI265" s="14">
        <f t="shared" ref="AI265:AI296" si="49">IF($D265 = "SPLIT", "",COUNTIFS($D$7:$D$346,$D265,S$7:S$346,"&gt;"&amp;S265)+1)</f>
        <v>172</v>
      </c>
      <c r="AJ265" s="14">
        <f t="shared" ref="AJ265:AJ296" si="50">IF($D265 = "SPLIT", "",COUNTIFS($D$7:$D$346,$D265,T$7:T$346,"&gt;"&amp;T265)+1)</f>
        <v>108</v>
      </c>
      <c r="AK265" s="14">
        <f t="shared" ref="AK265:AK296" si="51">IF($D265 = "SPLIT", "",COUNTIFS($D$7:$D$346,$D265,X$7:X$346,"&lt;"&amp;X265)+1)</f>
        <v>64</v>
      </c>
      <c r="AL265" s="14">
        <f t="shared" ref="AL265:AL296" si="52">IF($D265 = "SPLIT", "",COUNTIFS($D$7:$D$346,$D265,Z$7:Z$346,"&gt;"&amp;Z265)+1)</f>
        <v>194</v>
      </c>
      <c r="AM265" s="14">
        <f t="shared" ref="AM265:AM296" si="53">IF($D265 = "SPLIT", "",COUNTIFS($D$7:$D$346,$D265,AB$7:AB$346,"&gt;"&amp;AB265)+1)</f>
        <v>204</v>
      </c>
      <c r="AN265" s="14">
        <f t="shared" ref="AN265:AN296" si="54">IF($D265 = "SPLIT", "",COUNTIFS($D$7:$D$346,$D265,AD$7:AD$346,"&gt;"&amp;AD265)+1)</f>
        <v>173</v>
      </c>
      <c r="AO265" s="14">
        <f t="shared" ref="AO265:AO296" si="55">IF($D265 = "SPLIT", "",COUNTIFS($D$7:$D$346,$D265,AF$7:AF$346,"&gt;"&amp;AF265)+1)</f>
        <v>188</v>
      </c>
    </row>
    <row r="266" spans="1:41" ht="12" hidden="1" x14ac:dyDescent="0.25">
      <c r="A266" s="14">
        <v>540267</v>
      </c>
      <c r="B266" s="17" t="s">
        <v>133</v>
      </c>
      <c r="C266" s="17" t="s">
        <v>127</v>
      </c>
      <c r="D266" s="17" t="s">
        <v>2</v>
      </c>
      <c r="E266" s="14">
        <v>7</v>
      </c>
      <c r="F266" s="14" t="s">
        <v>132</v>
      </c>
      <c r="G266" s="14">
        <v>18</v>
      </c>
      <c r="H266" s="14">
        <v>4</v>
      </c>
      <c r="I266" s="14">
        <v>4</v>
      </c>
      <c r="J266" s="14">
        <v>2</v>
      </c>
      <c r="K266" s="14">
        <v>28</v>
      </c>
      <c r="L266" s="16">
        <v>0.64300000000000002</v>
      </c>
      <c r="M266" s="16">
        <v>0.14299999999999999</v>
      </c>
      <c r="N266" s="16">
        <v>0.14299999999999999</v>
      </c>
      <c r="O266" s="16">
        <v>7.0999999999999994E-2</v>
      </c>
      <c r="P266" s="16">
        <v>3.5999999999999997E-2</v>
      </c>
      <c r="Q266" s="16">
        <v>3.5999999999999997E-2</v>
      </c>
      <c r="R266" s="2"/>
      <c r="S266" s="14">
        <v>1</v>
      </c>
      <c r="T266" s="14">
        <v>0</v>
      </c>
      <c r="U266" s="14">
        <v>0</v>
      </c>
      <c r="V266" s="2"/>
      <c r="W266" s="14">
        <v>1977.4</v>
      </c>
      <c r="X266" s="14">
        <v>1981</v>
      </c>
      <c r="Y266" s="15">
        <v>84678.6</v>
      </c>
      <c r="Z266" s="15">
        <v>48750</v>
      </c>
      <c r="AA266" s="15">
        <v>102168.4</v>
      </c>
      <c r="AB266" s="15">
        <v>56700</v>
      </c>
      <c r="AC266" s="16">
        <v>0.06</v>
      </c>
      <c r="AD266" s="16">
        <v>3.1E-2</v>
      </c>
      <c r="AE266" s="15">
        <v>6467.1</v>
      </c>
      <c r="AF266" s="15">
        <v>1997.7</v>
      </c>
      <c r="AG266" s="2"/>
      <c r="AH266" s="14">
        <f t="shared" si="48"/>
        <v>91</v>
      </c>
      <c r="AI266" s="14">
        <f t="shared" si="49"/>
        <v>151</v>
      </c>
      <c r="AJ266" s="14">
        <f t="shared" si="50"/>
        <v>108</v>
      </c>
      <c r="AK266" s="14">
        <f t="shared" si="51"/>
        <v>196</v>
      </c>
      <c r="AL266" s="14">
        <f t="shared" si="52"/>
        <v>77</v>
      </c>
      <c r="AM266" s="14">
        <f t="shared" si="53"/>
        <v>44</v>
      </c>
      <c r="AN266" s="14">
        <f t="shared" si="54"/>
        <v>189</v>
      </c>
      <c r="AO266" s="14">
        <f t="shared" si="55"/>
        <v>167</v>
      </c>
    </row>
    <row r="267" spans="1:41" ht="12" hidden="1" x14ac:dyDescent="0.25">
      <c r="A267" s="14">
        <v>540177</v>
      </c>
      <c r="B267" s="17" t="s">
        <v>131</v>
      </c>
      <c r="C267" s="17" t="s">
        <v>127</v>
      </c>
      <c r="D267" s="17" t="s">
        <v>2</v>
      </c>
      <c r="E267" s="14">
        <v>7</v>
      </c>
      <c r="F267" s="14" t="s">
        <v>130</v>
      </c>
      <c r="G267" s="14">
        <v>163</v>
      </c>
      <c r="H267" s="14">
        <v>8</v>
      </c>
      <c r="I267" s="14">
        <v>33</v>
      </c>
      <c r="J267" s="14">
        <v>27</v>
      </c>
      <c r="K267" s="14">
        <v>231</v>
      </c>
      <c r="L267" s="16">
        <v>0.70599999999999996</v>
      </c>
      <c r="M267" s="16">
        <v>3.5000000000000003E-2</v>
      </c>
      <c r="N267" s="16">
        <v>0.14299999999999999</v>
      </c>
      <c r="O267" s="16">
        <v>0.11700000000000001</v>
      </c>
      <c r="P267" s="16">
        <v>0.108</v>
      </c>
      <c r="Q267" s="16">
        <v>4.0000000000000001E-3</v>
      </c>
      <c r="R267" s="2"/>
      <c r="S267" s="14">
        <v>2</v>
      </c>
      <c r="T267" s="14">
        <v>0</v>
      </c>
      <c r="U267" s="14">
        <v>0</v>
      </c>
      <c r="V267" s="2"/>
      <c r="W267" s="14">
        <v>1951.8</v>
      </c>
      <c r="X267" s="14">
        <v>1946.5</v>
      </c>
      <c r="Y267" s="15">
        <v>77860.899999999994</v>
      </c>
      <c r="Z267" s="15">
        <v>55200</v>
      </c>
      <c r="AA267" s="15">
        <v>57621.3</v>
      </c>
      <c r="AB267" s="15">
        <v>54500</v>
      </c>
      <c r="AC267" s="16">
        <v>7.2999999999999995E-2</v>
      </c>
      <c r="AD267" s="16">
        <v>5.2999999999999999E-2</v>
      </c>
      <c r="AE267" s="15">
        <v>5998.2</v>
      </c>
      <c r="AF267" s="15">
        <v>3291.6</v>
      </c>
      <c r="AG267" s="2"/>
      <c r="AH267" s="14">
        <f t="shared" si="48"/>
        <v>91</v>
      </c>
      <c r="AI267" s="14">
        <f t="shared" si="49"/>
        <v>134</v>
      </c>
      <c r="AJ267" s="14">
        <f t="shared" si="50"/>
        <v>108</v>
      </c>
      <c r="AK267" s="14">
        <f t="shared" si="51"/>
        <v>108</v>
      </c>
      <c r="AL267" s="14">
        <f t="shared" si="52"/>
        <v>58</v>
      </c>
      <c r="AM267" s="14">
        <f t="shared" si="53"/>
        <v>50</v>
      </c>
      <c r="AN267" s="14">
        <f t="shared" si="54"/>
        <v>165</v>
      </c>
      <c r="AO267" s="14">
        <f t="shared" si="55"/>
        <v>132</v>
      </c>
    </row>
    <row r="268" spans="1:41" ht="12" hidden="1" x14ac:dyDescent="0.25">
      <c r="A268" s="19">
        <v>540175</v>
      </c>
      <c r="B268" s="22" t="s">
        <v>129</v>
      </c>
      <c r="C268" s="22" t="s">
        <v>127</v>
      </c>
      <c r="D268" s="22" t="s">
        <v>29</v>
      </c>
      <c r="E268" s="19">
        <v>7</v>
      </c>
      <c r="F268" s="19" t="s">
        <v>128</v>
      </c>
      <c r="G268" s="19">
        <v>875</v>
      </c>
      <c r="H268" s="19">
        <v>10</v>
      </c>
      <c r="I268" s="19">
        <v>290</v>
      </c>
      <c r="J268" s="19">
        <v>91</v>
      </c>
      <c r="K268" s="19">
        <v>1266</v>
      </c>
      <c r="L268" s="21">
        <v>0.69099999999999995</v>
      </c>
      <c r="M268" s="21">
        <v>8.0000000000000002E-3</v>
      </c>
      <c r="N268" s="21">
        <v>0.22900000000000001</v>
      </c>
      <c r="O268" s="21">
        <v>7.1999999999999995E-2</v>
      </c>
      <c r="P268" s="21">
        <v>4.2999999999999997E-2</v>
      </c>
      <c r="Q268" s="21">
        <v>0.01</v>
      </c>
      <c r="R268" s="2"/>
      <c r="S268" s="19">
        <v>223</v>
      </c>
      <c r="T268" s="19">
        <v>45</v>
      </c>
      <c r="U268" s="19">
        <v>8</v>
      </c>
      <c r="V268" s="2"/>
      <c r="W268" s="19">
        <v>1969.1</v>
      </c>
      <c r="X268" s="19">
        <v>1976</v>
      </c>
      <c r="Y268" s="20">
        <v>62639.8</v>
      </c>
      <c r="Z268" s="20">
        <v>39050</v>
      </c>
      <c r="AA268" s="20">
        <v>54044.2</v>
      </c>
      <c r="AB268" s="20">
        <v>37200</v>
      </c>
      <c r="AC268" s="21">
        <v>0.29899999999999999</v>
      </c>
      <c r="AD268" s="21">
        <v>0.23</v>
      </c>
      <c r="AE268" s="20">
        <v>15568.8</v>
      </c>
      <c r="AF268" s="20">
        <v>7890.5</v>
      </c>
      <c r="AG268" s="2"/>
      <c r="AH268" s="19">
        <f t="shared" si="48"/>
        <v>31</v>
      </c>
      <c r="AI268" s="19">
        <f t="shared" si="49"/>
        <v>14</v>
      </c>
      <c r="AJ268" s="19">
        <f t="shared" si="50"/>
        <v>14</v>
      </c>
      <c r="AK268" s="19">
        <f t="shared" si="51"/>
        <v>37</v>
      </c>
      <c r="AL268" s="19">
        <f t="shared" si="52"/>
        <v>25</v>
      </c>
      <c r="AM268" s="19">
        <f t="shared" si="53"/>
        <v>25</v>
      </c>
      <c r="AN268" s="19">
        <f t="shared" si="54"/>
        <v>15</v>
      </c>
      <c r="AO268" s="19">
        <f t="shared" si="55"/>
        <v>20</v>
      </c>
    </row>
    <row r="269" spans="1:41" hidden="1" x14ac:dyDescent="0.3">
      <c r="A269" s="129"/>
      <c r="B269" s="130"/>
      <c r="C269" s="130" t="s">
        <v>127</v>
      </c>
      <c r="D269" s="130" t="s">
        <v>26</v>
      </c>
      <c r="E269" s="129">
        <v>7</v>
      </c>
      <c r="F269" s="129"/>
      <c r="G269" s="129">
        <v>1119</v>
      </c>
      <c r="H269" s="129">
        <v>22</v>
      </c>
      <c r="I269" s="129">
        <v>351</v>
      </c>
      <c r="J269" s="129">
        <v>143</v>
      </c>
      <c r="K269" s="129">
        <v>1635</v>
      </c>
      <c r="L269" s="131">
        <v>0.68400000000000005</v>
      </c>
      <c r="M269" s="131">
        <v>1.2999999999999999E-2</v>
      </c>
      <c r="N269" s="131">
        <v>0.215</v>
      </c>
      <c r="O269" s="131">
        <v>8.6999999999999994E-2</v>
      </c>
      <c r="P269" s="131">
        <v>5.8999999999999997E-2</v>
      </c>
      <c r="Q269" s="131">
        <v>1.2E-2</v>
      </c>
      <c r="S269" s="129">
        <v>233</v>
      </c>
      <c r="T269" s="129">
        <v>45</v>
      </c>
      <c r="U269" s="129">
        <v>9</v>
      </c>
      <c r="W269" s="129">
        <v>1966.1</v>
      </c>
      <c r="X269" s="129">
        <v>1974</v>
      </c>
      <c r="Y269" s="132">
        <v>69943</v>
      </c>
      <c r="Z269" s="132">
        <v>41100</v>
      </c>
      <c r="AA269" s="132">
        <v>64436.1</v>
      </c>
      <c r="AB269" s="132">
        <v>52350</v>
      </c>
      <c r="AC269" s="131">
        <v>0.27600000000000002</v>
      </c>
      <c r="AD269" s="131">
        <v>0.22700000000000001</v>
      </c>
      <c r="AE269" s="132">
        <v>14446.4</v>
      </c>
      <c r="AF269" s="132">
        <v>7195.2</v>
      </c>
      <c r="AH269" s="129">
        <f t="shared" si="48"/>
        <v>24</v>
      </c>
      <c r="AI269" s="129">
        <f t="shared" si="49"/>
        <v>26</v>
      </c>
      <c r="AJ269" s="129">
        <f t="shared" si="50"/>
        <v>24</v>
      </c>
      <c r="AK269" s="129">
        <f t="shared" si="51"/>
        <v>42</v>
      </c>
      <c r="AL269" s="129">
        <f t="shared" si="52"/>
        <v>26</v>
      </c>
      <c r="AM269" s="129">
        <f t="shared" si="53"/>
        <v>19</v>
      </c>
      <c r="AN269" s="129">
        <f t="shared" si="54"/>
        <v>13</v>
      </c>
      <c r="AO269" s="129">
        <f t="shared" si="55"/>
        <v>20</v>
      </c>
    </row>
    <row r="270" spans="1:41" ht="12" hidden="1" x14ac:dyDescent="0.25">
      <c r="A270" s="19">
        <v>540224</v>
      </c>
      <c r="B270" s="22" t="s">
        <v>126</v>
      </c>
      <c r="C270" s="22" t="s">
        <v>114</v>
      </c>
      <c r="D270" s="22" t="s">
        <v>29</v>
      </c>
      <c r="E270" s="19">
        <v>5</v>
      </c>
      <c r="F270" s="19" t="s">
        <v>125</v>
      </c>
      <c r="G270" s="19">
        <v>300</v>
      </c>
      <c r="H270" s="19">
        <v>29</v>
      </c>
      <c r="I270" s="19">
        <v>60</v>
      </c>
      <c r="J270" s="19">
        <v>7</v>
      </c>
      <c r="K270" s="19">
        <v>396</v>
      </c>
      <c r="L270" s="21">
        <v>0.75800000000000001</v>
      </c>
      <c r="M270" s="21">
        <v>7.2999999999999995E-2</v>
      </c>
      <c r="N270" s="21">
        <v>0.152</v>
      </c>
      <c r="O270" s="21">
        <v>1.7999999999999999E-2</v>
      </c>
      <c r="P270" s="21">
        <v>1.4999999999999999E-2</v>
      </c>
      <c r="Q270" s="21">
        <v>0</v>
      </c>
      <c r="R270" s="2"/>
      <c r="S270" s="19">
        <v>45</v>
      </c>
      <c r="T270" s="19">
        <v>10</v>
      </c>
      <c r="U270" s="19">
        <v>7</v>
      </c>
      <c r="V270" s="2"/>
      <c r="W270" s="19">
        <v>1952.6</v>
      </c>
      <c r="X270" s="19">
        <v>1960</v>
      </c>
      <c r="Y270" s="20">
        <v>43597.9</v>
      </c>
      <c r="Z270" s="20">
        <v>29800</v>
      </c>
      <c r="AA270" s="20">
        <v>40974.300000000003</v>
      </c>
      <c r="AB270" s="20">
        <v>29450</v>
      </c>
      <c r="AC270" s="21">
        <v>0.24299999999999999</v>
      </c>
      <c r="AD270" s="21">
        <v>0.13800000000000001</v>
      </c>
      <c r="AE270" s="20">
        <v>5356.4</v>
      </c>
      <c r="AF270" s="20">
        <v>3080.1</v>
      </c>
      <c r="AG270" s="2"/>
      <c r="AH270" s="19">
        <f t="shared" si="48"/>
        <v>47</v>
      </c>
      <c r="AI270" s="19">
        <f t="shared" si="49"/>
        <v>47</v>
      </c>
      <c r="AJ270" s="19">
        <f t="shared" si="50"/>
        <v>39</v>
      </c>
      <c r="AK270" s="19">
        <f t="shared" si="51"/>
        <v>6</v>
      </c>
      <c r="AL270" s="19">
        <f t="shared" si="52"/>
        <v>37</v>
      </c>
      <c r="AM270" s="19">
        <f t="shared" si="53"/>
        <v>36</v>
      </c>
      <c r="AN270" s="19">
        <f t="shared" si="54"/>
        <v>41</v>
      </c>
      <c r="AO270" s="19">
        <f t="shared" si="55"/>
        <v>52</v>
      </c>
    </row>
    <row r="271" spans="1:41" ht="12" hidden="1" x14ac:dyDescent="0.25">
      <c r="A271" s="14">
        <v>540132</v>
      </c>
      <c r="B271" s="17" t="s">
        <v>124</v>
      </c>
      <c r="C271" s="17" t="s">
        <v>114</v>
      </c>
      <c r="D271" s="17" t="s">
        <v>2</v>
      </c>
      <c r="E271" s="14">
        <v>5</v>
      </c>
      <c r="F271" s="14" t="s">
        <v>123</v>
      </c>
      <c r="G271" s="14">
        <v>1</v>
      </c>
      <c r="H271" s="14">
        <v>0</v>
      </c>
      <c r="I271" s="14">
        <v>0</v>
      </c>
      <c r="J271" s="14">
        <v>0</v>
      </c>
      <c r="K271" s="14">
        <v>1</v>
      </c>
      <c r="L271" s="16">
        <v>1</v>
      </c>
      <c r="M271" s="16">
        <v>0</v>
      </c>
      <c r="N271" s="16">
        <v>0</v>
      </c>
      <c r="O271" s="16">
        <v>0</v>
      </c>
      <c r="P271" s="16">
        <v>0</v>
      </c>
      <c r="Q271" s="16">
        <v>0</v>
      </c>
      <c r="R271" s="2"/>
      <c r="S271" s="14">
        <v>0</v>
      </c>
      <c r="T271" s="14">
        <v>0</v>
      </c>
      <c r="U271" s="14">
        <v>0</v>
      </c>
      <c r="V271" s="2"/>
      <c r="W271" s="14">
        <v>0</v>
      </c>
      <c r="X271" s="14">
        <v>0</v>
      </c>
      <c r="Y271" s="15">
        <v>17000</v>
      </c>
      <c r="Z271" s="15">
        <v>17000</v>
      </c>
      <c r="AA271" s="15">
        <v>17000</v>
      </c>
      <c r="AB271" s="15">
        <v>17000</v>
      </c>
      <c r="AC271" s="16">
        <v>0</v>
      </c>
      <c r="AD271" s="16">
        <v>0</v>
      </c>
      <c r="AE271" s="15">
        <v>0</v>
      </c>
      <c r="AF271" s="15">
        <v>0</v>
      </c>
      <c r="AG271" s="2"/>
      <c r="AH271" s="14">
        <f t="shared" si="48"/>
        <v>192</v>
      </c>
      <c r="AI271" s="14">
        <f t="shared" si="49"/>
        <v>172</v>
      </c>
      <c r="AJ271" s="14">
        <f t="shared" si="50"/>
        <v>108</v>
      </c>
      <c r="AK271" s="14">
        <f t="shared" si="51"/>
        <v>1</v>
      </c>
      <c r="AL271" s="14">
        <f t="shared" si="52"/>
        <v>199</v>
      </c>
      <c r="AM271" s="14">
        <f t="shared" si="53"/>
        <v>191</v>
      </c>
      <c r="AN271" s="14">
        <f t="shared" si="54"/>
        <v>198</v>
      </c>
      <c r="AO271" s="14">
        <f t="shared" si="55"/>
        <v>198</v>
      </c>
    </row>
    <row r="272" spans="1:41" ht="12" hidden="1" x14ac:dyDescent="0.25">
      <c r="A272" s="14">
        <v>540179</v>
      </c>
      <c r="B272" s="17" t="s">
        <v>122</v>
      </c>
      <c r="C272" s="17" t="s">
        <v>114</v>
      </c>
      <c r="D272" s="17" t="s">
        <v>2</v>
      </c>
      <c r="E272" s="14">
        <v>5</v>
      </c>
      <c r="F272" s="14" t="s">
        <v>121</v>
      </c>
      <c r="G272" s="14">
        <v>23</v>
      </c>
      <c r="H272" s="14">
        <v>0</v>
      </c>
      <c r="I272" s="14">
        <v>3</v>
      </c>
      <c r="J272" s="14">
        <v>0</v>
      </c>
      <c r="K272" s="14">
        <v>26</v>
      </c>
      <c r="L272" s="16">
        <v>0.88500000000000001</v>
      </c>
      <c r="M272" s="16">
        <v>0</v>
      </c>
      <c r="N272" s="16">
        <v>0.115</v>
      </c>
      <c r="O272" s="16">
        <v>0</v>
      </c>
      <c r="P272" s="16">
        <v>0</v>
      </c>
      <c r="Q272" s="16">
        <v>0</v>
      </c>
      <c r="R272" s="2"/>
      <c r="S272" s="14">
        <v>1</v>
      </c>
      <c r="T272" s="14">
        <v>0</v>
      </c>
      <c r="U272" s="14">
        <v>0</v>
      </c>
      <c r="V272" s="2"/>
      <c r="W272" s="14">
        <v>1927</v>
      </c>
      <c r="X272" s="14">
        <v>1916.5</v>
      </c>
      <c r="Y272" s="15">
        <v>43150.8</v>
      </c>
      <c r="Z272" s="15">
        <v>32300</v>
      </c>
      <c r="AA272" s="15">
        <v>44334.3</v>
      </c>
      <c r="AB272" s="15">
        <v>33700</v>
      </c>
      <c r="AC272" s="16">
        <v>9.9000000000000005E-2</v>
      </c>
      <c r="AD272" s="16">
        <v>6.9000000000000006E-2</v>
      </c>
      <c r="AE272" s="15">
        <v>3730</v>
      </c>
      <c r="AF272" s="15">
        <v>2090.6999999999998</v>
      </c>
      <c r="AG272" s="2"/>
      <c r="AH272" s="14">
        <f t="shared" si="48"/>
        <v>111</v>
      </c>
      <c r="AI272" s="14">
        <f t="shared" si="49"/>
        <v>151</v>
      </c>
      <c r="AJ272" s="14">
        <f t="shared" si="50"/>
        <v>108</v>
      </c>
      <c r="AK272" s="14">
        <f t="shared" si="51"/>
        <v>20</v>
      </c>
      <c r="AL272" s="14">
        <f t="shared" si="52"/>
        <v>147</v>
      </c>
      <c r="AM272" s="14">
        <f t="shared" si="53"/>
        <v>119</v>
      </c>
      <c r="AN272" s="14">
        <f t="shared" si="54"/>
        <v>147</v>
      </c>
      <c r="AO272" s="14">
        <f t="shared" si="55"/>
        <v>164</v>
      </c>
    </row>
    <row r="273" spans="1:41" ht="12" hidden="1" x14ac:dyDescent="0.25">
      <c r="A273" s="14">
        <v>540180</v>
      </c>
      <c r="B273" s="17" t="s">
        <v>120</v>
      </c>
      <c r="C273" s="17" t="s">
        <v>114</v>
      </c>
      <c r="D273" s="17" t="s">
        <v>2</v>
      </c>
      <c r="E273" s="14">
        <v>5</v>
      </c>
      <c r="F273" s="14" t="s">
        <v>62</v>
      </c>
      <c r="G273" s="14">
        <v>10</v>
      </c>
      <c r="H273" s="14">
        <v>1</v>
      </c>
      <c r="I273" s="14">
        <v>6</v>
      </c>
      <c r="J273" s="14">
        <v>1</v>
      </c>
      <c r="K273" s="14">
        <v>18</v>
      </c>
      <c r="L273" s="16">
        <v>0.55600000000000005</v>
      </c>
      <c r="M273" s="16">
        <v>5.6000000000000001E-2</v>
      </c>
      <c r="N273" s="16">
        <v>0.33300000000000002</v>
      </c>
      <c r="O273" s="16">
        <v>5.6000000000000001E-2</v>
      </c>
      <c r="P273" s="16">
        <v>0</v>
      </c>
      <c r="Q273" s="16">
        <v>0</v>
      </c>
      <c r="R273" s="2"/>
      <c r="S273" s="14">
        <v>1</v>
      </c>
      <c r="T273" s="14">
        <v>0</v>
      </c>
      <c r="U273" s="14">
        <v>0</v>
      </c>
      <c r="V273" s="2"/>
      <c r="W273" s="14">
        <v>1972.1</v>
      </c>
      <c r="X273" s="14">
        <v>1975</v>
      </c>
      <c r="Y273" s="15">
        <v>53303.9</v>
      </c>
      <c r="Z273" s="15">
        <v>35700</v>
      </c>
      <c r="AA273" s="15">
        <v>34352.699999999997</v>
      </c>
      <c r="AB273" s="15">
        <v>31700</v>
      </c>
      <c r="AC273" s="16">
        <v>4.5999999999999999E-2</v>
      </c>
      <c r="AD273" s="16">
        <v>5.1999999999999998E-2</v>
      </c>
      <c r="AE273" s="15">
        <v>4584.3999999999996</v>
      </c>
      <c r="AF273" s="15">
        <v>2909</v>
      </c>
      <c r="AG273" s="2"/>
      <c r="AH273" s="14">
        <f t="shared" si="48"/>
        <v>29</v>
      </c>
      <c r="AI273" s="14">
        <f t="shared" si="49"/>
        <v>151</v>
      </c>
      <c r="AJ273" s="14">
        <f t="shared" si="50"/>
        <v>108</v>
      </c>
      <c r="AK273" s="14">
        <f t="shared" si="51"/>
        <v>175</v>
      </c>
      <c r="AL273" s="14">
        <f t="shared" si="52"/>
        <v>131</v>
      </c>
      <c r="AM273" s="14">
        <f t="shared" si="53"/>
        <v>127</v>
      </c>
      <c r="AN273" s="14">
        <f t="shared" si="54"/>
        <v>166</v>
      </c>
      <c r="AO273" s="14">
        <f t="shared" si="55"/>
        <v>141</v>
      </c>
    </row>
    <row r="274" spans="1:41" ht="12" hidden="1" x14ac:dyDescent="0.25">
      <c r="A274" s="14">
        <v>540182</v>
      </c>
      <c r="B274" s="17" t="s">
        <v>119</v>
      </c>
      <c r="C274" s="17" t="s">
        <v>114</v>
      </c>
      <c r="D274" s="17" t="s">
        <v>2</v>
      </c>
      <c r="E274" s="14">
        <v>5</v>
      </c>
      <c r="F274" s="14" t="s">
        <v>118</v>
      </c>
      <c r="G274" s="14">
        <v>25</v>
      </c>
      <c r="H274" s="14">
        <v>2</v>
      </c>
      <c r="I274" s="14">
        <v>5</v>
      </c>
      <c r="J274" s="14">
        <v>0</v>
      </c>
      <c r="K274" s="14">
        <v>32</v>
      </c>
      <c r="L274" s="16">
        <v>0.78100000000000003</v>
      </c>
      <c r="M274" s="16">
        <v>6.3E-2</v>
      </c>
      <c r="N274" s="16">
        <v>0.156</v>
      </c>
      <c r="O274" s="16">
        <v>0</v>
      </c>
      <c r="P274" s="16">
        <v>0</v>
      </c>
      <c r="Q274" s="16">
        <v>0</v>
      </c>
      <c r="R274" s="2"/>
      <c r="S274" s="14">
        <v>1</v>
      </c>
      <c r="T274" s="14">
        <v>0</v>
      </c>
      <c r="U274" s="14">
        <v>0</v>
      </c>
      <c r="V274" s="2"/>
      <c r="W274" s="14">
        <v>1953.8</v>
      </c>
      <c r="X274" s="14">
        <v>1963</v>
      </c>
      <c r="Y274" s="15">
        <v>108551</v>
      </c>
      <c r="Z274" s="15">
        <v>67550</v>
      </c>
      <c r="AA274" s="15">
        <v>61463.8</v>
      </c>
      <c r="AB274" s="15">
        <v>67550</v>
      </c>
      <c r="AC274" s="16">
        <v>6.4000000000000001E-2</v>
      </c>
      <c r="AD274" s="16">
        <v>6.3E-2</v>
      </c>
      <c r="AE274" s="15">
        <v>4547.6000000000004</v>
      </c>
      <c r="AF274" s="15">
        <v>2917.6</v>
      </c>
      <c r="AG274" s="2"/>
      <c r="AH274" s="14">
        <f t="shared" si="48"/>
        <v>83</v>
      </c>
      <c r="AI274" s="14">
        <f t="shared" si="49"/>
        <v>151</v>
      </c>
      <c r="AJ274" s="14">
        <f t="shared" si="50"/>
        <v>108</v>
      </c>
      <c r="AK274" s="14">
        <f t="shared" si="51"/>
        <v>152</v>
      </c>
      <c r="AL274" s="14">
        <f t="shared" si="52"/>
        <v>37</v>
      </c>
      <c r="AM274" s="14">
        <f t="shared" si="53"/>
        <v>21</v>
      </c>
      <c r="AN274" s="14">
        <f t="shared" si="54"/>
        <v>155</v>
      </c>
      <c r="AO274" s="14">
        <f t="shared" si="55"/>
        <v>140</v>
      </c>
    </row>
    <row r="275" spans="1:41" ht="12" hidden="1" x14ac:dyDescent="0.25">
      <c r="A275" s="14">
        <v>540262</v>
      </c>
      <c r="B275" s="17" t="s">
        <v>117</v>
      </c>
      <c r="C275" s="17" t="s">
        <v>114</v>
      </c>
      <c r="D275" s="17" t="s">
        <v>2</v>
      </c>
      <c r="E275" s="14">
        <v>5</v>
      </c>
      <c r="F275" s="14" t="s">
        <v>116</v>
      </c>
      <c r="G275" s="14">
        <v>15</v>
      </c>
      <c r="H275" s="14">
        <v>0</v>
      </c>
      <c r="I275" s="14">
        <v>2</v>
      </c>
      <c r="J275" s="14">
        <v>0</v>
      </c>
      <c r="K275" s="14">
        <v>17</v>
      </c>
      <c r="L275" s="16">
        <v>0.88200000000000001</v>
      </c>
      <c r="M275" s="16">
        <v>0</v>
      </c>
      <c r="N275" s="16">
        <v>0.11799999999999999</v>
      </c>
      <c r="O275" s="16">
        <v>0</v>
      </c>
      <c r="P275" s="16">
        <v>0</v>
      </c>
      <c r="Q275" s="16">
        <v>0</v>
      </c>
      <c r="R275" s="2"/>
      <c r="S275" s="14">
        <v>1</v>
      </c>
      <c r="T275" s="14">
        <v>0</v>
      </c>
      <c r="U275" s="14">
        <v>0</v>
      </c>
      <c r="V275" s="2"/>
      <c r="W275" s="14">
        <v>1930.4</v>
      </c>
      <c r="X275" s="14">
        <v>1920</v>
      </c>
      <c r="Y275" s="15">
        <v>21888.2</v>
      </c>
      <c r="Z275" s="15">
        <v>16200</v>
      </c>
      <c r="AA275" s="15">
        <v>20877.5</v>
      </c>
      <c r="AB275" s="15">
        <v>15950</v>
      </c>
      <c r="AC275" s="16">
        <v>0.20200000000000001</v>
      </c>
      <c r="AD275" s="16">
        <v>0.16800000000000001</v>
      </c>
      <c r="AE275" s="15">
        <v>3675.8</v>
      </c>
      <c r="AF275" s="15">
        <v>2979.9</v>
      </c>
      <c r="AG275" s="2"/>
      <c r="AH275" s="14">
        <f t="shared" si="48"/>
        <v>109</v>
      </c>
      <c r="AI275" s="14">
        <f t="shared" si="49"/>
        <v>151</v>
      </c>
      <c r="AJ275" s="14">
        <f t="shared" si="50"/>
        <v>108</v>
      </c>
      <c r="AK275" s="14">
        <f t="shared" si="51"/>
        <v>21</v>
      </c>
      <c r="AL275" s="14">
        <f t="shared" si="52"/>
        <v>201</v>
      </c>
      <c r="AM275" s="14">
        <f t="shared" si="53"/>
        <v>196</v>
      </c>
      <c r="AN275" s="14">
        <f t="shared" si="54"/>
        <v>64</v>
      </c>
      <c r="AO275" s="14">
        <f t="shared" si="55"/>
        <v>138</v>
      </c>
    </row>
    <row r="276" spans="1:41" ht="12" hidden="1" x14ac:dyDescent="0.25">
      <c r="A276" s="14">
        <v>540263</v>
      </c>
      <c r="B276" s="17" t="s">
        <v>115</v>
      </c>
      <c r="C276" s="17" t="s">
        <v>114</v>
      </c>
      <c r="D276" s="17" t="s">
        <v>2</v>
      </c>
      <c r="E276" s="14">
        <v>5</v>
      </c>
      <c r="F276" s="14" t="s">
        <v>92</v>
      </c>
      <c r="G276" s="14">
        <v>12</v>
      </c>
      <c r="H276" s="14">
        <v>2</v>
      </c>
      <c r="I276" s="14">
        <v>1</v>
      </c>
      <c r="J276" s="14">
        <v>0</v>
      </c>
      <c r="K276" s="14">
        <v>15</v>
      </c>
      <c r="L276" s="16">
        <v>0.8</v>
      </c>
      <c r="M276" s="16">
        <v>0.13300000000000001</v>
      </c>
      <c r="N276" s="16">
        <v>6.7000000000000004E-2</v>
      </c>
      <c r="O276" s="16">
        <v>0</v>
      </c>
      <c r="P276" s="16">
        <v>0</v>
      </c>
      <c r="Q276" s="16">
        <v>0</v>
      </c>
      <c r="R276" s="2"/>
      <c r="S276" s="14">
        <v>0</v>
      </c>
      <c r="T276" s="14">
        <v>0</v>
      </c>
      <c r="U276" s="14">
        <v>0</v>
      </c>
      <c r="V276" s="2"/>
      <c r="W276" s="14">
        <v>1941.2</v>
      </c>
      <c r="X276" s="14">
        <v>1950</v>
      </c>
      <c r="Y276" s="15">
        <v>42409.3</v>
      </c>
      <c r="Z276" s="15">
        <v>39100</v>
      </c>
      <c r="AA276" s="15">
        <v>34155.4</v>
      </c>
      <c r="AB276" s="15">
        <v>32600</v>
      </c>
      <c r="AC276" s="16">
        <v>0.17399999999999999</v>
      </c>
      <c r="AD276" s="16">
        <v>0.17399999999999999</v>
      </c>
      <c r="AE276" s="15">
        <v>7305.1</v>
      </c>
      <c r="AF276" s="15">
        <v>7305.1</v>
      </c>
      <c r="AG276" s="2"/>
      <c r="AH276" s="14">
        <f t="shared" si="48"/>
        <v>152</v>
      </c>
      <c r="AI276" s="14">
        <f t="shared" si="49"/>
        <v>172</v>
      </c>
      <c r="AJ276" s="14">
        <f t="shared" si="50"/>
        <v>108</v>
      </c>
      <c r="AK276" s="14">
        <f t="shared" si="51"/>
        <v>120</v>
      </c>
      <c r="AL276" s="14">
        <f t="shared" si="52"/>
        <v>117</v>
      </c>
      <c r="AM276" s="14">
        <f t="shared" si="53"/>
        <v>124</v>
      </c>
      <c r="AN276" s="14">
        <f t="shared" si="54"/>
        <v>63</v>
      </c>
      <c r="AO276" s="14">
        <f t="shared" si="55"/>
        <v>61</v>
      </c>
    </row>
    <row r="277" spans="1:41" hidden="1" x14ac:dyDescent="0.3">
      <c r="A277" s="129"/>
      <c r="B277" s="130"/>
      <c r="C277" s="130" t="s">
        <v>114</v>
      </c>
      <c r="D277" s="130" t="s">
        <v>26</v>
      </c>
      <c r="E277" s="129">
        <v>5</v>
      </c>
      <c r="F277" s="129"/>
      <c r="G277" s="129">
        <v>386</v>
      </c>
      <c r="H277" s="129">
        <v>34</v>
      </c>
      <c r="I277" s="129">
        <v>77</v>
      </c>
      <c r="J277" s="129">
        <v>8</v>
      </c>
      <c r="K277" s="129">
        <v>505</v>
      </c>
      <c r="L277" s="131">
        <v>0.76400000000000001</v>
      </c>
      <c r="M277" s="131">
        <v>6.7000000000000004E-2</v>
      </c>
      <c r="N277" s="131">
        <v>0.152</v>
      </c>
      <c r="O277" s="131">
        <v>1.6E-2</v>
      </c>
      <c r="P277" s="131">
        <v>1.2E-2</v>
      </c>
      <c r="Q277" s="131">
        <v>0</v>
      </c>
      <c r="S277" s="129">
        <v>49</v>
      </c>
      <c r="T277" s="129">
        <v>10</v>
      </c>
      <c r="U277" s="129">
        <v>7</v>
      </c>
      <c r="W277" s="129">
        <v>1950.9</v>
      </c>
      <c r="X277" s="129">
        <v>1960</v>
      </c>
      <c r="Y277" s="132">
        <v>47217.9</v>
      </c>
      <c r="Z277" s="132">
        <v>31500</v>
      </c>
      <c r="AA277" s="132">
        <v>47352.6</v>
      </c>
      <c r="AB277" s="132">
        <v>36000</v>
      </c>
      <c r="AC277" s="131">
        <v>0.218</v>
      </c>
      <c r="AD277" s="131">
        <v>0.11799999999999999</v>
      </c>
      <c r="AE277" s="132">
        <v>5131.3999999999996</v>
      </c>
      <c r="AF277" s="132">
        <v>2927.7</v>
      </c>
      <c r="AH277" s="129">
        <f t="shared" si="48"/>
        <v>44</v>
      </c>
      <c r="AI277" s="129">
        <f t="shared" si="49"/>
        <v>52</v>
      </c>
      <c r="AJ277" s="129">
        <f t="shared" si="50"/>
        <v>44</v>
      </c>
      <c r="AK277" s="129">
        <f t="shared" si="51"/>
        <v>18</v>
      </c>
      <c r="AL277" s="129">
        <f t="shared" si="52"/>
        <v>40</v>
      </c>
      <c r="AM277" s="129">
        <f t="shared" si="53"/>
        <v>41</v>
      </c>
      <c r="AN277" s="129">
        <f t="shared" si="54"/>
        <v>47</v>
      </c>
      <c r="AO277" s="129">
        <f t="shared" si="55"/>
        <v>53</v>
      </c>
    </row>
    <row r="278" spans="1:41" ht="12" hidden="1" x14ac:dyDescent="0.25">
      <c r="A278" s="19">
        <v>540183</v>
      </c>
      <c r="B278" s="22" t="s">
        <v>113</v>
      </c>
      <c r="C278" s="22" t="s">
        <v>109</v>
      </c>
      <c r="D278" s="22" t="s">
        <v>29</v>
      </c>
      <c r="E278" s="19">
        <v>5</v>
      </c>
      <c r="F278" s="19" t="s">
        <v>92</v>
      </c>
      <c r="G278" s="19">
        <v>474</v>
      </c>
      <c r="H278" s="19">
        <v>86</v>
      </c>
      <c r="I278" s="19">
        <v>229</v>
      </c>
      <c r="J278" s="19">
        <v>40</v>
      </c>
      <c r="K278" s="19">
        <v>829</v>
      </c>
      <c r="L278" s="21">
        <v>0.57199999999999995</v>
      </c>
      <c r="M278" s="21">
        <v>0.104</v>
      </c>
      <c r="N278" s="21">
        <v>0.27600000000000002</v>
      </c>
      <c r="O278" s="21">
        <v>4.8000000000000001E-2</v>
      </c>
      <c r="P278" s="21">
        <v>2.3E-2</v>
      </c>
      <c r="Q278" s="21">
        <v>1.2E-2</v>
      </c>
      <c r="R278" s="2"/>
      <c r="S278" s="19">
        <v>76</v>
      </c>
      <c r="T278" s="19">
        <v>6</v>
      </c>
      <c r="U278" s="19">
        <v>8</v>
      </c>
      <c r="V278" s="2"/>
      <c r="W278" s="19">
        <v>1965.6</v>
      </c>
      <c r="X278" s="19">
        <v>1975</v>
      </c>
      <c r="Y278" s="20">
        <v>80174.3</v>
      </c>
      <c r="Z278" s="20">
        <v>53630</v>
      </c>
      <c r="AA278" s="20">
        <v>58463.5</v>
      </c>
      <c r="AB278" s="20">
        <v>53300</v>
      </c>
      <c r="AC278" s="21">
        <v>0.17199999999999999</v>
      </c>
      <c r="AD278" s="21">
        <v>0.123</v>
      </c>
      <c r="AE278" s="20">
        <v>9772.2999999999993</v>
      </c>
      <c r="AF278" s="20">
        <v>4886</v>
      </c>
      <c r="AG278" s="2"/>
      <c r="AH278" s="19">
        <f t="shared" si="48"/>
        <v>18</v>
      </c>
      <c r="AI278" s="19">
        <f t="shared" si="49"/>
        <v>38</v>
      </c>
      <c r="AJ278" s="19">
        <f t="shared" si="50"/>
        <v>43</v>
      </c>
      <c r="AK278" s="19">
        <f t="shared" si="51"/>
        <v>32</v>
      </c>
      <c r="AL278" s="19">
        <f t="shared" si="52"/>
        <v>8</v>
      </c>
      <c r="AM278" s="19">
        <f t="shared" si="53"/>
        <v>7</v>
      </c>
      <c r="AN278" s="19">
        <f t="shared" si="54"/>
        <v>44</v>
      </c>
      <c r="AO278" s="19">
        <f t="shared" si="55"/>
        <v>38</v>
      </c>
    </row>
    <row r="279" spans="1:41" ht="12" hidden="1" x14ac:dyDescent="0.25">
      <c r="A279" s="14">
        <v>540184</v>
      </c>
      <c r="B279" s="17" t="s">
        <v>112</v>
      </c>
      <c r="C279" s="17" t="s">
        <v>109</v>
      </c>
      <c r="D279" s="17" t="s">
        <v>2</v>
      </c>
      <c r="E279" s="14">
        <v>5</v>
      </c>
      <c r="F279" s="14" t="s">
        <v>111</v>
      </c>
      <c r="G279" s="14">
        <v>23</v>
      </c>
      <c r="H279" s="14">
        <v>0</v>
      </c>
      <c r="I279" s="14">
        <v>5</v>
      </c>
      <c r="J279" s="14">
        <v>1</v>
      </c>
      <c r="K279" s="14">
        <v>29</v>
      </c>
      <c r="L279" s="16">
        <v>0.79300000000000004</v>
      </c>
      <c r="M279" s="16">
        <v>0</v>
      </c>
      <c r="N279" s="16">
        <v>0.17199999999999999</v>
      </c>
      <c r="O279" s="16">
        <v>3.4000000000000002E-2</v>
      </c>
      <c r="P279" s="16">
        <v>0</v>
      </c>
      <c r="Q279" s="16">
        <v>3.4000000000000002E-2</v>
      </c>
      <c r="R279" s="2"/>
      <c r="S279" s="14">
        <v>0</v>
      </c>
      <c r="T279" s="14">
        <v>0</v>
      </c>
      <c r="U279" s="14">
        <v>1</v>
      </c>
      <c r="V279" s="2"/>
      <c r="W279" s="14">
        <v>1935.4</v>
      </c>
      <c r="X279" s="14">
        <v>1920</v>
      </c>
      <c r="Y279" s="15">
        <v>48881.7</v>
      </c>
      <c r="Z279" s="15">
        <v>45400</v>
      </c>
      <c r="AA279" s="15">
        <v>43852.2</v>
      </c>
      <c r="AB279" s="15">
        <v>45400</v>
      </c>
      <c r="AC279" s="16">
        <v>8.2000000000000003E-2</v>
      </c>
      <c r="AD279" s="16">
        <v>4.5999999999999999E-2</v>
      </c>
      <c r="AE279" s="15">
        <v>2471.8000000000002</v>
      </c>
      <c r="AF279" s="15">
        <v>1327.4</v>
      </c>
      <c r="AG279" s="2"/>
      <c r="AH279" s="14">
        <f t="shared" si="48"/>
        <v>75</v>
      </c>
      <c r="AI279" s="14">
        <f t="shared" si="49"/>
        <v>172</v>
      </c>
      <c r="AJ279" s="14">
        <f t="shared" si="50"/>
        <v>108</v>
      </c>
      <c r="AK279" s="14">
        <f t="shared" si="51"/>
        <v>21</v>
      </c>
      <c r="AL279" s="14">
        <f t="shared" si="52"/>
        <v>89</v>
      </c>
      <c r="AM279" s="14">
        <f t="shared" si="53"/>
        <v>75</v>
      </c>
      <c r="AN279" s="14">
        <f t="shared" si="54"/>
        <v>172</v>
      </c>
      <c r="AO279" s="14">
        <f t="shared" si="55"/>
        <v>182</v>
      </c>
    </row>
    <row r="280" spans="1:41" ht="12" hidden="1" x14ac:dyDescent="0.25">
      <c r="A280" s="14">
        <v>540185</v>
      </c>
      <c r="B280" s="17" t="s">
        <v>110</v>
      </c>
      <c r="C280" s="17" t="s">
        <v>109</v>
      </c>
      <c r="D280" s="17" t="s">
        <v>2</v>
      </c>
      <c r="E280" s="14">
        <v>5</v>
      </c>
      <c r="F280" s="14" t="s">
        <v>74</v>
      </c>
      <c r="G280" s="14">
        <v>187</v>
      </c>
      <c r="H280" s="14">
        <v>0</v>
      </c>
      <c r="I280" s="14">
        <v>32</v>
      </c>
      <c r="J280" s="14">
        <v>1</v>
      </c>
      <c r="K280" s="14">
        <v>220</v>
      </c>
      <c r="L280" s="16">
        <v>0.85</v>
      </c>
      <c r="M280" s="16">
        <v>0</v>
      </c>
      <c r="N280" s="16">
        <v>0.14499999999999999</v>
      </c>
      <c r="O280" s="16">
        <v>5.0000000000000001E-3</v>
      </c>
      <c r="P280" s="16">
        <v>0</v>
      </c>
      <c r="Q280" s="16">
        <v>5.0000000000000001E-3</v>
      </c>
      <c r="R280" s="2"/>
      <c r="S280" s="14">
        <v>71</v>
      </c>
      <c r="T280" s="14">
        <v>6</v>
      </c>
      <c r="U280" s="14">
        <v>0</v>
      </c>
      <c r="V280" s="2"/>
      <c r="W280" s="14">
        <v>1942.2</v>
      </c>
      <c r="X280" s="14">
        <v>1945</v>
      </c>
      <c r="Y280" s="15">
        <v>148549.70000000001</v>
      </c>
      <c r="Z280" s="15">
        <v>44200</v>
      </c>
      <c r="AA280" s="15">
        <v>44645.3</v>
      </c>
      <c r="AB280" s="15">
        <v>40350</v>
      </c>
      <c r="AC280" s="16">
        <v>0.248</v>
      </c>
      <c r="AD280" s="16">
        <v>0.23599999999999999</v>
      </c>
      <c r="AE280" s="15">
        <v>10626.9</v>
      </c>
      <c r="AF280" s="15">
        <v>9157.7000000000007</v>
      </c>
      <c r="AG280" s="2"/>
      <c r="AH280" s="14">
        <f t="shared" si="48"/>
        <v>86</v>
      </c>
      <c r="AI280" s="14">
        <f t="shared" si="49"/>
        <v>22</v>
      </c>
      <c r="AJ280" s="14">
        <f t="shared" si="50"/>
        <v>27</v>
      </c>
      <c r="AK280" s="14">
        <f t="shared" si="51"/>
        <v>98</v>
      </c>
      <c r="AL280" s="14">
        <f t="shared" si="52"/>
        <v>96</v>
      </c>
      <c r="AM280" s="14">
        <f t="shared" si="53"/>
        <v>98</v>
      </c>
      <c r="AN280" s="14">
        <f t="shared" si="54"/>
        <v>38</v>
      </c>
      <c r="AO280" s="14">
        <f t="shared" si="55"/>
        <v>43</v>
      </c>
    </row>
    <row r="281" spans="1:41" hidden="1" x14ac:dyDescent="0.3">
      <c r="A281" s="129"/>
      <c r="B281" s="130"/>
      <c r="C281" s="130" t="s">
        <v>109</v>
      </c>
      <c r="D281" s="130" t="s">
        <v>26</v>
      </c>
      <c r="E281" s="129">
        <v>5</v>
      </c>
      <c r="F281" s="129"/>
      <c r="G281" s="129">
        <v>684</v>
      </c>
      <c r="H281" s="129">
        <v>86</v>
      </c>
      <c r="I281" s="129">
        <v>266</v>
      </c>
      <c r="J281" s="129">
        <v>42</v>
      </c>
      <c r="K281" s="129">
        <v>1078</v>
      </c>
      <c r="L281" s="131">
        <v>0.63500000000000001</v>
      </c>
      <c r="M281" s="131">
        <v>0.08</v>
      </c>
      <c r="N281" s="131">
        <v>0.247</v>
      </c>
      <c r="O281" s="131">
        <v>3.9E-2</v>
      </c>
      <c r="P281" s="131">
        <v>1.7999999999999999E-2</v>
      </c>
      <c r="Q281" s="131">
        <v>1.0999999999999999E-2</v>
      </c>
      <c r="S281" s="129">
        <v>147</v>
      </c>
      <c r="T281" s="129">
        <v>12</v>
      </c>
      <c r="U281" s="129">
        <v>9</v>
      </c>
      <c r="W281" s="129">
        <v>1959.6</v>
      </c>
      <c r="X281" s="129">
        <v>1969</v>
      </c>
      <c r="Y281" s="132">
        <v>93286.6</v>
      </c>
      <c r="Z281" s="132">
        <v>49405</v>
      </c>
      <c r="AA281" s="132">
        <v>63575.1</v>
      </c>
      <c r="AB281" s="132">
        <v>55500</v>
      </c>
      <c r="AC281" s="131">
        <v>0.19600000000000001</v>
      </c>
      <c r="AD281" s="131">
        <v>0.151</v>
      </c>
      <c r="AE281" s="132">
        <v>9800.2999999999993</v>
      </c>
      <c r="AF281" s="132">
        <v>6324.6</v>
      </c>
      <c r="AH281" s="129">
        <f t="shared" si="48"/>
        <v>19</v>
      </c>
      <c r="AI281" s="129">
        <f t="shared" si="49"/>
        <v>36</v>
      </c>
      <c r="AJ281" s="129">
        <f t="shared" si="50"/>
        <v>43</v>
      </c>
      <c r="AK281" s="129">
        <f t="shared" si="51"/>
        <v>30</v>
      </c>
      <c r="AL281" s="129">
        <f t="shared" si="52"/>
        <v>14</v>
      </c>
      <c r="AM281" s="129">
        <f t="shared" si="53"/>
        <v>12</v>
      </c>
      <c r="AN281" s="129">
        <f t="shared" si="54"/>
        <v>32</v>
      </c>
      <c r="AO281" s="129">
        <f t="shared" si="55"/>
        <v>26</v>
      </c>
    </row>
    <row r="282" spans="1:41" ht="12" hidden="1" x14ac:dyDescent="0.25">
      <c r="A282" s="19">
        <v>540186</v>
      </c>
      <c r="B282" s="22" t="s">
        <v>108</v>
      </c>
      <c r="C282" s="22" t="s">
        <v>105</v>
      </c>
      <c r="D282" s="22" t="s">
        <v>29</v>
      </c>
      <c r="E282" s="19">
        <v>1</v>
      </c>
      <c r="F282" s="19" t="s">
        <v>107</v>
      </c>
      <c r="G282" s="19">
        <v>468</v>
      </c>
      <c r="H282" s="19">
        <v>45</v>
      </c>
      <c r="I282" s="19">
        <v>336</v>
      </c>
      <c r="J282" s="19">
        <v>44</v>
      </c>
      <c r="K282" s="19">
        <v>893</v>
      </c>
      <c r="L282" s="21">
        <v>0.52400000000000002</v>
      </c>
      <c r="M282" s="21">
        <v>0.05</v>
      </c>
      <c r="N282" s="21">
        <v>0.376</v>
      </c>
      <c r="O282" s="21">
        <v>4.9000000000000002E-2</v>
      </c>
      <c r="P282" s="21">
        <v>2.1000000000000001E-2</v>
      </c>
      <c r="Q282" s="21">
        <v>4.0000000000000001E-3</v>
      </c>
      <c r="R282" s="2"/>
      <c r="S282" s="19">
        <v>318</v>
      </c>
      <c r="T282" s="19">
        <v>93</v>
      </c>
      <c r="U282" s="19">
        <v>28</v>
      </c>
      <c r="V282" s="2"/>
      <c r="W282" s="19">
        <v>1964.4</v>
      </c>
      <c r="X282" s="19">
        <v>1972</v>
      </c>
      <c r="Y282" s="20">
        <v>47166.9</v>
      </c>
      <c r="Z282" s="20">
        <v>34000</v>
      </c>
      <c r="AA282" s="20">
        <v>42927.3</v>
      </c>
      <c r="AB282" s="20">
        <v>33500</v>
      </c>
      <c r="AC282" s="21">
        <v>0.34599999999999997</v>
      </c>
      <c r="AD282" s="21">
        <v>0.315</v>
      </c>
      <c r="AE282" s="20">
        <v>14710.5</v>
      </c>
      <c r="AF282" s="20">
        <v>10110.200000000001</v>
      </c>
      <c r="AG282" s="2"/>
      <c r="AH282" s="19">
        <f t="shared" si="48"/>
        <v>7</v>
      </c>
      <c r="AI282" s="19">
        <f t="shared" si="49"/>
        <v>9</v>
      </c>
      <c r="AJ282" s="19">
        <f t="shared" si="50"/>
        <v>8</v>
      </c>
      <c r="AK282" s="19">
        <f t="shared" si="51"/>
        <v>27</v>
      </c>
      <c r="AL282" s="19">
        <f t="shared" si="52"/>
        <v>32</v>
      </c>
      <c r="AM282" s="19">
        <f t="shared" si="53"/>
        <v>28</v>
      </c>
      <c r="AN282" s="19">
        <f t="shared" si="54"/>
        <v>9</v>
      </c>
      <c r="AO282" s="19">
        <f t="shared" si="55"/>
        <v>12</v>
      </c>
    </row>
    <row r="283" spans="1:41" ht="12" hidden="1" x14ac:dyDescent="0.25">
      <c r="A283" s="14">
        <v>540187</v>
      </c>
      <c r="B283" s="17" t="s">
        <v>106</v>
      </c>
      <c r="C283" s="17" t="s">
        <v>105</v>
      </c>
      <c r="D283" s="17" t="s">
        <v>2</v>
      </c>
      <c r="E283" s="14">
        <v>1</v>
      </c>
      <c r="F283" s="14" t="s">
        <v>31</v>
      </c>
      <c r="G283" s="14">
        <v>62</v>
      </c>
      <c r="H283" s="14">
        <v>1</v>
      </c>
      <c r="I283" s="14">
        <v>28</v>
      </c>
      <c r="J283" s="14">
        <v>2</v>
      </c>
      <c r="K283" s="14">
        <v>93</v>
      </c>
      <c r="L283" s="16">
        <v>0.66700000000000004</v>
      </c>
      <c r="M283" s="16">
        <v>1.0999999999999999E-2</v>
      </c>
      <c r="N283" s="16">
        <v>0.30099999999999999</v>
      </c>
      <c r="O283" s="16">
        <v>2.1999999999999999E-2</v>
      </c>
      <c r="P283" s="16">
        <v>1.0999999999999999E-2</v>
      </c>
      <c r="Q283" s="16">
        <v>0</v>
      </c>
      <c r="R283" s="2"/>
      <c r="S283" s="14">
        <v>5</v>
      </c>
      <c r="T283" s="14">
        <v>2</v>
      </c>
      <c r="U283" s="14">
        <v>0</v>
      </c>
      <c r="V283" s="2"/>
      <c r="W283" s="14">
        <v>1949.6</v>
      </c>
      <c r="X283" s="14">
        <v>1943</v>
      </c>
      <c r="Y283" s="15">
        <v>83030.3</v>
      </c>
      <c r="Z283" s="15">
        <v>43300</v>
      </c>
      <c r="AA283" s="15">
        <v>47184.3</v>
      </c>
      <c r="AB283" s="15">
        <v>39800</v>
      </c>
      <c r="AC283" s="16">
        <v>0.126</v>
      </c>
      <c r="AD283" s="16">
        <v>7.8E-2</v>
      </c>
      <c r="AE283" s="15">
        <v>6526.7</v>
      </c>
      <c r="AF283" s="15">
        <v>2681.5</v>
      </c>
      <c r="AG283" s="2"/>
      <c r="AH283" s="14">
        <f t="shared" si="48"/>
        <v>34</v>
      </c>
      <c r="AI283" s="14">
        <f t="shared" si="49"/>
        <v>110</v>
      </c>
      <c r="AJ283" s="14">
        <f t="shared" si="50"/>
        <v>56</v>
      </c>
      <c r="AK283" s="14">
        <f t="shared" si="51"/>
        <v>94</v>
      </c>
      <c r="AL283" s="14">
        <f t="shared" si="52"/>
        <v>100</v>
      </c>
      <c r="AM283" s="14">
        <f t="shared" si="53"/>
        <v>101</v>
      </c>
      <c r="AN283" s="14">
        <f t="shared" si="54"/>
        <v>136</v>
      </c>
      <c r="AO283" s="14">
        <f t="shared" si="55"/>
        <v>148</v>
      </c>
    </row>
    <row r="284" spans="1:41" hidden="1" x14ac:dyDescent="0.3">
      <c r="A284" s="129"/>
      <c r="B284" s="130"/>
      <c r="C284" s="130" t="s">
        <v>105</v>
      </c>
      <c r="D284" s="130" t="s">
        <v>26</v>
      </c>
      <c r="E284" s="129">
        <v>1</v>
      </c>
      <c r="F284" s="129"/>
      <c r="G284" s="129">
        <v>530</v>
      </c>
      <c r="H284" s="129">
        <v>46</v>
      </c>
      <c r="I284" s="129">
        <v>364</v>
      </c>
      <c r="J284" s="129">
        <v>46</v>
      </c>
      <c r="K284" s="129">
        <v>986</v>
      </c>
      <c r="L284" s="131">
        <v>0.53800000000000003</v>
      </c>
      <c r="M284" s="131">
        <v>4.7E-2</v>
      </c>
      <c r="N284" s="131">
        <v>0.36899999999999999</v>
      </c>
      <c r="O284" s="131">
        <v>4.7E-2</v>
      </c>
      <c r="P284" s="131">
        <v>0.02</v>
      </c>
      <c r="Q284" s="131">
        <v>4.0000000000000001E-3</v>
      </c>
      <c r="S284" s="129">
        <v>323</v>
      </c>
      <c r="T284" s="129">
        <v>95</v>
      </c>
      <c r="U284" s="129">
        <v>28</v>
      </c>
      <c r="W284" s="129">
        <v>1963.1</v>
      </c>
      <c r="X284" s="129">
        <v>1970</v>
      </c>
      <c r="Y284" s="132">
        <v>50549.599999999999</v>
      </c>
      <c r="Z284" s="132">
        <v>35250</v>
      </c>
      <c r="AA284" s="132">
        <v>51155.3</v>
      </c>
      <c r="AB284" s="132">
        <v>41600</v>
      </c>
      <c r="AC284" s="131">
        <v>0.33500000000000002</v>
      </c>
      <c r="AD284" s="131">
        <v>0.29799999999999999</v>
      </c>
      <c r="AE284" s="132">
        <v>14327.6</v>
      </c>
      <c r="AF284" s="132">
        <v>9889.6</v>
      </c>
      <c r="AH284" s="129">
        <f t="shared" si="48"/>
        <v>6</v>
      </c>
      <c r="AI284" s="129">
        <f t="shared" si="49"/>
        <v>17</v>
      </c>
      <c r="AJ284" s="129">
        <f t="shared" si="50"/>
        <v>10</v>
      </c>
      <c r="AK284" s="129">
        <f t="shared" si="51"/>
        <v>32</v>
      </c>
      <c r="AL284" s="129">
        <f t="shared" si="52"/>
        <v>34</v>
      </c>
      <c r="AM284" s="129">
        <f t="shared" si="53"/>
        <v>35</v>
      </c>
      <c r="AN284" s="129">
        <f t="shared" si="54"/>
        <v>6</v>
      </c>
      <c r="AO284" s="129">
        <f t="shared" si="55"/>
        <v>11</v>
      </c>
    </row>
    <row r="285" spans="1:41" ht="12" hidden="1" x14ac:dyDescent="0.25">
      <c r="A285" s="19">
        <v>540188</v>
      </c>
      <c r="B285" s="22" t="s">
        <v>104</v>
      </c>
      <c r="C285" s="22" t="s">
        <v>100</v>
      </c>
      <c r="D285" s="22" t="s">
        <v>29</v>
      </c>
      <c r="E285" s="19">
        <v>6</v>
      </c>
      <c r="F285" s="19" t="s">
        <v>81</v>
      </c>
      <c r="G285" s="19">
        <v>161</v>
      </c>
      <c r="H285" s="19">
        <v>23</v>
      </c>
      <c r="I285" s="19">
        <v>42</v>
      </c>
      <c r="J285" s="19">
        <v>37</v>
      </c>
      <c r="K285" s="19">
        <v>263</v>
      </c>
      <c r="L285" s="21">
        <v>0.61199999999999999</v>
      </c>
      <c r="M285" s="21">
        <v>8.6999999999999994E-2</v>
      </c>
      <c r="N285" s="21">
        <v>0.16</v>
      </c>
      <c r="O285" s="21">
        <v>0.14099999999999999</v>
      </c>
      <c r="P285" s="21">
        <v>0.106</v>
      </c>
      <c r="Q285" s="21">
        <v>1.9E-2</v>
      </c>
      <c r="R285" s="2"/>
      <c r="S285" s="19">
        <v>57</v>
      </c>
      <c r="T285" s="19">
        <v>8</v>
      </c>
      <c r="U285" s="19">
        <v>4</v>
      </c>
      <c r="V285" s="2"/>
      <c r="W285" s="19">
        <v>1959.7</v>
      </c>
      <c r="X285" s="19">
        <v>1968</v>
      </c>
      <c r="Y285" s="20">
        <v>67946.100000000006</v>
      </c>
      <c r="Z285" s="20">
        <v>41300</v>
      </c>
      <c r="AA285" s="20">
        <v>60547.9</v>
      </c>
      <c r="AB285" s="20">
        <v>39866</v>
      </c>
      <c r="AC285" s="21">
        <v>0.22600000000000001</v>
      </c>
      <c r="AD285" s="21">
        <v>0.16500000000000001</v>
      </c>
      <c r="AE285" s="20">
        <v>13825.4</v>
      </c>
      <c r="AF285" s="20">
        <v>7190.9</v>
      </c>
      <c r="AG285" s="2"/>
      <c r="AH285" s="19">
        <f t="shared" si="48"/>
        <v>46</v>
      </c>
      <c r="AI285" s="19">
        <f t="shared" si="49"/>
        <v>45</v>
      </c>
      <c r="AJ285" s="19">
        <f t="shared" si="50"/>
        <v>40</v>
      </c>
      <c r="AK285" s="19">
        <f t="shared" si="51"/>
        <v>16</v>
      </c>
      <c r="AL285" s="19">
        <f t="shared" si="52"/>
        <v>22</v>
      </c>
      <c r="AM285" s="19">
        <f t="shared" si="53"/>
        <v>22</v>
      </c>
      <c r="AN285" s="19">
        <f t="shared" si="54"/>
        <v>32</v>
      </c>
      <c r="AO285" s="19">
        <f t="shared" si="55"/>
        <v>22</v>
      </c>
    </row>
    <row r="286" spans="1:41" ht="12" hidden="1" x14ac:dyDescent="0.25">
      <c r="A286" s="14">
        <v>540189</v>
      </c>
      <c r="B286" s="17" t="s">
        <v>103</v>
      </c>
      <c r="C286" s="17" t="s">
        <v>100</v>
      </c>
      <c r="D286" s="17" t="s">
        <v>2</v>
      </c>
      <c r="E286" s="14">
        <v>6</v>
      </c>
      <c r="F286" s="14" t="s">
        <v>102</v>
      </c>
      <c r="G286" s="14">
        <v>10</v>
      </c>
      <c r="H286" s="14">
        <v>0</v>
      </c>
      <c r="I286" s="14">
        <v>0</v>
      </c>
      <c r="J286" s="14">
        <v>3</v>
      </c>
      <c r="K286" s="14">
        <v>13</v>
      </c>
      <c r="L286" s="16">
        <v>0.76900000000000002</v>
      </c>
      <c r="M286" s="16">
        <v>0</v>
      </c>
      <c r="N286" s="16">
        <v>0</v>
      </c>
      <c r="O286" s="16">
        <v>0.23100000000000001</v>
      </c>
      <c r="P286" s="16">
        <v>0</v>
      </c>
      <c r="Q286" s="16">
        <v>0.154</v>
      </c>
      <c r="R286" s="2"/>
      <c r="S286" s="14">
        <v>1</v>
      </c>
      <c r="T286" s="14">
        <v>0</v>
      </c>
      <c r="U286" s="14">
        <v>2</v>
      </c>
      <c r="V286" s="2"/>
      <c r="W286" s="14">
        <v>1934.9</v>
      </c>
      <c r="X286" s="14">
        <v>1932.5</v>
      </c>
      <c r="Y286" s="15">
        <v>40804.6</v>
      </c>
      <c r="Z286" s="15">
        <v>33000</v>
      </c>
      <c r="AA286" s="15">
        <v>36828.6</v>
      </c>
      <c r="AB286" s="15">
        <v>33000</v>
      </c>
      <c r="AC286" s="16">
        <v>8.2000000000000003E-2</v>
      </c>
      <c r="AD286" s="16">
        <v>7.2999999999999995E-2</v>
      </c>
      <c r="AE286" s="15">
        <v>3317.1</v>
      </c>
      <c r="AF286" s="15">
        <v>2681.9</v>
      </c>
      <c r="AG286" s="2"/>
      <c r="AH286" s="14">
        <f t="shared" si="48"/>
        <v>192</v>
      </c>
      <c r="AI286" s="14">
        <f t="shared" si="49"/>
        <v>151</v>
      </c>
      <c r="AJ286" s="14">
        <f t="shared" si="50"/>
        <v>108</v>
      </c>
      <c r="AK286" s="14">
        <f t="shared" si="51"/>
        <v>59</v>
      </c>
      <c r="AL286" s="14">
        <f t="shared" si="52"/>
        <v>143</v>
      </c>
      <c r="AM286" s="14">
        <f t="shared" si="53"/>
        <v>122</v>
      </c>
      <c r="AN286" s="14">
        <f t="shared" si="54"/>
        <v>142</v>
      </c>
      <c r="AO286" s="14">
        <f t="shared" si="55"/>
        <v>147</v>
      </c>
    </row>
    <row r="287" spans="1:41" ht="12" hidden="1" x14ac:dyDescent="0.25">
      <c r="A287" s="14">
        <v>540190</v>
      </c>
      <c r="B287" s="17" t="s">
        <v>101</v>
      </c>
      <c r="C287" s="17" t="s">
        <v>100</v>
      </c>
      <c r="D287" s="17" t="s">
        <v>2</v>
      </c>
      <c r="E287" s="14">
        <v>6</v>
      </c>
      <c r="F287" s="14" t="s">
        <v>97</v>
      </c>
      <c r="G287" s="14">
        <v>137</v>
      </c>
      <c r="H287" s="14">
        <v>3</v>
      </c>
      <c r="I287" s="14">
        <v>9</v>
      </c>
      <c r="J287" s="14">
        <v>4</v>
      </c>
      <c r="K287" s="14">
        <v>153</v>
      </c>
      <c r="L287" s="16">
        <v>0.89500000000000002</v>
      </c>
      <c r="M287" s="16">
        <v>0.02</v>
      </c>
      <c r="N287" s="16">
        <v>5.8999999999999997E-2</v>
      </c>
      <c r="O287" s="16">
        <v>2.5999999999999999E-2</v>
      </c>
      <c r="P287" s="16">
        <v>0</v>
      </c>
      <c r="Q287" s="16">
        <v>0.02</v>
      </c>
      <c r="R287" s="2"/>
      <c r="S287" s="14">
        <v>12</v>
      </c>
      <c r="T287" s="14">
        <v>2</v>
      </c>
      <c r="U287" s="14">
        <v>2</v>
      </c>
      <c r="V287" s="2"/>
      <c r="W287" s="14">
        <v>1940.2</v>
      </c>
      <c r="X287" s="14">
        <v>1940</v>
      </c>
      <c r="Y287" s="15">
        <v>184807.6</v>
      </c>
      <c r="Z287" s="15">
        <v>57000</v>
      </c>
      <c r="AA287" s="15">
        <v>61155.9</v>
      </c>
      <c r="AB287" s="15">
        <v>55500</v>
      </c>
      <c r="AC287" s="16">
        <v>0.114</v>
      </c>
      <c r="AD287" s="16">
        <v>6.8000000000000005E-2</v>
      </c>
      <c r="AE287" s="15">
        <v>6722.5</v>
      </c>
      <c r="AF287" s="15">
        <v>2820.2</v>
      </c>
      <c r="AG287" s="2"/>
      <c r="AH287" s="14">
        <f t="shared" si="48"/>
        <v>155</v>
      </c>
      <c r="AI287" s="14">
        <f t="shared" si="49"/>
        <v>81</v>
      </c>
      <c r="AJ287" s="14">
        <f t="shared" si="50"/>
        <v>56</v>
      </c>
      <c r="AK287" s="14">
        <f t="shared" si="51"/>
        <v>72</v>
      </c>
      <c r="AL287" s="14">
        <f t="shared" si="52"/>
        <v>54</v>
      </c>
      <c r="AM287" s="14">
        <f t="shared" si="53"/>
        <v>48</v>
      </c>
      <c r="AN287" s="14">
        <f t="shared" si="54"/>
        <v>149</v>
      </c>
      <c r="AO287" s="14">
        <f t="shared" si="55"/>
        <v>142</v>
      </c>
    </row>
    <row r="288" spans="1:41" hidden="1" x14ac:dyDescent="0.3">
      <c r="A288" s="129"/>
      <c r="B288" s="130"/>
      <c r="C288" s="130" t="s">
        <v>100</v>
      </c>
      <c r="D288" s="130" t="s">
        <v>26</v>
      </c>
      <c r="E288" s="129">
        <v>6</v>
      </c>
      <c r="F288" s="129"/>
      <c r="G288" s="129">
        <v>308</v>
      </c>
      <c r="H288" s="129">
        <v>26</v>
      </c>
      <c r="I288" s="129">
        <v>51</v>
      </c>
      <c r="J288" s="129">
        <v>44</v>
      </c>
      <c r="K288" s="129">
        <v>429</v>
      </c>
      <c r="L288" s="131">
        <v>0.71799999999999997</v>
      </c>
      <c r="M288" s="131">
        <v>6.0999999999999999E-2</v>
      </c>
      <c r="N288" s="131">
        <v>0.11899999999999999</v>
      </c>
      <c r="O288" s="131">
        <v>0.10299999999999999</v>
      </c>
      <c r="P288" s="131">
        <v>6.5000000000000002E-2</v>
      </c>
      <c r="Q288" s="131">
        <v>2.3E-2</v>
      </c>
      <c r="S288" s="129">
        <v>70</v>
      </c>
      <c r="T288" s="129">
        <v>10</v>
      </c>
      <c r="U288" s="129">
        <v>8</v>
      </c>
      <c r="W288" s="129">
        <v>1951.5</v>
      </c>
      <c r="X288" s="129">
        <v>1955</v>
      </c>
      <c r="Y288" s="132">
        <v>108801.5</v>
      </c>
      <c r="Z288" s="132">
        <v>47400</v>
      </c>
      <c r="AA288" s="132">
        <v>64661.5</v>
      </c>
      <c r="AB288" s="132">
        <v>53900</v>
      </c>
      <c r="AC288" s="131">
        <v>0.186</v>
      </c>
      <c r="AD288" s="131">
        <v>0.13200000000000001</v>
      </c>
      <c r="AE288" s="132">
        <v>11245.4</v>
      </c>
      <c r="AF288" s="132">
        <v>4886.3999999999996</v>
      </c>
      <c r="AH288" s="129">
        <f t="shared" si="48"/>
        <v>48</v>
      </c>
      <c r="AI288" s="129">
        <f t="shared" si="49"/>
        <v>48</v>
      </c>
      <c r="AJ288" s="129">
        <f t="shared" si="50"/>
        <v>44</v>
      </c>
      <c r="AK288" s="129">
        <f t="shared" si="51"/>
        <v>10</v>
      </c>
      <c r="AL288" s="129">
        <f t="shared" si="52"/>
        <v>17</v>
      </c>
      <c r="AM288" s="129">
        <f t="shared" si="53"/>
        <v>17</v>
      </c>
      <c r="AN288" s="129">
        <f t="shared" si="54"/>
        <v>38</v>
      </c>
      <c r="AO288" s="129">
        <f t="shared" si="55"/>
        <v>37</v>
      </c>
    </row>
    <row r="289" spans="1:41" ht="12" hidden="1" x14ac:dyDescent="0.25">
      <c r="A289" s="19">
        <v>540191</v>
      </c>
      <c r="B289" s="22" t="s">
        <v>99</v>
      </c>
      <c r="C289" s="22" t="s">
        <v>89</v>
      </c>
      <c r="D289" s="22" t="s">
        <v>29</v>
      </c>
      <c r="E289" s="19">
        <v>7</v>
      </c>
      <c r="F289" s="19" t="s">
        <v>81</v>
      </c>
      <c r="G289" s="19">
        <v>201</v>
      </c>
      <c r="H289" s="19">
        <v>30</v>
      </c>
      <c r="I289" s="19">
        <v>107</v>
      </c>
      <c r="J289" s="19">
        <v>10</v>
      </c>
      <c r="K289" s="19">
        <v>348</v>
      </c>
      <c r="L289" s="21">
        <v>0.57799999999999996</v>
      </c>
      <c r="M289" s="21">
        <v>8.5999999999999993E-2</v>
      </c>
      <c r="N289" s="21">
        <v>0.307</v>
      </c>
      <c r="O289" s="21">
        <v>2.9000000000000001E-2</v>
      </c>
      <c r="P289" s="21">
        <v>8.9999999999999993E-3</v>
      </c>
      <c r="Q289" s="21">
        <v>6.0000000000000001E-3</v>
      </c>
      <c r="R289" s="2"/>
      <c r="S289" s="19">
        <v>70</v>
      </c>
      <c r="T289" s="19">
        <v>29</v>
      </c>
      <c r="U289" s="19">
        <v>11</v>
      </c>
      <c r="V289" s="2"/>
      <c r="W289" s="19">
        <v>1973.6</v>
      </c>
      <c r="X289" s="19">
        <v>1981</v>
      </c>
      <c r="Y289" s="20">
        <v>65656.800000000003</v>
      </c>
      <c r="Z289" s="20">
        <v>41300</v>
      </c>
      <c r="AA289" s="20">
        <v>50576</v>
      </c>
      <c r="AB289" s="20">
        <v>39100</v>
      </c>
      <c r="AC289" s="21">
        <v>0.30599999999999999</v>
      </c>
      <c r="AD289" s="21">
        <v>0.19</v>
      </c>
      <c r="AE289" s="20">
        <v>14420.6</v>
      </c>
      <c r="AF289" s="20">
        <v>8461.7999999999993</v>
      </c>
      <c r="AG289" s="2"/>
      <c r="AH289" s="19">
        <f t="shared" si="48"/>
        <v>12</v>
      </c>
      <c r="AI289" s="19">
        <f t="shared" si="49"/>
        <v>42</v>
      </c>
      <c r="AJ289" s="19">
        <f t="shared" si="50"/>
        <v>23</v>
      </c>
      <c r="AK289" s="19">
        <f t="shared" si="51"/>
        <v>49</v>
      </c>
      <c r="AL289" s="19">
        <f t="shared" si="52"/>
        <v>22</v>
      </c>
      <c r="AM289" s="19">
        <f t="shared" si="53"/>
        <v>23</v>
      </c>
      <c r="AN289" s="19">
        <f t="shared" si="54"/>
        <v>22</v>
      </c>
      <c r="AO289" s="19">
        <f t="shared" si="55"/>
        <v>18</v>
      </c>
    </row>
    <row r="290" spans="1:41" ht="12" hidden="1" x14ac:dyDescent="0.25">
      <c r="A290" s="14">
        <v>540193</v>
      </c>
      <c r="B290" s="17" t="s">
        <v>98</v>
      </c>
      <c r="C290" s="17" t="s">
        <v>89</v>
      </c>
      <c r="D290" s="17" t="s">
        <v>2</v>
      </c>
      <c r="E290" s="14">
        <v>7</v>
      </c>
      <c r="F290" s="14" t="s">
        <v>97</v>
      </c>
      <c r="G290" s="14">
        <v>10</v>
      </c>
      <c r="H290" s="14">
        <v>0</v>
      </c>
      <c r="I290" s="14">
        <v>7</v>
      </c>
      <c r="J290" s="14">
        <v>0</v>
      </c>
      <c r="K290" s="14">
        <v>17</v>
      </c>
      <c r="L290" s="16">
        <v>0.58799999999999997</v>
      </c>
      <c r="M290" s="16">
        <v>0</v>
      </c>
      <c r="N290" s="16">
        <v>0.41199999999999998</v>
      </c>
      <c r="O290" s="16">
        <v>0</v>
      </c>
      <c r="P290" s="16">
        <v>0</v>
      </c>
      <c r="Q290" s="16">
        <v>0</v>
      </c>
      <c r="R290" s="2"/>
      <c r="S290" s="14">
        <v>12</v>
      </c>
      <c r="T290" s="14">
        <v>3</v>
      </c>
      <c r="U290" s="14">
        <v>1</v>
      </c>
      <c r="V290" s="2"/>
      <c r="W290" s="14">
        <v>1958.4</v>
      </c>
      <c r="X290" s="14">
        <v>1986</v>
      </c>
      <c r="Y290" s="15">
        <v>132770.6</v>
      </c>
      <c r="Z290" s="15">
        <v>67200</v>
      </c>
      <c r="AA290" s="15">
        <v>88635.7</v>
      </c>
      <c r="AB290" s="15">
        <v>64800</v>
      </c>
      <c r="AC290" s="16">
        <v>0.25</v>
      </c>
      <c r="AD290" s="16">
        <v>0.23599999999999999</v>
      </c>
      <c r="AE290" s="15">
        <v>26421.5</v>
      </c>
      <c r="AF290" s="15">
        <v>21094.2</v>
      </c>
      <c r="AG290" s="2"/>
      <c r="AH290" s="14">
        <f t="shared" si="48"/>
        <v>19</v>
      </c>
      <c r="AI290" s="14">
        <f t="shared" si="49"/>
        <v>81</v>
      </c>
      <c r="AJ290" s="14">
        <f t="shared" si="50"/>
        <v>42</v>
      </c>
      <c r="AK290" s="14">
        <f t="shared" si="51"/>
        <v>200</v>
      </c>
      <c r="AL290" s="14">
        <f t="shared" si="52"/>
        <v>39</v>
      </c>
      <c r="AM290" s="14">
        <f t="shared" si="53"/>
        <v>29</v>
      </c>
      <c r="AN290" s="14">
        <f t="shared" si="54"/>
        <v>38</v>
      </c>
      <c r="AO290" s="14">
        <f t="shared" si="55"/>
        <v>7</v>
      </c>
    </row>
    <row r="291" spans="1:41" ht="12" hidden="1" x14ac:dyDescent="0.25">
      <c r="A291" s="14">
        <v>540192</v>
      </c>
      <c r="B291" s="17" t="s">
        <v>96</v>
      </c>
      <c r="C291" s="17" t="s">
        <v>89</v>
      </c>
      <c r="D291" s="17" t="s">
        <v>2</v>
      </c>
      <c r="E291" s="14">
        <v>7</v>
      </c>
      <c r="F291" s="14" t="s">
        <v>90</v>
      </c>
      <c r="G291" s="14">
        <v>4</v>
      </c>
      <c r="H291" s="14">
        <v>1</v>
      </c>
      <c r="I291" s="14">
        <v>7</v>
      </c>
      <c r="J291" s="14">
        <v>0</v>
      </c>
      <c r="K291" s="14">
        <v>12</v>
      </c>
      <c r="L291" s="16">
        <v>0.33300000000000002</v>
      </c>
      <c r="M291" s="16">
        <v>8.3000000000000004E-2</v>
      </c>
      <c r="N291" s="16">
        <v>0.58299999999999996</v>
      </c>
      <c r="O291" s="16">
        <v>0</v>
      </c>
      <c r="P291" s="16">
        <v>0</v>
      </c>
      <c r="Q291" s="16">
        <v>0</v>
      </c>
      <c r="R291" s="2"/>
      <c r="S291" s="14">
        <v>2</v>
      </c>
      <c r="T291" s="14">
        <v>0</v>
      </c>
      <c r="U291" s="14">
        <v>0</v>
      </c>
      <c r="V291" s="2"/>
      <c r="W291" s="14">
        <v>1979.5</v>
      </c>
      <c r="X291" s="14">
        <v>1987</v>
      </c>
      <c r="Y291" s="15">
        <v>67038.3</v>
      </c>
      <c r="Z291" s="15">
        <v>49500</v>
      </c>
      <c r="AA291" s="15">
        <v>67087.3</v>
      </c>
      <c r="AB291" s="15">
        <v>46700</v>
      </c>
      <c r="AC291" s="16">
        <v>0.13800000000000001</v>
      </c>
      <c r="AD291" s="16">
        <v>5.8999999999999997E-2</v>
      </c>
      <c r="AE291" s="15">
        <v>18846.599999999999</v>
      </c>
      <c r="AF291" s="15">
        <v>2108.3000000000002</v>
      </c>
      <c r="AG291" s="2"/>
      <c r="AH291" s="14">
        <f t="shared" si="48"/>
        <v>8</v>
      </c>
      <c r="AI291" s="14">
        <f t="shared" si="49"/>
        <v>134</v>
      </c>
      <c r="AJ291" s="14">
        <f t="shared" si="50"/>
        <v>108</v>
      </c>
      <c r="AK291" s="14">
        <f t="shared" si="51"/>
        <v>203</v>
      </c>
      <c r="AL291" s="14">
        <f t="shared" si="52"/>
        <v>74</v>
      </c>
      <c r="AM291" s="14">
        <f t="shared" si="53"/>
        <v>70</v>
      </c>
      <c r="AN291" s="14">
        <f t="shared" si="54"/>
        <v>161</v>
      </c>
      <c r="AO291" s="14">
        <f t="shared" si="55"/>
        <v>162</v>
      </c>
    </row>
    <row r="292" spans="1:41" ht="12" hidden="1" x14ac:dyDescent="0.25">
      <c r="A292" s="14">
        <v>540194</v>
      </c>
      <c r="B292" s="17" t="s">
        <v>95</v>
      </c>
      <c r="C292" s="17" t="s">
        <v>89</v>
      </c>
      <c r="D292" s="17" t="s">
        <v>2</v>
      </c>
      <c r="E292" s="14">
        <v>7</v>
      </c>
      <c r="F292" s="14" t="s">
        <v>94</v>
      </c>
      <c r="G292" s="14">
        <v>177</v>
      </c>
      <c r="H292" s="14">
        <v>1</v>
      </c>
      <c r="I292" s="14">
        <v>73</v>
      </c>
      <c r="J292" s="14">
        <v>1</v>
      </c>
      <c r="K292" s="14">
        <v>252</v>
      </c>
      <c r="L292" s="16">
        <v>0.70199999999999996</v>
      </c>
      <c r="M292" s="16">
        <v>4.0000000000000001E-3</v>
      </c>
      <c r="N292" s="16">
        <v>0.28999999999999998</v>
      </c>
      <c r="O292" s="16">
        <v>4.0000000000000001E-3</v>
      </c>
      <c r="P292" s="16">
        <v>4.0000000000000001E-3</v>
      </c>
      <c r="Q292" s="16">
        <v>0</v>
      </c>
      <c r="R292" s="2"/>
      <c r="S292" s="14">
        <v>82</v>
      </c>
      <c r="T292" s="14">
        <v>16</v>
      </c>
      <c r="U292" s="14">
        <v>0</v>
      </c>
      <c r="V292" s="2"/>
      <c r="W292" s="14">
        <v>1947.3</v>
      </c>
      <c r="X292" s="14">
        <v>1940</v>
      </c>
      <c r="Y292" s="15">
        <v>86783</v>
      </c>
      <c r="Z292" s="15">
        <v>54950</v>
      </c>
      <c r="AA292" s="15">
        <v>53269.8</v>
      </c>
      <c r="AB292" s="15">
        <v>50100</v>
      </c>
      <c r="AC292" s="16">
        <v>0.16900000000000001</v>
      </c>
      <c r="AD292" s="16">
        <v>0.13</v>
      </c>
      <c r="AE292" s="15">
        <v>13032.3</v>
      </c>
      <c r="AF292" s="15">
        <v>7813.3</v>
      </c>
      <c r="AG292" s="2"/>
      <c r="AH292" s="14">
        <f t="shared" si="48"/>
        <v>37</v>
      </c>
      <c r="AI292" s="14">
        <f t="shared" si="49"/>
        <v>19</v>
      </c>
      <c r="AJ292" s="14">
        <f t="shared" si="50"/>
        <v>14</v>
      </c>
      <c r="AK292" s="14">
        <f t="shared" si="51"/>
        <v>72</v>
      </c>
      <c r="AL292" s="14">
        <f t="shared" si="52"/>
        <v>59</v>
      </c>
      <c r="AM292" s="14">
        <f t="shared" si="53"/>
        <v>60</v>
      </c>
      <c r="AN292" s="14">
        <f t="shared" si="54"/>
        <v>88</v>
      </c>
      <c r="AO292" s="14">
        <f t="shared" si="55"/>
        <v>53</v>
      </c>
    </row>
    <row r="293" spans="1:41" ht="12" hidden="1" x14ac:dyDescent="0.25">
      <c r="A293" s="14">
        <v>540261</v>
      </c>
      <c r="B293" s="17" t="s">
        <v>93</v>
      </c>
      <c r="C293" s="17" t="s">
        <v>89</v>
      </c>
      <c r="D293" s="17" t="s">
        <v>2</v>
      </c>
      <c r="E293" s="14">
        <v>7</v>
      </c>
      <c r="F293" s="14" t="s">
        <v>92</v>
      </c>
      <c r="G293" s="14">
        <v>0</v>
      </c>
      <c r="H293" s="14">
        <v>0</v>
      </c>
      <c r="I293" s="14">
        <v>0</v>
      </c>
      <c r="J293" s="14">
        <v>0</v>
      </c>
      <c r="K293" s="14">
        <v>0</v>
      </c>
      <c r="L293" s="16" t="s">
        <v>5</v>
      </c>
      <c r="M293" s="16" t="s">
        <v>5</v>
      </c>
      <c r="N293" s="16" t="s">
        <v>5</v>
      </c>
      <c r="O293" s="16" t="s">
        <v>5</v>
      </c>
      <c r="P293" s="16" t="s">
        <v>5</v>
      </c>
      <c r="Q293" s="16" t="s">
        <v>5</v>
      </c>
      <c r="R293" s="2"/>
      <c r="S293" s="14">
        <v>0</v>
      </c>
      <c r="T293" s="14">
        <v>0</v>
      </c>
      <c r="U293" s="14">
        <v>0</v>
      </c>
      <c r="V293" s="2"/>
      <c r="W293" s="14">
        <v>0</v>
      </c>
      <c r="X293" s="14">
        <v>0</v>
      </c>
      <c r="Y293" s="15">
        <v>0</v>
      </c>
      <c r="Z293" s="15">
        <v>0</v>
      </c>
      <c r="AA293" s="15">
        <v>0</v>
      </c>
      <c r="AB293" s="15">
        <v>0</v>
      </c>
      <c r="AC293" s="16">
        <v>0</v>
      </c>
      <c r="AD293" s="16">
        <v>0</v>
      </c>
      <c r="AE293" s="15">
        <v>0</v>
      </c>
      <c r="AF293" s="15">
        <v>0</v>
      </c>
      <c r="AG293" s="2"/>
      <c r="AH293" s="14">
        <f t="shared" si="48"/>
        <v>1</v>
      </c>
      <c r="AI293" s="14">
        <f t="shared" si="49"/>
        <v>172</v>
      </c>
      <c r="AJ293" s="14">
        <f t="shared" si="50"/>
        <v>108</v>
      </c>
      <c r="AK293" s="14">
        <f t="shared" si="51"/>
        <v>1</v>
      </c>
      <c r="AL293" s="14">
        <f t="shared" si="52"/>
        <v>210</v>
      </c>
      <c r="AM293" s="14">
        <f t="shared" si="53"/>
        <v>208</v>
      </c>
      <c r="AN293" s="14">
        <f t="shared" si="54"/>
        <v>198</v>
      </c>
      <c r="AO293" s="14">
        <f t="shared" si="55"/>
        <v>198</v>
      </c>
    </row>
    <row r="294" spans="1:41" ht="12" hidden="1" x14ac:dyDescent="0.25">
      <c r="A294" s="14">
        <v>540260</v>
      </c>
      <c r="B294" s="17" t="s">
        <v>91</v>
      </c>
      <c r="C294" s="17" t="s">
        <v>89</v>
      </c>
      <c r="D294" s="17" t="s">
        <v>2</v>
      </c>
      <c r="E294" s="14">
        <v>7</v>
      </c>
      <c r="F294" s="14" t="s">
        <v>90</v>
      </c>
      <c r="G294" s="14">
        <v>0</v>
      </c>
      <c r="H294" s="14">
        <v>0</v>
      </c>
      <c r="I294" s="14">
        <v>2</v>
      </c>
      <c r="J294" s="14">
        <v>0</v>
      </c>
      <c r="K294" s="14">
        <v>2</v>
      </c>
      <c r="L294" s="16">
        <v>0</v>
      </c>
      <c r="M294" s="16">
        <v>0</v>
      </c>
      <c r="N294" s="16">
        <v>1</v>
      </c>
      <c r="O294" s="16">
        <v>0</v>
      </c>
      <c r="P294" s="16">
        <v>0</v>
      </c>
      <c r="Q294" s="16">
        <v>0</v>
      </c>
      <c r="R294" s="2"/>
      <c r="S294" s="14">
        <v>0</v>
      </c>
      <c r="T294" s="14">
        <v>0</v>
      </c>
      <c r="U294" s="14">
        <v>0</v>
      </c>
      <c r="V294" s="2"/>
      <c r="W294" s="14">
        <v>1993</v>
      </c>
      <c r="X294" s="14">
        <v>1993</v>
      </c>
      <c r="Y294" s="15">
        <v>243800</v>
      </c>
      <c r="Z294" s="15">
        <v>243800</v>
      </c>
      <c r="AA294" s="15">
        <v>0</v>
      </c>
      <c r="AB294" s="15">
        <v>0</v>
      </c>
      <c r="AC294" s="16">
        <v>0</v>
      </c>
      <c r="AD294" s="16">
        <v>0</v>
      </c>
      <c r="AE294" s="15">
        <v>0</v>
      </c>
      <c r="AF294" s="15">
        <v>0</v>
      </c>
      <c r="AG294" s="2"/>
      <c r="AH294" s="14">
        <f t="shared" si="48"/>
        <v>1</v>
      </c>
      <c r="AI294" s="14">
        <f t="shared" si="49"/>
        <v>172</v>
      </c>
      <c r="AJ294" s="14">
        <f t="shared" si="50"/>
        <v>108</v>
      </c>
      <c r="AK294" s="14">
        <f t="shared" si="51"/>
        <v>208</v>
      </c>
      <c r="AL294" s="14">
        <f t="shared" si="52"/>
        <v>2</v>
      </c>
      <c r="AM294" s="14">
        <f t="shared" si="53"/>
        <v>208</v>
      </c>
      <c r="AN294" s="14">
        <f t="shared" si="54"/>
        <v>198</v>
      </c>
      <c r="AO294" s="14">
        <f t="shared" si="55"/>
        <v>198</v>
      </c>
    </row>
    <row r="295" spans="1:41" hidden="1" x14ac:dyDescent="0.3">
      <c r="A295" s="129"/>
      <c r="B295" s="130"/>
      <c r="C295" s="130" t="s">
        <v>89</v>
      </c>
      <c r="D295" s="130" t="s">
        <v>26</v>
      </c>
      <c r="E295" s="129">
        <v>7</v>
      </c>
      <c r="F295" s="129"/>
      <c r="G295" s="129">
        <v>392</v>
      </c>
      <c r="H295" s="129">
        <v>32</v>
      </c>
      <c r="I295" s="129">
        <v>196</v>
      </c>
      <c r="J295" s="129">
        <v>11</v>
      </c>
      <c r="K295" s="129">
        <v>631</v>
      </c>
      <c r="L295" s="131">
        <v>0.621</v>
      </c>
      <c r="M295" s="131">
        <v>5.0999999999999997E-2</v>
      </c>
      <c r="N295" s="131">
        <v>0.311</v>
      </c>
      <c r="O295" s="131">
        <v>1.7000000000000001E-2</v>
      </c>
      <c r="P295" s="131">
        <v>6.0000000000000001E-3</v>
      </c>
      <c r="Q295" s="131">
        <v>3.0000000000000001E-3</v>
      </c>
      <c r="S295" s="129">
        <v>166</v>
      </c>
      <c r="T295" s="129">
        <v>48</v>
      </c>
      <c r="U295" s="129">
        <v>12</v>
      </c>
      <c r="W295" s="129">
        <v>1962.2</v>
      </c>
      <c r="X295" s="129">
        <v>1973</v>
      </c>
      <c r="Y295" s="132">
        <v>76493</v>
      </c>
      <c r="Z295" s="132">
        <v>48700</v>
      </c>
      <c r="AA295" s="132">
        <v>60609.2</v>
      </c>
      <c r="AB295" s="132">
        <v>52250</v>
      </c>
      <c r="AC295" s="131">
        <v>0.224</v>
      </c>
      <c r="AD295" s="131">
        <v>0.155</v>
      </c>
      <c r="AE295" s="132">
        <v>14144.9</v>
      </c>
      <c r="AF295" s="132">
        <v>8031.7</v>
      </c>
      <c r="AH295" s="129">
        <f t="shared" si="48"/>
        <v>9</v>
      </c>
      <c r="AI295" s="129">
        <f t="shared" si="49"/>
        <v>32</v>
      </c>
      <c r="AJ295" s="129">
        <f t="shared" si="50"/>
        <v>20</v>
      </c>
      <c r="AK295" s="129">
        <f t="shared" si="51"/>
        <v>40</v>
      </c>
      <c r="AL295" s="129">
        <f t="shared" si="52"/>
        <v>16</v>
      </c>
      <c r="AM295" s="129">
        <f t="shared" si="53"/>
        <v>21</v>
      </c>
      <c r="AN295" s="129">
        <f t="shared" si="54"/>
        <v>29</v>
      </c>
      <c r="AO295" s="129">
        <f t="shared" si="55"/>
        <v>15</v>
      </c>
    </row>
    <row r="296" spans="1:41" ht="12" hidden="1" x14ac:dyDescent="0.25">
      <c r="A296" s="19">
        <v>540277</v>
      </c>
      <c r="B296" s="22" t="s">
        <v>88</v>
      </c>
      <c r="C296" s="22" t="s">
        <v>83</v>
      </c>
      <c r="D296" s="22" t="s">
        <v>29</v>
      </c>
      <c r="E296" s="19">
        <v>5</v>
      </c>
      <c r="F296" s="19" t="s">
        <v>84</v>
      </c>
      <c r="G296" s="19">
        <v>463</v>
      </c>
      <c r="H296" s="19">
        <v>9</v>
      </c>
      <c r="I296" s="19">
        <v>99</v>
      </c>
      <c r="J296" s="19">
        <v>99</v>
      </c>
      <c r="K296" s="19">
        <v>670</v>
      </c>
      <c r="L296" s="21">
        <v>0.69099999999999995</v>
      </c>
      <c r="M296" s="21">
        <v>1.2999999999999999E-2</v>
      </c>
      <c r="N296" s="21">
        <v>0.14799999999999999</v>
      </c>
      <c r="O296" s="21">
        <v>0.14799999999999999</v>
      </c>
      <c r="P296" s="21">
        <v>0.10299999999999999</v>
      </c>
      <c r="Q296" s="21">
        <v>7.0000000000000001E-3</v>
      </c>
      <c r="R296" s="2"/>
      <c r="S296" s="19">
        <v>84</v>
      </c>
      <c r="T296" s="19">
        <v>14</v>
      </c>
      <c r="U296" s="19">
        <v>21</v>
      </c>
      <c r="V296" s="2"/>
      <c r="W296" s="19">
        <v>1951.8</v>
      </c>
      <c r="X296" s="19">
        <v>1960</v>
      </c>
      <c r="Y296" s="20">
        <v>55906.6</v>
      </c>
      <c r="Z296" s="20">
        <v>32700</v>
      </c>
      <c r="AA296" s="20">
        <v>44155.8</v>
      </c>
      <c r="AB296" s="20">
        <v>31600</v>
      </c>
      <c r="AC296" s="21">
        <v>0.26900000000000002</v>
      </c>
      <c r="AD296" s="21">
        <v>0.16300000000000001</v>
      </c>
      <c r="AE296" s="20">
        <v>8998</v>
      </c>
      <c r="AF296" s="20">
        <v>4342</v>
      </c>
      <c r="AG296" s="2"/>
      <c r="AH296" s="19">
        <f t="shared" si="48"/>
        <v>48</v>
      </c>
      <c r="AI296" s="19">
        <f t="shared" si="49"/>
        <v>36</v>
      </c>
      <c r="AJ296" s="19">
        <f t="shared" si="50"/>
        <v>35</v>
      </c>
      <c r="AK296" s="19">
        <f t="shared" si="51"/>
        <v>6</v>
      </c>
      <c r="AL296" s="19">
        <f t="shared" si="52"/>
        <v>34</v>
      </c>
      <c r="AM296" s="19">
        <f t="shared" si="53"/>
        <v>34</v>
      </c>
      <c r="AN296" s="19">
        <f t="shared" si="54"/>
        <v>33</v>
      </c>
      <c r="AO296" s="19">
        <f t="shared" si="55"/>
        <v>41</v>
      </c>
    </row>
    <row r="297" spans="1:41" ht="12" hidden="1" x14ac:dyDescent="0.25">
      <c r="A297" s="14">
        <v>540195</v>
      </c>
      <c r="B297" s="17" t="s">
        <v>87</v>
      </c>
      <c r="C297" s="17" t="s">
        <v>83</v>
      </c>
      <c r="D297" s="17" t="s">
        <v>2</v>
      </c>
      <c r="E297" s="14">
        <v>5</v>
      </c>
      <c r="F297" s="14" t="s">
        <v>84</v>
      </c>
      <c r="G297" s="14">
        <v>1</v>
      </c>
      <c r="H297" s="14">
        <v>0</v>
      </c>
      <c r="I297" s="14">
        <v>0</v>
      </c>
      <c r="J297" s="14">
        <v>1</v>
      </c>
      <c r="K297" s="14">
        <v>2</v>
      </c>
      <c r="L297" s="16">
        <v>0.5</v>
      </c>
      <c r="M297" s="16">
        <v>0</v>
      </c>
      <c r="N297" s="16">
        <v>0</v>
      </c>
      <c r="O297" s="16">
        <v>0.5</v>
      </c>
      <c r="P297" s="16">
        <v>0.5</v>
      </c>
      <c r="Q297" s="16">
        <v>0</v>
      </c>
      <c r="R297" s="2"/>
      <c r="S297" s="14">
        <v>0</v>
      </c>
      <c r="T297" s="14">
        <v>0</v>
      </c>
      <c r="U297" s="14">
        <v>0</v>
      </c>
      <c r="V297" s="2"/>
      <c r="W297" s="14">
        <v>1979</v>
      </c>
      <c r="X297" s="14">
        <v>1979</v>
      </c>
      <c r="Y297" s="15">
        <v>41220</v>
      </c>
      <c r="Z297" s="15">
        <v>41220</v>
      </c>
      <c r="AA297" s="15">
        <v>41220</v>
      </c>
      <c r="AB297" s="15">
        <v>41220</v>
      </c>
      <c r="AC297" s="16">
        <v>0.13</v>
      </c>
      <c r="AD297" s="16">
        <v>0.13</v>
      </c>
      <c r="AE297" s="15">
        <v>7150</v>
      </c>
      <c r="AF297" s="15">
        <v>7150</v>
      </c>
      <c r="AG297" s="2"/>
      <c r="AH297" s="14">
        <f t="shared" ref="AH297:AH328" si="56">IF($D297 = "SPLIT", "",COUNTIFS($D$7:$D$346,$D297,N$7:N$346,"&gt;"&amp;N297)+1)</f>
        <v>192</v>
      </c>
      <c r="AI297" s="14">
        <f t="shared" ref="AI297:AI328" si="57">IF($D297 = "SPLIT", "",COUNTIFS($D$7:$D$346,$D297,S$7:S$346,"&gt;"&amp;S297)+1)</f>
        <v>172</v>
      </c>
      <c r="AJ297" s="14">
        <f t="shared" ref="AJ297:AJ328" si="58">IF($D297 = "SPLIT", "",COUNTIFS($D$7:$D$346,$D297,T$7:T$346,"&gt;"&amp;T297)+1)</f>
        <v>108</v>
      </c>
      <c r="AK297" s="14">
        <f t="shared" ref="AK297:AK328" si="59">IF($D297 = "SPLIT", "",COUNTIFS($D$7:$D$346,$D297,X$7:X$346,"&lt;"&amp;X297)+1)</f>
        <v>191</v>
      </c>
      <c r="AL297" s="14">
        <f t="shared" ref="AL297:AL328" si="60">IF($D297 = "SPLIT", "",COUNTIFS($D$7:$D$346,$D297,Z$7:Z$346,"&gt;"&amp;Z297)+1)</f>
        <v>110</v>
      </c>
      <c r="AM297" s="14">
        <f t="shared" ref="AM297:AM328" si="61">IF($D297 = "SPLIT", "",COUNTIFS($D$7:$D$346,$D297,AB$7:AB$346,"&gt;"&amp;AB297)+1)</f>
        <v>92</v>
      </c>
      <c r="AN297" s="14">
        <f t="shared" ref="AN297:AN328" si="62">IF($D297 = "SPLIT", "",COUNTIFS($D$7:$D$346,$D297,AD$7:AD$346,"&gt;"&amp;AD297)+1)</f>
        <v>88</v>
      </c>
      <c r="AO297" s="14">
        <f t="shared" ref="AO297:AO328" si="63">IF($D297 = "SPLIT", "",COUNTIFS($D$7:$D$346,$D297,AF$7:AF$346,"&gt;"&amp;AF297)+1)</f>
        <v>63</v>
      </c>
    </row>
    <row r="298" spans="1:41" ht="12" hidden="1" x14ac:dyDescent="0.25">
      <c r="A298" s="25">
        <v>540196</v>
      </c>
      <c r="B298" s="26" t="s">
        <v>14</v>
      </c>
      <c r="C298" s="26" t="s">
        <v>83</v>
      </c>
      <c r="D298" s="26" t="s">
        <v>58</v>
      </c>
      <c r="E298" s="25">
        <v>5</v>
      </c>
      <c r="F298" s="25" t="s">
        <v>57</v>
      </c>
      <c r="G298" s="25">
        <v>1</v>
      </c>
      <c r="H298" s="25">
        <v>0</v>
      </c>
      <c r="I298" s="25">
        <v>1</v>
      </c>
      <c r="J298" s="25">
        <v>1</v>
      </c>
      <c r="K298" s="25">
        <v>3</v>
      </c>
      <c r="L298" s="24">
        <v>0.33300000000000002</v>
      </c>
      <c r="M298" s="24">
        <v>0</v>
      </c>
      <c r="N298" s="24">
        <v>0.33300000000000002</v>
      </c>
      <c r="O298" s="24">
        <v>0.33300000000000002</v>
      </c>
      <c r="P298" s="24">
        <v>0.33300000000000002</v>
      </c>
      <c r="Q298" s="24">
        <v>0</v>
      </c>
      <c r="R298" s="2"/>
      <c r="S298" s="25">
        <v>0</v>
      </c>
      <c r="T298" s="25">
        <v>0</v>
      </c>
      <c r="U298" s="25">
        <v>0</v>
      </c>
      <c r="V298" s="2"/>
      <c r="W298" s="25">
        <v>1986</v>
      </c>
      <c r="X298" s="25">
        <v>1986</v>
      </c>
      <c r="Y298" s="23">
        <v>71573.3</v>
      </c>
      <c r="Z298" s="23">
        <v>72500</v>
      </c>
      <c r="AA298" s="23">
        <v>46460</v>
      </c>
      <c r="AB298" s="23">
        <v>46460</v>
      </c>
      <c r="AC298" s="24">
        <v>0</v>
      </c>
      <c r="AD298" s="24">
        <v>0</v>
      </c>
      <c r="AE298" s="23">
        <v>0</v>
      </c>
      <c r="AF298" s="23">
        <v>0</v>
      </c>
      <c r="AG298" s="2"/>
      <c r="AH298" s="14" t="str">
        <f t="shared" si="56"/>
        <v/>
      </c>
      <c r="AI298" s="14" t="str">
        <f t="shared" si="57"/>
        <v/>
      </c>
      <c r="AJ298" s="14" t="str">
        <f t="shared" si="58"/>
        <v/>
      </c>
      <c r="AK298" s="14" t="str">
        <f t="shared" si="59"/>
        <v/>
      </c>
      <c r="AL298" s="14" t="str">
        <f t="shared" si="60"/>
        <v/>
      </c>
      <c r="AM298" s="14" t="str">
        <f t="shared" si="61"/>
        <v/>
      </c>
      <c r="AN298" s="14" t="str">
        <f t="shared" si="62"/>
        <v/>
      </c>
      <c r="AO298" s="14" t="str">
        <f t="shared" si="63"/>
        <v/>
      </c>
    </row>
    <row r="299" spans="1:41" ht="12" hidden="1" x14ac:dyDescent="0.25">
      <c r="A299" s="14">
        <v>540197</v>
      </c>
      <c r="B299" s="17" t="s">
        <v>86</v>
      </c>
      <c r="C299" s="17" t="s">
        <v>83</v>
      </c>
      <c r="D299" s="17" t="s">
        <v>2</v>
      </c>
      <c r="E299" s="14">
        <v>5</v>
      </c>
      <c r="F299" s="14" t="s">
        <v>84</v>
      </c>
      <c r="G299" s="14">
        <v>61</v>
      </c>
      <c r="H299" s="14">
        <v>0</v>
      </c>
      <c r="I299" s="14">
        <v>12</v>
      </c>
      <c r="J299" s="14">
        <v>12</v>
      </c>
      <c r="K299" s="14">
        <v>85</v>
      </c>
      <c r="L299" s="16">
        <v>0.71799999999999997</v>
      </c>
      <c r="M299" s="16">
        <v>0</v>
      </c>
      <c r="N299" s="16">
        <v>0.14099999999999999</v>
      </c>
      <c r="O299" s="16">
        <v>0.14099999999999999</v>
      </c>
      <c r="P299" s="16">
        <v>4.7E-2</v>
      </c>
      <c r="Q299" s="16">
        <v>4.7E-2</v>
      </c>
      <c r="R299" s="2"/>
      <c r="S299" s="14">
        <v>40</v>
      </c>
      <c r="T299" s="14">
        <v>12</v>
      </c>
      <c r="U299" s="14">
        <v>10</v>
      </c>
      <c r="V299" s="2"/>
      <c r="W299" s="14">
        <v>1933.1</v>
      </c>
      <c r="X299" s="14">
        <v>1920</v>
      </c>
      <c r="Y299" s="15">
        <v>96691.1</v>
      </c>
      <c r="Z299" s="15">
        <v>47200</v>
      </c>
      <c r="AA299" s="15">
        <v>59738.6</v>
      </c>
      <c r="AB299" s="15">
        <v>47800</v>
      </c>
      <c r="AC299" s="16">
        <v>0.34200000000000003</v>
      </c>
      <c r="AD299" s="16">
        <v>0.28199999999999997</v>
      </c>
      <c r="AE299" s="15">
        <v>20941.2</v>
      </c>
      <c r="AF299" s="15">
        <v>10480.700000000001</v>
      </c>
      <c r="AG299" s="2"/>
      <c r="AH299" s="14">
        <f t="shared" si="56"/>
        <v>93</v>
      </c>
      <c r="AI299" s="14">
        <f t="shared" si="57"/>
        <v>40</v>
      </c>
      <c r="AJ299" s="14">
        <f t="shared" si="58"/>
        <v>16</v>
      </c>
      <c r="AK299" s="14">
        <f t="shared" si="59"/>
        <v>21</v>
      </c>
      <c r="AL299" s="14">
        <f t="shared" si="60"/>
        <v>81</v>
      </c>
      <c r="AM299" s="14">
        <f t="shared" si="61"/>
        <v>66</v>
      </c>
      <c r="AN299" s="14">
        <f t="shared" si="62"/>
        <v>22</v>
      </c>
      <c r="AO299" s="14">
        <f t="shared" si="63"/>
        <v>32</v>
      </c>
    </row>
    <row r="300" spans="1:41" ht="12" hidden="1" x14ac:dyDescent="0.25">
      <c r="A300" s="14">
        <v>540259</v>
      </c>
      <c r="B300" s="17" t="s">
        <v>85</v>
      </c>
      <c r="C300" s="17" t="s">
        <v>83</v>
      </c>
      <c r="D300" s="17" t="s">
        <v>2</v>
      </c>
      <c r="E300" s="14">
        <v>5</v>
      </c>
      <c r="F300" s="14" t="s">
        <v>84</v>
      </c>
      <c r="G300" s="14">
        <v>43</v>
      </c>
      <c r="H300" s="14">
        <v>0</v>
      </c>
      <c r="I300" s="14">
        <v>4</v>
      </c>
      <c r="J300" s="14">
        <v>10</v>
      </c>
      <c r="K300" s="14">
        <v>57</v>
      </c>
      <c r="L300" s="16">
        <v>0.754</v>
      </c>
      <c r="M300" s="16">
        <v>0</v>
      </c>
      <c r="N300" s="16">
        <v>7.0000000000000007E-2</v>
      </c>
      <c r="O300" s="16">
        <v>0.17499999999999999</v>
      </c>
      <c r="P300" s="16">
        <v>0.105</v>
      </c>
      <c r="Q300" s="16">
        <v>1.7999999999999999E-2</v>
      </c>
      <c r="R300" s="2"/>
      <c r="S300" s="14">
        <v>30</v>
      </c>
      <c r="T300" s="14">
        <v>4</v>
      </c>
      <c r="U300" s="14">
        <v>9</v>
      </c>
      <c r="V300" s="2"/>
      <c r="W300" s="14">
        <v>1935.5</v>
      </c>
      <c r="X300" s="14">
        <v>1939</v>
      </c>
      <c r="Y300" s="15">
        <v>33357.800000000003</v>
      </c>
      <c r="Z300" s="15">
        <v>29090</v>
      </c>
      <c r="AA300" s="15">
        <v>31125.7</v>
      </c>
      <c r="AB300" s="15">
        <v>28050</v>
      </c>
      <c r="AC300" s="16">
        <v>0.43099999999999999</v>
      </c>
      <c r="AD300" s="16">
        <v>0.41699999999999998</v>
      </c>
      <c r="AE300" s="15">
        <v>13769</v>
      </c>
      <c r="AF300" s="15">
        <v>10276.700000000001</v>
      </c>
      <c r="AG300" s="2"/>
      <c r="AH300" s="14">
        <f t="shared" si="56"/>
        <v>149</v>
      </c>
      <c r="AI300" s="14">
        <f t="shared" si="57"/>
        <v>46</v>
      </c>
      <c r="AJ300" s="14">
        <f t="shared" si="58"/>
        <v>37</v>
      </c>
      <c r="AK300" s="14">
        <f t="shared" si="59"/>
        <v>70</v>
      </c>
      <c r="AL300" s="14">
        <f t="shared" si="60"/>
        <v>157</v>
      </c>
      <c r="AM300" s="14">
        <f t="shared" si="61"/>
        <v>149</v>
      </c>
      <c r="AN300" s="14">
        <f t="shared" si="62"/>
        <v>9</v>
      </c>
      <c r="AO300" s="14">
        <f t="shared" si="63"/>
        <v>34</v>
      </c>
    </row>
    <row r="301" spans="1:41" hidden="1" x14ac:dyDescent="0.3">
      <c r="A301" s="129"/>
      <c r="B301" s="130"/>
      <c r="C301" s="130" t="s">
        <v>83</v>
      </c>
      <c r="D301" s="130" t="s">
        <v>26</v>
      </c>
      <c r="E301" s="129">
        <v>5</v>
      </c>
      <c r="F301" s="129"/>
      <c r="G301" s="129">
        <v>569</v>
      </c>
      <c r="H301" s="129">
        <v>9</v>
      </c>
      <c r="I301" s="129">
        <v>116</v>
      </c>
      <c r="J301" s="129">
        <v>123</v>
      </c>
      <c r="K301" s="129">
        <v>817</v>
      </c>
      <c r="L301" s="131">
        <v>0.69599999999999995</v>
      </c>
      <c r="M301" s="131">
        <v>1.0999999999999999E-2</v>
      </c>
      <c r="N301" s="131">
        <v>0.14199999999999999</v>
      </c>
      <c r="O301" s="131">
        <v>0.151</v>
      </c>
      <c r="P301" s="131">
        <v>9.9000000000000005E-2</v>
      </c>
      <c r="Q301" s="131">
        <v>1.2E-2</v>
      </c>
      <c r="S301" s="129">
        <v>154</v>
      </c>
      <c r="T301" s="129">
        <v>30</v>
      </c>
      <c r="U301" s="129">
        <v>40</v>
      </c>
      <c r="W301" s="129">
        <v>1948.9</v>
      </c>
      <c r="X301" s="129">
        <v>1955.5</v>
      </c>
      <c r="Y301" s="132">
        <v>58598.2</v>
      </c>
      <c r="Z301" s="132">
        <v>33900</v>
      </c>
      <c r="AA301" s="132">
        <v>51345.2</v>
      </c>
      <c r="AB301" s="132">
        <v>41000</v>
      </c>
      <c r="AC301" s="131">
        <v>0.30599999999999999</v>
      </c>
      <c r="AD301" s="131">
        <v>0.20399999999999999</v>
      </c>
      <c r="AE301" s="132">
        <v>12007.5</v>
      </c>
      <c r="AF301" s="132">
        <v>6339</v>
      </c>
      <c r="AH301" s="129">
        <f t="shared" si="56"/>
        <v>45</v>
      </c>
      <c r="AI301" s="129">
        <f t="shared" si="57"/>
        <v>34</v>
      </c>
      <c r="AJ301" s="129">
        <f t="shared" si="58"/>
        <v>30</v>
      </c>
      <c r="AK301" s="129">
        <f t="shared" si="59"/>
        <v>14</v>
      </c>
      <c r="AL301" s="129">
        <f t="shared" si="60"/>
        <v>36</v>
      </c>
      <c r="AM301" s="129">
        <f t="shared" si="61"/>
        <v>36</v>
      </c>
      <c r="AN301" s="129">
        <f t="shared" si="62"/>
        <v>18</v>
      </c>
      <c r="AO301" s="129">
        <f t="shared" si="63"/>
        <v>25</v>
      </c>
    </row>
    <row r="302" spans="1:41" ht="12" hidden="1" x14ac:dyDescent="0.25">
      <c r="A302" s="19">
        <v>540198</v>
      </c>
      <c r="B302" s="22" t="s">
        <v>82</v>
      </c>
      <c r="C302" s="22" t="s">
        <v>79</v>
      </c>
      <c r="D302" s="22" t="s">
        <v>29</v>
      </c>
      <c r="E302" s="19">
        <v>7</v>
      </c>
      <c r="F302" s="19" t="s">
        <v>81</v>
      </c>
      <c r="G302" s="19">
        <v>410</v>
      </c>
      <c r="H302" s="19">
        <v>1</v>
      </c>
      <c r="I302" s="19">
        <v>164</v>
      </c>
      <c r="J302" s="19">
        <v>50</v>
      </c>
      <c r="K302" s="19">
        <v>625</v>
      </c>
      <c r="L302" s="21">
        <v>0.65600000000000003</v>
      </c>
      <c r="M302" s="21">
        <v>2E-3</v>
      </c>
      <c r="N302" s="21">
        <v>0.26200000000000001</v>
      </c>
      <c r="O302" s="21">
        <v>0.08</v>
      </c>
      <c r="P302" s="21">
        <v>4.2000000000000003E-2</v>
      </c>
      <c r="Q302" s="21">
        <v>1.2999999999999999E-2</v>
      </c>
      <c r="R302" s="2"/>
      <c r="S302" s="19">
        <v>119</v>
      </c>
      <c r="T302" s="19">
        <v>15</v>
      </c>
      <c r="U302" s="19">
        <v>12</v>
      </c>
      <c r="V302" s="2"/>
      <c r="W302" s="19">
        <v>1966</v>
      </c>
      <c r="X302" s="19">
        <v>1975</v>
      </c>
      <c r="Y302" s="20">
        <v>80409.600000000006</v>
      </c>
      <c r="Z302" s="20">
        <v>48400</v>
      </c>
      <c r="AA302" s="20">
        <v>53795.7</v>
      </c>
      <c r="AB302" s="20">
        <v>45200</v>
      </c>
      <c r="AC302" s="21">
        <v>0.40200000000000002</v>
      </c>
      <c r="AD302" s="21">
        <v>0.4</v>
      </c>
      <c r="AE302" s="20">
        <v>16653.7</v>
      </c>
      <c r="AF302" s="20">
        <v>11595</v>
      </c>
      <c r="AG302" s="2"/>
      <c r="AH302" s="19">
        <f t="shared" si="56"/>
        <v>22</v>
      </c>
      <c r="AI302" s="19">
        <f t="shared" si="57"/>
        <v>29</v>
      </c>
      <c r="AJ302" s="19">
        <f t="shared" si="58"/>
        <v>33</v>
      </c>
      <c r="AK302" s="19">
        <f t="shared" si="59"/>
        <v>32</v>
      </c>
      <c r="AL302" s="19">
        <f t="shared" si="60"/>
        <v>14</v>
      </c>
      <c r="AM302" s="19">
        <f t="shared" si="61"/>
        <v>13</v>
      </c>
      <c r="AN302" s="19">
        <f t="shared" si="62"/>
        <v>6</v>
      </c>
      <c r="AO302" s="19">
        <f t="shared" si="63"/>
        <v>8</v>
      </c>
    </row>
    <row r="303" spans="1:41" ht="12" hidden="1" x14ac:dyDescent="0.25">
      <c r="A303" s="14">
        <v>540199</v>
      </c>
      <c r="B303" s="17" t="s">
        <v>80</v>
      </c>
      <c r="C303" s="17" t="s">
        <v>79</v>
      </c>
      <c r="D303" s="17" t="s">
        <v>2</v>
      </c>
      <c r="E303" s="14">
        <v>7</v>
      </c>
      <c r="F303" s="14" t="s">
        <v>42</v>
      </c>
      <c r="G303" s="14">
        <v>446</v>
      </c>
      <c r="H303" s="14">
        <v>0</v>
      </c>
      <c r="I303" s="14">
        <v>88</v>
      </c>
      <c r="J303" s="14">
        <v>72</v>
      </c>
      <c r="K303" s="14">
        <v>606</v>
      </c>
      <c r="L303" s="16">
        <v>0.73599999999999999</v>
      </c>
      <c r="M303" s="16">
        <v>0</v>
      </c>
      <c r="N303" s="16">
        <v>0.14499999999999999</v>
      </c>
      <c r="O303" s="16">
        <v>0.11899999999999999</v>
      </c>
      <c r="P303" s="16">
        <v>9.4E-2</v>
      </c>
      <c r="Q303" s="16">
        <v>0.01</v>
      </c>
      <c r="R303" s="2"/>
      <c r="S303" s="14">
        <v>17</v>
      </c>
      <c r="T303" s="14">
        <v>3</v>
      </c>
      <c r="U303" s="14">
        <v>1</v>
      </c>
      <c r="V303" s="2"/>
      <c r="W303" s="14">
        <v>1947</v>
      </c>
      <c r="X303" s="14">
        <v>1948</v>
      </c>
      <c r="Y303" s="15">
        <v>130962.9</v>
      </c>
      <c r="Z303" s="15">
        <v>56500</v>
      </c>
      <c r="AA303" s="15">
        <v>67435.5</v>
      </c>
      <c r="AB303" s="15">
        <v>50550</v>
      </c>
      <c r="AC303" s="16">
        <v>8.6999999999999994E-2</v>
      </c>
      <c r="AD303" s="16">
        <v>6.9000000000000006E-2</v>
      </c>
      <c r="AE303" s="15">
        <v>16214.6</v>
      </c>
      <c r="AF303" s="15">
        <v>3335</v>
      </c>
      <c r="AG303" s="2"/>
      <c r="AH303" s="14">
        <f t="shared" si="56"/>
        <v>86</v>
      </c>
      <c r="AI303" s="14">
        <f t="shared" si="57"/>
        <v>68</v>
      </c>
      <c r="AJ303" s="14">
        <f t="shared" si="58"/>
        <v>42</v>
      </c>
      <c r="AK303" s="14">
        <f t="shared" si="59"/>
        <v>113</v>
      </c>
      <c r="AL303" s="14">
        <f t="shared" si="60"/>
        <v>55</v>
      </c>
      <c r="AM303" s="14">
        <f t="shared" si="61"/>
        <v>57</v>
      </c>
      <c r="AN303" s="14">
        <f t="shared" si="62"/>
        <v>147</v>
      </c>
      <c r="AO303" s="14">
        <f t="shared" si="63"/>
        <v>129</v>
      </c>
    </row>
    <row r="304" spans="1:41" hidden="1" x14ac:dyDescent="0.3">
      <c r="A304" s="129"/>
      <c r="B304" s="130"/>
      <c r="C304" s="130" t="s">
        <v>79</v>
      </c>
      <c r="D304" s="130" t="s">
        <v>26</v>
      </c>
      <c r="E304" s="129">
        <v>7</v>
      </c>
      <c r="F304" s="129"/>
      <c r="G304" s="129">
        <v>856</v>
      </c>
      <c r="H304" s="129">
        <v>1</v>
      </c>
      <c r="I304" s="129">
        <v>252</v>
      </c>
      <c r="J304" s="129">
        <v>122</v>
      </c>
      <c r="K304" s="129">
        <v>1231</v>
      </c>
      <c r="L304" s="131">
        <v>0.69499999999999995</v>
      </c>
      <c r="M304" s="131">
        <v>1E-3</v>
      </c>
      <c r="N304" s="131">
        <v>0.20499999999999999</v>
      </c>
      <c r="O304" s="131">
        <v>9.9000000000000005E-2</v>
      </c>
      <c r="P304" s="131">
        <v>6.7000000000000004E-2</v>
      </c>
      <c r="Q304" s="131">
        <v>1.0999999999999999E-2</v>
      </c>
      <c r="S304" s="129">
        <v>136</v>
      </c>
      <c r="T304" s="129">
        <v>18</v>
      </c>
      <c r="U304" s="129">
        <v>13</v>
      </c>
      <c r="W304" s="129">
        <v>1956.8</v>
      </c>
      <c r="X304" s="129">
        <v>1963</v>
      </c>
      <c r="Y304" s="132">
        <v>105296.1</v>
      </c>
      <c r="Z304" s="132">
        <v>52000</v>
      </c>
      <c r="AA304" s="132">
        <v>62625.1</v>
      </c>
      <c r="AB304" s="132">
        <v>58100</v>
      </c>
      <c r="AC304" s="131">
        <v>0.28699999999999998</v>
      </c>
      <c r="AD304" s="131">
        <v>0.161</v>
      </c>
      <c r="AE304" s="132">
        <v>16492.599999999999</v>
      </c>
      <c r="AF304" s="132">
        <v>8114.6</v>
      </c>
      <c r="AH304" s="129">
        <f t="shared" si="56"/>
        <v>28</v>
      </c>
      <c r="AI304" s="129">
        <f t="shared" si="57"/>
        <v>38</v>
      </c>
      <c r="AJ304" s="129">
        <f t="shared" si="58"/>
        <v>39</v>
      </c>
      <c r="AK304" s="129">
        <f t="shared" si="59"/>
        <v>24</v>
      </c>
      <c r="AL304" s="129">
        <f t="shared" si="60"/>
        <v>10</v>
      </c>
      <c r="AM304" s="129">
        <f t="shared" si="61"/>
        <v>11</v>
      </c>
      <c r="AN304" s="129">
        <f t="shared" si="62"/>
        <v>26</v>
      </c>
      <c r="AO304" s="129">
        <f t="shared" si="63"/>
        <v>14</v>
      </c>
    </row>
    <row r="305" spans="1:41" ht="12" x14ac:dyDescent="0.25">
      <c r="A305" s="19">
        <v>540200</v>
      </c>
      <c r="B305" s="22" t="s">
        <v>78</v>
      </c>
      <c r="C305" s="22" t="s">
        <v>68</v>
      </c>
      <c r="D305" s="22" t="s">
        <v>29</v>
      </c>
      <c r="E305" s="19">
        <v>2</v>
      </c>
      <c r="F305" s="19" t="s">
        <v>77</v>
      </c>
      <c r="G305" s="19">
        <v>1246</v>
      </c>
      <c r="H305" s="19">
        <v>94</v>
      </c>
      <c r="I305" s="19">
        <v>644</v>
      </c>
      <c r="J305" s="19">
        <v>237</v>
      </c>
      <c r="K305" s="19">
        <v>2221</v>
      </c>
      <c r="L305" s="21">
        <v>0.56100000000000005</v>
      </c>
      <c r="M305" s="21">
        <v>4.2000000000000003E-2</v>
      </c>
      <c r="N305" s="21">
        <v>0.28999999999999998</v>
      </c>
      <c r="O305" s="21">
        <v>0.107</v>
      </c>
      <c r="P305" s="21">
        <v>6.4000000000000001E-2</v>
      </c>
      <c r="Q305" s="21">
        <v>1.2E-2</v>
      </c>
      <c r="R305" s="2"/>
      <c r="S305" s="19">
        <v>564</v>
      </c>
      <c r="T305" s="19">
        <v>134</v>
      </c>
      <c r="U305" s="19">
        <v>108</v>
      </c>
      <c r="V305" s="2"/>
      <c r="W305" s="19">
        <v>1972.1</v>
      </c>
      <c r="X305" s="19">
        <v>1977</v>
      </c>
      <c r="Y305" s="20">
        <v>73056.800000000003</v>
      </c>
      <c r="Z305" s="20">
        <v>32100</v>
      </c>
      <c r="AA305" s="20">
        <v>42329.2</v>
      </c>
      <c r="AB305" s="20">
        <v>30000</v>
      </c>
      <c r="AC305" s="21">
        <v>0.30599999999999999</v>
      </c>
      <c r="AD305" s="21">
        <v>0.22700000000000001</v>
      </c>
      <c r="AE305" s="20">
        <v>13269.7</v>
      </c>
      <c r="AF305" s="20">
        <v>7242.2</v>
      </c>
      <c r="AG305" s="2"/>
      <c r="AH305" s="19">
        <f t="shared" si="56"/>
        <v>17</v>
      </c>
      <c r="AI305" s="19">
        <f t="shared" si="57"/>
        <v>4</v>
      </c>
      <c r="AJ305" s="19">
        <f t="shared" si="58"/>
        <v>4</v>
      </c>
      <c r="AK305" s="19">
        <f t="shared" si="59"/>
        <v>41</v>
      </c>
      <c r="AL305" s="19">
        <f t="shared" si="60"/>
        <v>35</v>
      </c>
      <c r="AM305" s="19">
        <f t="shared" si="61"/>
        <v>35</v>
      </c>
      <c r="AN305" s="19">
        <f t="shared" si="62"/>
        <v>19</v>
      </c>
      <c r="AO305" s="19">
        <f t="shared" si="63"/>
        <v>21</v>
      </c>
    </row>
    <row r="306" spans="1:41" ht="12" x14ac:dyDescent="0.25">
      <c r="A306" s="25">
        <v>540018</v>
      </c>
      <c r="B306" s="26" t="s">
        <v>21</v>
      </c>
      <c r="C306" s="26" t="s">
        <v>68</v>
      </c>
      <c r="D306" s="26" t="s">
        <v>58</v>
      </c>
      <c r="E306" s="25">
        <v>2</v>
      </c>
      <c r="F306" s="25" t="s">
        <v>76</v>
      </c>
      <c r="G306" s="25">
        <v>209</v>
      </c>
      <c r="H306" s="25">
        <v>0</v>
      </c>
      <c r="I306" s="25">
        <v>19</v>
      </c>
      <c r="J306" s="25">
        <v>4</v>
      </c>
      <c r="K306" s="25">
        <v>232</v>
      </c>
      <c r="L306" s="24">
        <v>0.90100000000000002</v>
      </c>
      <c r="M306" s="24">
        <v>0</v>
      </c>
      <c r="N306" s="24">
        <v>8.2000000000000003E-2</v>
      </c>
      <c r="O306" s="24">
        <v>1.7000000000000001E-2</v>
      </c>
      <c r="P306" s="24">
        <v>0</v>
      </c>
      <c r="Q306" s="24">
        <v>0</v>
      </c>
      <c r="R306" s="2"/>
      <c r="S306" s="25">
        <v>12</v>
      </c>
      <c r="T306" s="25">
        <v>0</v>
      </c>
      <c r="U306" s="25">
        <v>1</v>
      </c>
      <c r="V306" s="2"/>
      <c r="W306" s="25">
        <v>1952.8</v>
      </c>
      <c r="X306" s="25">
        <v>1950</v>
      </c>
      <c r="Y306" s="23">
        <v>106932.9</v>
      </c>
      <c r="Z306" s="23">
        <v>44650</v>
      </c>
      <c r="AA306" s="23">
        <v>45892.3</v>
      </c>
      <c r="AB306" s="23">
        <v>43600</v>
      </c>
      <c r="AC306" s="24">
        <v>0.09</v>
      </c>
      <c r="AD306" s="24">
        <v>5.8999999999999997E-2</v>
      </c>
      <c r="AE306" s="23">
        <v>13061.7</v>
      </c>
      <c r="AF306" s="23">
        <v>2425.8000000000002</v>
      </c>
      <c r="AG306" s="2"/>
      <c r="AH306" s="14" t="str">
        <f t="shared" si="56"/>
        <v/>
      </c>
      <c r="AI306" s="14" t="str">
        <f t="shared" si="57"/>
        <v/>
      </c>
      <c r="AJ306" s="14" t="str">
        <f t="shared" si="58"/>
        <v/>
      </c>
      <c r="AK306" s="14" t="str">
        <f t="shared" si="59"/>
        <v/>
      </c>
      <c r="AL306" s="14" t="str">
        <f t="shared" si="60"/>
        <v/>
      </c>
      <c r="AM306" s="14" t="str">
        <f t="shared" si="61"/>
        <v/>
      </c>
      <c r="AN306" s="14" t="str">
        <f t="shared" si="62"/>
        <v/>
      </c>
      <c r="AO306" s="14" t="str">
        <f t="shared" si="63"/>
        <v/>
      </c>
    </row>
    <row r="307" spans="1:41" ht="12" x14ac:dyDescent="0.25">
      <c r="A307" s="14">
        <v>540202</v>
      </c>
      <c r="B307" s="17" t="s">
        <v>75</v>
      </c>
      <c r="C307" s="17" t="s">
        <v>68</v>
      </c>
      <c r="D307" s="17" t="s">
        <v>2</v>
      </c>
      <c r="E307" s="14">
        <v>2</v>
      </c>
      <c r="F307" s="14" t="s">
        <v>74</v>
      </c>
      <c r="G307" s="14">
        <v>52</v>
      </c>
      <c r="H307" s="14">
        <v>0</v>
      </c>
      <c r="I307" s="14">
        <v>24</v>
      </c>
      <c r="J307" s="14">
        <v>6</v>
      </c>
      <c r="K307" s="14">
        <v>82</v>
      </c>
      <c r="L307" s="16">
        <v>0.63400000000000001</v>
      </c>
      <c r="M307" s="16">
        <v>0</v>
      </c>
      <c r="N307" s="16">
        <v>0.29299999999999998</v>
      </c>
      <c r="O307" s="16">
        <v>7.2999999999999995E-2</v>
      </c>
      <c r="P307" s="16">
        <v>7.2999999999999995E-2</v>
      </c>
      <c r="Q307" s="16">
        <v>0</v>
      </c>
      <c r="R307" s="2"/>
      <c r="S307" s="14">
        <v>28</v>
      </c>
      <c r="T307" s="14">
        <v>6</v>
      </c>
      <c r="U307" s="14">
        <v>3</v>
      </c>
      <c r="V307" s="2"/>
      <c r="W307" s="14">
        <v>1961</v>
      </c>
      <c r="X307" s="14">
        <v>1967</v>
      </c>
      <c r="Y307" s="15">
        <v>283597.7</v>
      </c>
      <c r="Z307" s="15">
        <v>32650</v>
      </c>
      <c r="AA307" s="15">
        <v>31894.7</v>
      </c>
      <c r="AB307" s="15">
        <v>28750</v>
      </c>
      <c r="AC307" s="16">
        <v>0.313</v>
      </c>
      <c r="AD307" s="16">
        <v>0.29399999999999998</v>
      </c>
      <c r="AE307" s="15">
        <v>11612.4</v>
      </c>
      <c r="AF307" s="15">
        <v>6535.3</v>
      </c>
      <c r="AG307" s="2"/>
      <c r="AH307" s="14">
        <f t="shared" si="56"/>
        <v>36</v>
      </c>
      <c r="AI307" s="14">
        <f t="shared" si="57"/>
        <v>52</v>
      </c>
      <c r="AJ307" s="14">
        <f t="shared" si="58"/>
        <v>27</v>
      </c>
      <c r="AK307" s="14">
        <f t="shared" si="59"/>
        <v>156</v>
      </c>
      <c r="AL307" s="14">
        <f t="shared" si="60"/>
        <v>144</v>
      </c>
      <c r="AM307" s="14">
        <f t="shared" si="61"/>
        <v>144</v>
      </c>
      <c r="AN307" s="14">
        <f t="shared" si="62"/>
        <v>19</v>
      </c>
      <c r="AO307" s="14">
        <f t="shared" si="63"/>
        <v>69</v>
      </c>
    </row>
    <row r="308" spans="1:41" ht="12" x14ac:dyDescent="0.25">
      <c r="A308" s="14">
        <v>540221</v>
      </c>
      <c r="B308" s="17" t="s">
        <v>73</v>
      </c>
      <c r="C308" s="17" t="s">
        <v>68</v>
      </c>
      <c r="D308" s="17" t="s">
        <v>2</v>
      </c>
      <c r="E308" s="14">
        <v>2</v>
      </c>
      <c r="F308" s="14" t="s">
        <v>69</v>
      </c>
      <c r="G308" s="14">
        <v>71</v>
      </c>
      <c r="H308" s="14">
        <v>0</v>
      </c>
      <c r="I308" s="14">
        <v>11</v>
      </c>
      <c r="J308" s="14">
        <v>5</v>
      </c>
      <c r="K308" s="14">
        <v>87</v>
      </c>
      <c r="L308" s="16">
        <v>0.81599999999999995</v>
      </c>
      <c r="M308" s="16">
        <v>0</v>
      </c>
      <c r="N308" s="16">
        <v>0.126</v>
      </c>
      <c r="O308" s="16">
        <v>5.7000000000000002E-2</v>
      </c>
      <c r="P308" s="16">
        <v>4.5999999999999999E-2</v>
      </c>
      <c r="Q308" s="16">
        <v>2.3E-2</v>
      </c>
      <c r="R308" s="2"/>
      <c r="S308" s="14">
        <v>12</v>
      </c>
      <c r="T308" s="14">
        <v>1</v>
      </c>
      <c r="U308" s="14">
        <v>0</v>
      </c>
      <c r="V308" s="2"/>
      <c r="W308" s="14">
        <v>1956.6</v>
      </c>
      <c r="X308" s="14">
        <v>1961</v>
      </c>
      <c r="Y308" s="15">
        <v>30783.200000000001</v>
      </c>
      <c r="Z308" s="15">
        <v>25500</v>
      </c>
      <c r="AA308" s="15">
        <v>28699.3</v>
      </c>
      <c r="AB308" s="15">
        <v>25300</v>
      </c>
      <c r="AC308" s="16">
        <v>0.22800000000000001</v>
      </c>
      <c r="AD308" s="16">
        <v>0.22700000000000001</v>
      </c>
      <c r="AE308" s="15">
        <v>6969.6</v>
      </c>
      <c r="AF308" s="15">
        <v>6391.3</v>
      </c>
      <c r="AG308" s="2"/>
      <c r="AH308" s="14">
        <f t="shared" si="56"/>
        <v>103</v>
      </c>
      <c r="AI308" s="14">
        <f t="shared" si="57"/>
        <v>81</v>
      </c>
      <c r="AJ308" s="14">
        <f t="shared" si="58"/>
        <v>80</v>
      </c>
      <c r="AK308" s="14">
        <f t="shared" si="59"/>
        <v>148</v>
      </c>
      <c r="AL308" s="14">
        <f t="shared" si="60"/>
        <v>171</v>
      </c>
      <c r="AM308" s="14">
        <f t="shared" si="61"/>
        <v>165</v>
      </c>
      <c r="AN308" s="14">
        <f t="shared" si="62"/>
        <v>40</v>
      </c>
      <c r="AO308" s="14">
        <f t="shared" si="63"/>
        <v>71</v>
      </c>
    </row>
    <row r="309" spans="1:41" ht="12" x14ac:dyDescent="0.25">
      <c r="A309" s="14">
        <v>540231</v>
      </c>
      <c r="B309" s="17" t="s">
        <v>72</v>
      </c>
      <c r="C309" s="17" t="s">
        <v>68</v>
      </c>
      <c r="D309" s="17" t="s">
        <v>2</v>
      </c>
      <c r="E309" s="14">
        <v>2</v>
      </c>
      <c r="F309" s="14" t="s">
        <v>71</v>
      </c>
      <c r="G309" s="14">
        <v>132</v>
      </c>
      <c r="H309" s="14">
        <v>0</v>
      </c>
      <c r="I309" s="14">
        <v>63</v>
      </c>
      <c r="J309" s="14">
        <v>6</v>
      </c>
      <c r="K309" s="14">
        <v>201</v>
      </c>
      <c r="L309" s="16">
        <v>0.65700000000000003</v>
      </c>
      <c r="M309" s="16">
        <v>0</v>
      </c>
      <c r="N309" s="16">
        <v>0.313</v>
      </c>
      <c r="O309" s="16">
        <v>0.03</v>
      </c>
      <c r="P309" s="16">
        <v>1.4999999999999999E-2</v>
      </c>
      <c r="Q309" s="16">
        <v>0.03</v>
      </c>
      <c r="R309" s="2"/>
      <c r="S309" s="14">
        <v>8</v>
      </c>
      <c r="T309" s="14">
        <v>1</v>
      </c>
      <c r="U309" s="14">
        <v>2</v>
      </c>
      <c r="V309" s="2"/>
      <c r="W309" s="14">
        <v>1967.1</v>
      </c>
      <c r="X309" s="14">
        <v>1974</v>
      </c>
      <c r="Y309" s="15">
        <v>44861</v>
      </c>
      <c r="Z309" s="15">
        <v>22300</v>
      </c>
      <c r="AA309" s="15">
        <v>33108.699999999997</v>
      </c>
      <c r="AB309" s="15">
        <v>20400</v>
      </c>
      <c r="AC309" s="16">
        <v>0.17499999999999999</v>
      </c>
      <c r="AD309" s="16">
        <v>0.151</v>
      </c>
      <c r="AE309" s="15">
        <v>6103.4</v>
      </c>
      <c r="AF309" s="15">
        <v>3943.3</v>
      </c>
      <c r="AG309" s="2"/>
      <c r="AH309" s="14">
        <f t="shared" si="56"/>
        <v>32</v>
      </c>
      <c r="AI309" s="14">
        <f t="shared" si="57"/>
        <v>100</v>
      </c>
      <c r="AJ309" s="14">
        <f t="shared" si="58"/>
        <v>80</v>
      </c>
      <c r="AK309" s="14">
        <f t="shared" si="59"/>
        <v>174</v>
      </c>
      <c r="AL309" s="14">
        <f t="shared" si="60"/>
        <v>185</v>
      </c>
      <c r="AM309" s="14">
        <f t="shared" si="61"/>
        <v>186</v>
      </c>
      <c r="AN309" s="14">
        <f t="shared" si="62"/>
        <v>72</v>
      </c>
      <c r="AO309" s="14">
        <f t="shared" si="63"/>
        <v>115</v>
      </c>
    </row>
    <row r="310" spans="1:41" ht="12" x14ac:dyDescent="0.25">
      <c r="A310" s="14">
        <v>540232</v>
      </c>
      <c r="B310" s="17" t="s">
        <v>70</v>
      </c>
      <c r="C310" s="17" t="s">
        <v>68</v>
      </c>
      <c r="D310" s="17" t="s">
        <v>2</v>
      </c>
      <c r="E310" s="14">
        <v>2</v>
      </c>
      <c r="F310" s="14" t="s">
        <v>69</v>
      </c>
      <c r="G310" s="14">
        <v>65</v>
      </c>
      <c r="H310" s="14">
        <v>0</v>
      </c>
      <c r="I310" s="14">
        <v>8</v>
      </c>
      <c r="J310" s="14">
        <v>8</v>
      </c>
      <c r="K310" s="14">
        <v>81</v>
      </c>
      <c r="L310" s="16">
        <v>0.80200000000000005</v>
      </c>
      <c r="M310" s="16">
        <v>0</v>
      </c>
      <c r="N310" s="16">
        <v>9.9000000000000005E-2</v>
      </c>
      <c r="O310" s="16">
        <v>9.9000000000000005E-2</v>
      </c>
      <c r="P310" s="16">
        <v>1.2E-2</v>
      </c>
      <c r="Q310" s="16">
        <v>4.9000000000000002E-2</v>
      </c>
      <c r="R310" s="2"/>
      <c r="S310" s="14">
        <v>50</v>
      </c>
      <c r="T310" s="14">
        <v>5</v>
      </c>
      <c r="U310" s="14">
        <v>4</v>
      </c>
      <c r="V310" s="2"/>
      <c r="W310" s="14">
        <v>1963</v>
      </c>
      <c r="X310" s="14">
        <v>1968</v>
      </c>
      <c r="Y310" s="15">
        <v>141545.1</v>
      </c>
      <c r="Z310" s="15">
        <v>56200</v>
      </c>
      <c r="AA310" s="15">
        <v>64547.5</v>
      </c>
      <c r="AB310" s="15">
        <v>51500</v>
      </c>
      <c r="AC310" s="16">
        <v>0.46700000000000003</v>
      </c>
      <c r="AD310" s="16">
        <v>0.51900000000000002</v>
      </c>
      <c r="AE310" s="15">
        <v>61409</v>
      </c>
      <c r="AF310" s="15">
        <v>17277.3</v>
      </c>
      <c r="AG310" s="2"/>
      <c r="AH310" s="14">
        <f t="shared" si="56"/>
        <v>127</v>
      </c>
      <c r="AI310" s="14">
        <f t="shared" si="57"/>
        <v>30</v>
      </c>
      <c r="AJ310" s="14">
        <f t="shared" si="58"/>
        <v>31</v>
      </c>
      <c r="AK310" s="14">
        <f t="shared" si="59"/>
        <v>161</v>
      </c>
      <c r="AL310" s="14">
        <f t="shared" si="60"/>
        <v>56</v>
      </c>
      <c r="AM310" s="14">
        <f t="shared" si="61"/>
        <v>54</v>
      </c>
      <c r="AN310" s="14">
        <f t="shared" si="62"/>
        <v>6</v>
      </c>
      <c r="AO310" s="14">
        <f t="shared" si="63"/>
        <v>10</v>
      </c>
    </row>
    <row r="311" spans="1:41" x14ac:dyDescent="0.3">
      <c r="A311" s="129"/>
      <c r="B311" s="130"/>
      <c r="C311" s="130" t="s">
        <v>68</v>
      </c>
      <c r="D311" s="130" t="s">
        <v>26</v>
      </c>
      <c r="E311" s="129">
        <v>2</v>
      </c>
      <c r="F311" s="129"/>
      <c r="G311" s="129">
        <v>1775</v>
      </c>
      <c r="H311" s="129">
        <v>94</v>
      </c>
      <c r="I311" s="129">
        <v>769</v>
      </c>
      <c r="J311" s="129">
        <v>266</v>
      </c>
      <c r="K311" s="129">
        <v>2904</v>
      </c>
      <c r="L311" s="131">
        <v>0.61099999999999999</v>
      </c>
      <c r="M311" s="131">
        <v>3.2000000000000001E-2</v>
      </c>
      <c r="N311" s="131">
        <v>0.26500000000000001</v>
      </c>
      <c r="O311" s="131">
        <v>9.1999999999999998E-2</v>
      </c>
      <c r="P311" s="131">
        <v>5.3999999999999999E-2</v>
      </c>
      <c r="Q311" s="131">
        <v>1.2999999999999999E-2</v>
      </c>
      <c r="S311" s="129">
        <v>674</v>
      </c>
      <c r="T311" s="129">
        <v>147</v>
      </c>
      <c r="U311" s="129">
        <v>118</v>
      </c>
      <c r="W311" s="129">
        <v>1968.7</v>
      </c>
      <c r="X311" s="129">
        <v>1973</v>
      </c>
      <c r="Y311" s="132">
        <v>80400.399999999994</v>
      </c>
      <c r="Z311" s="132">
        <v>33000</v>
      </c>
      <c r="AA311" s="132">
        <v>52564.7</v>
      </c>
      <c r="AB311" s="132">
        <v>44800</v>
      </c>
      <c r="AC311" s="131">
        <v>0.29199999999999998</v>
      </c>
      <c r="AD311" s="131">
        <v>0.20799999999999999</v>
      </c>
      <c r="AE311" s="132">
        <v>15029.6</v>
      </c>
      <c r="AF311" s="132">
        <v>6881.4</v>
      </c>
      <c r="AH311" s="129">
        <f t="shared" si="56"/>
        <v>14</v>
      </c>
      <c r="AI311" s="129">
        <f t="shared" si="57"/>
        <v>6</v>
      </c>
      <c r="AJ311" s="129">
        <f t="shared" si="58"/>
        <v>5</v>
      </c>
      <c r="AK311" s="129">
        <f t="shared" si="59"/>
        <v>40</v>
      </c>
      <c r="AL311" s="129">
        <f t="shared" si="60"/>
        <v>37</v>
      </c>
      <c r="AM311" s="129">
        <f t="shared" si="61"/>
        <v>31</v>
      </c>
      <c r="AN311" s="129">
        <f t="shared" si="62"/>
        <v>17</v>
      </c>
      <c r="AO311" s="129">
        <f t="shared" si="63"/>
        <v>21</v>
      </c>
    </row>
    <row r="312" spans="1:41" ht="12" hidden="1" x14ac:dyDescent="0.25">
      <c r="A312" s="19">
        <v>540203</v>
      </c>
      <c r="B312" s="22" t="s">
        <v>67</v>
      </c>
      <c r="C312" s="22" t="s">
        <v>61</v>
      </c>
      <c r="D312" s="22" t="s">
        <v>29</v>
      </c>
      <c r="E312" s="19">
        <v>4</v>
      </c>
      <c r="F312" s="19" t="s">
        <v>65</v>
      </c>
      <c r="G312" s="19">
        <v>602</v>
      </c>
      <c r="H312" s="19">
        <v>23</v>
      </c>
      <c r="I312" s="19">
        <v>201</v>
      </c>
      <c r="J312" s="19">
        <v>66</v>
      </c>
      <c r="K312" s="19">
        <v>892</v>
      </c>
      <c r="L312" s="21">
        <v>0.67500000000000004</v>
      </c>
      <c r="M312" s="21">
        <v>2.5999999999999999E-2</v>
      </c>
      <c r="N312" s="21">
        <v>0.22500000000000001</v>
      </c>
      <c r="O312" s="21">
        <v>7.3999999999999996E-2</v>
      </c>
      <c r="P312" s="21">
        <v>4.4999999999999998E-2</v>
      </c>
      <c r="Q312" s="21">
        <v>6.0000000000000001E-3</v>
      </c>
      <c r="R312" s="2"/>
      <c r="S312" s="19">
        <v>73</v>
      </c>
      <c r="T312" s="19">
        <v>6</v>
      </c>
      <c r="U312" s="19">
        <v>8</v>
      </c>
      <c r="V312" s="2"/>
      <c r="W312" s="19">
        <v>1964.8</v>
      </c>
      <c r="X312" s="19">
        <v>1970</v>
      </c>
      <c r="Y312" s="20">
        <v>48675.8</v>
      </c>
      <c r="Z312" s="20">
        <v>26000</v>
      </c>
      <c r="AA312" s="20">
        <v>30701.5</v>
      </c>
      <c r="AB312" s="20">
        <v>25400</v>
      </c>
      <c r="AC312" s="21">
        <v>0.20200000000000001</v>
      </c>
      <c r="AD312" s="21">
        <v>0.14499999999999999</v>
      </c>
      <c r="AE312" s="20">
        <v>8201.2999999999993</v>
      </c>
      <c r="AF312" s="20">
        <v>3926.6</v>
      </c>
      <c r="AG312" s="2"/>
      <c r="AH312" s="19">
        <f t="shared" si="56"/>
        <v>32</v>
      </c>
      <c r="AI312" s="19">
        <f t="shared" si="57"/>
        <v>40</v>
      </c>
      <c r="AJ312" s="19">
        <f t="shared" si="58"/>
        <v>43</v>
      </c>
      <c r="AK312" s="19">
        <f t="shared" si="59"/>
        <v>21</v>
      </c>
      <c r="AL312" s="19">
        <f t="shared" si="60"/>
        <v>47</v>
      </c>
      <c r="AM312" s="19">
        <f t="shared" si="61"/>
        <v>46</v>
      </c>
      <c r="AN312" s="19">
        <f t="shared" si="62"/>
        <v>36</v>
      </c>
      <c r="AO312" s="19">
        <f t="shared" si="63"/>
        <v>44</v>
      </c>
    </row>
    <row r="313" spans="1:41" ht="12" hidden="1" x14ac:dyDescent="0.25">
      <c r="A313" s="14">
        <v>540204</v>
      </c>
      <c r="B313" s="17" t="s">
        <v>66</v>
      </c>
      <c r="C313" s="17" t="s">
        <v>61</v>
      </c>
      <c r="D313" s="17" t="s">
        <v>2</v>
      </c>
      <c r="E313" s="14">
        <v>4</v>
      </c>
      <c r="F313" s="14" t="s">
        <v>65</v>
      </c>
      <c r="G313" s="14">
        <v>113</v>
      </c>
      <c r="H313" s="14">
        <v>1</v>
      </c>
      <c r="I313" s="14">
        <v>8</v>
      </c>
      <c r="J313" s="14">
        <v>4</v>
      </c>
      <c r="K313" s="14">
        <v>126</v>
      </c>
      <c r="L313" s="16">
        <v>0.89700000000000002</v>
      </c>
      <c r="M313" s="16">
        <v>8.0000000000000002E-3</v>
      </c>
      <c r="N313" s="16">
        <v>6.3E-2</v>
      </c>
      <c r="O313" s="16">
        <v>3.2000000000000001E-2</v>
      </c>
      <c r="P313" s="16">
        <v>3.2000000000000001E-2</v>
      </c>
      <c r="Q313" s="16">
        <v>0</v>
      </c>
      <c r="R313" s="2"/>
      <c r="S313" s="14">
        <v>1</v>
      </c>
      <c r="T313" s="14">
        <v>0</v>
      </c>
      <c r="U313" s="14">
        <v>0</v>
      </c>
      <c r="V313" s="2"/>
      <c r="W313" s="14">
        <v>1945</v>
      </c>
      <c r="X313" s="14">
        <v>1942</v>
      </c>
      <c r="Y313" s="15">
        <v>93646</v>
      </c>
      <c r="Z313" s="15">
        <v>35300</v>
      </c>
      <c r="AA313" s="15">
        <v>36025</v>
      </c>
      <c r="AB313" s="15">
        <v>31300</v>
      </c>
      <c r="AC313" s="16">
        <v>0.10100000000000001</v>
      </c>
      <c r="AD313" s="16">
        <v>0.05</v>
      </c>
      <c r="AE313" s="15">
        <v>2956.6</v>
      </c>
      <c r="AF313" s="15">
        <v>2737.1</v>
      </c>
      <c r="AG313" s="2"/>
      <c r="AH313" s="14">
        <f t="shared" si="56"/>
        <v>153</v>
      </c>
      <c r="AI313" s="14">
        <f t="shared" si="57"/>
        <v>151</v>
      </c>
      <c r="AJ313" s="14">
        <f t="shared" si="58"/>
        <v>108</v>
      </c>
      <c r="AK313" s="14">
        <f t="shared" si="59"/>
        <v>92</v>
      </c>
      <c r="AL313" s="14">
        <f t="shared" si="60"/>
        <v>136</v>
      </c>
      <c r="AM313" s="14">
        <f t="shared" si="61"/>
        <v>130</v>
      </c>
      <c r="AN313" s="14">
        <f t="shared" si="62"/>
        <v>168</v>
      </c>
      <c r="AO313" s="14">
        <f t="shared" si="63"/>
        <v>145</v>
      </c>
    </row>
    <row r="314" spans="1:41" ht="12" hidden="1" x14ac:dyDescent="0.25">
      <c r="A314" s="14">
        <v>540205</v>
      </c>
      <c r="B314" s="17" t="s">
        <v>64</v>
      </c>
      <c r="C314" s="17" t="s">
        <v>61</v>
      </c>
      <c r="D314" s="17" t="s">
        <v>2</v>
      </c>
      <c r="E314" s="14">
        <v>4</v>
      </c>
      <c r="F314" s="14" t="s">
        <v>62</v>
      </c>
      <c r="G314" s="14">
        <v>19</v>
      </c>
      <c r="H314" s="14">
        <v>1</v>
      </c>
      <c r="I314" s="14">
        <v>1</v>
      </c>
      <c r="J314" s="14">
        <v>0</v>
      </c>
      <c r="K314" s="14">
        <v>21</v>
      </c>
      <c r="L314" s="16">
        <v>0.90500000000000003</v>
      </c>
      <c r="M314" s="16">
        <v>4.8000000000000001E-2</v>
      </c>
      <c r="N314" s="16">
        <v>4.8000000000000001E-2</v>
      </c>
      <c r="O314" s="16">
        <v>0</v>
      </c>
      <c r="P314" s="16">
        <v>0</v>
      </c>
      <c r="Q314" s="16">
        <v>0</v>
      </c>
      <c r="R314" s="2"/>
      <c r="S314" s="14">
        <v>6</v>
      </c>
      <c r="T314" s="14">
        <v>0</v>
      </c>
      <c r="U314" s="14">
        <v>0</v>
      </c>
      <c r="V314" s="2"/>
      <c r="W314" s="14">
        <v>1939.3</v>
      </c>
      <c r="X314" s="14">
        <v>1930</v>
      </c>
      <c r="Y314" s="15">
        <v>27289.5</v>
      </c>
      <c r="Z314" s="15">
        <v>16700</v>
      </c>
      <c r="AA314" s="15">
        <v>20229.2</v>
      </c>
      <c r="AB314" s="15">
        <v>16800</v>
      </c>
      <c r="AC314" s="16">
        <v>0.318</v>
      </c>
      <c r="AD314" s="16">
        <v>0.26800000000000002</v>
      </c>
      <c r="AE314" s="15">
        <v>5820.2</v>
      </c>
      <c r="AF314" s="15">
        <v>3370.8</v>
      </c>
      <c r="AG314" s="2"/>
      <c r="AH314" s="14">
        <f t="shared" si="56"/>
        <v>162</v>
      </c>
      <c r="AI314" s="14">
        <f t="shared" si="57"/>
        <v>106</v>
      </c>
      <c r="AJ314" s="14">
        <f t="shared" si="58"/>
        <v>108</v>
      </c>
      <c r="AK314" s="14">
        <f t="shared" si="59"/>
        <v>48</v>
      </c>
      <c r="AL314" s="14">
        <f t="shared" si="60"/>
        <v>200</v>
      </c>
      <c r="AM314" s="14">
        <f t="shared" si="61"/>
        <v>192</v>
      </c>
      <c r="AN314" s="14">
        <f t="shared" si="62"/>
        <v>27</v>
      </c>
      <c r="AO314" s="14">
        <f t="shared" si="63"/>
        <v>127</v>
      </c>
    </row>
    <row r="315" spans="1:41" ht="12" hidden="1" x14ac:dyDescent="0.25">
      <c r="A315" s="14">
        <v>540206</v>
      </c>
      <c r="B315" s="17" t="s">
        <v>63</v>
      </c>
      <c r="C315" s="17" t="s">
        <v>61</v>
      </c>
      <c r="D315" s="17" t="s">
        <v>2</v>
      </c>
      <c r="E315" s="14">
        <v>4</v>
      </c>
      <c r="F315" s="14" t="s">
        <v>62</v>
      </c>
      <c r="G315" s="14">
        <v>23</v>
      </c>
      <c r="H315" s="14">
        <v>0</v>
      </c>
      <c r="I315" s="14">
        <v>12</v>
      </c>
      <c r="J315" s="14">
        <v>0</v>
      </c>
      <c r="K315" s="14">
        <v>35</v>
      </c>
      <c r="L315" s="16">
        <v>0.65700000000000003</v>
      </c>
      <c r="M315" s="16">
        <v>0</v>
      </c>
      <c r="N315" s="16">
        <v>0.34300000000000003</v>
      </c>
      <c r="O315" s="16">
        <v>0</v>
      </c>
      <c r="P315" s="16">
        <v>0</v>
      </c>
      <c r="Q315" s="16">
        <v>0</v>
      </c>
      <c r="R315" s="2"/>
      <c r="S315" s="14">
        <v>0</v>
      </c>
      <c r="T315" s="14">
        <v>0</v>
      </c>
      <c r="U315" s="14">
        <v>0</v>
      </c>
      <c r="V315" s="2"/>
      <c r="W315" s="14">
        <v>1973.3</v>
      </c>
      <c r="X315" s="14">
        <v>1977</v>
      </c>
      <c r="Y315" s="15">
        <v>150878.5</v>
      </c>
      <c r="Z315" s="15">
        <v>28300</v>
      </c>
      <c r="AA315" s="15">
        <v>29072.5</v>
      </c>
      <c r="AB315" s="15">
        <v>28250</v>
      </c>
      <c r="AC315" s="16">
        <v>0</v>
      </c>
      <c r="AD315" s="16">
        <v>0</v>
      </c>
      <c r="AE315" s="15">
        <v>0</v>
      </c>
      <c r="AF315" s="15">
        <v>0</v>
      </c>
      <c r="AG315" s="2"/>
      <c r="AH315" s="14">
        <f t="shared" si="56"/>
        <v>28</v>
      </c>
      <c r="AI315" s="14">
        <f t="shared" si="57"/>
        <v>172</v>
      </c>
      <c r="AJ315" s="14">
        <f t="shared" si="58"/>
        <v>108</v>
      </c>
      <c r="AK315" s="14">
        <f t="shared" si="59"/>
        <v>184</v>
      </c>
      <c r="AL315" s="14">
        <f t="shared" si="60"/>
        <v>162</v>
      </c>
      <c r="AM315" s="14">
        <f t="shared" si="61"/>
        <v>146</v>
      </c>
      <c r="AN315" s="14">
        <f t="shared" si="62"/>
        <v>198</v>
      </c>
      <c r="AO315" s="14">
        <f t="shared" si="63"/>
        <v>198</v>
      </c>
    </row>
    <row r="316" spans="1:41" hidden="1" x14ac:dyDescent="0.3">
      <c r="A316" s="129"/>
      <c r="B316" s="130"/>
      <c r="C316" s="130" t="s">
        <v>61</v>
      </c>
      <c r="D316" s="130" t="s">
        <v>26</v>
      </c>
      <c r="E316" s="129">
        <v>4</v>
      </c>
      <c r="F316" s="129"/>
      <c r="G316" s="129">
        <v>757</v>
      </c>
      <c r="H316" s="129">
        <v>25</v>
      </c>
      <c r="I316" s="129">
        <v>222</v>
      </c>
      <c r="J316" s="129">
        <v>70</v>
      </c>
      <c r="K316" s="129">
        <v>1074</v>
      </c>
      <c r="L316" s="131">
        <v>0.70499999999999996</v>
      </c>
      <c r="M316" s="131">
        <v>2.3E-2</v>
      </c>
      <c r="N316" s="131">
        <v>0.20699999999999999</v>
      </c>
      <c r="O316" s="131">
        <v>6.5000000000000002E-2</v>
      </c>
      <c r="P316" s="131">
        <v>4.1000000000000002E-2</v>
      </c>
      <c r="Q316" s="131">
        <v>5.0000000000000001E-3</v>
      </c>
      <c r="S316" s="129">
        <v>80</v>
      </c>
      <c r="T316" s="129">
        <v>6</v>
      </c>
      <c r="U316" s="129">
        <v>8</v>
      </c>
      <c r="W316" s="129">
        <v>1962</v>
      </c>
      <c r="X316" s="129">
        <v>1963</v>
      </c>
      <c r="Y316" s="132">
        <v>56864.1</v>
      </c>
      <c r="Z316" s="132">
        <v>27000</v>
      </c>
      <c r="AA316" s="132">
        <v>34744.699999999997</v>
      </c>
      <c r="AB316" s="132">
        <v>30100</v>
      </c>
      <c r="AC316" s="131">
        <v>0.20300000000000001</v>
      </c>
      <c r="AD316" s="131">
        <v>0.14499999999999999</v>
      </c>
      <c r="AE316" s="132">
        <v>7824.2</v>
      </c>
      <c r="AF316" s="132">
        <v>3737.8</v>
      </c>
      <c r="AH316" s="129">
        <f t="shared" si="56"/>
        <v>27</v>
      </c>
      <c r="AI316" s="129">
        <f t="shared" si="57"/>
        <v>46</v>
      </c>
      <c r="AJ316" s="129">
        <f t="shared" si="58"/>
        <v>50</v>
      </c>
      <c r="AK316" s="129">
        <f t="shared" si="59"/>
        <v>24</v>
      </c>
      <c r="AL316" s="129">
        <f t="shared" si="60"/>
        <v>47</v>
      </c>
      <c r="AM316" s="129">
        <f t="shared" si="61"/>
        <v>48</v>
      </c>
      <c r="AN316" s="129">
        <f t="shared" si="62"/>
        <v>33</v>
      </c>
      <c r="AO316" s="129">
        <f t="shared" si="63"/>
        <v>44</v>
      </c>
    </row>
    <row r="317" spans="1:41" ht="12" hidden="1" x14ac:dyDescent="0.25">
      <c r="A317" s="19">
        <v>540207</v>
      </c>
      <c r="B317" s="22" t="s">
        <v>60</v>
      </c>
      <c r="C317" s="22" t="s">
        <v>51</v>
      </c>
      <c r="D317" s="22" t="s">
        <v>29</v>
      </c>
      <c r="E317" s="19">
        <v>10</v>
      </c>
      <c r="F317" s="19" t="s">
        <v>59</v>
      </c>
      <c r="G317" s="19">
        <v>561</v>
      </c>
      <c r="H317" s="19">
        <v>6</v>
      </c>
      <c r="I317" s="19">
        <v>228</v>
      </c>
      <c r="J317" s="19">
        <v>125</v>
      </c>
      <c r="K317" s="19">
        <v>920</v>
      </c>
      <c r="L317" s="21">
        <v>0.61</v>
      </c>
      <c r="M317" s="21">
        <v>7.0000000000000001E-3</v>
      </c>
      <c r="N317" s="21">
        <v>0.248</v>
      </c>
      <c r="O317" s="21">
        <v>0.13600000000000001</v>
      </c>
      <c r="P317" s="21">
        <v>5.5E-2</v>
      </c>
      <c r="Q317" s="21">
        <v>4.0000000000000001E-3</v>
      </c>
      <c r="R317" s="2"/>
      <c r="S317" s="19">
        <v>145</v>
      </c>
      <c r="T317" s="19">
        <v>16</v>
      </c>
      <c r="U317" s="19">
        <v>26</v>
      </c>
      <c r="V317" s="2"/>
      <c r="W317" s="19">
        <v>1957.4</v>
      </c>
      <c r="X317" s="19">
        <v>1968</v>
      </c>
      <c r="Y317" s="20">
        <v>69124.3</v>
      </c>
      <c r="Z317" s="20">
        <v>45900</v>
      </c>
      <c r="AA317" s="20">
        <v>52768.800000000003</v>
      </c>
      <c r="AB317" s="20">
        <v>42800</v>
      </c>
      <c r="AC317" s="21">
        <v>0.309</v>
      </c>
      <c r="AD317" s="21">
        <v>0.26</v>
      </c>
      <c r="AE317" s="20">
        <v>18648.400000000001</v>
      </c>
      <c r="AF317" s="20">
        <v>9166</v>
      </c>
      <c r="AG317" s="2"/>
      <c r="AH317" s="19">
        <f t="shared" si="56"/>
        <v>28</v>
      </c>
      <c r="AI317" s="19">
        <f t="shared" si="57"/>
        <v>26</v>
      </c>
      <c r="AJ317" s="19">
        <f t="shared" si="58"/>
        <v>31</v>
      </c>
      <c r="AK317" s="19">
        <f t="shared" si="59"/>
        <v>16</v>
      </c>
      <c r="AL317" s="19">
        <f t="shared" si="60"/>
        <v>17</v>
      </c>
      <c r="AM317" s="19">
        <f t="shared" si="61"/>
        <v>18</v>
      </c>
      <c r="AN317" s="19">
        <f t="shared" si="62"/>
        <v>13</v>
      </c>
      <c r="AO317" s="19">
        <f t="shared" si="63"/>
        <v>14</v>
      </c>
    </row>
    <row r="318" spans="1:41" ht="12" hidden="1" x14ac:dyDescent="0.25">
      <c r="A318" s="25">
        <v>540196</v>
      </c>
      <c r="B318" s="26" t="s">
        <v>14</v>
      </c>
      <c r="C318" s="26" t="s">
        <v>51</v>
      </c>
      <c r="D318" s="26" t="s">
        <v>58</v>
      </c>
      <c r="E318" s="25">
        <v>10</v>
      </c>
      <c r="F318" s="25" t="s">
        <v>57</v>
      </c>
      <c r="G318" s="25">
        <v>2</v>
      </c>
      <c r="H318" s="25">
        <v>1</v>
      </c>
      <c r="I318" s="25">
        <v>0</v>
      </c>
      <c r="J318" s="25">
        <v>1</v>
      </c>
      <c r="K318" s="25">
        <v>4</v>
      </c>
      <c r="L318" s="24">
        <v>0.5</v>
      </c>
      <c r="M318" s="24">
        <v>0.25</v>
      </c>
      <c r="N318" s="24">
        <v>0</v>
      </c>
      <c r="O318" s="24">
        <v>0.25</v>
      </c>
      <c r="P318" s="24">
        <v>0</v>
      </c>
      <c r="Q318" s="24">
        <v>0.25</v>
      </c>
      <c r="R318" s="2"/>
      <c r="S318" s="25">
        <v>2</v>
      </c>
      <c r="T318" s="25">
        <v>0</v>
      </c>
      <c r="U318" s="25">
        <v>1</v>
      </c>
      <c r="V318" s="2"/>
      <c r="W318" s="25">
        <v>1968</v>
      </c>
      <c r="X318" s="25">
        <v>1962</v>
      </c>
      <c r="Y318" s="23">
        <v>509200</v>
      </c>
      <c r="Z318" s="23">
        <v>385800</v>
      </c>
      <c r="AA318" s="23">
        <v>74500</v>
      </c>
      <c r="AB318" s="23">
        <v>74500</v>
      </c>
      <c r="AC318" s="24">
        <v>0.151</v>
      </c>
      <c r="AD318" s="24">
        <v>0.151</v>
      </c>
      <c r="AE318" s="23">
        <v>140259.5</v>
      </c>
      <c r="AF318" s="23">
        <v>140259.5</v>
      </c>
      <c r="AG318" s="2"/>
      <c r="AH318" s="14" t="str">
        <f t="shared" si="56"/>
        <v/>
      </c>
      <c r="AI318" s="14" t="str">
        <f t="shared" si="57"/>
        <v/>
      </c>
      <c r="AJ318" s="14" t="str">
        <f t="shared" si="58"/>
        <v/>
      </c>
      <c r="AK318" s="14" t="str">
        <f t="shared" si="59"/>
        <v/>
      </c>
      <c r="AL318" s="14" t="str">
        <f t="shared" si="60"/>
        <v/>
      </c>
      <c r="AM318" s="14" t="str">
        <f t="shared" si="61"/>
        <v/>
      </c>
      <c r="AN318" s="14" t="str">
        <f t="shared" si="62"/>
        <v/>
      </c>
      <c r="AO318" s="14" t="str">
        <f t="shared" si="63"/>
        <v/>
      </c>
    </row>
    <row r="319" spans="1:41" ht="12" hidden="1" x14ac:dyDescent="0.25">
      <c r="A319" s="14">
        <v>540208</v>
      </c>
      <c r="B319" s="17" t="s">
        <v>56</v>
      </c>
      <c r="C319" s="17" t="s">
        <v>51</v>
      </c>
      <c r="D319" s="17" t="s">
        <v>2</v>
      </c>
      <c r="E319" s="14">
        <v>10</v>
      </c>
      <c r="F319" s="14" t="s">
        <v>55</v>
      </c>
      <c r="G319" s="14">
        <v>714</v>
      </c>
      <c r="H319" s="14">
        <v>7</v>
      </c>
      <c r="I319" s="14">
        <v>74</v>
      </c>
      <c r="J319" s="14">
        <v>22</v>
      </c>
      <c r="K319" s="14">
        <v>817</v>
      </c>
      <c r="L319" s="16">
        <v>0.874</v>
      </c>
      <c r="M319" s="16">
        <v>8.9999999999999993E-3</v>
      </c>
      <c r="N319" s="16">
        <v>9.0999999999999998E-2</v>
      </c>
      <c r="O319" s="16">
        <v>2.7E-2</v>
      </c>
      <c r="P319" s="16">
        <v>8.9999999999999993E-3</v>
      </c>
      <c r="Q319" s="16">
        <v>1.2999999999999999E-2</v>
      </c>
      <c r="R319" s="2"/>
      <c r="S319" s="14">
        <v>547</v>
      </c>
      <c r="T319" s="14">
        <v>41</v>
      </c>
      <c r="U319" s="14">
        <v>22</v>
      </c>
      <c r="V319" s="2"/>
      <c r="W319" s="14">
        <v>1933.2</v>
      </c>
      <c r="X319" s="14">
        <v>1926</v>
      </c>
      <c r="Y319" s="15">
        <v>161536.20000000001</v>
      </c>
      <c r="Z319" s="15">
        <v>63100</v>
      </c>
      <c r="AA319" s="15">
        <v>67275.8</v>
      </c>
      <c r="AB319" s="15">
        <v>59300</v>
      </c>
      <c r="AC319" s="16">
        <v>0.312</v>
      </c>
      <c r="AD319" s="16">
        <v>0.28100000000000003</v>
      </c>
      <c r="AE319" s="15">
        <v>29231.599999999999</v>
      </c>
      <c r="AF319" s="15">
        <v>16237.5</v>
      </c>
      <c r="AG319" s="2"/>
      <c r="AH319" s="14">
        <f t="shared" si="56"/>
        <v>134</v>
      </c>
      <c r="AI319" s="14">
        <f t="shared" si="57"/>
        <v>2</v>
      </c>
      <c r="AJ319" s="14">
        <f t="shared" si="58"/>
        <v>2</v>
      </c>
      <c r="AK319" s="14">
        <f t="shared" si="59"/>
        <v>44</v>
      </c>
      <c r="AL319" s="14">
        <f t="shared" si="60"/>
        <v>46</v>
      </c>
      <c r="AM319" s="14">
        <f t="shared" si="61"/>
        <v>39</v>
      </c>
      <c r="AN319" s="14">
        <f t="shared" si="62"/>
        <v>23</v>
      </c>
      <c r="AO319" s="14">
        <f t="shared" si="63"/>
        <v>14</v>
      </c>
    </row>
    <row r="320" spans="1:41" ht="12" hidden="1" x14ac:dyDescent="0.25">
      <c r="A320" s="14">
        <v>540210</v>
      </c>
      <c r="B320" s="17" t="s">
        <v>54</v>
      </c>
      <c r="C320" s="17" t="s">
        <v>51</v>
      </c>
      <c r="D320" s="17" t="s">
        <v>2</v>
      </c>
      <c r="E320" s="14">
        <v>10</v>
      </c>
      <c r="F320" s="14" t="s">
        <v>49</v>
      </c>
      <c r="G320" s="14">
        <v>82</v>
      </c>
      <c r="H320" s="14">
        <v>0</v>
      </c>
      <c r="I320" s="14">
        <v>13</v>
      </c>
      <c r="J320" s="14">
        <v>4</v>
      </c>
      <c r="K320" s="14">
        <v>99</v>
      </c>
      <c r="L320" s="16">
        <v>0.82799999999999996</v>
      </c>
      <c r="M320" s="16">
        <v>0</v>
      </c>
      <c r="N320" s="16">
        <v>0.13100000000000001</v>
      </c>
      <c r="O320" s="16">
        <v>0.04</v>
      </c>
      <c r="P320" s="16">
        <v>0.02</v>
      </c>
      <c r="Q320" s="16">
        <v>0</v>
      </c>
      <c r="R320" s="2"/>
      <c r="S320" s="14">
        <v>28</v>
      </c>
      <c r="T320" s="14">
        <v>5</v>
      </c>
      <c r="U320" s="14">
        <v>1</v>
      </c>
      <c r="V320" s="2"/>
      <c r="W320" s="14">
        <v>1942.6</v>
      </c>
      <c r="X320" s="14">
        <v>1938</v>
      </c>
      <c r="Y320" s="15">
        <v>114440.2</v>
      </c>
      <c r="Z320" s="15">
        <v>38100</v>
      </c>
      <c r="AA320" s="15">
        <v>37175.800000000003</v>
      </c>
      <c r="AB320" s="15">
        <v>36650</v>
      </c>
      <c r="AC320" s="16">
        <v>0.3</v>
      </c>
      <c r="AD320" s="16">
        <v>0.31</v>
      </c>
      <c r="AE320" s="15">
        <v>22375.8</v>
      </c>
      <c r="AF320" s="15">
        <v>10184</v>
      </c>
      <c r="AG320" s="2"/>
      <c r="AH320" s="14">
        <f t="shared" si="56"/>
        <v>99</v>
      </c>
      <c r="AI320" s="14">
        <f t="shared" si="57"/>
        <v>52</v>
      </c>
      <c r="AJ320" s="14">
        <f t="shared" si="58"/>
        <v>31</v>
      </c>
      <c r="AK320" s="14">
        <f t="shared" si="59"/>
        <v>68</v>
      </c>
      <c r="AL320" s="14">
        <f t="shared" si="60"/>
        <v>119</v>
      </c>
      <c r="AM320" s="14">
        <f t="shared" si="61"/>
        <v>109</v>
      </c>
      <c r="AN320" s="14">
        <f t="shared" si="62"/>
        <v>15</v>
      </c>
      <c r="AO320" s="14">
        <f t="shared" si="63"/>
        <v>35</v>
      </c>
    </row>
    <row r="321" spans="1:41" ht="12" hidden="1" x14ac:dyDescent="0.25">
      <c r="A321" s="14">
        <v>540256</v>
      </c>
      <c r="B321" s="17" t="s">
        <v>53</v>
      </c>
      <c r="C321" s="17" t="s">
        <v>51</v>
      </c>
      <c r="D321" s="17" t="s">
        <v>2</v>
      </c>
      <c r="E321" s="14">
        <v>10</v>
      </c>
      <c r="F321" s="14" t="s">
        <v>49</v>
      </c>
      <c r="G321" s="14">
        <v>76</v>
      </c>
      <c r="H321" s="14">
        <v>2</v>
      </c>
      <c r="I321" s="14">
        <v>3</v>
      </c>
      <c r="J321" s="14">
        <v>2</v>
      </c>
      <c r="K321" s="14">
        <v>83</v>
      </c>
      <c r="L321" s="16">
        <v>0.91600000000000004</v>
      </c>
      <c r="M321" s="16">
        <v>2.4E-2</v>
      </c>
      <c r="N321" s="16">
        <v>3.5999999999999997E-2</v>
      </c>
      <c r="O321" s="16">
        <v>2.4E-2</v>
      </c>
      <c r="P321" s="16">
        <v>0</v>
      </c>
      <c r="Q321" s="16">
        <v>1.2E-2</v>
      </c>
      <c r="R321" s="2"/>
      <c r="S321" s="14">
        <v>4</v>
      </c>
      <c r="T321" s="14">
        <v>0</v>
      </c>
      <c r="U321" s="14">
        <v>0</v>
      </c>
      <c r="V321" s="2"/>
      <c r="W321" s="14">
        <v>1928.2</v>
      </c>
      <c r="X321" s="14">
        <v>1920</v>
      </c>
      <c r="Y321" s="15">
        <v>58140.5</v>
      </c>
      <c r="Z321" s="15">
        <v>33100</v>
      </c>
      <c r="AA321" s="15">
        <v>44802.6</v>
      </c>
      <c r="AB321" s="15">
        <v>33900</v>
      </c>
      <c r="AC321" s="16">
        <v>0.105</v>
      </c>
      <c r="AD321" s="16">
        <v>6.5000000000000002E-2</v>
      </c>
      <c r="AE321" s="15">
        <v>4203.2</v>
      </c>
      <c r="AF321" s="15">
        <v>2580</v>
      </c>
      <c r="AG321" s="2"/>
      <c r="AH321" s="14">
        <f t="shared" si="56"/>
        <v>173</v>
      </c>
      <c r="AI321" s="14">
        <f t="shared" si="57"/>
        <v>116</v>
      </c>
      <c r="AJ321" s="14">
        <f t="shared" si="58"/>
        <v>108</v>
      </c>
      <c r="AK321" s="14">
        <f t="shared" si="59"/>
        <v>21</v>
      </c>
      <c r="AL321" s="14">
        <f t="shared" si="60"/>
        <v>142</v>
      </c>
      <c r="AM321" s="14">
        <f t="shared" si="61"/>
        <v>117</v>
      </c>
      <c r="AN321" s="14">
        <f t="shared" si="62"/>
        <v>153</v>
      </c>
      <c r="AO321" s="14">
        <f t="shared" si="63"/>
        <v>152</v>
      </c>
    </row>
    <row r="322" spans="1:41" ht="12" hidden="1" x14ac:dyDescent="0.25">
      <c r="A322" s="14">
        <v>540258</v>
      </c>
      <c r="B322" s="17" t="s">
        <v>52</v>
      </c>
      <c r="C322" s="17" t="s">
        <v>51</v>
      </c>
      <c r="D322" s="17" t="s">
        <v>2</v>
      </c>
      <c r="E322" s="14">
        <v>10</v>
      </c>
      <c r="F322" s="14" t="s">
        <v>49</v>
      </c>
      <c r="G322" s="14">
        <v>16</v>
      </c>
      <c r="H322" s="14">
        <v>0</v>
      </c>
      <c r="I322" s="14">
        <v>3</v>
      </c>
      <c r="J322" s="14">
        <v>5</v>
      </c>
      <c r="K322" s="14">
        <v>24</v>
      </c>
      <c r="L322" s="16">
        <v>0.66700000000000004</v>
      </c>
      <c r="M322" s="16">
        <v>0</v>
      </c>
      <c r="N322" s="16">
        <v>0.125</v>
      </c>
      <c r="O322" s="16">
        <v>0.20799999999999999</v>
      </c>
      <c r="P322" s="16">
        <v>4.2000000000000003E-2</v>
      </c>
      <c r="Q322" s="16">
        <v>8.3000000000000004E-2</v>
      </c>
      <c r="R322" s="2"/>
      <c r="S322" s="14">
        <v>8</v>
      </c>
      <c r="T322" s="14">
        <v>2</v>
      </c>
      <c r="U322" s="14">
        <v>2</v>
      </c>
      <c r="V322" s="2"/>
      <c r="W322" s="14">
        <v>1943.9</v>
      </c>
      <c r="X322" s="14">
        <v>1928</v>
      </c>
      <c r="Y322" s="15">
        <v>48782.5</v>
      </c>
      <c r="Z322" s="15">
        <v>23950</v>
      </c>
      <c r="AA322" s="15">
        <v>40011.800000000003</v>
      </c>
      <c r="AB322" s="15">
        <v>25000</v>
      </c>
      <c r="AC322" s="16">
        <v>0.22600000000000001</v>
      </c>
      <c r="AD322" s="16">
        <v>0.20499999999999999</v>
      </c>
      <c r="AE322" s="15">
        <v>11436.6</v>
      </c>
      <c r="AF322" s="15">
        <v>6505</v>
      </c>
      <c r="AG322" s="2"/>
      <c r="AH322" s="14">
        <f t="shared" si="56"/>
        <v>104</v>
      </c>
      <c r="AI322" s="14">
        <f t="shared" si="57"/>
        <v>100</v>
      </c>
      <c r="AJ322" s="14">
        <f t="shared" si="58"/>
        <v>56</v>
      </c>
      <c r="AK322" s="14">
        <f t="shared" si="59"/>
        <v>47</v>
      </c>
      <c r="AL322" s="14">
        <f t="shared" si="60"/>
        <v>182</v>
      </c>
      <c r="AM322" s="14">
        <f t="shared" si="61"/>
        <v>166</v>
      </c>
      <c r="AN322" s="14">
        <f t="shared" si="62"/>
        <v>46</v>
      </c>
      <c r="AO322" s="14">
        <f t="shared" si="63"/>
        <v>70</v>
      </c>
    </row>
    <row r="323" spans="1:41" hidden="1" x14ac:dyDescent="0.3">
      <c r="A323" s="129"/>
      <c r="B323" s="130"/>
      <c r="C323" s="130" t="s">
        <v>51</v>
      </c>
      <c r="D323" s="130" t="s">
        <v>26</v>
      </c>
      <c r="E323" s="129">
        <v>10</v>
      </c>
      <c r="F323" s="129"/>
      <c r="G323" s="129">
        <v>1451</v>
      </c>
      <c r="H323" s="129">
        <v>16</v>
      </c>
      <c r="I323" s="129">
        <v>321</v>
      </c>
      <c r="J323" s="129">
        <v>159</v>
      </c>
      <c r="K323" s="129">
        <v>1947</v>
      </c>
      <c r="L323" s="131">
        <v>0.745</v>
      </c>
      <c r="M323" s="131">
        <v>8.0000000000000002E-3</v>
      </c>
      <c r="N323" s="131">
        <v>0.16500000000000001</v>
      </c>
      <c r="O323" s="131">
        <v>8.2000000000000003E-2</v>
      </c>
      <c r="P323" s="131">
        <v>3.1E-2</v>
      </c>
      <c r="Q323" s="131">
        <v>0.01</v>
      </c>
      <c r="S323" s="129">
        <v>734</v>
      </c>
      <c r="T323" s="129">
        <v>64</v>
      </c>
      <c r="U323" s="129">
        <v>52</v>
      </c>
      <c r="W323" s="129">
        <v>1944.4</v>
      </c>
      <c r="X323" s="129">
        <v>1945</v>
      </c>
      <c r="Y323" s="132">
        <v>110391.5</v>
      </c>
      <c r="Z323" s="132">
        <v>52200</v>
      </c>
      <c r="AA323" s="132">
        <v>61657.4</v>
      </c>
      <c r="AB323" s="132">
        <v>54750</v>
      </c>
      <c r="AC323" s="131">
        <v>0.30099999999999999</v>
      </c>
      <c r="AD323" s="131">
        <v>0.26500000000000001</v>
      </c>
      <c r="AE323" s="132">
        <v>25345.200000000001</v>
      </c>
      <c r="AF323" s="132">
        <v>13079.3</v>
      </c>
      <c r="AH323" s="129">
        <f t="shared" si="56"/>
        <v>42</v>
      </c>
      <c r="AI323" s="129">
        <f t="shared" si="57"/>
        <v>5</v>
      </c>
      <c r="AJ323" s="129">
        <f t="shared" si="58"/>
        <v>13</v>
      </c>
      <c r="AK323" s="129">
        <f t="shared" si="59"/>
        <v>7</v>
      </c>
      <c r="AL323" s="129">
        <f t="shared" si="60"/>
        <v>9</v>
      </c>
      <c r="AM323" s="129">
        <f t="shared" si="61"/>
        <v>15</v>
      </c>
      <c r="AN323" s="129">
        <f t="shared" si="62"/>
        <v>9</v>
      </c>
      <c r="AO323" s="129">
        <f t="shared" si="63"/>
        <v>6</v>
      </c>
    </row>
    <row r="324" spans="1:41" ht="12" hidden="1" x14ac:dyDescent="0.25">
      <c r="A324" s="19">
        <v>540211</v>
      </c>
      <c r="B324" s="22" t="s">
        <v>50</v>
      </c>
      <c r="C324" s="22" t="s">
        <v>46</v>
      </c>
      <c r="D324" s="22" t="s">
        <v>29</v>
      </c>
      <c r="E324" s="19">
        <v>5</v>
      </c>
      <c r="F324" s="19" t="s">
        <v>49</v>
      </c>
      <c r="G324" s="19">
        <v>297</v>
      </c>
      <c r="H324" s="19">
        <v>0</v>
      </c>
      <c r="I324" s="19">
        <v>135</v>
      </c>
      <c r="J324" s="19">
        <v>24</v>
      </c>
      <c r="K324" s="19">
        <v>456</v>
      </c>
      <c r="L324" s="21">
        <v>0.65100000000000002</v>
      </c>
      <c r="M324" s="21">
        <v>0</v>
      </c>
      <c r="N324" s="21">
        <v>0.29599999999999999</v>
      </c>
      <c r="O324" s="21">
        <v>5.2999999999999999E-2</v>
      </c>
      <c r="P324" s="21">
        <v>2.4E-2</v>
      </c>
      <c r="Q324" s="21">
        <v>7.0000000000000001E-3</v>
      </c>
      <c r="R324" s="2"/>
      <c r="S324" s="19">
        <v>26</v>
      </c>
      <c r="T324" s="19">
        <v>4</v>
      </c>
      <c r="U324" s="19">
        <v>5</v>
      </c>
      <c r="V324" s="2"/>
      <c r="W324" s="19">
        <v>1968.2</v>
      </c>
      <c r="X324" s="19">
        <v>1973</v>
      </c>
      <c r="Y324" s="20">
        <v>37962.6</v>
      </c>
      <c r="Z324" s="20">
        <v>23600</v>
      </c>
      <c r="AA324" s="20">
        <v>34332.300000000003</v>
      </c>
      <c r="AB324" s="20">
        <v>22600</v>
      </c>
      <c r="AC324" s="21">
        <v>0.307</v>
      </c>
      <c r="AD324" s="21">
        <v>0.23</v>
      </c>
      <c r="AE324" s="20">
        <v>7758.2</v>
      </c>
      <c r="AF324" s="20">
        <v>4774</v>
      </c>
      <c r="AG324" s="2"/>
      <c r="AH324" s="19">
        <f t="shared" si="56"/>
        <v>15</v>
      </c>
      <c r="AI324" s="19">
        <f t="shared" si="57"/>
        <v>52</v>
      </c>
      <c r="AJ324" s="19">
        <f t="shared" si="58"/>
        <v>49</v>
      </c>
      <c r="AK324" s="19">
        <f t="shared" si="59"/>
        <v>29</v>
      </c>
      <c r="AL324" s="19">
        <f t="shared" si="60"/>
        <v>52</v>
      </c>
      <c r="AM324" s="19">
        <f t="shared" si="61"/>
        <v>52</v>
      </c>
      <c r="AN324" s="19">
        <f t="shared" si="62"/>
        <v>15</v>
      </c>
      <c r="AO324" s="19">
        <f t="shared" si="63"/>
        <v>39</v>
      </c>
    </row>
    <row r="325" spans="1:41" ht="12" hidden="1" x14ac:dyDescent="0.25">
      <c r="A325" s="14">
        <v>540212</v>
      </c>
      <c r="B325" s="17" t="s">
        <v>48</v>
      </c>
      <c r="C325" s="17" t="s">
        <v>46</v>
      </c>
      <c r="D325" s="17" t="s">
        <v>2</v>
      </c>
      <c r="E325" s="14">
        <v>5</v>
      </c>
      <c r="F325" s="14" t="s">
        <v>47</v>
      </c>
      <c r="G325" s="14">
        <v>53</v>
      </c>
      <c r="H325" s="14">
        <v>0</v>
      </c>
      <c r="I325" s="14">
        <v>10</v>
      </c>
      <c r="J325" s="14">
        <v>3</v>
      </c>
      <c r="K325" s="14">
        <v>66</v>
      </c>
      <c r="L325" s="16">
        <v>0.80300000000000005</v>
      </c>
      <c r="M325" s="16">
        <v>0</v>
      </c>
      <c r="N325" s="16">
        <v>0.152</v>
      </c>
      <c r="O325" s="16">
        <v>4.4999999999999998E-2</v>
      </c>
      <c r="P325" s="16">
        <v>1.4999999999999999E-2</v>
      </c>
      <c r="Q325" s="16">
        <v>0</v>
      </c>
      <c r="R325" s="2"/>
      <c r="S325" s="14">
        <v>0</v>
      </c>
      <c r="T325" s="14">
        <v>0</v>
      </c>
      <c r="U325" s="14">
        <v>0</v>
      </c>
      <c r="V325" s="2"/>
      <c r="W325" s="14">
        <v>1968.8</v>
      </c>
      <c r="X325" s="14">
        <v>1977</v>
      </c>
      <c r="Y325" s="15">
        <v>178483.9</v>
      </c>
      <c r="Z325" s="15">
        <v>37750</v>
      </c>
      <c r="AA325" s="15">
        <v>54696.9</v>
      </c>
      <c r="AB325" s="15">
        <v>33000</v>
      </c>
      <c r="AC325" s="16">
        <v>5.0999999999999997E-2</v>
      </c>
      <c r="AD325" s="16">
        <v>4.7E-2</v>
      </c>
      <c r="AE325" s="15">
        <v>2101.6999999999998</v>
      </c>
      <c r="AF325" s="15">
        <v>2085.1</v>
      </c>
      <c r="AG325" s="2"/>
      <c r="AH325" s="14">
        <f t="shared" si="56"/>
        <v>84</v>
      </c>
      <c r="AI325" s="14">
        <f t="shared" si="57"/>
        <v>172</v>
      </c>
      <c r="AJ325" s="14">
        <f t="shared" si="58"/>
        <v>108</v>
      </c>
      <c r="AK325" s="14">
        <f t="shared" si="59"/>
        <v>184</v>
      </c>
      <c r="AL325" s="14">
        <f t="shared" si="60"/>
        <v>123</v>
      </c>
      <c r="AM325" s="14">
        <f t="shared" si="61"/>
        <v>122</v>
      </c>
      <c r="AN325" s="14">
        <f t="shared" si="62"/>
        <v>170</v>
      </c>
      <c r="AO325" s="14">
        <f t="shared" si="63"/>
        <v>165</v>
      </c>
    </row>
    <row r="326" spans="1:41" hidden="1" x14ac:dyDescent="0.3">
      <c r="A326" s="129"/>
      <c r="B326" s="130"/>
      <c r="C326" s="130" t="s">
        <v>46</v>
      </c>
      <c r="D326" s="130" t="s">
        <v>26</v>
      </c>
      <c r="E326" s="129">
        <v>5</v>
      </c>
      <c r="F326" s="129"/>
      <c r="G326" s="129">
        <v>350</v>
      </c>
      <c r="H326" s="129">
        <v>0</v>
      </c>
      <c r="I326" s="129">
        <v>145</v>
      </c>
      <c r="J326" s="129">
        <v>27</v>
      </c>
      <c r="K326" s="129">
        <v>522</v>
      </c>
      <c r="L326" s="131">
        <v>0.67</v>
      </c>
      <c r="M326" s="131">
        <v>0</v>
      </c>
      <c r="N326" s="131">
        <v>0.27800000000000002</v>
      </c>
      <c r="O326" s="131">
        <v>5.1999999999999998E-2</v>
      </c>
      <c r="P326" s="131">
        <v>2.3E-2</v>
      </c>
      <c r="Q326" s="131">
        <v>6.0000000000000001E-3</v>
      </c>
      <c r="S326" s="129">
        <v>26</v>
      </c>
      <c r="T326" s="129">
        <v>4</v>
      </c>
      <c r="U326" s="129">
        <v>5</v>
      </c>
      <c r="W326" s="129">
        <v>1968.3</v>
      </c>
      <c r="X326" s="129">
        <v>1974</v>
      </c>
      <c r="Y326" s="132">
        <v>55729.599999999999</v>
      </c>
      <c r="Z326" s="132">
        <v>25060</v>
      </c>
      <c r="AA326" s="132">
        <v>42434</v>
      </c>
      <c r="AB326" s="132">
        <v>30700</v>
      </c>
      <c r="AC326" s="131">
        <v>0.24299999999999999</v>
      </c>
      <c r="AD326" s="131">
        <v>0.13</v>
      </c>
      <c r="AE326" s="132">
        <v>6344</v>
      </c>
      <c r="AF326" s="132">
        <v>3489.8</v>
      </c>
      <c r="AH326" s="129">
        <f t="shared" si="56"/>
        <v>12</v>
      </c>
      <c r="AI326" s="129">
        <f t="shared" si="57"/>
        <v>55</v>
      </c>
      <c r="AJ326" s="129">
        <f t="shared" si="58"/>
        <v>52</v>
      </c>
      <c r="AK326" s="129">
        <f t="shared" si="59"/>
        <v>42</v>
      </c>
      <c r="AL326" s="129">
        <f t="shared" si="60"/>
        <v>53</v>
      </c>
      <c r="AM326" s="129">
        <f t="shared" si="61"/>
        <v>46</v>
      </c>
      <c r="AN326" s="129">
        <f t="shared" si="62"/>
        <v>39</v>
      </c>
      <c r="AO326" s="129">
        <f t="shared" si="63"/>
        <v>48</v>
      </c>
    </row>
    <row r="327" spans="1:41" ht="12" hidden="1" x14ac:dyDescent="0.25">
      <c r="A327" s="19">
        <v>540213</v>
      </c>
      <c r="B327" s="22" t="s">
        <v>45</v>
      </c>
      <c r="C327" s="22" t="s">
        <v>37</v>
      </c>
      <c r="D327" s="22" t="s">
        <v>29</v>
      </c>
      <c r="E327" s="19">
        <v>5</v>
      </c>
      <c r="F327" s="19" t="s">
        <v>44</v>
      </c>
      <c r="G327" s="19">
        <v>810</v>
      </c>
      <c r="H327" s="19">
        <v>10</v>
      </c>
      <c r="I327" s="19">
        <v>603</v>
      </c>
      <c r="J327" s="19">
        <v>140</v>
      </c>
      <c r="K327" s="19">
        <v>1563</v>
      </c>
      <c r="L327" s="21">
        <v>0.51800000000000002</v>
      </c>
      <c r="M327" s="21">
        <v>6.0000000000000001E-3</v>
      </c>
      <c r="N327" s="21">
        <v>0.38600000000000001</v>
      </c>
      <c r="O327" s="21">
        <v>0.09</v>
      </c>
      <c r="P327" s="21">
        <v>8.3000000000000004E-2</v>
      </c>
      <c r="Q327" s="21">
        <v>2E-3</v>
      </c>
      <c r="R327" s="2"/>
      <c r="S327" s="19">
        <v>322</v>
      </c>
      <c r="T327" s="19">
        <v>121</v>
      </c>
      <c r="U327" s="19">
        <v>20</v>
      </c>
      <c r="V327" s="2"/>
      <c r="W327" s="19">
        <v>1972.7</v>
      </c>
      <c r="X327" s="19">
        <v>1979</v>
      </c>
      <c r="Y327" s="20">
        <v>87868.800000000003</v>
      </c>
      <c r="Z327" s="20">
        <v>59500</v>
      </c>
      <c r="AA327" s="20">
        <v>77571.399999999994</v>
      </c>
      <c r="AB327" s="20">
        <v>54800</v>
      </c>
      <c r="AC327" s="21">
        <v>0.34599999999999997</v>
      </c>
      <c r="AD327" s="21">
        <v>0.308</v>
      </c>
      <c r="AE327" s="20">
        <v>26894.3</v>
      </c>
      <c r="AF327" s="20">
        <v>14532.4</v>
      </c>
      <c r="AG327" s="2"/>
      <c r="AH327" s="19">
        <f t="shared" si="56"/>
        <v>5</v>
      </c>
      <c r="AI327" s="19">
        <f t="shared" si="57"/>
        <v>8</v>
      </c>
      <c r="AJ327" s="19">
        <f t="shared" si="58"/>
        <v>5</v>
      </c>
      <c r="AK327" s="19">
        <f t="shared" si="59"/>
        <v>47</v>
      </c>
      <c r="AL327" s="19">
        <f t="shared" si="60"/>
        <v>3</v>
      </c>
      <c r="AM327" s="19">
        <f t="shared" si="61"/>
        <v>6</v>
      </c>
      <c r="AN327" s="19">
        <f t="shared" si="62"/>
        <v>10</v>
      </c>
      <c r="AO327" s="19">
        <f t="shared" si="63"/>
        <v>6</v>
      </c>
    </row>
    <row r="328" spans="1:41" ht="12" hidden="1" x14ac:dyDescent="0.25">
      <c r="A328" s="14">
        <v>540214</v>
      </c>
      <c r="B328" s="17" t="s">
        <v>43</v>
      </c>
      <c r="C328" s="17" t="s">
        <v>37</v>
      </c>
      <c r="D328" s="17" t="s">
        <v>2</v>
      </c>
      <c r="E328" s="14">
        <v>5</v>
      </c>
      <c r="F328" s="14" t="s">
        <v>42</v>
      </c>
      <c r="G328" s="14">
        <v>231</v>
      </c>
      <c r="H328" s="14">
        <v>3</v>
      </c>
      <c r="I328" s="14">
        <v>57</v>
      </c>
      <c r="J328" s="14">
        <v>15</v>
      </c>
      <c r="K328" s="14">
        <v>306</v>
      </c>
      <c r="L328" s="16">
        <v>0.755</v>
      </c>
      <c r="M328" s="16">
        <v>0.01</v>
      </c>
      <c r="N328" s="16">
        <v>0.186</v>
      </c>
      <c r="O328" s="16">
        <v>4.9000000000000002E-2</v>
      </c>
      <c r="P328" s="16">
        <v>3.9E-2</v>
      </c>
      <c r="Q328" s="16">
        <v>0</v>
      </c>
      <c r="R328" s="2"/>
      <c r="S328" s="14">
        <v>67</v>
      </c>
      <c r="T328" s="14">
        <v>7</v>
      </c>
      <c r="U328" s="14">
        <v>9</v>
      </c>
      <c r="V328" s="2"/>
      <c r="W328" s="14">
        <v>1962.6</v>
      </c>
      <c r="X328" s="14">
        <v>1961</v>
      </c>
      <c r="Y328" s="15">
        <v>250229.8</v>
      </c>
      <c r="Z328" s="15">
        <v>69450</v>
      </c>
      <c r="AA328" s="15">
        <v>81202.7</v>
      </c>
      <c r="AB328" s="15">
        <v>58650</v>
      </c>
      <c r="AC328" s="16">
        <v>0.24</v>
      </c>
      <c r="AD328" s="16">
        <v>0.19900000000000001</v>
      </c>
      <c r="AE328" s="15">
        <v>22010.1</v>
      </c>
      <c r="AF328" s="15">
        <v>9548</v>
      </c>
      <c r="AG328" s="2"/>
      <c r="AH328" s="14">
        <f t="shared" si="56"/>
        <v>68</v>
      </c>
      <c r="AI328" s="14">
        <f t="shared" si="57"/>
        <v>25</v>
      </c>
      <c r="AJ328" s="14">
        <f t="shared" si="58"/>
        <v>25</v>
      </c>
      <c r="AK328" s="14">
        <f t="shared" si="59"/>
        <v>148</v>
      </c>
      <c r="AL328" s="14">
        <f t="shared" si="60"/>
        <v>34</v>
      </c>
      <c r="AM328" s="14">
        <f t="shared" si="61"/>
        <v>40</v>
      </c>
      <c r="AN328" s="14">
        <f t="shared" si="62"/>
        <v>49</v>
      </c>
      <c r="AO328" s="14">
        <f t="shared" si="63"/>
        <v>41</v>
      </c>
    </row>
    <row r="329" spans="1:41" ht="12" hidden="1" x14ac:dyDescent="0.25">
      <c r="A329" s="14">
        <v>540215</v>
      </c>
      <c r="B329" s="17" t="s">
        <v>41</v>
      </c>
      <c r="C329" s="17" t="s">
        <v>37</v>
      </c>
      <c r="D329" s="17" t="s">
        <v>2</v>
      </c>
      <c r="E329" s="14">
        <v>5</v>
      </c>
      <c r="F329" s="14" t="s">
        <v>40</v>
      </c>
      <c r="G329" s="14">
        <v>237</v>
      </c>
      <c r="H329" s="14">
        <v>1</v>
      </c>
      <c r="I329" s="14">
        <v>69</v>
      </c>
      <c r="J329" s="14">
        <v>9</v>
      </c>
      <c r="K329" s="14">
        <v>316</v>
      </c>
      <c r="L329" s="16">
        <v>0.75</v>
      </c>
      <c r="M329" s="16">
        <v>3.0000000000000001E-3</v>
      </c>
      <c r="N329" s="16">
        <v>0.218</v>
      </c>
      <c r="O329" s="16">
        <v>2.8000000000000001E-2</v>
      </c>
      <c r="P329" s="16">
        <v>1.6E-2</v>
      </c>
      <c r="Q329" s="16">
        <v>0</v>
      </c>
      <c r="R329" s="2"/>
      <c r="S329" s="14">
        <v>21</v>
      </c>
      <c r="T329" s="14">
        <v>4</v>
      </c>
      <c r="U329" s="14">
        <v>0</v>
      </c>
      <c r="V329" s="2"/>
      <c r="W329" s="14">
        <v>1969.5</v>
      </c>
      <c r="X329" s="14">
        <v>1971</v>
      </c>
      <c r="Y329" s="15">
        <v>249923.6</v>
      </c>
      <c r="Z329" s="15">
        <v>76300</v>
      </c>
      <c r="AA329" s="15">
        <v>80762.3</v>
      </c>
      <c r="AB329" s="15">
        <v>69100</v>
      </c>
      <c r="AC329" s="16">
        <v>7.1999999999999995E-2</v>
      </c>
      <c r="AD329" s="16">
        <v>0.04</v>
      </c>
      <c r="AE329" s="15">
        <v>24234.6</v>
      </c>
      <c r="AF329" s="15">
        <v>6734.9</v>
      </c>
      <c r="AG329" s="2"/>
      <c r="AH329" s="14">
        <f t="shared" ref="AH329:AH336" si="64">IF($D329 = "SPLIT", "",COUNTIFS($D$7:$D$346,$D329,N$7:N$346,"&gt;"&amp;N329)+1)</f>
        <v>57</v>
      </c>
      <c r="AI329" s="14">
        <f t="shared" ref="AI329:AI336" si="65">IF($D329 = "SPLIT", "",COUNTIFS($D$7:$D$346,$D329,S$7:S$346,"&gt;"&amp;S329)+1)</f>
        <v>60</v>
      </c>
      <c r="AJ329" s="14">
        <f t="shared" ref="AJ329:AJ336" si="66">IF($D329 = "SPLIT", "",COUNTIFS($D$7:$D$346,$D329,T$7:T$346,"&gt;"&amp;T329)+1)</f>
        <v>37</v>
      </c>
      <c r="AK329" s="14">
        <f t="shared" ref="AK329:AK336" si="67">IF($D329 = "SPLIT", "",COUNTIFS($D$7:$D$346,$D329,X$7:X$346,"&lt;"&amp;X329)+1)</f>
        <v>168</v>
      </c>
      <c r="AL329" s="14">
        <f t="shared" ref="AL329:AL336" si="68">IF($D329 = "SPLIT", "",COUNTIFS($D$7:$D$346,$D329,Z$7:Z$346,"&gt;"&amp;Z329)+1)</f>
        <v>25</v>
      </c>
      <c r="AM329" s="14">
        <f t="shared" ref="AM329:AM336" si="69">IF($D329 = "SPLIT", "",COUNTIFS($D$7:$D$346,$D329,AB$7:AB$346,"&gt;"&amp;AB329)+1)</f>
        <v>19</v>
      </c>
      <c r="AN329" s="14">
        <f t="shared" ref="AN329:AN336" si="70">IF($D329 = "SPLIT", "",COUNTIFS($D$7:$D$346,$D329,AD$7:AD$346,"&gt;"&amp;AD329)+1)</f>
        <v>175</v>
      </c>
      <c r="AO329" s="14">
        <f t="shared" ref="AO329:AO336" si="71">IF($D329 = "SPLIT", "",COUNTIFS($D$7:$D$346,$D329,AF$7:AF$346,"&gt;"&amp;AF329)+1)</f>
        <v>66</v>
      </c>
    </row>
    <row r="330" spans="1:41" ht="12" hidden="1" x14ac:dyDescent="0.25">
      <c r="A330" s="14">
        <v>540216</v>
      </c>
      <c r="B330" s="17" t="s">
        <v>39</v>
      </c>
      <c r="C330" s="17" t="s">
        <v>37</v>
      </c>
      <c r="D330" s="17" t="s">
        <v>2</v>
      </c>
      <c r="E330" s="14">
        <v>5</v>
      </c>
      <c r="F330" s="14" t="s">
        <v>38</v>
      </c>
      <c r="G330" s="14">
        <v>59</v>
      </c>
      <c r="H330" s="14">
        <v>0</v>
      </c>
      <c r="I330" s="14">
        <v>35</v>
      </c>
      <c r="J330" s="14">
        <v>5</v>
      </c>
      <c r="K330" s="14">
        <v>99</v>
      </c>
      <c r="L330" s="16">
        <v>0.59599999999999997</v>
      </c>
      <c r="M330" s="16">
        <v>0</v>
      </c>
      <c r="N330" s="16">
        <v>0.35399999999999998</v>
      </c>
      <c r="O330" s="16">
        <v>5.0999999999999997E-2</v>
      </c>
      <c r="P330" s="16">
        <v>0.02</v>
      </c>
      <c r="Q330" s="16">
        <v>0</v>
      </c>
      <c r="R330" s="2"/>
      <c r="S330" s="14">
        <v>51</v>
      </c>
      <c r="T330" s="14">
        <v>22</v>
      </c>
      <c r="U330" s="14">
        <v>8</v>
      </c>
      <c r="V330" s="2"/>
      <c r="W330" s="14">
        <v>1960.4</v>
      </c>
      <c r="X330" s="14">
        <v>1972</v>
      </c>
      <c r="Y330" s="15">
        <v>91904.5</v>
      </c>
      <c r="Z330" s="15">
        <v>45000</v>
      </c>
      <c r="AA330" s="15">
        <v>83248.600000000006</v>
      </c>
      <c r="AB330" s="15">
        <v>30215</v>
      </c>
      <c r="AC330" s="16">
        <v>0.33</v>
      </c>
      <c r="AD330" s="16">
        <v>0.253</v>
      </c>
      <c r="AE330" s="15">
        <v>25207.3</v>
      </c>
      <c r="AF330" s="15">
        <v>10132.1</v>
      </c>
      <c r="AG330" s="2"/>
      <c r="AH330" s="14">
        <f t="shared" si="64"/>
        <v>24</v>
      </c>
      <c r="AI330" s="14">
        <f t="shared" si="65"/>
        <v>29</v>
      </c>
      <c r="AJ330" s="14">
        <f t="shared" si="66"/>
        <v>7</v>
      </c>
      <c r="AK330" s="14">
        <f t="shared" si="67"/>
        <v>169</v>
      </c>
      <c r="AL330" s="14">
        <f t="shared" si="68"/>
        <v>90</v>
      </c>
      <c r="AM330" s="14">
        <f t="shared" si="69"/>
        <v>137</v>
      </c>
      <c r="AN330" s="14">
        <f t="shared" si="70"/>
        <v>31</v>
      </c>
      <c r="AO330" s="14">
        <f t="shared" si="71"/>
        <v>36</v>
      </c>
    </row>
    <row r="331" spans="1:41" hidden="1" x14ac:dyDescent="0.3">
      <c r="A331" s="129"/>
      <c r="B331" s="130"/>
      <c r="C331" s="130" t="s">
        <v>37</v>
      </c>
      <c r="D331" s="130" t="s">
        <v>26</v>
      </c>
      <c r="E331" s="129">
        <v>5</v>
      </c>
      <c r="F331" s="129"/>
      <c r="G331" s="129">
        <v>1337</v>
      </c>
      <c r="H331" s="129">
        <v>14</v>
      </c>
      <c r="I331" s="129">
        <v>764</v>
      </c>
      <c r="J331" s="129">
        <v>169</v>
      </c>
      <c r="K331" s="129">
        <v>2284</v>
      </c>
      <c r="L331" s="131">
        <v>0.58499999999999996</v>
      </c>
      <c r="M331" s="131">
        <v>6.0000000000000001E-3</v>
      </c>
      <c r="N331" s="131">
        <v>0.33500000000000002</v>
      </c>
      <c r="O331" s="131">
        <v>7.3999999999999996E-2</v>
      </c>
      <c r="P331" s="131">
        <v>6.5000000000000002E-2</v>
      </c>
      <c r="Q331" s="131">
        <v>1E-3</v>
      </c>
      <c r="S331" s="129">
        <v>461</v>
      </c>
      <c r="T331" s="129">
        <v>154</v>
      </c>
      <c r="U331" s="129">
        <v>37</v>
      </c>
      <c r="W331" s="129">
        <v>1970.3</v>
      </c>
      <c r="X331" s="129">
        <v>1975</v>
      </c>
      <c r="Y331" s="132">
        <v>132217</v>
      </c>
      <c r="Z331" s="132">
        <v>63400</v>
      </c>
      <c r="AA331" s="132">
        <v>89231.8</v>
      </c>
      <c r="AB331" s="132">
        <v>74700</v>
      </c>
      <c r="AC331" s="131">
        <v>0.307</v>
      </c>
      <c r="AD331" s="131">
        <v>0.247</v>
      </c>
      <c r="AE331" s="132">
        <v>25703.4</v>
      </c>
      <c r="AF331" s="132">
        <v>12094.5</v>
      </c>
      <c r="AH331" s="129">
        <f t="shared" si="64"/>
        <v>8</v>
      </c>
      <c r="AI331" s="129">
        <f t="shared" si="65"/>
        <v>8</v>
      </c>
      <c r="AJ331" s="129">
        <f t="shared" si="66"/>
        <v>4</v>
      </c>
      <c r="AK331" s="129">
        <f t="shared" si="67"/>
        <v>45</v>
      </c>
      <c r="AL331" s="129">
        <f t="shared" si="68"/>
        <v>3</v>
      </c>
      <c r="AM331" s="129">
        <f t="shared" si="69"/>
        <v>6</v>
      </c>
      <c r="AN331" s="129">
        <f t="shared" si="70"/>
        <v>11</v>
      </c>
      <c r="AO331" s="129">
        <f t="shared" si="71"/>
        <v>7</v>
      </c>
    </row>
    <row r="332" spans="1:41" ht="12" hidden="1" x14ac:dyDescent="0.25">
      <c r="A332" s="14">
        <v>540219</v>
      </c>
      <c r="B332" s="17" t="s">
        <v>36</v>
      </c>
      <c r="C332" s="17" t="s">
        <v>27</v>
      </c>
      <c r="D332" s="17" t="s">
        <v>2</v>
      </c>
      <c r="E332" s="14">
        <v>1</v>
      </c>
      <c r="F332" s="14" t="s">
        <v>35</v>
      </c>
      <c r="G332" s="14">
        <v>219</v>
      </c>
      <c r="H332" s="14">
        <v>46</v>
      </c>
      <c r="I332" s="14">
        <v>52</v>
      </c>
      <c r="J332" s="14">
        <v>41</v>
      </c>
      <c r="K332" s="14">
        <v>358</v>
      </c>
      <c r="L332" s="16">
        <v>0.61199999999999999</v>
      </c>
      <c r="M332" s="16">
        <v>0.128</v>
      </c>
      <c r="N332" s="16">
        <v>0.14499999999999999</v>
      </c>
      <c r="O332" s="16">
        <v>0.115</v>
      </c>
      <c r="P332" s="16">
        <v>0.112</v>
      </c>
      <c r="Q332" s="16">
        <v>0</v>
      </c>
      <c r="R332" s="2"/>
      <c r="S332" s="14">
        <v>97</v>
      </c>
      <c r="T332" s="14">
        <v>18</v>
      </c>
      <c r="U332" s="14">
        <v>1</v>
      </c>
      <c r="V332" s="2"/>
      <c r="W332" s="14">
        <v>1964.4</v>
      </c>
      <c r="X332" s="14">
        <v>1959</v>
      </c>
      <c r="Y332" s="15">
        <v>78362.600000000006</v>
      </c>
      <c r="Z332" s="15">
        <v>31275</v>
      </c>
      <c r="AA332" s="15">
        <v>34335.599999999999</v>
      </c>
      <c r="AB332" s="15">
        <v>26800</v>
      </c>
      <c r="AC332" s="16">
        <v>0.24299999999999999</v>
      </c>
      <c r="AD332" s="16">
        <v>0.193</v>
      </c>
      <c r="AE332" s="15">
        <v>11077</v>
      </c>
      <c r="AF332" s="15">
        <v>7461.6</v>
      </c>
      <c r="AG332" s="2"/>
      <c r="AH332" s="14">
        <f t="shared" si="64"/>
        <v>86</v>
      </c>
      <c r="AI332" s="14">
        <f t="shared" si="65"/>
        <v>13</v>
      </c>
      <c r="AJ332" s="14">
        <f t="shared" si="66"/>
        <v>13</v>
      </c>
      <c r="AK332" s="14">
        <f t="shared" si="67"/>
        <v>145</v>
      </c>
      <c r="AL332" s="14">
        <f t="shared" si="68"/>
        <v>150</v>
      </c>
      <c r="AM332" s="14">
        <f t="shared" si="69"/>
        <v>155</v>
      </c>
      <c r="AN332" s="14">
        <f t="shared" si="70"/>
        <v>53</v>
      </c>
      <c r="AO332" s="14">
        <f t="shared" si="71"/>
        <v>58</v>
      </c>
    </row>
    <row r="333" spans="1:41" ht="12" hidden="1" x14ac:dyDescent="0.25">
      <c r="A333" s="14">
        <v>540220</v>
      </c>
      <c r="B333" s="17" t="s">
        <v>34</v>
      </c>
      <c r="C333" s="17" t="s">
        <v>27</v>
      </c>
      <c r="D333" s="17" t="s">
        <v>2</v>
      </c>
      <c r="E333" s="14">
        <v>1</v>
      </c>
      <c r="F333" s="14" t="s">
        <v>33</v>
      </c>
      <c r="G333" s="14">
        <v>95</v>
      </c>
      <c r="H333" s="14">
        <v>0</v>
      </c>
      <c r="I333" s="14">
        <v>11</v>
      </c>
      <c r="J333" s="14">
        <v>6</v>
      </c>
      <c r="K333" s="14">
        <v>112</v>
      </c>
      <c r="L333" s="16">
        <v>0.84799999999999998</v>
      </c>
      <c r="M333" s="16">
        <v>0</v>
      </c>
      <c r="N333" s="16">
        <v>9.8000000000000004E-2</v>
      </c>
      <c r="O333" s="16">
        <v>5.3999999999999999E-2</v>
      </c>
      <c r="P333" s="16">
        <v>2.7E-2</v>
      </c>
      <c r="Q333" s="16">
        <v>1.7999999999999999E-2</v>
      </c>
      <c r="R333" s="2"/>
      <c r="S333" s="14">
        <v>15</v>
      </c>
      <c r="T333" s="14">
        <v>2</v>
      </c>
      <c r="U333" s="14">
        <v>1</v>
      </c>
      <c r="V333" s="2"/>
      <c r="W333" s="14">
        <v>1957.4</v>
      </c>
      <c r="X333" s="14">
        <v>1950</v>
      </c>
      <c r="Y333" s="15">
        <v>63847.9</v>
      </c>
      <c r="Z333" s="15">
        <v>27760</v>
      </c>
      <c r="AA333" s="15">
        <v>33499.4</v>
      </c>
      <c r="AB333" s="15">
        <v>25800</v>
      </c>
      <c r="AC333" s="16">
        <v>0.14599999999999999</v>
      </c>
      <c r="AD333" s="16">
        <v>0.127</v>
      </c>
      <c r="AE333" s="15">
        <v>8129.2</v>
      </c>
      <c r="AF333" s="15">
        <v>4545.8999999999996</v>
      </c>
      <c r="AG333" s="2"/>
      <c r="AH333" s="14">
        <f t="shared" si="64"/>
        <v>129</v>
      </c>
      <c r="AI333" s="14">
        <f t="shared" si="65"/>
        <v>75</v>
      </c>
      <c r="AJ333" s="14">
        <f t="shared" si="66"/>
        <v>56</v>
      </c>
      <c r="AK333" s="14">
        <f t="shared" si="67"/>
        <v>120</v>
      </c>
      <c r="AL333" s="14">
        <f t="shared" si="68"/>
        <v>166</v>
      </c>
      <c r="AM333" s="14">
        <f t="shared" si="69"/>
        <v>162</v>
      </c>
      <c r="AN333" s="14">
        <f t="shared" si="70"/>
        <v>91</v>
      </c>
      <c r="AO333" s="14">
        <f t="shared" si="71"/>
        <v>95</v>
      </c>
    </row>
    <row r="334" spans="1:41" ht="12" hidden="1" x14ac:dyDescent="0.25">
      <c r="A334" s="14">
        <v>540218</v>
      </c>
      <c r="B334" s="17" t="s">
        <v>32</v>
      </c>
      <c r="C334" s="17" t="s">
        <v>27</v>
      </c>
      <c r="D334" s="17" t="s">
        <v>2</v>
      </c>
      <c r="E334" s="14">
        <v>1</v>
      </c>
      <c r="F334" s="14" t="s">
        <v>31</v>
      </c>
      <c r="G334" s="14">
        <v>118</v>
      </c>
      <c r="H334" s="14">
        <v>1</v>
      </c>
      <c r="I334" s="14">
        <v>14</v>
      </c>
      <c r="J334" s="14">
        <v>5</v>
      </c>
      <c r="K334" s="14">
        <v>138</v>
      </c>
      <c r="L334" s="16">
        <v>0.85499999999999998</v>
      </c>
      <c r="M334" s="16">
        <v>7.0000000000000001E-3</v>
      </c>
      <c r="N334" s="16">
        <v>0.10100000000000001</v>
      </c>
      <c r="O334" s="16">
        <v>3.5999999999999997E-2</v>
      </c>
      <c r="P334" s="16">
        <v>2.1999999999999999E-2</v>
      </c>
      <c r="Q334" s="16">
        <v>1.4E-2</v>
      </c>
      <c r="R334" s="2"/>
      <c r="S334" s="14">
        <v>17</v>
      </c>
      <c r="T334" s="14">
        <v>2</v>
      </c>
      <c r="U334" s="14">
        <v>1</v>
      </c>
      <c r="V334" s="2"/>
      <c r="W334" s="14">
        <v>1945.8</v>
      </c>
      <c r="X334" s="14">
        <v>1945</v>
      </c>
      <c r="Y334" s="15">
        <v>85220.3</v>
      </c>
      <c r="Z334" s="15">
        <v>36500</v>
      </c>
      <c r="AA334" s="15">
        <v>35618.800000000003</v>
      </c>
      <c r="AB334" s="15">
        <v>31300</v>
      </c>
      <c r="AC334" s="16">
        <v>0.14000000000000001</v>
      </c>
      <c r="AD334" s="16">
        <v>0.12</v>
      </c>
      <c r="AE334" s="15">
        <v>7485.3</v>
      </c>
      <c r="AF334" s="15">
        <v>4316.8</v>
      </c>
      <c r="AG334" s="2"/>
      <c r="AH334" s="14">
        <f t="shared" si="64"/>
        <v>123</v>
      </c>
      <c r="AI334" s="14">
        <f t="shared" si="65"/>
        <v>68</v>
      </c>
      <c r="AJ334" s="14">
        <f t="shared" si="66"/>
        <v>56</v>
      </c>
      <c r="AK334" s="14">
        <f t="shared" si="67"/>
        <v>98</v>
      </c>
      <c r="AL334" s="14">
        <f t="shared" si="68"/>
        <v>127</v>
      </c>
      <c r="AM334" s="14">
        <f t="shared" si="69"/>
        <v>130</v>
      </c>
      <c r="AN334" s="14">
        <f t="shared" si="70"/>
        <v>95</v>
      </c>
      <c r="AO334" s="14">
        <f t="shared" si="71"/>
        <v>102</v>
      </c>
    </row>
    <row r="335" spans="1:41" ht="12" hidden="1" x14ac:dyDescent="0.25">
      <c r="A335" s="19">
        <v>540217</v>
      </c>
      <c r="B335" s="22" t="s">
        <v>30</v>
      </c>
      <c r="C335" s="22" t="s">
        <v>27</v>
      </c>
      <c r="D335" s="22" t="s">
        <v>29</v>
      </c>
      <c r="E335" s="19">
        <v>1</v>
      </c>
      <c r="F335" s="19" t="s">
        <v>28</v>
      </c>
      <c r="G335" s="19">
        <v>1413</v>
      </c>
      <c r="H335" s="19">
        <v>184</v>
      </c>
      <c r="I335" s="19">
        <v>400</v>
      </c>
      <c r="J335" s="19">
        <v>229</v>
      </c>
      <c r="K335" s="19">
        <v>2226</v>
      </c>
      <c r="L335" s="21">
        <v>0.63500000000000001</v>
      </c>
      <c r="M335" s="21">
        <v>8.3000000000000004E-2</v>
      </c>
      <c r="N335" s="21">
        <v>0.18</v>
      </c>
      <c r="O335" s="21">
        <v>0.10299999999999999</v>
      </c>
      <c r="P335" s="21">
        <v>8.7999999999999995E-2</v>
      </c>
      <c r="Q335" s="21">
        <v>4.0000000000000001E-3</v>
      </c>
      <c r="R335" s="2"/>
      <c r="S335" s="19">
        <v>196</v>
      </c>
      <c r="T335" s="19">
        <v>34</v>
      </c>
      <c r="U335" s="19">
        <v>14</v>
      </c>
      <c r="V335" s="2"/>
      <c r="W335" s="19">
        <v>1966.5</v>
      </c>
      <c r="X335" s="19">
        <v>1969</v>
      </c>
      <c r="Y335" s="20">
        <v>42275.199999999997</v>
      </c>
      <c r="Z335" s="20">
        <v>25815</v>
      </c>
      <c r="AA335" s="20">
        <v>29929.599999999999</v>
      </c>
      <c r="AB335" s="20">
        <v>24900</v>
      </c>
      <c r="AC335" s="21">
        <v>0.19600000000000001</v>
      </c>
      <c r="AD335" s="21">
        <v>0.14199999999999999</v>
      </c>
      <c r="AE335" s="20">
        <v>5571.8</v>
      </c>
      <c r="AF335" s="20">
        <v>3359.9</v>
      </c>
      <c r="AG335" s="2"/>
      <c r="AH335" s="19">
        <f t="shared" si="64"/>
        <v>42</v>
      </c>
      <c r="AI335" s="19">
        <f t="shared" si="65"/>
        <v>19</v>
      </c>
      <c r="AJ335" s="19">
        <f t="shared" si="66"/>
        <v>19</v>
      </c>
      <c r="AK335" s="19">
        <f t="shared" si="67"/>
        <v>20</v>
      </c>
      <c r="AL335" s="19">
        <f t="shared" si="68"/>
        <v>49</v>
      </c>
      <c r="AM335" s="19">
        <f t="shared" si="69"/>
        <v>48</v>
      </c>
      <c r="AN335" s="19">
        <f t="shared" si="70"/>
        <v>38</v>
      </c>
      <c r="AO335" s="19">
        <f t="shared" si="71"/>
        <v>48</v>
      </c>
    </row>
    <row r="336" spans="1:41" hidden="1" x14ac:dyDescent="0.3">
      <c r="A336" s="129"/>
      <c r="B336" s="130"/>
      <c r="C336" s="130" t="s">
        <v>27</v>
      </c>
      <c r="D336" s="130" t="s">
        <v>26</v>
      </c>
      <c r="E336" s="129">
        <v>1</v>
      </c>
      <c r="F336" s="129"/>
      <c r="G336" s="129">
        <v>1845</v>
      </c>
      <c r="H336" s="129">
        <v>231</v>
      </c>
      <c r="I336" s="129">
        <v>477</v>
      </c>
      <c r="J336" s="129">
        <v>281</v>
      </c>
      <c r="K336" s="129">
        <v>2834</v>
      </c>
      <c r="L336" s="131">
        <v>0.65100000000000002</v>
      </c>
      <c r="M336" s="131">
        <v>8.2000000000000003E-2</v>
      </c>
      <c r="N336" s="131">
        <v>0.16800000000000001</v>
      </c>
      <c r="O336" s="131">
        <v>9.9000000000000005E-2</v>
      </c>
      <c r="P336" s="131">
        <v>8.5999999999999993E-2</v>
      </c>
      <c r="Q336" s="131">
        <v>4.0000000000000001E-3</v>
      </c>
      <c r="S336" s="129">
        <v>325</v>
      </c>
      <c r="T336" s="129">
        <v>56</v>
      </c>
      <c r="U336" s="129">
        <v>17</v>
      </c>
      <c r="W336" s="129">
        <v>1964.8</v>
      </c>
      <c r="X336" s="129">
        <v>1964</v>
      </c>
      <c r="Y336" s="132">
        <v>49777.599999999999</v>
      </c>
      <c r="Z336" s="132">
        <v>27100</v>
      </c>
      <c r="AA336" s="132">
        <v>32908.300000000003</v>
      </c>
      <c r="AB336" s="132">
        <v>26700</v>
      </c>
      <c r="AC336" s="131">
        <v>0.19900000000000001</v>
      </c>
      <c r="AD336" s="131">
        <v>0.14499999999999999</v>
      </c>
      <c r="AE336" s="132">
        <v>6677.7</v>
      </c>
      <c r="AF336" s="132">
        <v>3940.8</v>
      </c>
      <c r="AH336" s="129">
        <f t="shared" si="64"/>
        <v>39</v>
      </c>
      <c r="AI336" s="129">
        <f t="shared" si="65"/>
        <v>16</v>
      </c>
      <c r="AJ336" s="129">
        <f t="shared" si="66"/>
        <v>15</v>
      </c>
      <c r="AK336" s="129">
        <f t="shared" si="67"/>
        <v>26</v>
      </c>
      <c r="AL336" s="129">
        <f t="shared" si="68"/>
        <v>45</v>
      </c>
      <c r="AM336" s="129">
        <f t="shared" si="69"/>
        <v>53</v>
      </c>
      <c r="AN336" s="129">
        <f t="shared" si="70"/>
        <v>33</v>
      </c>
      <c r="AO336" s="129">
        <f t="shared" si="71"/>
        <v>43</v>
      </c>
    </row>
    <row r="337" spans="1:41" x14ac:dyDescent="0.3">
      <c r="A337" s="14"/>
      <c r="B337" s="17"/>
      <c r="C337" s="17"/>
      <c r="D337" s="17"/>
      <c r="E337" s="14"/>
      <c r="F337" s="14"/>
      <c r="G337" s="14"/>
      <c r="H337" s="14"/>
      <c r="I337" s="14"/>
      <c r="J337" s="14"/>
      <c r="K337" s="14"/>
      <c r="L337" s="16"/>
      <c r="M337" s="16"/>
      <c r="N337" s="16"/>
      <c r="O337" s="16"/>
      <c r="P337" s="16"/>
      <c r="Q337" s="16"/>
      <c r="S337" s="14"/>
      <c r="T337" s="14"/>
      <c r="U337" s="14"/>
      <c r="W337" s="14"/>
      <c r="X337" s="14"/>
      <c r="Y337" s="15"/>
      <c r="Z337" s="15"/>
      <c r="AA337" s="15"/>
      <c r="AB337" s="15"/>
      <c r="AC337" s="16"/>
      <c r="AD337" s="16"/>
      <c r="AE337" s="15"/>
      <c r="AF337" s="15"/>
      <c r="AH337" s="14"/>
      <c r="AI337" s="14"/>
      <c r="AJ337" s="14"/>
      <c r="AK337" s="14"/>
      <c r="AL337" s="14"/>
      <c r="AM337" s="14"/>
      <c r="AN337" s="14"/>
      <c r="AO337" s="14"/>
    </row>
    <row r="338" spans="1:41" x14ac:dyDescent="0.3">
      <c r="A338" s="18" t="s">
        <v>25</v>
      </c>
      <c r="B338" s="17"/>
      <c r="C338" s="17"/>
      <c r="D338" s="17"/>
      <c r="E338" s="14"/>
      <c r="F338" s="14"/>
      <c r="G338" s="14"/>
      <c r="H338" s="14"/>
      <c r="I338" s="14"/>
      <c r="J338" s="14"/>
      <c r="K338" s="14"/>
      <c r="L338" s="16"/>
      <c r="M338" s="16"/>
      <c r="N338" s="16"/>
      <c r="O338" s="16"/>
      <c r="P338" s="16"/>
      <c r="Q338" s="16"/>
      <c r="S338" s="14"/>
      <c r="T338" s="14"/>
      <c r="U338" s="14"/>
      <c r="W338" s="14"/>
      <c r="X338" s="14"/>
      <c r="Y338" s="15"/>
      <c r="Z338" s="15"/>
      <c r="AA338" s="15"/>
      <c r="AB338" s="15"/>
      <c r="AC338" s="16"/>
      <c r="AD338" s="16"/>
      <c r="AE338" s="15"/>
      <c r="AF338" s="15"/>
      <c r="AH338" s="14"/>
      <c r="AI338" s="14"/>
      <c r="AJ338" s="14"/>
      <c r="AK338" s="14"/>
      <c r="AL338" s="14"/>
      <c r="AM338" s="14"/>
      <c r="AN338" s="14"/>
      <c r="AO338" s="14"/>
    </row>
    <row r="339" spans="1:41" hidden="1" x14ac:dyDescent="0.3">
      <c r="A339" s="10">
        <v>540041</v>
      </c>
      <c r="B339" s="13" t="s">
        <v>24</v>
      </c>
      <c r="C339" s="13" t="s">
        <v>23</v>
      </c>
      <c r="D339" s="13" t="s">
        <v>2</v>
      </c>
      <c r="E339" s="10" t="s">
        <v>22</v>
      </c>
      <c r="F339" s="10" t="s">
        <v>22</v>
      </c>
      <c r="G339" s="10">
        <v>181</v>
      </c>
      <c r="H339" s="10">
        <v>1</v>
      </c>
      <c r="I339" s="10">
        <v>19</v>
      </c>
      <c r="J339" s="10">
        <v>8</v>
      </c>
      <c r="K339" s="10">
        <v>209</v>
      </c>
      <c r="L339" s="12">
        <v>0.86599999999999999</v>
      </c>
      <c r="M339" s="12">
        <v>9.0999999999999998E-2</v>
      </c>
      <c r="N339" s="12">
        <v>3.7999999999999999E-2</v>
      </c>
      <c r="O339" s="12">
        <v>1.9E-2</v>
      </c>
      <c r="P339" s="12">
        <v>1.9E-2</v>
      </c>
      <c r="Q339" s="12">
        <v>1.9E-2</v>
      </c>
      <c r="S339" s="10">
        <v>41</v>
      </c>
      <c r="T339" s="10">
        <v>2</v>
      </c>
      <c r="U339" s="10">
        <v>4</v>
      </c>
      <c r="W339" s="10">
        <v>1944.6</v>
      </c>
      <c r="X339" s="10">
        <v>1941</v>
      </c>
      <c r="Y339" s="11">
        <v>70252.800000000003</v>
      </c>
      <c r="Z339" s="11">
        <v>47200</v>
      </c>
      <c r="AA339" s="11">
        <v>50947.1</v>
      </c>
      <c r="AB339" s="11">
        <v>47600</v>
      </c>
      <c r="AC339" s="12">
        <v>0.16400000000000001</v>
      </c>
      <c r="AD339" s="12">
        <v>0.14000000000000001</v>
      </c>
      <c r="AE339" s="11">
        <v>9562.6</v>
      </c>
      <c r="AF339" s="11">
        <v>5497.4</v>
      </c>
      <c r="AH339" s="10">
        <f t="shared" ref="AH339:AH346" si="72">IF($D339 = "SPLIT", "",COUNTIFS($D$7:$D$346,$D339,N$7:N$346,"&gt;"&amp;N339)+1)</f>
        <v>170</v>
      </c>
      <c r="AI339" s="10">
        <f t="shared" ref="AI339:AJ346" si="73">IF($D339 = "SPLIT", "",COUNTIFS($D$7:$D$346,$D339,S$7:S$346,"&gt;"&amp;S339)+1)</f>
        <v>35</v>
      </c>
      <c r="AJ339" s="10">
        <f t="shared" si="73"/>
        <v>56</v>
      </c>
      <c r="AK339" s="10">
        <f t="shared" ref="AK339:AK346" si="74">IF($D339 = "SPLIT", "",COUNTIFS($D$7:$D$346,$D339,X$7:X$346,"&lt;"&amp;X339)+1)</f>
        <v>89</v>
      </c>
      <c r="AL339" s="10">
        <f t="shared" ref="AL339:AL346" si="75">IF($D339 = "SPLIT", "",COUNTIFS($D$7:$D$346,$D339,Z$7:Z$346,"&gt;"&amp;Z339)+1)</f>
        <v>81</v>
      </c>
      <c r="AM339" s="10">
        <f t="shared" ref="AM339:AM346" si="76">IF($D339 = "SPLIT", "",COUNTIFS($D$7:$D$346,$D339,AB$7:AB$346,"&gt;"&amp;AB339)+1)</f>
        <v>68</v>
      </c>
      <c r="AN339" s="10">
        <f t="shared" ref="AN339:AN346" si="77">IF($D339 = "SPLIT", "",COUNTIFS($D$7:$D$346,$D339,AD$7:AD$346,"&gt;"&amp;AD339)+1)</f>
        <v>82</v>
      </c>
      <c r="AO339" s="10">
        <f t="shared" ref="AO339:AO346" si="78">IF($D339 = "SPLIT", "",COUNTIFS($D$7:$D$346,$D339,AF$7:AF$346,"&gt;"&amp;AF339)+1)</f>
        <v>81</v>
      </c>
    </row>
    <row r="340" spans="1:41" x14ac:dyDescent="0.3">
      <c r="A340" s="10">
        <v>540018</v>
      </c>
      <c r="B340" s="13" t="s">
        <v>21</v>
      </c>
      <c r="C340" s="13" t="s">
        <v>20</v>
      </c>
      <c r="D340" s="13" t="s">
        <v>2</v>
      </c>
      <c r="E340" s="10" t="s">
        <v>19</v>
      </c>
      <c r="F340" s="10" t="s">
        <v>19</v>
      </c>
      <c r="G340" s="10">
        <v>1103</v>
      </c>
      <c r="H340" s="10">
        <v>5</v>
      </c>
      <c r="I340" s="10">
        <v>36</v>
      </c>
      <c r="J340" s="10">
        <v>4</v>
      </c>
      <c r="K340" s="10">
        <v>1148</v>
      </c>
      <c r="L340" s="12">
        <v>0.96099999999999997</v>
      </c>
      <c r="M340" s="12">
        <v>3.1E-2</v>
      </c>
      <c r="N340" s="12">
        <v>3.0000000000000001E-3</v>
      </c>
      <c r="O340" s="12">
        <v>0</v>
      </c>
      <c r="P340" s="12">
        <v>0</v>
      </c>
      <c r="Q340" s="12">
        <v>0</v>
      </c>
      <c r="S340" s="10">
        <v>106</v>
      </c>
      <c r="T340" s="10">
        <v>1</v>
      </c>
      <c r="U340" s="10">
        <v>2</v>
      </c>
      <c r="W340" s="10">
        <v>1940.3</v>
      </c>
      <c r="X340" s="10">
        <v>1940</v>
      </c>
      <c r="Y340" s="11">
        <v>127706.1</v>
      </c>
      <c r="Z340" s="11">
        <v>75000</v>
      </c>
      <c r="AA340" s="11">
        <v>80993.3</v>
      </c>
      <c r="AB340" s="11">
        <v>69950</v>
      </c>
      <c r="AC340" s="12">
        <v>8.5000000000000006E-2</v>
      </c>
      <c r="AD340" s="12">
        <v>4.9000000000000002E-2</v>
      </c>
      <c r="AE340" s="11">
        <v>15021.9</v>
      </c>
      <c r="AF340" s="11">
        <v>4189.1000000000004</v>
      </c>
      <c r="AH340" s="10">
        <f t="shared" si="72"/>
        <v>191</v>
      </c>
      <c r="AI340" s="10">
        <f t="shared" si="73"/>
        <v>11</v>
      </c>
      <c r="AJ340" s="10">
        <f t="shared" si="73"/>
        <v>80</v>
      </c>
      <c r="AK340" s="10">
        <f t="shared" si="74"/>
        <v>72</v>
      </c>
      <c r="AL340" s="10">
        <f t="shared" si="75"/>
        <v>28</v>
      </c>
      <c r="AM340" s="10">
        <f t="shared" si="76"/>
        <v>18</v>
      </c>
      <c r="AN340" s="10">
        <f t="shared" si="77"/>
        <v>169</v>
      </c>
      <c r="AO340" s="10">
        <f t="shared" si="78"/>
        <v>107</v>
      </c>
    </row>
    <row r="341" spans="1:41" hidden="1" x14ac:dyDescent="0.3">
      <c r="A341" s="10">
        <v>540029</v>
      </c>
      <c r="B341" s="13" t="s">
        <v>18</v>
      </c>
      <c r="C341" s="13" t="s">
        <v>10</v>
      </c>
      <c r="D341" s="13" t="s">
        <v>2</v>
      </c>
      <c r="E341" s="10" t="s">
        <v>9</v>
      </c>
      <c r="F341" s="10" t="s">
        <v>9</v>
      </c>
      <c r="G341" s="10">
        <v>55</v>
      </c>
      <c r="H341" s="10">
        <v>0</v>
      </c>
      <c r="I341" s="10">
        <v>11</v>
      </c>
      <c r="J341" s="10">
        <v>8</v>
      </c>
      <c r="K341" s="10">
        <v>74</v>
      </c>
      <c r="L341" s="12">
        <v>0.74299999999999999</v>
      </c>
      <c r="M341" s="12">
        <v>0.14899999999999999</v>
      </c>
      <c r="N341" s="12">
        <v>0.108</v>
      </c>
      <c r="O341" s="12">
        <v>1.4E-2</v>
      </c>
      <c r="P341" s="12">
        <v>5.3999999999999999E-2</v>
      </c>
      <c r="Q341" s="12">
        <v>5.3999999999999999E-2</v>
      </c>
      <c r="S341" s="10">
        <v>6</v>
      </c>
      <c r="T341" s="10">
        <v>0</v>
      </c>
      <c r="U341" s="10">
        <v>0</v>
      </c>
      <c r="W341" s="10">
        <v>1948.8</v>
      </c>
      <c r="X341" s="10">
        <v>1943.5</v>
      </c>
      <c r="Y341" s="11">
        <v>113814.5</v>
      </c>
      <c r="Z341" s="11">
        <v>36100</v>
      </c>
      <c r="AA341" s="11">
        <v>42861.3</v>
      </c>
      <c r="AB341" s="11">
        <v>29900</v>
      </c>
      <c r="AC341" s="12">
        <v>0.125</v>
      </c>
      <c r="AD341" s="12">
        <v>0.115</v>
      </c>
      <c r="AE341" s="11">
        <v>5988.1</v>
      </c>
      <c r="AF341" s="11">
        <v>3442.6</v>
      </c>
      <c r="AH341" s="10">
        <f t="shared" si="72"/>
        <v>115</v>
      </c>
      <c r="AI341" s="10">
        <f t="shared" si="73"/>
        <v>106</v>
      </c>
      <c r="AJ341" s="10">
        <f t="shared" si="73"/>
        <v>108</v>
      </c>
      <c r="AK341" s="10">
        <f t="shared" si="74"/>
        <v>95</v>
      </c>
      <c r="AL341" s="10">
        <f t="shared" si="75"/>
        <v>129</v>
      </c>
      <c r="AM341" s="10">
        <f t="shared" si="76"/>
        <v>140</v>
      </c>
      <c r="AN341" s="10">
        <f t="shared" si="77"/>
        <v>99</v>
      </c>
      <c r="AO341" s="10">
        <f t="shared" si="78"/>
        <v>125</v>
      </c>
    </row>
    <row r="342" spans="1:41" hidden="1" x14ac:dyDescent="0.3">
      <c r="A342" s="10">
        <v>540081</v>
      </c>
      <c r="B342" s="13" t="s">
        <v>17</v>
      </c>
      <c r="C342" s="13" t="s">
        <v>16</v>
      </c>
      <c r="D342" s="13" t="s">
        <v>2</v>
      </c>
      <c r="E342" s="10" t="s">
        <v>15</v>
      </c>
      <c r="F342" s="10" t="s">
        <v>15</v>
      </c>
      <c r="G342" s="10">
        <v>655</v>
      </c>
      <c r="H342" s="10">
        <v>26</v>
      </c>
      <c r="I342" s="10">
        <v>46</v>
      </c>
      <c r="J342" s="10">
        <v>5</v>
      </c>
      <c r="K342" s="10">
        <v>732</v>
      </c>
      <c r="L342" s="12">
        <v>0.89500000000000002</v>
      </c>
      <c r="M342" s="12">
        <v>6.3E-2</v>
      </c>
      <c r="N342" s="12">
        <v>7.0000000000000001E-3</v>
      </c>
      <c r="O342" s="12">
        <v>1E-3</v>
      </c>
      <c r="P342" s="12">
        <v>3.0000000000000001E-3</v>
      </c>
      <c r="Q342" s="12">
        <v>3.0000000000000001E-3</v>
      </c>
      <c r="S342" s="10">
        <v>134</v>
      </c>
      <c r="T342" s="10">
        <v>5</v>
      </c>
      <c r="U342" s="10">
        <v>2</v>
      </c>
      <c r="W342" s="10">
        <v>1955.8</v>
      </c>
      <c r="X342" s="10">
        <v>1951</v>
      </c>
      <c r="Y342" s="11">
        <v>73493.899999999994</v>
      </c>
      <c r="Z342" s="11">
        <v>58500</v>
      </c>
      <c r="AA342" s="11">
        <v>66467.399999999994</v>
      </c>
      <c r="AB342" s="11">
        <v>58400</v>
      </c>
      <c r="AC342" s="12">
        <v>0.14699999999999999</v>
      </c>
      <c r="AD342" s="12">
        <v>0.11799999999999999</v>
      </c>
      <c r="AE342" s="11">
        <v>9544.1</v>
      </c>
      <c r="AF342" s="11">
        <v>6116.5</v>
      </c>
      <c r="AH342" s="10">
        <f t="shared" si="72"/>
        <v>189</v>
      </c>
      <c r="AI342" s="10">
        <f t="shared" si="73"/>
        <v>8</v>
      </c>
      <c r="AJ342" s="10">
        <f t="shared" si="73"/>
        <v>31</v>
      </c>
      <c r="AK342" s="10">
        <f t="shared" si="74"/>
        <v>129</v>
      </c>
      <c r="AL342" s="10">
        <f t="shared" si="75"/>
        <v>51</v>
      </c>
      <c r="AM342" s="10">
        <f t="shared" si="76"/>
        <v>41</v>
      </c>
      <c r="AN342" s="10">
        <f t="shared" si="77"/>
        <v>97</v>
      </c>
      <c r="AO342" s="10">
        <f t="shared" si="78"/>
        <v>74</v>
      </c>
    </row>
    <row r="343" spans="1:41" hidden="1" x14ac:dyDescent="0.3">
      <c r="A343" s="10">
        <v>540196</v>
      </c>
      <c r="B343" s="13" t="s">
        <v>14</v>
      </c>
      <c r="C343" s="13" t="s">
        <v>13</v>
      </c>
      <c r="D343" s="13" t="s">
        <v>2</v>
      </c>
      <c r="E343" s="10" t="s">
        <v>12</v>
      </c>
      <c r="F343" s="10" t="s">
        <v>12</v>
      </c>
      <c r="G343" s="10">
        <v>3</v>
      </c>
      <c r="H343" s="10">
        <v>1</v>
      </c>
      <c r="I343" s="10">
        <v>1</v>
      </c>
      <c r="J343" s="10">
        <v>2</v>
      </c>
      <c r="K343" s="10">
        <v>7</v>
      </c>
      <c r="L343" s="12">
        <v>0.42899999999999999</v>
      </c>
      <c r="M343" s="12">
        <v>0.14299999999999999</v>
      </c>
      <c r="N343" s="12">
        <v>0.28599999999999998</v>
      </c>
      <c r="O343" s="12">
        <v>0.14299999999999999</v>
      </c>
      <c r="P343" s="12">
        <v>0.14299999999999999</v>
      </c>
      <c r="Q343" s="12">
        <v>0.14299999999999999</v>
      </c>
      <c r="S343" s="10">
        <v>2</v>
      </c>
      <c r="T343" s="10">
        <v>0</v>
      </c>
      <c r="U343" s="10">
        <v>1</v>
      </c>
      <c r="W343" s="10">
        <v>1975.2</v>
      </c>
      <c r="X343" s="10">
        <v>1977</v>
      </c>
      <c r="Y343" s="11">
        <v>321645.7</v>
      </c>
      <c r="Z343" s="11">
        <v>90400</v>
      </c>
      <c r="AA343" s="11">
        <v>73833.3</v>
      </c>
      <c r="AB343" s="11">
        <v>72500</v>
      </c>
      <c r="AC343" s="12">
        <v>0.151</v>
      </c>
      <c r="AD343" s="12">
        <v>0.151</v>
      </c>
      <c r="AE343" s="11">
        <v>140259.5</v>
      </c>
      <c r="AF343" s="11">
        <v>140259.5</v>
      </c>
      <c r="AH343" s="10">
        <f t="shared" si="72"/>
        <v>39</v>
      </c>
      <c r="AI343" s="10">
        <f t="shared" si="73"/>
        <v>134</v>
      </c>
      <c r="AJ343" s="10">
        <f t="shared" si="73"/>
        <v>108</v>
      </c>
      <c r="AK343" s="10">
        <f t="shared" si="74"/>
        <v>184</v>
      </c>
      <c r="AL343" s="10">
        <f t="shared" si="75"/>
        <v>17</v>
      </c>
      <c r="AM343" s="10">
        <f t="shared" si="76"/>
        <v>16</v>
      </c>
      <c r="AN343" s="10">
        <f t="shared" si="77"/>
        <v>72</v>
      </c>
      <c r="AO343" s="10">
        <f t="shared" si="78"/>
        <v>1</v>
      </c>
    </row>
    <row r="344" spans="1:41" hidden="1" x14ac:dyDescent="0.3">
      <c r="A344" s="10">
        <v>540033</v>
      </c>
      <c r="B344" s="13" t="s">
        <v>11</v>
      </c>
      <c r="C344" s="13" t="s">
        <v>10</v>
      </c>
      <c r="D344" s="13" t="s">
        <v>2</v>
      </c>
      <c r="E344" s="10" t="s">
        <v>9</v>
      </c>
      <c r="F344" s="10" t="s">
        <v>9</v>
      </c>
      <c r="G344" s="10">
        <v>54</v>
      </c>
      <c r="H344" s="10">
        <v>3</v>
      </c>
      <c r="I344" s="10">
        <v>12</v>
      </c>
      <c r="J344" s="10">
        <v>5</v>
      </c>
      <c r="K344" s="10">
        <v>74</v>
      </c>
      <c r="L344" s="12">
        <v>0.73</v>
      </c>
      <c r="M344" s="12">
        <v>0.16200000000000001</v>
      </c>
      <c r="N344" s="12">
        <v>6.8000000000000005E-2</v>
      </c>
      <c r="O344" s="12">
        <v>5.3999999999999999E-2</v>
      </c>
      <c r="P344" s="12">
        <v>0</v>
      </c>
      <c r="Q344" s="12">
        <v>0</v>
      </c>
      <c r="S344" s="10">
        <v>11</v>
      </c>
      <c r="T344" s="10">
        <v>2</v>
      </c>
      <c r="U344" s="10">
        <v>1</v>
      </c>
      <c r="W344" s="10">
        <v>1951.6</v>
      </c>
      <c r="X344" s="10">
        <v>1947.5</v>
      </c>
      <c r="Y344" s="11">
        <v>49968</v>
      </c>
      <c r="Z344" s="11">
        <v>24750</v>
      </c>
      <c r="AA344" s="11">
        <v>33361.5</v>
      </c>
      <c r="AB344" s="11">
        <v>25550</v>
      </c>
      <c r="AC344" s="12">
        <v>0.17599999999999999</v>
      </c>
      <c r="AD344" s="12">
        <v>0.122</v>
      </c>
      <c r="AE344" s="11">
        <v>6191.8</v>
      </c>
      <c r="AF344" s="11">
        <v>2741</v>
      </c>
      <c r="AH344" s="10">
        <f t="shared" si="72"/>
        <v>151</v>
      </c>
      <c r="AI344" s="10">
        <f t="shared" si="73"/>
        <v>89</v>
      </c>
      <c r="AJ344" s="10">
        <f t="shared" si="73"/>
        <v>56</v>
      </c>
      <c r="AK344" s="10">
        <f t="shared" si="74"/>
        <v>110</v>
      </c>
      <c r="AL344" s="10">
        <f t="shared" si="75"/>
        <v>175</v>
      </c>
      <c r="AM344" s="10">
        <f t="shared" si="76"/>
        <v>163</v>
      </c>
      <c r="AN344" s="10">
        <f t="shared" si="77"/>
        <v>92</v>
      </c>
      <c r="AO344" s="10">
        <f t="shared" si="78"/>
        <v>144</v>
      </c>
    </row>
    <row r="345" spans="1:41" hidden="1" x14ac:dyDescent="0.3">
      <c r="A345" s="10">
        <v>540014</v>
      </c>
      <c r="B345" s="13" t="s">
        <v>8</v>
      </c>
      <c r="C345" s="13" t="s">
        <v>7</v>
      </c>
      <c r="D345" s="13" t="s">
        <v>2</v>
      </c>
      <c r="E345" s="10" t="s">
        <v>6</v>
      </c>
      <c r="F345" s="10" t="s">
        <v>6</v>
      </c>
      <c r="G345" s="10">
        <v>152</v>
      </c>
      <c r="H345" s="10">
        <v>7</v>
      </c>
      <c r="I345" s="10">
        <v>15</v>
      </c>
      <c r="J345" s="10">
        <v>0</v>
      </c>
      <c r="K345" s="10">
        <v>174</v>
      </c>
      <c r="L345" s="12" t="s">
        <v>5</v>
      </c>
      <c r="M345" s="12" t="s">
        <v>5</v>
      </c>
      <c r="N345" s="12" t="s">
        <v>5</v>
      </c>
      <c r="O345" s="12" t="s">
        <v>5</v>
      </c>
      <c r="P345" s="12" t="s">
        <v>5</v>
      </c>
      <c r="Q345" s="12" t="s">
        <v>5</v>
      </c>
      <c r="S345" s="10">
        <v>56</v>
      </c>
      <c r="T345" s="10">
        <v>1</v>
      </c>
      <c r="U345" s="10">
        <v>0</v>
      </c>
      <c r="W345" s="10">
        <v>1962.8</v>
      </c>
      <c r="X345" s="10">
        <v>1964</v>
      </c>
      <c r="Y345" s="11">
        <v>257124.9</v>
      </c>
      <c r="Z345" s="11">
        <v>88500</v>
      </c>
      <c r="AA345" s="11">
        <v>92563.1</v>
      </c>
      <c r="AB345" s="11">
        <v>92400</v>
      </c>
      <c r="AC345" s="12">
        <v>0.17799999999999999</v>
      </c>
      <c r="AD345" s="12">
        <v>0.16600000000000001</v>
      </c>
      <c r="AE345" s="11">
        <v>18043.3</v>
      </c>
      <c r="AF345" s="11">
        <v>15464.6</v>
      </c>
      <c r="AH345" s="10">
        <f t="shared" si="72"/>
        <v>1</v>
      </c>
      <c r="AI345" s="10">
        <f t="shared" si="73"/>
        <v>27</v>
      </c>
      <c r="AJ345" s="10">
        <f t="shared" si="73"/>
        <v>80</v>
      </c>
      <c r="AK345" s="10">
        <f t="shared" si="74"/>
        <v>154</v>
      </c>
      <c r="AL345" s="10">
        <f t="shared" si="75"/>
        <v>18</v>
      </c>
      <c r="AM345" s="10">
        <f t="shared" si="76"/>
        <v>9</v>
      </c>
      <c r="AN345" s="10">
        <f t="shared" si="77"/>
        <v>65</v>
      </c>
      <c r="AO345" s="10">
        <f t="shared" si="78"/>
        <v>16</v>
      </c>
    </row>
    <row r="346" spans="1:41" hidden="1" x14ac:dyDescent="0.3">
      <c r="A346" s="10">
        <v>540152</v>
      </c>
      <c r="B346" s="13" t="s">
        <v>4</v>
      </c>
      <c r="C346" s="13" t="s">
        <v>3</v>
      </c>
      <c r="D346" s="13" t="s">
        <v>2</v>
      </c>
      <c r="E346" s="10" t="s">
        <v>1</v>
      </c>
      <c r="F346" s="10" t="s">
        <v>1</v>
      </c>
      <c r="G346" s="10">
        <v>2685</v>
      </c>
      <c r="H346" s="10">
        <v>10</v>
      </c>
      <c r="I346" s="10">
        <v>126</v>
      </c>
      <c r="J346" s="10">
        <v>15</v>
      </c>
      <c r="K346" s="10">
        <v>2836</v>
      </c>
      <c r="L346" s="12">
        <v>0.94699999999999995</v>
      </c>
      <c r="M346" s="12">
        <v>4.3999999999999997E-2</v>
      </c>
      <c r="N346" s="12">
        <v>5.0000000000000001E-3</v>
      </c>
      <c r="O346" s="12">
        <v>3.0000000000000001E-3</v>
      </c>
      <c r="P346" s="12">
        <v>1E-3</v>
      </c>
      <c r="Q346" s="12">
        <v>1E-3</v>
      </c>
      <c r="S346" s="10">
        <v>900</v>
      </c>
      <c r="T346" s="10">
        <v>46</v>
      </c>
      <c r="U346" s="10">
        <v>7</v>
      </c>
      <c r="W346" s="10">
        <v>1922.6</v>
      </c>
      <c r="X346" s="10">
        <v>1920</v>
      </c>
      <c r="Y346" s="11">
        <v>129142.2</v>
      </c>
      <c r="Z346" s="11">
        <v>40600</v>
      </c>
      <c r="AA346" s="11">
        <v>46666.1</v>
      </c>
      <c r="AB346" s="11">
        <v>36850</v>
      </c>
      <c r="AC346" s="12">
        <v>0.22800000000000001</v>
      </c>
      <c r="AD346" s="12">
        <v>0.20399999999999999</v>
      </c>
      <c r="AE346" s="11">
        <v>14820.5</v>
      </c>
      <c r="AF346" s="11">
        <v>7711.3</v>
      </c>
      <c r="AH346" s="10">
        <f t="shared" si="72"/>
        <v>190</v>
      </c>
      <c r="AI346" s="10">
        <f t="shared" si="73"/>
        <v>1</v>
      </c>
      <c r="AJ346" s="10">
        <f t="shared" si="73"/>
        <v>1</v>
      </c>
      <c r="AK346" s="10">
        <f t="shared" si="74"/>
        <v>21</v>
      </c>
      <c r="AL346" s="10">
        <f t="shared" si="75"/>
        <v>115</v>
      </c>
      <c r="AM346" s="10">
        <f t="shared" si="76"/>
        <v>108</v>
      </c>
      <c r="AN346" s="10">
        <f t="shared" si="77"/>
        <v>47</v>
      </c>
      <c r="AO346" s="10">
        <f t="shared" si="78"/>
        <v>54</v>
      </c>
    </row>
    <row r="348" spans="1:41" x14ac:dyDescent="0.3">
      <c r="A348" s="8"/>
      <c r="B348" s="9"/>
      <c r="C348" s="9" t="s">
        <v>0</v>
      </c>
      <c r="D348" s="9"/>
      <c r="E348" s="8"/>
      <c r="F348" s="8"/>
      <c r="G348" s="8"/>
      <c r="H348" s="8"/>
      <c r="I348" s="8"/>
      <c r="J348" s="8"/>
      <c r="K348" s="8"/>
      <c r="L348" s="7"/>
      <c r="M348" s="7"/>
      <c r="N348" s="7"/>
      <c r="O348" s="7"/>
      <c r="P348" s="7"/>
      <c r="Q348" s="7"/>
      <c r="S348" s="8"/>
      <c r="T348" s="8"/>
      <c r="U348" s="8"/>
      <c r="W348" s="8">
        <v>1959.1</v>
      </c>
      <c r="X348" s="8">
        <v>1960</v>
      </c>
      <c r="Y348" s="6">
        <v>91472.7</v>
      </c>
      <c r="Z348" s="6">
        <v>36800</v>
      </c>
      <c r="AA348" s="6">
        <v>57375.9</v>
      </c>
      <c r="AB348" s="6">
        <v>44200</v>
      </c>
      <c r="AC348" s="7">
        <v>0.24199999999999999</v>
      </c>
      <c r="AD348" s="7">
        <v>0.16800000000000001</v>
      </c>
      <c r="AE348" s="6">
        <v>17607.099999999999</v>
      </c>
      <c r="AF348" s="6">
        <v>5978.8</v>
      </c>
    </row>
  </sheetData>
  <autoFilter ref="A5:AP336" xr:uid="{00000000-0009-0000-0000-000000000000}">
    <filterColumn colId="4">
      <filters>
        <filter val="2"/>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workbookViewId="0">
      <selection activeCell="A40" sqref="A40"/>
    </sheetView>
  </sheetViews>
  <sheetFormatPr defaultRowHeight="14.4" x14ac:dyDescent="0.3"/>
  <cols>
    <col min="1" max="1" width="53" customWidth="1"/>
    <col min="2" max="2" width="100.6640625" style="49" customWidth="1"/>
    <col min="3" max="3" width="60.88671875" customWidth="1"/>
  </cols>
  <sheetData>
    <row r="1" spans="1:2" s="1" customFormat="1" ht="12" x14ac:dyDescent="0.25">
      <c r="B1" s="27"/>
    </row>
    <row r="2" spans="1:2" x14ac:dyDescent="0.3">
      <c r="A2" s="77" t="s">
        <v>560</v>
      </c>
      <c r="B2" s="76" t="s">
        <v>534</v>
      </c>
    </row>
    <row r="3" spans="1:2" x14ac:dyDescent="0.3">
      <c r="A3" s="75" t="s">
        <v>516</v>
      </c>
      <c r="B3" s="74" t="s">
        <v>559</v>
      </c>
    </row>
    <row r="4" spans="1:2" ht="27.6" x14ac:dyDescent="0.3">
      <c r="A4" s="75" t="s">
        <v>515</v>
      </c>
      <c r="B4" s="74" t="s">
        <v>558</v>
      </c>
    </row>
    <row r="5" spans="1:2" x14ac:dyDescent="0.3">
      <c r="A5" s="75" t="s">
        <v>26</v>
      </c>
      <c r="B5" s="74" t="s">
        <v>557</v>
      </c>
    </row>
    <row r="6" spans="1:2" x14ac:dyDescent="0.3">
      <c r="A6" s="75" t="s">
        <v>514</v>
      </c>
      <c r="B6" s="74" t="s">
        <v>556</v>
      </c>
    </row>
    <row r="7" spans="1:2" x14ac:dyDescent="0.3">
      <c r="A7" s="75" t="s">
        <v>513</v>
      </c>
      <c r="B7" s="74" t="s">
        <v>555</v>
      </c>
    </row>
    <row r="8" spans="1:2" x14ac:dyDescent="0.3">
      <c r="A8" s="73"/>
    </row>
    <row r="9" spans="1:2" x14ac:dyDescent="0.3">
      <c r="A9" s="72" t="s">
        <v>554</v>
      </c>
      <c r="B9" s="71" t="s">
        <v>534</v>
      </c>
    </row>
    <row r="10" spans="1:2" ht="24.6" x14ac:dyDescent="0.3">
      <c r="A10" s="70" t="s">
        <v>512</v>
      </c>
      <c r="B10" s="62" t="s">
        <v>553</v>
      </c>
    </row>
    <row r="11" spans="1:2" ht="42" customHeight="1" x14ac:dyDescent="0.3">
      <c r="A11" s="69" t="s">
        <v>511</v>
      </c>
      <c r="B11" s="62" t="s">
        <v>552</v>
      </c>
    </row>
    <row r="12" spans="1:2" ht="60.6" x14ac:dyDescent="0.3">
      <c r="A12" s="68" t="s">
        <v>510</v>
      </c>
      <c r="B12" s="62" t="s">
        <v>551</v>
      </c>
    </row>
    <row r="13" spans="1:2" ht="36.6" x14ac:dyDescent="0.3">
      <c r="A13" s="67" t="s">
        <v>509</v>
      </c>
      <c r="B13" s="62" t="s">
        <v>550</v>
      </c>
    </row>
    <row r="14" spans="1:2" x14ac:dyDescent="0.3">
      <c r="A14" s="65" t="s">
        <v>508</v>
      </c>
      <c r="B14" s="62" t="s">
        <v>549</v>
      </c>
    </row>
    <row r="15" spans="1:2" x14ac:dyDescent="0.3">
      <c r="A15" s="65" t="s">
        <v>548</v>
      </c>
      <c r="B15" s="62" t="s">
        <v>547</v>
      </c>
    </row>
    <row r="16" spans="1:2" x14ac:dyDescent="0.3">
      <c r="A16" s="66" t="s">
        <v>506</v>
      </c>
      <c r="B16" s="62" t="s">
        <v>546</v>
      </c>
    </row>
    <row r="17" spans="1:2" x14ac:dyDescent="0.3">
      <c r="A17" s="65" t="s">
        <v>505</v>
      </c>
      <c r="B17" s="62" t="s">
        <v>545</v>
      </c>
    </row>
    <row r="18" spans="1:2" x14ac:dyDescent="0.3">
      <c r="A18" s="64" t="s">
        <v>504</v>
      </c>
      <c r="B18" s="62" t="s">
        <v>544</v>
      </c>
    </row>
    <row r="19" spans="1:2" x14ac:dyDescent="0.3">
      <c r="A19" s="63" t="s">
        <v>503</v>
      </c>
      <c r="B19" s="62" t="s">
        <v>543</v>
      </c>
    </row>
    <row r="20" spans="1:2" x14ac:dyDescent="0.3">
      <c r="A20" s="63" t="s">
        <v>502</v>
      </c>
      <c r="B20" s="62" t="s">
        <v>542</v>
      </c>
    </row>
    <row r="21" spans="1:2" ht="20.25" customHeight="1" x14ac:dyDescent="0.3">
      <c r="A21" s="63" t="s">
        <v>501</v>
      </c>
      <c r="B21" s="62" t="s">
        <v>541</v>
      </c>
    </row>
    <row r="22" spans="1:2" x14ac:dyDescent="0.3">
      <c r="A22" s="61"/>
    </row>
    <row r="23" spans="1:2" x14ac:dyDescent="0.3">
      <c r="A23" s="60" t="s">
        <v>540</v>
      </c>
      <c r="B23" s="59" t="s">
        <v>534</v>
      </c>
    </row>
    <row r="24" spans="1:2" ht="36.6" x14ac:dyDescent="0.3">
      <c r="A24" s="58" t="s">
        <v>539</v>
      </c>
      <c r="B24" s="57" t="s">
        <v>538</v>
      </c>
    </row>
    <row r="25" spans="1:2" x14ac:dyDescent="0.3">
      <c r="A25" s="58" t="s">
        <v>499</v>
      </c>
      <c r="B25" s="57" t="s">
        <v>537</v>
      </c>
    </row>
    <row r="26" spans="1:2" x14ac:dyDescent="0.3">
      <c r="A26" s="58" t="s">
        <v>498</v>
      </c>
      <c r="B26" s="57" t="s">
        <v>536</v>
      </c>
    </row>
    <row r="27" spans="1:2" x14ac:dyDescent="0.3">
      <c r="A27" s="56"/>
      <c r="B27" s="27"/>
    </row>
    <row r="28" spans="1:2" x14ac:dyDescent="0.3">
      <c r="A28" s="55" t="s">
        <v>535</v>
      </c>
      <c r="B28" s="54" t="s">
        <v>534</v>
      </c>
    </row>
    <row r="29" spans="1:2" ht="24.6" x14ac:dyDescent="0.3">
      <c r="A29" s="53" t="s">
        <v>497</v>
      </c>
      <c r="B29" s="52" t="s">
        <v>533</v>
      </c>
    </row>
    <row r="30" spans="1:2" ht="24.6" x14ac:dyDescent="0.3">
      <c r="A30" s="53" t="s">
        <v>496</v>
      </c>
      <c r="B30" s="52" t="s">
        <v>532</v>
      </c>
    </row>
    <row r="31" spans="1:2" x14ac:dyDescent="0.3">
      <c r="A31" s="50" t="s">
        <v>495</v>
      </c>
      <c r="B31" s="50" t="s">
        <v>531</v>
      </c>
    </row>
    <row r="32" spans="1:2" x14ac:dyDescent="0.3">
      <c r="A32" s="50" t="s">
        <v>494</v>
      </c>
      <c r="B32" s="50" t="s">
        <v>530</v>
      </c>
    </row>
    <row r="33" spans="1:2" x14ac:dyDescent="0.3">
      <c r="A33" s="50" t="s">
        <v>493</v>
      </c>
      <c r="B33" s="50" t="s">
        <v>529</v>
      </c>
    </row>
    <row r="34" spans="1:2" x14ac:dyDescent="0.3">
      <c r="A34" s="50" t="s">
        <v>492</v>
      </c>
      <c r="B34" s="50" t="s">
        <v>528</v>
      </c>
    </row>
    <row r="35" spans="1:2" x14ac:dyDescent="0.3">
      <c r="A35" s="51" t="s">
        <v>491</v>
      </c>
      <c r="B35" s="51" t="s">
        <v>527</v>
      </c>
    </row>
    <row r="36" spans="1:2" x14ac:dyDescent="0.3">
      <c r="A36" s="51" t="s">
        <v>490</v>
      </c>
      <c r="B36" s="51" t="s">
        <v>526</v>
      </c>
    </row>
    <row r="37" spans="1:2" x14ac:dyDescent="0.3">
      <c r="A37" s="50" t="s">
        <v>489</v>
      </c>
      <c r="B37" s="50" t="s">
        <v>525</v>
      </c>
    </row>
    <row r="38" spans="1:2" x14ac:dyDescent="0.3">
      <c r="A38" s="50" t="s">
        <v>488</v>
      </c>
      <c r="B38" s="50" t="s">
        <v>524</v>
      </c>
    </row>
    <row r="40" spans="1:2" x14ac:dyDescent="0.3">
      <c r="A40" s="1" t="s">
        <v>523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L296"/>
  <sheetViews>
    <sheetView workbookViewId="0">
      <selection activeCell="D183" sqref="D183"/>
    </sheetView>
  </sheetViews>
  <sheetFormatPr defaultRowHeight="14.4" x14ac:dyDescent="0.3"/>
  <cols>
    <col min="1" max="1" width="9.109375" style="78"/>
    <col min="2" max="2" width="28.5546875" style="79" customWidth="1"/>
    <col min="3" max="3" width="18.88671875" style="79" customWidth="1"/>
    <col min="4" max="4" width="14.88671875" style="79" customWidth="1"/>
    <col min="5" max="5" width="6.33203125" style="78" customWidth="1"/>
    <col min="6" max="6" width="14.109375" style="81" customWidth="1"/>
    <col min="7" max="7" width="12.5546875" style="81" customWidth="1"/>
    <col min="8" max="8" width="12.44140625" style="82" customWidth="1"/>
    <col min="9" max="9" width="12.5546875" style="81" customWidth="1"/>
    <col min="10" max="10" width="11.88671875" style="80" customWidth="1"/>
    <col min="11" max="11" width="24.109375" style="79" customWidth="1"/>
    <col min="12" max="12" width="16.5546875" style="78" customWidth="1"/>
  </cols>
  <sheetData>
    <row r="1" spans="1:12" x14ac:dyDescent="0.3">
      <c r="A1" s="114" t="s">
        <v>924</v>
      </c>
    </row>
    <row r="2" spans="1:12" x14ac:dyDescent="0.3">
      <c r="A2" s="81" t="s">
        <v>923</v>
      </c>
      <c r="G2" s="86" t="s">
        <v>922</v>
      </c>
      <c r="H2" s="85"/>
      <c r="I2" s="86"/>
      <c r="K2" s="78" t="s">
        <v>921</v>
      </c>
    </row>
    <row r="3" spans="1:12" ht="32.25" customHeight="1" x14ac:dyDescent="0.3">
      <c r="A3" s="111" t="s">
        <v>516</v>
      </c>
      <c r="B3" s="111" t="s">
        <v>515</v>
      </c>
      <c r="C3" s="111" t="s">
        <v>26</v>
      </c>
      <c r="D3" s="111" t="s">
        <v>514</v>
      </c>
      <c r="E3" s="111" t="s">
        <v>920</v>
      </c>
      <c r="F3" s="111" t="s">
        <v>919</v>
      </c>
      <c r="G3" s="113" t="s">
        <v>918</v>
      </c>
      <c r="H3" s="112" t="s">
        <v>917</v>
      </c>
      <c r="I3" s="111" t="s">
        <v>916</v>
      </c>
      <c r="J3" s="111" t="s">
        <v>915</v>
      </c>
      <c r="K3" s="111" t="s">
        <v>914</v>
      </c>
      <c r="L3" s="111" t="s">
        <v>913</v>
      </c>
    </row>
    <row r="4" spans="1:12" ht="18.75" hidden="1" customHeight="1" x14ac:dyDescent="0.3">
      <c r="A4" s="96">
        <v>540001</v>
      </c>
      <c r="B4" s="97" t="s">
        <v>912</v>
      </c>
      <c r="C4" s="97" t="s">
        <v>908</v>
      </c>
      <c r="D4" s="97" t="s">
        <v>29</v>
      </c>
      <c r="E4" s="96">
        <v>7</v>
      </c>
      <c r="F4" s="101">
        <v>27348</v>
      </c>
      <c r="G4" s="100">
        <v>31959</v>
      </c>
      <c r="H4" s="100">
        <v>40666</v>
      </c>
      <c r="I4" s="99" t="str">
        <f>"07/01/1987"</f>
        <v>07/01/1987</v>
      </c>
      <c r="J4" s="98">
        <v>2</v>
      </c>
      <c r="K4" s="97"/>
      <c r="L4" s="96"/>
    </row>
    <row r="5" spans="1:12" hidden="1" x14ac:dyDescent="0.3">
      <c r="A5" s="90">
        <v>540002</v>
      </c>
      <c r="B5" s="91" t="s">
        <v>911</v>
      </c>
      <c r="C5" s="91" t="s">
        <v>908</v>
      </c>
      <c r="D5" s="91" t="s">
        <v>2</v>
      </c>
      <c r="E5" s="90">
        <v>7</v>
      </c>
      <c r="F5" s="93" t="str">
        <f>"05/31/74"</f>
        <v>05/31/74</v>
      </c>
      <c r="G5" s="94">
        <v>29068</v>
      </c>
      <c r="H5" s="94">
        <v>40666</v>
      </c>
      <c r="I5" s="93" t="str">
        <f>"08/01/1979"</f>
        <v>08/01/1979</v>
      </c>
      <c r="J5" s="92">
        <v>2</v>
      </c>
      <c r="K5" s="91"/>
      <c r="L5" s="90"/>
    </row>
    <row r="6" spans="1:12" hidden="1" x14ac:dyDescent="0.3">
      <c r="A6" s="90">
        <v>540003</v>
      </c>
      <c r="B6" s="91" t="s">
        <v>910</v>
      </c>
      <c r="C6" s="91" t="s">
        <v>908</v>
      </c>
      <c r="D6" s="91" t="s">
        <v>2</v>
      </c>
      <c r="E6" s="90">
        <v>7</v>
      </c>
      <c r="F6" s="93" t="str">
        <f>"06/28/74"</f>
        <v>06/28/74</v>
      </c>
      <c r="G6" s="94">
        <v>31884</v>
      </c>
      <c r="H6" s="94">
        <v>40666</v>
      </c>
      <c r="I6" s="93" t="str">
        <f>"04/17/1987"</f>
        <v>04/17/1987</v>
      </c>
      <c r="J6" s="92">
        <v>2</v>
      </c>
      <c r="K6" s="91"/>
      <c r="L6" s="90"/>
    </row>
    <row r="7" spans="1:12" hidden="1" x14ac:dyDescent="0.3">
      <c r="A7" s="90">
        <v>540004</v>
      </c>
      <c r="B7" s="91" t="s">
        <v>909</v>
      </c>
      <c r="C7" s="91" t="s">
        <v>908</v>
      </c>
      <c r="D7" s="91" t="s">
        <v>2</v>
      </c>
      <c r="E7" s="90">
        <v>7</v>
      </c>
      <c r="F7" s="93" t="str">
        <f>"02/01/74"</f>
        <v>02/01/74</v>
      </c>
      <c r="G7" s="94">
        <v>31659</v>
      </c>
      <c r="H7" s="94">
        <v>40666</v>
      </c>
      <c r="I7" s="93" t="str">
        <f>"09/04/1986"</f>
        <v>09/04/1986</v>
      </c>
      <c r="J7" s="92">
        <v>2</v>
      </c>
      <c r="K7" s="91"/>
      <c r="L7" s="90"/>
    </row>
    <row r="8" spans="1:12" hidden="1" x14ac:dyDescent="0.3">
      <c r="A8" s="96">
        <v>540282</v>
      </c>
      <c r="B8" s="97" t="s">
        <v>907</v>
      </c>
      <c r="C8" s="97" t="s">
        <v>905</v>
      </c>
      <c r="D8" s="97" t="s">
        <v>29</v>
      </c>
      <c r="E8" s="96">
        <v>9</v>
      </c>
      <c r="F8" s="101">
        <v>28475</v>
      </c>
      <c r="G8" s="100">
        <v>32359</v>
      </c>
      <c r="H8" s="100">
        <v>40001</v>
      </c>
      <c r="I8" s="99" t="str">
        <f>"08/04/1988"</f>
        <v>08/04/1988</v>
      </c>
      <c r="J8" s="98">
        <v>2</v>
      </c>
      <c r="K8" s="97" t="s">
        <v>569</v>
      </c>
      <c r="L8" s="96" t="s">
        <v>592</v>
      </c>
    </row>
    <row r="9" spans="1:12" hidden="1" x14ac:dyDescent="0.3">
      <c r="A9" s="90">
        <v>540006</v>
      </c>
      <c r="B9" s="91" t="s">
        <v>906</v>
      </c>
      <c r="C9" s="91" t="s">
        <v>905</v>
      </c>
      <c r="D9" s="91" t="s">
        <v>2</v>
      </c>
      <c r="E9" s="90">
        <v>9</v>
      </c>
      <c r="F9" s="93" t="str">
        <f>"06/07/74"</f>
        <v>06/07/74</v>
      </c>
      <c r="G9" s="94">
        <v>29207</v>
      </c>
      <c r="H9" s="94">
        <v>40001</v>
      </c>
      <c r="I9" s="95">
        <v>29207</v>
      </c>
      <c r="J9" s="92">
        <v>2</v>
      </c>
      <c r="K9" s="91" t="s">
        <v>569</v>
      </c>
      <c r="L9" s="90" t="s">
        <v>592</v>
      </c>
    </row>
    <row r="10" spans="1:12" hidden="1" x14ac:dyDescent="0.3">
      <c r="A10" s="96">
        <v>540007</v>
      </c>
      <c r="B10" s="97" t="s">
        <v>904</v>
      </c>
      <c r="C10" s="97" t="s">
        <v>899</v>
      </c>
      <c r="D10" s="97" t="s">
        <v>29</v>
      </c>
      <c r="E10" s="96">
        <v>3</v>
      </c>
      <c r="F10" s="99" t="str">
        <f>"01/03/75"</f>
        <v>01/03/75</v>
      </c>
      <c r="G10" s="100">
        <v>33344</v>
      </c>
      <c r="H10" s="100">
        <v>41410</v>
      </c>
      <c r="I10" s="99" t="str">
        <f>"04/16/1991"</f>
        <v>04/16/1991</v>
      </c>
      <c r="J10" s="98">
        <v>0</v>
      </c>
      <c r="K10" s="97"/>
      <c r="L10" s="96"/>
    </row>
    <row r="11" spans="1:12" hidden="1" x14ac:dyDescent="0.3">
      <c r="A11" s="90">
        <v>540230</v>
      </c>
      <c r="B11" s="91" t="s">
        <v>903</v>
      </c>
      <c r="C11" s="91" t="s">
        <v>899</v>
      </c>
      <c r="D11" s="91" t="s">
        <v>2</v>
      </c>
      <c r="E11" s="90">
        <v>3</v>
      </c>
      <c r="F11" s="95">
        <v>27348</v>
      </c>
      <c r="G11" s="94">
        <v>33344</v>
      </c>
      <c r="H11" s="94">
        <v>41410</v>
      </c>
      <c r="I11" s="93" t="str">
        <f>"04/16/1991"</f>
        <v>04/16/1991</v>
      </c>
      <c r="J11" s="92">
        <v>0</v>
      </c>
      <c r="K11" s="91"/>
      <c r="L11" s="90"/>
    </row>
    <row r="12" spans="1:12" hidden="1" x14ac:dyDescent="0.3">
      <c r="A12" s="90">
        <v>540008</v>
      </c>
      <c r="B12" s="91" t="s">
        <v>902</v>
      </c>
      <c r="C12" s="91" t="s">
        <v>899</v>
      </c>
      <c r="D12" s="91" t="s">
        <v>2</v>
      </c>
      <c r="E12" s="90">
        <v>3</v>
      </c>
      <c r="F12" s="93" t="str">
        <f>"06/14/74"</f>
        <v>06/14/74</v>
      </c>
      <c r="G12" s="94">
        <v>33344</v>
      </c>
      <c r="H12" s="94">
        <v>41410</v>
      </c>
      <c r="I12" s="93" t="str">
        <f>"04/16/1991"</f>
        <v>04/16/1991</v>
      </c>
      <c r="J12" s="92">
        <v>0</v>
      </c>
      <c r="K12" s="91"/>
      <c r="L12" s="90"/>
    </row>
    <row r="13" spans="1:12" hidden="1" x14ac:dyDescent="0.3">
      <c r="A13" s="90">
        <v>540238</v>
      </c>
      <c r="B13" s="91" t="s">
        <v>901</v>
      </c>
      <c r="C13" s="91" t="s">
        <v>899</v>
      </c>
      <c r="D13" s="91" t="s">
        <v>2</v>
      </c>
      <c r="E13" s="90">
        <v>3</v>
      </c>
      <c r="F13" s="95">
        <v>27348</v>
      </c>
      <c r="G13" s="94">
        <v>33344</v>
      </c>
      <c r="H13" s="94">
        <v>41410</v>
      </c>
      <c r="I13" s="93" t="str">
        <f>"04/16/1991"</f>
        <v>04/16/1991</v>
      </c>
      <c r="J13" s="92">
        <v>0</v>
      </c>
      <c r="K13" s="91"/>
      <c r="L13" s="90"/>
    </row>
    <row r="14" spans="1:12" hidden="1" x14ac:dyDescent="0.3">
      <c r="A14" s="90">
        <v>540229</v>
      </c>
      <c r="B14" s="91" t="s">
        <v>900</v>
      </c>
      <c r="C14" s="91" t="s">
        <v>899</v>
      </c>
      <c r="D14" s="91" t="s">
        <v>2</v>
      </c>
      <c r="E14" s="90">
        <v>3</v>
      </c>
      <c r="F14" s="95">
        <v>27348</v>
      </c>
      <c r="G14" s="94">
        <v>33344</v>
      </c>
      <c r="H14" s="94">
        <v>41410</v>
      </c>
      <c r="I14" s="93" t="str">
        <f>"04/14/1991"</f>
        <v>04/14/1991</v>
      </c>
      <c r="J14" s="92">
        <v>0</v>
      </c>
      <c r="K14" s="91"/>
      <c r="L14" s="90"/>
    </row>
    <row r="15" spans="1:12" hidden="1" x14ac:dyDescent="0.3">
      <c r="A15" s="96">
        <v>540009</v>
      </c>
      <c r="B15" s="97" t="s">
        <v>898</v>
      </c>
      <c r="C15" s="97" t="s">
        <v>893</v>
      </c>
      <c r="D15" s="97" t="s">
        <v>29</v>
      </c>
      <c r="E15" s="96">
        <v>7</v>
      </c>
      <c r="F15" s="99" t="str">
        <f>"01/24/75"</f>
        <v>01/24/75</v>
      </c>
      <c r="G15" s="100">
        <v>40287</v>
      </c>
      <c r="H15" s="100">
        <v>40287</v>
      </c>
      <c r="I15" s="99" t="str">
        <f>"03/18/1991"</f>
        <v>03/18/1991</v>
      </c>
      <c r="J15" s="98">
        <v>2</v>
      </c>
      <c r="K15" s="97"/>
      <c r="L15" s="96"/>
    </row>
    <row r="16" spans="1:12" hidden="1" x14ac:dyDescent="0.3">
      <c r="A16" s="90">
        <v>540010</v>
      </c>
      <c r="B16" s="91" t="s">
        <v>897</v>
      </c>
      <c r="C16" s="91" t="s">
        <v>893</v>
      </c>
      <c r="D16" s="91" t="s">
        <v>2</v>
      </c>
      <c r="E16" s="90">
        <v>7</v>
      </c>
      <c r="F16" s="93" t="str">
        <f>"02/01/74"</f>
        <v>02/01/74</v>
      </c>
      <c r="G16" s="94">
        <v>40287</v>
      </c>
      <c r="H16" s="94">
        <v>40287</v>
      </c>
      <c r="I16" s="93" t="str">
        <f>"09/10/1984"</f>
        <v>09/10/1984</v>
      </c>
      <c r="J16" s="92">
        <v>2</v>
      </c>
      <c r="K16" s="91"/>
      <c r="L16" s="90"/>
    </row>
    <row r="17" spans="1:12" hidden="1" x14ac:dyDescent="0.3">
      <c r="A17" s="90">
        <v>540235</v>
      </c>
      <c r="B17" s="91" t="s">
        <v>896</v>
      </c>
      <c r="C17" s="91" t="s">
        <v>893</v>
      </c>
      <c r="D17" s="91" t="s">
        <v>2</v>
      </c>
      <c r="E17" s="90">
        <v>7</v>
      </c>
      <c r="F17" s="93" t="str">
        <f>"02/18/77"</f>
        <v>02/18/77</v>
      </c>
      <c r="G17" s="94">
        <v>40287</v>
      </c>
      <c r="H17" s="94">
        <v>40287</v>
      </c>
      <c r="I17" s="93" t="str">
        <f>"09/29/1978"</f>
        <v>09/29/1978</v>
      </c>
      <c r="J17" s="92">
        <v>2</v>
      </c>
      <c r="K17" s="91"/>
      <c r="L17" s="90"/>
    </row>
    <row r="18" spans="1:12" hidden="1" x14ac:dyDescent="0.3">
      <c r="A18" s="90">
        <v>540237</v>
      </c>
      <c r="B18" s="91" t="s">
        <v>895</v>
      </c>
      <c r="C18" s="91" t="s">
        <v>893</v>
      </c>
      <c r="D18" s="91" t="s">
        <v>2</v>
      </c>
      <c r="E18" s="90">
        <v>7</v>
      </c>
      <c r="F18" s="93" t="str">
        <f>"01/10/75"</f>
        <v>01/10/75</v>
      </c>
      <c r="G18" s="94">
        <v>40287</v>
      </c>
      <c r="H18" s="94">
        <v>40287</v>
      </c>
      <c r="I18" s="93" t="str">
        <f>"09/10/1984"</f>
        <v>09/10/1984</v>
      </c>
      <c r="J18" s="92">
        <v>2</v>
      </c>
      <c r="K18" s="91"/>
      <c r="L18" s="90"/>
    </row>
    <row r="19" spans="1:12" hidden="1" x14ac:dyDescent="0.3">
      <c r="A19" s="90">
        <v>540236</v>
      </c>
      <c r="B19" s="91" t="s">
        <v>894</v>
      </c>
      <c r="C19" s="91" t="s">
        <v>893</v>
      </c>
      <c r="D19" s="91" t="s">
        <v>2</v>
      </c>
      <c r="E19" s="90">
        <v>7</v>
      </c>
      <c r="F19" s="93" t="str">
        <f>"01/07/75"</f>
        <v>01/07/75</v>
      </c>
      <c r="G19" s="94">
        <v>40287</v>
      </c>
      <c r="H19" s="94">
        <v>40287</v>
      </c>
      <c r="I19" s="93" t="str">
        <f>"09/10/1984"</f>
        <v>09/10/1984</v>
      </c>
      <c r="J19" s="92">
        <v>2</v>
      </c>
      <c r="K19" s="91"/>
      <c r="L19" s="90"/>
    </row>
    <row r="20" spans="1:12" hidden="1" x14ac:dyDescent="0.3">
      <c r="A20" s="96">
        <v>540011</v>
      </c>
      <c r="B20" s="97" t="s">
        <v>892</v>
      </c>
      <c r="C20" s="97" t="s">
        <v>886</v>
      </c>
      <c r="D20" s="97" t="s">
        <v>29</v>
      </c>
      <c r="E20" s="96">
        <v>11</v>
      </c>
      <c r="F20" s="101">
        <v>27355</v>
      </c>
      <c r="G20" s="100">
        <v>30665</v>
      </c>
      <c r="H20" s="100">
        <v>40287</v>
      </c>
      <c r="I20" s="101">
        <v>30665</v>
      </c>
      <c r="J20" s="98">
        <v>2</v>
      </c>
      <c r="K20" s="97"/>
      <c r="L20" s="96"/>
    </row>
    <row r="21" spans="1:12" hidden="1" x14ac:dyDescent="0.3">
      <c r="A21" s="90">
        <v>540093</v>
      </c>
      <c r="B21" s="91" t="s">
        <v>891</v>
      </c>
      <c r="C21" s="91" t="s">
        <v>886</v>
      </c>
      <c r="D21" s="91" t="s">
        <v>2</v>
      </c>
      <c r="E21" s="90">
        <v>11</v>
      </c>
      <c r="F21" s="93"/>
      <c r="G21" s="94">
        <v>40287</v>
      </c>
      <c r="H21" s="94">
        <v>40287</v>
      </c>
      <c r="I21" s="93" t="str">
        <f>"04/26/1911"</f>
        <v>04/26/1911</v>
      </c>
      <c r="J21" s="92">
        <v>2</v>
      </c>
      <c r="K21" s="91"/>
      <c r="L21" s="90"/>
    </row>
    <row r="22" spans="1:12" hidden="1" x14ac:dyDescent="0.3">
      <c r="A22" s="90">
        <v>540012</v>
      </c>
      <c r="B22" s="91" t="s">
        <v>890</v>
      </c>
      <c r="C22" s="91" t="s">
        <v>886</v>
      </c>
      <c r="D22" s="91" t="s">
        <v>2</v>
      </c>
      <c r="E22" s="90">
        <v>11</v>
      </c>
      <c r="F22" s="93" t="str">
        <f>"02/08/74"</f>
        <v>02/08/74</v>
      </c>
      <c r="G22" s="94">
        <v>29126</v>
      </c>
      <c r="H22" s="94">
        <v>40287</v>
      </c>
      <c r="I22" s="93" t="str">
        <f>"09/28/1979"</f>
        <v>09/28/1979</v>
      </c>
      <c r="J22" s="92">
        <v>2</v>
      </c>
      <c r="K22" s="91"/>
      <c r="L22" s="90"/>
    </row>
    <row r="23" spans="1:12" hidden="1" x14ac:dyDescent="0.3">
      <c r="A23" s="90">
        <v>540013</v>
      </c>
      <c r="B23" s="91" t="s">
        <v>889</v>
      </c>
      <c r="C23" s="91" t="s">
        <v>886</v>
      </c>
      <c r="D23" s="91" t="s">
        <v>2</v>
      </c>
      <c r="E23" s="90">
        <v>11</v>
      </c>
      <c r="F23" s="93" t="str">
        <f>"05/24/74"</f>
        <v>05/24/74</v>
      </c>
      <c r="G23" s="94">
        <v>30224</v>
      </c>
      <c r="H23" s="94">
        <v>40287</v>
      </c>
      <c r="I23" s="93" t="str">
        <f>"09/30/1982"</f>
        <v>09/30/1982</v>
      </c>
      <c r="J23" s="92">
        <v>2</v>
      </c>
      <c r="K23" s="91"/>
      <c r="L23" s="90"/>
    </row>
    <row r="24" spans="1:12" hidden="1" x14ac:dyDescent="0.3">
      <c r="A24" s="90">
        <v>540014</v>
      </c>
      <c r="B24" s="91" t="s">
        <v>888</v>
      </c>
      <c r="C24" s="91" t="s">
        <v>886</v>
      </c>
      <c r="D24" s="91" t="s">
        <v>2</v>
      </c>
      <c r="E24" s="90">
        <v>11</v>
      </c>
      <c r="F24" s="93" t="str">
        <f>"01/25/74"</f>
        <v>01/25/74</v>
      </c>
      <c r="G24" s="94">
        <v>29126</v>
      </c>
      <c r="H24" s="94">
        <v>40287</v>
      </c>
      <c r="I24" s="93" t="str">
        <f>"09/28/1979"</f>
        <v>09/28/1979</v>
      </c>
      <c r="J24" s="92">
        <v>2</v>
      </c>
      <c r="K24" s="91"/>
      <c r="L24" s="90"/>
    </row>
    <row r="25" spans="1:12" hidden="1" x14ac:dyDescent="0.3">
      <c r="A25" s="90">
        <v>540015</v>
      </c>
      <c r="B25" s="91" t="s">
        <v>887</v>
      </c>
      <c r="C25" s="91" t="s">
        <v>886</v>
      </c>
      <c r="D25" s="91" t="s">
        <v>2</v>
      </c>
      <c r="E25" s="90">
        <v>11</v>
      </c>
      <c r="F25" s="93" t="str">
        <f>"05/17/74"</f>
        <v>05/17/74</v>
      </c>
      <c r="G25" s="94">
        <v>30272</v>
      </c>
      <c r="H25" s="94">
        <v>40287</v>
      </c>
      <c r="I25" s="95">
        <v>30272</v>
      </c>
      <c r="J25" s="92">
        <v>2</v>
      </c>
      <c r="K25" s="91"/>
      <c r="L25" s="90"/>
    </row>
    <row r="26" spans="1:12" x14ac:dyDescent="0.3">
      <c r="A26" s="96">
        <v>540016</v>
      </c>
      <c r="B26" s="97" t="s">
        <v>885</v>
      </c>
      <c r="C26" s="97" t="s">
        <v>882</v>
      </c>
      <c r="D26" s="97" t="s">
        <v>29</v>
      </c>
      <c r="E26" s="96">
        <v>2</v>
      </c>
      <c r="F26" s="99" t="str">
        <f>"04/25/75"</f>
        <v>04/25/75</v>
      </c>
      <c r="G26" s="100">
        <v>32050</v>
      </c>
      <c r="H26" s="100">
        <v>41689</v>
      </c>
      <c r="I26" s="99" t="str">
        <f>"09/30/1987"</f>
        <v>09/30/1987</v>
      </c>
      <c r="J26" s="98">
        <v>2</v>
      </c>
      <c r="K26" s="97" t="s">
        <v>569</v>
      </c>
      <c r="L26" s="96" t="s">
        <v>568</v>
      </c>
    </row>
    <row r="27" spans="1:12" x14ac:dyDescent="0.3">
      <c r="A27" s="90">
        <v>540017</v>
      </c>
      <c r="B27" s="91" t="s">
        <v>884</v>
      </c>
      <c r="C27" s="91" t="s">
        <v>882</v>
      </c>
      <c r="D27" s="91" t="s">
        <v>2</v>
      </c>
      <c r="E27" s="90">
        <v>2</v>
      </c>
      <c r="F27" s="93" t="str">
        <f>"05/31/74"</f>
        <v>05/31/74</v>
      </c>
      <c r="G27" s="94">
        <v>32297</v>
      </c>
      <c r="H27" s="94">
        <v>41689</v>
      </c>
      <c r="I27" s="93" t="str">
        <f>"06/03/1988"</f>
        <v>06/03/1988</v>
      </c>
      <c r="J27" s="92">
        <v>2</v>
      </c>
      <c r="K27" s="91" t="s">
        <v>569</v>
      </c>
      <c r="L27" s="90" t="s">
        <v>568</v>
      </c>
    </row>
    <row r="28" spans="1:12" x14ac:dyDescent="0.3">
      <c r="A28" s="90">
        <v>540019</v>
      </c>
      <c r="B28" s="91" t="s">
        <v>883</v>
      </c>
      <c r="C28" s="91" t="s">
        <v>882</v>
      </c>
      <c r="D28" s="91" t="s">
        <v>2</v>
      </c>
      <c r="E28" s="90">
        <v>2</v>
      </c>
      <c r="F28" s="93" t="str">
        <f>"05/31/74"</f>
        <v>05/31/74</v>
      </c>
      <c r="G28" s="94">
        <v>32050</v>
      </c>
      <c r="H28" s="94">
        <v>38519</v>
      </c>
      <c r="I28" s="93" t="str">
        <f>"09/30/1987"</f>
        <v>09/30/1987</v>
      </c>
      <c r="J28" s="92">
        <v>2</v>
      </c>
      <c r="K28" s="91" t="s">
        <v>569</v>
      </c>
      <c r="L28" s="90" t="s">
        <v>568</v>
      </c>
    </row>
    <row r="29" spans="1:12" hidden="1" x14ac:dyDescent="0.3">
      <c r="A29" s="96">
        <v>540020</v>
      </c>
      <c r="B29" s="97" t="s">
        <v>881</v>
      </c>
      <c r="C29" s="97" t="s">
        <v>879</v>
      </c>
      <c r="D29" s="97" t="s">
        <v>29</v>
      </c>
      <c r="E29" s="96">
        <v>5</v>
      </c>
      <c r="F29" s="101">
        <v>27362</v>
      </c>
      <c r="G29" s="100">
        <v>33315</v>
      </c>
      <c r="H29" s="100">
        <v>40347</v>
      </c>
      <c r="I29" s="99" t="str">
        <f t="shared" ref="I29:I34" si="0">"03/18/1991"</f>
        <v>03/18/1991</v>
      </c>
      <c r="J29" s="98">
        <v>2</v>
      </c>
      <c r="K29" s="97"/>
      <c r="L29" s="96"/>
    </row>
    <row r="30" spans="1:12" hidden="1" x14ac:dyDescent="0.3">
      <c r="A30" s="90">
        <v>540021</v>
      </c>
      <c r="B30" s="91" t="s">
        <v>880</v>
      </c>
      <c r="C30" s="91" t="s">
        <v>879</v>
      </c>
      <c r="D30" s="91" t="s">
        <v>2</v>
      </c>
      <c r="E30" s="90">
        <v>5</v>
      </c>
      <c r="F30" s="93" t="str">
        <f>"03/01/74"</f>
        <v>03/01/74</v>
      </c>
      <c r="G30" s="94">
        <v>33315</v>
      </c>
      <c r="H30" s="94">
        <v>40347</v>
      </c>
      <c r="I30" s="93" t="str">
        <f t="shared" si="0"/>
        <v>03/18/1991</v>
      </c>
      <c r="J30" s="92">
        <v>2</v>
      </c>
      <c r="K30" s="91"/>
      <c r="L30" s="90"/>
    </row>
    <row r="31" spans="1:12" hidden="1" x14ac:dyDescent="0.3">
      <c r="A31" s="96">
        <v>540022</v>
      </c>
      <c r="B31" s="97" t="s">
        <v>878</v>
      </c>
      <c r="C31" s="97" t="s">
        <v>876</v>
      </c>
      <c r="D31" s="97" t="s">
        <v>29</v>
      </c>
      <c r="E31" s="96">
        <v>3</v>
      </c>
      <c r="F31" s="99" t="str">
        <f>"01/24/75"</f>
        <v>01/24/75</v>
      </c>
      <c r="G31" s="100">
        <v>33315</v>
      </c>
      <c r="H31" s="100">
        <v>41311</v>
      </c>
      <c r="I31" s="99" t="str">
        <f t="shared" si="0"/>
        <v>03/18/1991</v>
      </c>
      <c r="J31" s="98">
        <v>0</v>
      </c>
      <c r="K31" s="97"/>
      <c r="L31" s="96"/>
    </row>
    <row r="32" spans="1:12" hidden="1" x14ac:dyDescent="0.3">
      <c r="A32" s="90">
        <v>540023</v>
      </c>
      <c r="B32" s="91" t="s">
        <v>877</v>
      </c>
      <c r="C32" s="91" t="s">
        <v>876</v>
      </c>
      <c r="D32" s="91" t="s">
        <v>2</v>
      </c>
      <c r="E32" s="90">
        <v>3</v>
      </c>
      <c r="F32" s="95">
        <v>27383</v>
      </c>
      <c r="G32" s="94">
        <v>33315</v>
      </c>
      <c r="H32" s="94">
        <v>41311</v>
      </c>
      <c r="I32" s="93" t="str">
        <f t="shared" si="0"/>
        <v>03/18/1991</v>
      </c>
      <c r="J32" s="92">
        <v>2</v>
      </c>
      <c r="K32" s="91"/>
      <c r="L32" s="90"/>
    </row>
    <row r="33" spans="1:12" hidden="1" x14ac:dyDescent="0.3">
      <c r="A33" s="96">
        <v>540024</v>
      </c>
      <c r="B33" s="97" t="s">
        <v>875</v>
      </c>
      <c r="C33" s="97" t="s">
        <v>873</v>
      </c>
      <c r="D33" s="97" t="s">
        <v>29</v>
      </c>
      <c r="E33" s="96">
        <v>6</v>
      </c>
      <c r="F33" s="101">
        <v>27341</v>
      </c>
      <c r="G33" s="100">
        <v>33315</v>
      </c>
      <c r="H33" s="100">
        <v>40820</v>
      </c>
      <c r="I33" s="99" t="str">
        <f t="shared" si="0"/>
        <v>03/18/1991</v>
      </c>
      <c r="J33" s="98">
        <v>2</v>
      </c>
      <c r="K33" s="97"/>
      <c r="L33" s="96"/>
    </row>
    <row r="34" spans="1:12" hidden="1" x14ac:dyDescent="0.3">
      <c r="A34" s="90">
        <v>540025</v>
      </c>
      <c r="B34" s="91" t="s">
        <v>874</v>
      </c>
      <c r="C34" s="91" t="s">
        <v>873</v>
      </c>
      <c r="D34" s="91" t="s">
        <v>2</v>
      </c>
      <c r="E34" s="90">
        <v>6</v>
      </c>
      <c r="F34" s="93" t="str">
        <f>"03/29/74"</f>
        <v>03/29/74</v>
      </c>
      <c r="G34" s="94">
        <v>33315</v>
      </c>
      <c r="H34" s="94">
        <v>40820</v>
      </c>
      <c r="I34" s="93" t="str">
        <f t="shared" si="0"/>
        <v>03/18/1991</v>
      </c>
      <c r="J34" s="92">
        <v>2</v>
      </c>
      <c r="K34" s="91"/>
      <c r="L34" s="90"/>
    </row>
    <row r="35" spans="1:12" hidden="1" x14ac:dyDescent="0.3">
      <c r="A35" s="96">
        <v>540026</v>
      </c>
      <c r="B35" s="97" t="s">
        <v>872</v>
      </c>
      <c r="C35" s="97" t="s">
        <v>862</v>
      </c>
      <c r="D35" s="97" t="s">
        <v>29</v>
      </c>
      <c r="E35" s="96">
        <v>4</v>
      </c>
      <c r="F35" s="99" t="str">
        <f>"04/11/75"</f>
        <v>04/11/75</v>
      </c>
      <c r="G35" s="100">
        <v>32206</v>
      </c>
      <c r="H35" s="100">
        <v>40424</v>
      </c>
      <c r="I35" s="99" t="str">
        <f>"03/04/1988"</f>
        <v>03/04/1988</v>
      </c>
      <c r="J35" s="98">
        <v>2</v>
      </c>
      <c r="K35" s="97"/>
      <c r="L35" s="96"/>
    </row>
    <row r="36" spans="1:12" hidden="1" x14ac:dyDescent="0.3">
      <c r="A36" s="90">
        <v>540027</v>
      </c>
      <c r="B36" s="91" t="s">
        <v>871</v>
      </c>
      <c r="C36" s="91" t="s">
        <v>862</v>
      </c>
      <c r="D36" s="91" t="s">
        <v>2</v>
      </c>
      <c r="E36" s="90">
        <v>4</v>
      </c>
      <c r="F36" s="93" t="str">
        <f>"02/14/75"</f>
        <v>02/14/75</v>
      </c>
      <c r="G36" s="94">
        <v>29889</v>
      </c>
      <c r="H36" s="94">
        <v>40424</v>
      </c>
      <c r="I36" s="95">
        <v>29889</v>
      </c>
      <c r="J36" s="92">
        <v>2</v>
      </c>
      <c r="K36" s="91"/>
      <c r="L36" s="90"/>
    </row>
    <row r="37" spans="1:12" hidden="1" x14ac:dyDescent="0.3">
      <c r="A37" s="90">
        <v>540293</v>
      </c>
      <c r="B37" s="91" t="s">
        <v>870</v>
      </c>
      <c r="C37" s="91" t="s">
        <v>862</v>
      </c>
      <c r="D37" s="91" t="s">
        <v>2</v>
      </c>
      <c r="E37" s="90">
        <v>4</v>
      </c>
      <c r="F37" s="93" t="str">
        <f>"04/11/75"</f>
        <v>04/11/75</v>
      </c>
      <c r="G37" s="94">
        <v>32206</v>
      </c>
      <c r="H37" s="94">
        <v>40424</v>
      </c>
      <c r="I37" s="93" t="str">
        <f>"02/09/1904"</f>
        <v>02/09/1904</v>
      </c>
      <c r="J37" s="92">
        <v>2</v>
      </c>
      <c r="K37" s="91"/>
      <c r="L37" s="90"/>
    </row>
    <row r="38" spans="1:12" hidden="1" x14ac:dyDescent="0.3">
      <c r="A38" s="90">
        <v>540294</v>
      </c>
      <c r="B38" s="91" t="s">
        <v>869</v>
      </c>
      <c r="C38" s="91" t="s">
        <v>862</v>
      </c>
      <c r="D38" s="91" t="s">
        <v>2</v>
      </c>
      <c r="E38" s="90">
        <v>4</v>
      </c>
      <c r="F38" s="93"/>
      <c r="G38" s="94">
        <v>33499</v>
      </c>
      <c r="H38" s="94">
        <v>40424</v>
      </c>
      <c r="I38" s="93" t="str">
        <f>"09/18/1991"</f>
        <v>09/18/1991</v>
      </c>
      <c r="J38" s="92">
        <v>2</v>
      </c>
      <c r="K38" s="91"/>
      <c r="L38" s="90"/>
    </row>
    <row r="39" spans="1:12" hidden="1" x14ac:dyDescent="0.3">
      <c r="A39" s="90">
        <v>540028</v>
      </c>
      <c r="B39" s="91" t="s">
        <v>868</v>
      </c>
      <c r="C39" s="91" t="s">
        <v>862</v>
      </c>
      <c r="D39" s="91" t="s">
        <v>2</v>
      </c>
      <c r="E39" s="90">
        <v>4</v>
      </c>
      <c r="F39" s="95">
        <v>27383</v>
      </c>
      <c r="G39" s="94">
        <v>33240</v>
      </c>
      <c r="H39" s="94">
        <v>40424</v>
      </c>
      <c r="I39" s="93" t="str">
        <f>"01/02/1991"</f>
        <v>01/02/1991</v>
      </c>
      <c r="J39" s="92">
        <v>2</v>
      </c>
      <c r="K39" s="91"/>
      <c r="L39" s="90"/>
    </row>
    <row r="40" spans="1:12" hidden="1" x14ac:dyDescent="0.3">
      <c r="A40" s="90">
        <v>540029</v>
      </c>
      <c r="B40" s="91" t="s">
        <v>867</v>
      </c>
      <c r="C40" s="91" t="s">
        <v>862</v>
      </c>
      <c r="D40" s="91" t="s">
        <v>2</v>
      </c>
      <c r="E40" s="90">
        <v>4</v>
      </c>
      <c r="F40" s="93" t="str">
        <f>"02/27/76"</f>
        <v>02/27/76</v>
      </c>
      <c r="G40" s="94">
        <v>30103</v>
      </c>
      <c r="H40" s="94">
        <v>40424</v>
      </c>
      <c r="I40" s="93" t="str">
        <f>"06/01/1982"</f>
        <v>06/01/1982</v>
      </c>
      <c r="J40" s="92">
        <v>2</v>
      </c>
      <c r="K40" s="91"/>
      <c r="L40" s="90"/>
    </row>
    <row r="41" spans="1:12" hidden="1" x14ac:dyDescent="0.3">
      <c r="A41" s="90">
        <v>540280</v>
      </c>
      <c r="B41" s="91" t="s">
        <v>866</v>
      </c>
      <c r="C41" s="91" t="s">
        <v>862</v>
      </c>
      <c r="D41" s="91" t="s">
        <v>2</v>
      </c>
      <c r="E41" s="90">
        <v>4</v>
      </c>
      <c r="F41" s="93" t="str">
        <f>"09/13/74"</f>
        <v>09/13/74</v>
      </c>
      <c r="G41" s="94">
        <v>29077</v>
      </c>
      <c r="H41" s="94">
        <v>40424</v>
      </c>
      <c r="I41" s="93" t="str">
        <f>"08/10/1979"</f>
        <v>08/10/1979</v>
      </c>
      <c r="J41" s="92">
        <v>2</v>
      </c>
      <c r="K41" s="91"/>
      <c r="L41" s="90"/>
    </row>
    <row r="42" spans="1:12" hidden="1" x14ac:dyDescent="0.3">
      <c r="A42" s="90">
        <v>540031</v>
      </c>
      <c r="B42" s="91" t="s">
        <v>865</v>
      </c>
      <c r="C42" s="91" t="s">
        <v>862</v>
      </c>
      <c r="D42" s="91" t="s">
        <v>2</v>
      </c>
      <c r="E42" s="90">
        <v>4</v>
      </c>
      <c r="F42" s="93" t="str">
        <f>"06/30/74"</f>
        <v>06/30/74</v>
      </c>
      <c r="G42" s="94">
        <v>29238</v>
      </c>
      <c r="H42" s="94">
        <v>40424</v>
      </c>
      <c r="I42" s="93" t="str">
        <f>"01/18/1980"</f>
        <v>01/18/1980</v>
      </c>
      <c r="J42" s="92">
        <v>2</v>
      </c>
      <c r="K42" s="91"/>
      <c r="L42" s="90"/>
    </row>
    <row r="43" spans="1:12" hidden="1" x14ac:dyDescent="0.3">
      <c r="A43" s="90">
        <v>540032</v>
      </c>
      <c r="B43" s="91" t="s">
        <v>864</v>
      </c>
      <c r="C43" s="91" t="s">
        <v>862</v>
      </c>
      <c r="D43" s="91" t="s">
        <v>2</v>
      </c>
      <c r="E43" s="90">
        <v>4</v>
      </c>
      <c r="F43" s="95">
        <v>27383</v>
      </c>
      <c r="G43" s="94">
        <v>29077</v>
      </c>
      <c r="H43" s="94">
        <v>40424</v>
      </c>
      <c r="I43" s="93" t="str">
        <f>"08/10/1979"</f>
        <v>08/10/1979</v>
      </c>
      <c r="J43" s="92">
        <v>2</v>
      </c>
      <c r="K43" s="91"/>
      <c r="L43" s="90"/>
    </row>
    <row r="44" spans="1:12" hidden="1" x14ac:dyDescent="0.3">
      <c r="A44" s="90">
        <v>540033</v>
      </c>
      <c r="B44" s="91" t="s">
        <v>863</v>
      </c>
      <c r="C44" s="91" t="s">
        <v>862</v>
      </c>
      <c r="D44" s="91" t="s">
        <v>2</v>
      </c>
      <c r="E44" s="90">
        <v>4</v>
      </c>
      <c r="F44" s="93" t="str">
        <f>"05/17/74"</f>
        <v>05/17/74</v>
      </c>
      <c r="G44" s="94">
        <v>30056</v>
      </c>
      <c r="H44" s="94">
        <v>40424</v>
      </c>
      <c r="I44" s="93" t="str">
        <f>"04/15/1982"</f>
        <v>04/15/1982</v>
      </c>
      <c r="J44" s="92">
        <v>2</v>
      </c>
      <c r="K44" s="91"/>
      <c r="L44" s="90"/>
    </row>
    <row r="45" spans="1:12" hidden="1" x14ac:dyDescent="0.3">
      <c r="A45" s="96">
        <v>540035</v>
      </c>
      <c r="B45" s="97" t="s">
        <v>861</v>
      </c>
      <c r="C45" s="97" t="s">
        <v>858</v>
      </c>
      <c r="D45" s="97" t="s">
        <v>29</v>
      </c>
      <c r="E45" s="96">
        <v>7</v>
      </c>
      <c r="F45" s="99" t="str">
        <f>"01/03/75"</f>
        <v>01/03/75</v>
      </c>
      <c r="G45" s="100">
        <v>33344</v>
      </c>
      <c r="H45" s="100">
        <v>39980</v>
      </c>
      <c r="I45" s="99" t="str">
        <f>"04/16/1991"</f>
        <v>04/16/1991</v>
      </c>
      <c r="J45" s="98">
        <v>2</v>
      </c>
      <c r="K45" s="97"/>
      <c r="L45" s="96"/>
    </row>
    <row r="46" spans="1:12" hidden="1" x14ac:dyDescent="0.3">
      <c r="A46" s="90">
        <v>540036</v>
      </c>
      <c r="B46" s="91" t="s">
        <v>860</v>
      </c>
      <c r="C46" s="91" t="s">
        <v>858</v>
      </c>
      <c r="D46" s="91" t="s">
        <v>2</v>
      </c>
      <c r="E46" s="90">
        <v>7</v>
      </c>
      <c r="F46" s="93" t="str">
        <f>"04/05/74"</f>
        <v>04/05/74</v>
      </c>
      <c r="G46" s="94">
        <v>33344</v>
      </c>
      <c r="H46" s="94">
        <v>39980</v>
      </c>
      <c r="I46" s="93" t="str">
        <f>"04/16/1991"</f>
        <v>04/16/1991</v>
      </c>
      <c r="J46" s="92">
        <v>2</v>
      </c>
      <c r="K46" s="91"/>
      <c r="L46" s="90"/>
    </row>
    <row r="47" spans="1:12" hidden="1" x14ac:dyDescent="0.3">
      <c r="A47" s="90">
        <v>540037</v>
      </c>
      <c r="B47" s="91" t="s">
        <v>859</v>
      </c>
      <c r="C47" s="91" t="s">
        <v>858</v>
      </c>
      <c r="D47" s="91" t="s">
        <v>2</v>
      </c>
      <c r="E47" s="90">
        <v>7</v>
      </c>
      <c r="F47" s="93" t="str">
        <f>"08/09/74"</f>
        <v>08/09/74</v>
      </c>
      <c r="G47" s="94">
        <v>33344</v>
      </c>
      <c r="H47" s="94">
        <v>39980</v>
      </c>
      <c r="I47" s="93" t="str">
        <f>"04/16/1991"</f>
        <v>04/16/1991</v>
      </c>
      <c r="J47" s="92">
        <v>2</v>
      </c>
      <c r="K47" s="91"/>
      <c r="L47" s="90"/>
    </row>
    <row r="48" spans="1:12" hidden="1" x14ac:dyDescent="0.3">
      <c r="A48" s="96">
        <v>540038</v>
      </c>
      <c r="B48" s="97" t="s">
        <v>857</v>
      </c>
      <c r="C48" s="97" t="s">
        <v>853</v>
      </c>
      <c r="D48" s="97" t="s">
        <v>29</v>
      </c>
      <c r="E48" s="96">
        <v>8</v>
      </c>
      <c r="F48" s="99" t="str">
        <f>"01/10/75"</f>
        <v>01/10/75</v>
      </c>
      <c r="G48" s="100">
        <v>31990</v>
      </c>
      <c r="H48" s="100">
        <v>43497</v>
      </c>
      <c r="I48" s="99" t="str">
        <f>"08/01/1987"</f>
        <v>08/01/1987</v>
      </c>
      <c r="J48" s="98">
        <v>2</v>
      </c>
      <c r="K48" s="97"/>
      <c r="L48" s="96"/>
    </row>
    <row r="49" spans="1:12" hidden="1" x14ac:dyDescent="0.3">
      <c r="A49" s="90" t="s">
        <v>856</v>
      </c>
      <c r="B49" s="91" t="s">
        <v>855</v>
      </c>
      <c r="C49" s="91" t="s">
        <v>853</v>
      </c>
      <c r="D49" s="91" t="s">
        <v>2</v>
      </c>
      <c r="E49" s="90">
        <v>8</v>
      </c>
      <c r="F49" s="95">
        <v>27355</v>
      </c>
      <c r="G49" s="94">
        <v>29077</v>
      </c>
      <c r="H49" s="94">
        <v>43497</v>
      </c>
      <c r="I49" s="93" t="str">
        <f>"08/10/1979"</f>
        <v>08/10/1979</v>
      </c>
      <c r="J49" s="92">
        <v>2</v>
      </c>
      <c r="K49" s="91"/>
      <c r="L49" s="90"/>
    </row>
    <row r="50" spans="1:12" hidden="1" x14ac:dyDescent="0.3">
      <c r="A50" s="90">
        <v>540039</v>
      </c>
      <c r="B50" s="91" t="s">
        <v>854</v>
      </c>
      <c r="C50" s="91" t="s">
        <v>853</v>
      </c>
      <c r="D50" s="91" t="s">
        <v>2</v>
      </c>
      <c r="E50" s="90">
        <v>8</v>
      </c>
      <c r="F50" s="93" t="str">
        <f>"05/07/74"</f>
        <v>05/07/74</v>
      </c>
      <c r="G50" s="94">
        <v>32996</v>
      </c>
      <c r="H50" s="94">
        <v>40058</v>
      </c>
      <c r="I50" s="93" t="str">
        <f>"06/18/1987"</f>
        <v>06/18/1987</v>
      </c>
      <c r="J50" s="92">
        <v>2</v>
      </c>
      <c r="K50" s="91"/>
      <c r="L50" s="90"/>
    </row>
    <row r="51" spans="1:12" hidden="1" x14ac:dyDescent="0.3">
      <c r="A51" s="96">
        <v>540040</v>
      </c>
      <c r="B51" s="97" t="s">
        <v>852</v>
      </c>
      <c r="C51" s="97" t="s">
        <v>844</v>
      </c>
      <c r="D51" s="97" t="s">
        <v>29</v>
      </c>
      <c r="E51" s="96">
        <v>4</v>
      </c>
      <c r="F51" s="99" t="str">
        <f>"07/18/75"</f>
        <v>07/18/75</v>
      </c>
      <c r="G51" s="100">
        <v>32157</v>
      </c>
      <c r="H51" s="100">
        <v>41198</v>
      </c>
      <c r="I51" s="99" t="str">
        <f>"01/15/1988"</f>
        <v>01/15/1988</v>
      </c>
      <c r="J51" s="98">
        <v>2</v>
      </c>
      <c r="K51" s="97" t="s">
        <v>569</v>
      </c>
      <c r="L51" s="96" t="s">
        <v>568</v>
      </c>
    </row>
    <row r="52" spans="1:12" hidden="1" x14ac:dyDescent="0.3">
      <c r="A52" s="90">
        <v>540041</v>
      </c>
      <c r="B52" s="91" t="s">
        <v>705</v>
      </c>
      <c r="C52" s="91" t="s">
        <v>844</v>
      </c>
      <c r="D52" s="91" t="s">
        <v>2</v>
      </c>
      <c r="E52" s="90">
        <v>4</v>
      </c>
      <c r="F52" s="93" t="str">
        <f>"06/14/74"</f>
        <v>06/14/74</v>
      </c>
      <c r="G52" s="94">
        <v>33508</v>
      </c>
      <c r="H52" s="94">
        <v>37424</v>
      </c>
      <c r="I52" s="93" t="str">
        <f>"09/27/1991"</f>
        <v>09/27/1991</v>
      </c>
      <c r="J52" s="92">
        <v>2</v>
      </c>
      <c r="K52" s="91" t="s">
        <v>569</v>
      </c>
      <c r="L52" s="90" t="s">
        <v>568</v>
      </c>
    </row>
    <row r="53" spans="1:12" hidden="1" x14ac:dyDescent="0.3">
      <c r="A53" s="90">
        <v>540243</v>
      </c>
      <c r="B53" s="91" t="s">
        <v>851</v>
      </c>
      <c r="C53" s="91" t="s">
        <v>844</v>
      </c>
      <c r="D53" s="91" t="s">
        <v>2</v>
      </c>
      <c r="E53" s="90">
        <v>4</v>
      </c>
      <c r="F53" s="95">
        <v>27348</v>
      </c>
      <c r="G53" s="94">
        <v>30949</v>
      </c>
      <c r="H53" s="94">
        <v>41198</v>
      </c>
      <c r="I53" s="93" t="str">
        <f>"09/24/1984"</f>
        <v>09/24/1984</v>
      </c>
      <c r="J53" s="92">
        <v>2</v>
      </c>
      <c r="K53" s="91" t="s">
        <v>569</v>
      </c>
      <c r="L53" s="90" t="s">
        <v>568</v>
      </c>
    </row>
    <row r="54" spans="1:12" hidden="1" x14ac:dyDescent="0.3">
      <c r="A54" s="90">
        <v>540281</v>
      </c>
      <c r="B54" s="91" t="s">
        <v>850</v>
      </c>
      <c r="C54" s="91" t="s">
        <v>844</v>
      </c>
      <c r="D54" s="91" t="s">
        <v>2</v>
      </c>
      <c r="E54" s="90">
        <v>4</v>
      </c>
      <c r="F54" s="93" t="str">
        <f>"03/25/77"</f>
        <v>03/25/77</v>
      </c>
      <c r="G54" s="94">
        <v>41198</v>
      </c>
      <c r="H54" s="94">
        <v>41198</v>
      </c>
      <c r="I54" s="93" t="str">
        <f>"09/29/1978"</f>
        <v>09/29/1978</v>
      </c>
      <c r="J54" s="92">
        <v>2</v>
      </c>
      <c r="K54" s="91" t="s">
        <v>569</v>
      </c>
      <c r="L54" s="90" t="s">
        <v>568</v>
      </c>
    </row>
    <row r="55" spans="1:12" hidden="1" x14ac:dyDescent="0.3">
      <c r="A55" s="90">
        <v>540244</v>
      </c>
      <c r="B55" s="91" t="s">
        <v>849</v>
      </c>
      <c r="C55" s="91" t="s">
        <v>844</v>
      </c>
      <c r="D55" s="91" t="s">
        <v>2</v>
      </c>
      <c r="E55" s="90">
        <v>4</v>
      </c>
      <c r="F55" s="95">
        <v>27348</v>
      </c>
      <c r="G55" s="94">
        <v>29644</v>
      </c>
      <c r="H55" s="94">
        <v>41198</v>
      </c>
      <c r="I55" s="93" t="str">
        <f>"02/27/1981"</f>
        <v>02/27/1981</v>
      </c>
      <c r="J55" s="92">
        <v>2</v>
      </c>
      <c r="K55" s="91" t="s">
        <v>569</v>
      </c>
      <c r="L55" s="90" t="s">
        <v>568</v>
      </c>
    </row>
    <row r="56" spans="1:12" hidden="1" x14ac:dyDescent="0.3">
      <c r="A56" s="90">
        <v>540228</v>
      </c>
      <c r="B56" s="91" t="s">
        <v>848</v>
      </c>
      <c r="C56" s="91" t="s">
        <v>844</v>
      </c>
      <c r="D56" s="91" t="s">
        <v>2</v>
      </c>
      <c r="E56" s="90">
        <v>4</v>
      </c>
      <c r="F56" s="93" t="str">
        <f>"02/11/77"</f>
        <v>02/11/77</v>
      </c>
      <c r="G56" s="94">
        <v>32100</v>
      </c>
      <c r="H56" s="94">
        <v>41198</v>
      </c>
      <c r="I56" s="95">
        <v>32100</v>
      </c>
      <c r="J56" s="92">
        <v>2</v>
      </c>
      <c r="K56" s="91" t="s">
        <v>569</v>
      </c>
      <c r="L56" s="90" t="s">
        <v>568</v>
      </c>
    </row>
    <row r="57" spans="1:12" hidden="1" x14ac:dyDescent="0.3">
      <c r="A57" s="90">
        <v>540043</v>
      </c>
      <c r="B57" s="91" t="s">
        <v>847</v>
      </c>
      <c r="C57" s="91" t="s">
        <v>844</v>
      </c>
      <c r="D57" s="91" t="s">
        <v>2</v>
      </c>
      <c r="E57" s="90">
        <v>4</v>
      </c>
      <c r="F57" s="93" t="str">
        <f>"02/14/75"</f>
        <v>02/14/75</v>
      </c>
      <c r="G57" s="94">
        <v>33010</v>
      </c>
      <c r="H57" s="94">
        <v>41198</v>
      </c>
      <c r="I57" s="93" t="str">
        <f>"05/17/1990"</f>
        <v>05/17/1990</v>
      </c>
      <c r="J57" s="92">
        <v>2</v>
      </c>
      <c r="K57" s="91" t="s">
        <v>569</v>
      </c>
      <c r="L57" s="90" t="s">
        <v>568</v>
      </c>
    </row>
    <row r="58" spans="1:12" hidden="1" x14ac:dyDescent="0.3">
      <c r="A58" s="90">
        <v>540044</v>
      </c>
      <c r="B58" s="91" t="s">
        <v>846</v>
      </c>
      <c r="C58" s="91" t="s">
        <v>844</v>
      </c>
      <c r="D58" s="91" t="s">
        <v>2</v>
      </c>
      <c r="E58" s="90">
        <v>4</v>
      </c>
      <c r="F58" s="93" t="str">
        <f>"06/21/74"</f>
        <v>06/21/74</v>
      </c>
      <c r="G58" s="94">
        <v>30918</v>
      </c>
      <c r="H58" s="94">
        <v>41198</v>
      </c>
      <c r="I58" s="93" t="str">
        <f>"08/24/1984"</f>
        <v>08/24/1984</v>
      </c>
      <c r="J58" s="92">
        <v>2</v>
      </c>
      <c r="K58" s="91" t="s">
        <v>569</v>
      </c>
      <c r="L58" s="90" t="s">
        <v>568</v>
      </c>
    </row>
    <row r="59" spans="1:12" hidden="1" x14ac:dyDescent="0.3">
      <c r="A59" s="90">
        <v>540045</v>
      </c>
      <c r="B59" s="91" t="s">
        <v>845</v>
      </c>
      <c r="C59" s="91" t="s">
        <v>844</v>
      </c>
      <c r="D59" s="91" t="s">
        <v>2</v>
      </c>
      <c r="E59" s="90">
        <v>4</v>
      </c>
      <c r="F59" s="93" t="str">
        <f>"05/31/74"</f>
        <v>05/31/74</v>
      </c>
      <c r="G59" s="94">
        <v>28703</v>
      </c>
      <c r="H59" s="94">
        <v>41198</v>
      </c>
      <c r="I59" s="93" t="str">
        <f>"08/01/1978"</f>
        <v>08/01/1978</v>
      </c>
      <c r="J59" s="92">
        <v>2</v>
      </c>
      <c r="K59" s="91" t="s">
        <v>569</v>
      </c>
      <c r="L59" s="90" t="s">
        <v>568</v>
      </c>
    </row>
    <row r="60" spans="1:12" hidden="1" x14ac:dyDescent="0.3">
      <c r="A60" s="96">
        <v>540226</v>
      </c>
      <c r="B60" s="97" t="s">
        <v>843</v>
      </c>
      <c r="C60" s="97" t="s">
        <v>840</v>
      </c>
      <c r="D60" s="97" t="s">
        <v>29</v>
      </c>
      <c r="E60" s="96">
        <v>8</v>
      </c>
      <c r="F60" s="99" t="str">
        <f>"01/31/75"</f>
        <v>01/31/75</v>
      </c>
      <c r="G60" s="100">
        <v>31990</v>
      </c>
      <c r="H60" s="100">
        <v>37567</v>
      </c>
      <c r="I60" s="99" t="str">
        <f>"08/01/1987"</f>
        <v>08/01/1987</v>
      </c>
      <c r="J60" s="98">
        <v>2</v>
      </c>
      <c r="K60" s="97" t="s">
        <v>569</v>
      </c>
      <c r="L60" s="96"/>
    </row>
    <row r="61" spans="1:12" hidden="1" x14ac:dyDescent="0.3">
      <c r="A61" s="90">
        <v>540046</v>
      </c>
      <c r="B61" s="91" t="s">
        <v>842</v>
      </c>
      <c r="C61" s="91" t="s">
        <v>840</v>
      </c>
      <c r="D61" s="91" t="s">
        <v>2</v>
      </c>
      <c r="E61" s="90">
        <v>8</v>
      </c>
      <c r="F61" s="93" t="str">
        <f>"08/16/74"</f>
        <v>08/16/74</v>
      </c>
      <c r="G61" s="94">
        <v>32234</v>
      </c>
      <c r="H61" s="94">
        <v>37567</v>
      </c>
      <c r="I61" s="93" t="str">
        <f>"04/01/1988"</f>
        <v>04/01/1988</v>
      </c>
      <c r="J61" s="92">
        <v>2</v>
      </c>
      <c r="K61" s="91" t="s">
        <v>569</v>
      </c>
      <c r="L61" s="90"/>
    </row>
    <row r="62" spans="1:12" hidden="1" x14ac:dyDescent="0.3">
      <c r="A62" s="90">
        <v>540276</v>
      </c>
      <c r="B62" s="91" t="s">
        <v>841</v>
      </c>
      <c r="C62" s="91" t="s">
        <v>840</v>
      </c>
      <c r="D62" s="91" t="s">
        <v>2</v>
      </c>
      <c r="E62" s="90">
        <v>8</v>
      </c>
      <c r="F62" s="93" t="str">
        <f>"05/06/77"</f>
        <v>05/06/77</v>
      </c>
      <c r="G62" s="94">
        <v>32309</v>
      </c>
      <c r="H62" s="94">
        <v>37567</v>
      </c>
      <c r="I62" s="93" t="str">
        <f>"06/15/1988"</f>
        <v>06/15/1988</v>
      </c>
      <c r="J62" s="92">
        <v>2</v>
      </c>
      <c r="K62" s="91" t="s">
        <v>569</v>
      </c>
      <c r="L62" s="90"/>
    </row>
    <row r="63" spans="1:12" hidden="1" x14ac:dyDescent="0.3">
      <c r="A63" s="96">
        <v>540047</v>
      </c>
      <c r="B63" s="97" t="s">
        <v>839</v>
      </c>
      <c r="C63" s="97" t="s">
        <v>836</v>
      </c>
      <c r="D63" s="97" t="s">
        <v>29</v>
      </c>
      <c r="E63" s="96">
        <v>11</v>
      </c>
      <c r="F63" s="99" t="str">
        <f>"08/02/74"</f>
        <v>08/02/74</v>
      </c>
      <c r="G63" s="100">
        <v>30848</v>
      </c>
      <c r="H63" s="100">
        <v>40287</v>
      </c>
      <c r="I63" s="99" t="str">
        <f>"06/15/1984"</f>
        <v>06/15/1984</v>
      </c>
      <c r="J63" s="98">
        <v>2</v>
      </c>
      <c r="K63" s="97"/>
      <c r="L63" s="96"/>
    </row>
    <row r="64" spans="1:12" hidden="1" x14ac:dyDescent="0.3">
      <c r="A64" s="90">
        <v>540048</v>
      </c>
      <c r="B64" s="91" t="s">
        <v>838</v>
      </c>
      <c r="C64" s="91" t="s">
        <v>836</v>
      </c>
      <c r="D64" s="91" t="s">
        <v>2</v>
      </c>
      <c r="E64" s="90">
        <v>11</v>
      </c>
      <c r="F64" s="93" t="str">
        <f>"06/07/74"</f>
        <v>06/07/74</v>
      </c>
      <c r="G64" s="94">
        <v>30286</v>
      </c>
      <c r="H64" s="94">
        <v>40287</v>
      </c>
      <c r="I64" s="95">
        <v>30286</v>
      </c>
      <c r="J64" s="92">
        <v>2</v>
      </c>
      <c r="K64" s="91"/>
      <c r="L64" s="90"/>
    </row>
    <row r="65" spans="1:12" hidden="1" x14ac:dyDescent="0.3">
      <c r="A65" s="90">
        <v>540049</v>
      </c>
      <c r="B65" s="91" t="s">
        <v>837</v>
      </c>
      <c r="C65" s="91" t="s">
        <v>836</v>
      </c>
      <c r="D65" s="91" t="s">
        <v>2</v>
      </c>
      <c r="E65" s="90">
        <v>11</v>
      </c>
      <c r="F65" s="93" t="str">
        <f>"03/29/74"</f>
        <v>03/29/74</v>
      </c>
      <c r="G65" s="94">
        <v>29356</v>
      </c>
      <c r="H65" s="94">
        <v>40287</v>
      </c>
      <c r="I65" s="93" t="str">
        <f>"05/15/1980"</f>
        <v>05/15/1980</v>
      </c>
      <c r="J65" s="92">
        <v>2</v>
      </c>
      <c r="K65" s="91"/>
      <c r="L65" s="90"/>
    </row>
    <row r="66" spans="1:12" hidden="1" x14ac:dyDescent="0.3">
      <c r="A66" s="96">
        <v>540051</v>
      </c>
      <c r="B66" s="97" t="s">
        <v>835</v>
      </c>
      <c r="C66" s="97" t="s">
        <v>832</v>
      </c>
      <c r="D66" s="97" t="s">
        <v>29</v>
      </c>
      <c r="E66" s="96">
        <v>8</v>
      </c>
      <c r="F66" s="99" t="str">
        <f>"04/25/75"</f>
        <v>04/25/75</v>
      </c>
      <c r="G66" s="100">
        <v>31217</v>
      </c>
      <c r="H66" s="100">
        <v>40058</v>
      </c>
      <c r="I66" s="99" t="str">
        <f>"06/19/1985"</f>
        <v>06/19/1985</v>
      </c>
      <c r="J66" s="98">
        <v>2</v>
      </c>
      <c r="K66" s="97" t="s">
        <v>569</v>
      </c>
      <c r="L66" s="96" t="s">
        <v>568</v>
      </c>
    </row>
    <row r="67" spans="1:12" hidden="1" x14ac:dyDescent="0.3">
      <c r="A67" s="90">
        <v>540052</v>
      </c>
      <c r="B67" s="91" t="s">
        <v>834</v>
      </c>
      <c r="C67" s="91" t="s">
        <v>832</v>
      </c>
      <c r="D67" s="91" t="s">
        <v>2</v>
      </c>
      <c r="E67" s="90">
        <v>8</v>
      </c>
      <c r="F67" s="93" t="str">
        <f>"05/31/74"</f>
        <v>05/31/74</v>
      </c>
      <c r="G67" s="94">
        <v>33222</v>
      </c>
      <c r="H67" s="94">
        <v>40058</v>
      </c>
      <c r="I67" s="93" t="str">
        <f>"07/01/1987"</f>
        <v>07/01/1987</v>
      </c>
      <c r="J67" s="92">
        <v>2</v>
      </c>
      <c r="K67" s="91" t="s">
        <v>569</v>
      </c>
      <c r="L67" s="90" t="s">
        <v>568</v>
      </c>
    </row>
    <row r="68" spans="1:12" hidden="1" x14ac:dyDescent="0.3">
      <c r="A68" s="90">
        <v>540245</v>
      </c>
      <c r="B68" s="91" t="s">
        <v>833</v>
      </c>
      <c r="C68" s="91" t="s">
        <v>832</v>
      </c>
      <c r="D68" s="91" t="s">
        <v>2</v>
      </c>
      <c r="E68" s="90">
        <v>8</v>
      </c>
      <c r="F68" s="95">
        <v>27348</v>
      </c>
      <c r="G68" s="94">
        <v>31990</v>
      </c>
      <c r="H68" s="94">
        <v>40058</v>
      </c>
      <c r="I68" s="93" t="str">
        <f>"08/01/1987"</f>
        <v>08/01/1987</v>
      </c>
      <c r="J68" s="92">
        <v>2</v>
      </c>
      <c r="K68" s="91" t="s">
        <v>569</v>
      </c>
      <c r="L68" s="90" t="s">
        <v>568</v>
      </c>
    </row>
    <row r="69" spans="1:12" hidden="1" x14ac:dyDescent="0.3">
      <c r="A69" s="96">
        <v>540053</v>
      </c>
      <c r="B69" s="97" t="s">
        <v>831</v>
      </c>
      <c r="C69" s="97" t="s">
        <v>820</v>
      </c>
      <c r="D69" s="97" t="s">
        <v>29</v>
      </c>
      <c r="E69" s="96">
        <v>6</v>
      </c>
      <c r="F69" s="99" t="str">
        <f>"07/11/75"</f>
        <v>07/11/75</v>
      </c>
      <c r="G69" s="100">
        <v>32328</v>
      </c>
      <c r="H69" s="100">
        <v>41184</v>
      </c>
      <c r="I69" s="99" t="str">
        <f>"07/04/1988"</f>
        <v>07/04/1988</v>
      </c>
      <c r="J69" s="98">
        <v>2</v>
      </c>
      <c r="K69" s="97"/>
      <c r="L69" s="96"/>
    </row>
    <row r="70" spans="1:12" hidden="1" x14ac:dyDescent="0.3">
      <c r="A70" s="90">
        <v>540054</v>
      </c>
      <c r="B70" s="91" t="s">
        <v>830</v>
      </c>
      <c r="C70" s="91" t="s">
        <v>820</v>
      </c>
      <c r="D70" s="91" t="s">
        <v>2</v>
      </c>
      <c r="E70" s="90">
        <v>6</v>
      </c>
      <c r="F70" s="93" t="str">
        <f>"07/26/74"</f>
        <v>07/26/74</v>
      </c>
      <c r="G70" s="94">
        <v>29467</v>
      </c>
      <c r="H70" s="94">
        <v>41184</v>
      </c>
      <c r="I70" s="93" t="str">
        <f>"09/03/1980"</f>
        <v>09/03/1980</v>
      </c>
      <c r="J70" s="92">
        <v>2</v>
      </c>
      <c r="K70" s="91"/>
      <c r="L70" s="90"/>
    </row>
    <row r="71" spans="1:12" hidden="1" x14ac:dyDescent="0.3">
      <c r="A71" s="90">
        <v>540055</v>
      </c>
      <c r="B71" s="91" t="s">
        <v>829</v>
      </c>
      <c r="C71" s="91" t="s">
        <v>820</v>
      </c>
      <c r="D71" s="91" t="s">
        <v>2</v>
      </c>
      <c r="E71" s="90">
        <v>6</v>
      </c>
      <c r="F71" s="93" t="str">
        <f>"07/19/74"</f>
        <v>07/19/74</v>
      </c>
      <c r="G71" s="94">
        <v>32206</v>
      </c>
      <c r="H71" s="94">
        <v>41184</v>
      </c>
      <c r="I71" s="93" t="str">
        <f>"03/04/1988"</f>
        <v>03/04/1988</v>
      </c>
      <c r="J71" s="92">
        <v>2</v>
      </c>
      <c r="K71" s="91"/>
      <c r="L71" s="90"/>
    </row>
    <row r="72" spans="1:12" hidden="1" x14ac:dyDescent="0.3">
      <c r="A72" s="90">
        <v>540056</v>
      </c>
      <c r="B72" s="91" t="s">
        <v>828</v>
      </c>
      <c r="C72" s="91" t="s">
        <v>820</v>
      </c>
      <c r="D72" s="91" t="s">
        <v>2</v>
      </c>
      <c r="E72" s="90">
        <v>6</v>
      </c>
      <c r="F72" s="95">
        <v>27026</v>
      </c>
      <c r="G72" s="94">
        <v>28536</v>
      </c>
      <c r="H72" s="94">
        <v>41184</v>
      </c>
      <c r="I72" s="93" t="str">
        <f>"02/15/1978"</f>
        <v>02/15/1978</v>
      </c>
      <c r="J72" s="92">
        <v>2</v>
      </c>
      <c r="K72" s="91"/>
      <c r="L72" s="90"/>
    </row>
    <row r="73" spans="1:12" hidden="1" x14ac:dyDescent="0.3">
      <c r="A73" s="90">
        <v>540057</v>
      </c>
      <c r="B73" s="91" t="s">
        <v>827</v>
      </c>
      <c r="C73" s="91" t="s">
        <v>820</v>
      </c>
      <c r="D73" s="91" t="s">
        <v>2</v>
      </c>
      <c r="E73" s="90">
        <v>6</v>
      </c>
      <c r="F73" s="93" t="str">
        <f>"05/31/74"</f>
        <v>05/31/74</v>
      </c>
      <c r="G73" s="94">
        <v>32206</v>
      </c>
      <c r="H73" s="94">
        <v>41184</v>
      </c>
      <c r="I73" s="93" t="str">
        <f>"03/04/1988"</f>
        <v>03/04/1988</v>
      </c>
      <c r="J73" s="92">
        <v>2</v>
      </c>
      <c r="K73" s="91"/>
      <c r="L73" s="90"/>
    </row>
    <row r="74" spans="1:12" hidden="1" x14ac:dyDescent="0.3">
      <c r="A74" s="90">
        <v>540058</v>
      </c>
      <c r="B74" s="91" t="s">
        <v>826</v>
      </c>
      <c r="C74" s="91" t="s">
        <v>820</v>
      </c>
      <c r="D74" s="91" t="s">
        <v>2</v>
      </c>
      <c r="E74" s="90">
        <v>6</v>
      </c>
      <c r="F74" s="93" t="str">
        <f>"03/08/74"</f>
        <v>03/08/74</v>
      </c>
      <c r="G74" s="94">
        <v>32206</v>
      </c>
      <c r="H74" s="94">
        <v>41184</v>
      </c>
      <c r="I74" s="93" t="str">
        <f>"03/04/1988"</f>
        <v>03/04/1988</v>
      </c>
      <c r="J74" s="92">
        <v>2</v>
      </c>
      <c r="K74" s="91"/>
      <c r="L74" s="90"/>
    </row>
    <row r="75" spans="1:12" hidden="1" x14ac:dyDescent="0.3">
      <c r="A75" s="90">
        <v>540059</v>
      </c>
      <c r="B75" s="91" t="s">
        <v>825</v>
      </c>
      <c r="C75" s="91" t="s">
        <v>820</v>
      </c>
      <c r="D75" s="91" t="s">
        <v>2</v>
      </c>
      <c r="E75" s="90">
        <v>6</v>
      </c>
      <c r="F75" s="93" t="str">
        <f>"03/15/74"</f>
        <v>03/15/74</v>
      </c>
      <c r="G75" s="94">
        <v>29481</v>
      </c>
      <c r="H75" s="94">
        <v>41184</v>
      </c>
      <c r="I75" s="93" t="str">
        <f>"09/17/1980"</f>
        <v>09/17/1980</v>
      </c>
      <c r="J75" s="92">
        <v>2</v>
      </c>
      <c r="K75" s="91"/>
      <c r="L75" s="90"/>
    </row>
    <row r="76" spans="1:12" hidden="1" x14ac:dyDescent="0.3">
      <c r="A76" s="90">
        <v>540242</v>
      </c>
      <c r="B76" s="91" t="s">
        <v>824</v>
      </c>
      <c r="C76" s="91" t="s">
        <v>820</v>
      </c>
      <c r="D76" s="91" t="s">
        <v>2</v>
      </c>
      <c r="E76" s="90">
        <v>6</v>
      </c>
      <c r="F76" s="95">
        <v>27348</v>
      </c>
      <c r="G76" s="94">
        <v>31385</v>
      </c>
      <c r="H76" s="94">
        <v>41184</v>
      </c>
      <c r="I76" s="95">
        <v>31385</v>
      </c>
      <c r="J76" s="92">
        <v>2</v>
      </c>
      <c r="K76" s="91"/>
      <c r="L76" s="90"/>
    </row>
    <row r="77" spans="1:12" hidden="1" x14ac:dyDescent="0.3">
      <c r="A77" s="90">
        <v>540060</v>
      </c>
      <c r="B77" s="91" t="s">
        <v>823</v>
      </c>
      <c r="C77" s="91" t="s">
        <v>820</v>
      </c>
      <c r="D77" s="91" t="s">
        <v>2</v>
      </c>
      <c r="E77" s="90">
        <v>6</v>
      </c>
      <c r="F77" s="93" t="str">
        <f>"04/05/74"</f>
        <v>04/05/74</v>
      </c>
      <c r="G77" s="94">
        <v>32218</v>
      </c>
      <c r="H77" s="94">
        <v>41184</v>
      </c>
      <c r="I77" s="93" t="str">
        <f>"03/16/1988"</f>
        <v>03/16/1988</v>
      </c>
      <c r="J77" s="92">
        <v>2</v>
      </c>
      <c r="K77" s="91"/>
      <c r="L77" s="90"/>
    </row>
    <row r="78" spans="1:12" hidden="1" x14ac:dyDescent="0.3">
      <c r="A78" s="90">
        <v>540061</v>
      </c>
      <c r="B78" s="91" t="s">
        <v>822</v>
      </c>
      <c r="C78" s="91" t="s">
        <v>820</v>
      </c>
      <c r="D78" s="91" t="s">
        <v>2</v>
      </c>
      <c r="E78" s="90">
        <v>6</v>
      </c>
      <c r="F78" s="93" t="str">
        <f>"03/01/74"</f>
        <v>03/01/74</v>
      </c>
      <c r="G78" s="94">
        <v>29103</v>
      </c>
      <c r="H78" s="94">
        <v>41184</v>
      </c>
      <c r="I78" s="93" t="str">
        <f>"09/05/1979"</f>
        <v>09/05/1979</v>
      </c>
      <c r="J78" s="92">
        <v>2</v>
      </c>
      <c r="K78" s="91"/>
      <c r="L78" s="90"/>
    </row>
    <row r="79" spans="1:12" hidden="1" x14ac:dyDescent="0.3">
      <c r="A79" s="90">
        <v>540062</v>
      </c>
      <c r="B79" s="91" t="s">
        <v>821</v>
      </c>
      <c r="C79" s="91" t="s">
        <v>820</v>
      </c>
      <c r="D79" s="91" t="s">
        <v>2</v>
      </c>
      <c r="E79" s="90">
        <v>6</v>
      </c>
      <c r="F79" s="93" t="str">
        <f>"08/09/74"</f>
        <v>08/09/74</v>
      </c>
      <c r="G79" s="94">
        <v>32234</v>
      </c>
      <c r="H79" s="94">
        <v>41184</v>
      </c>
      <c r="I79" s="93" t="str">
        <f>"04/01/1988"</f>
        <v>04/01/1988</v>
      </c>
      <c r="J79" s="92">
        <v>2</v>
      </c>
      <c r="K79" s="91"/>
      <c r="L79" s="90"/>
    </row>
    <row r="80" spans="1:12" hidden="1" x14ac:dyDescent="0.3">
      <c r="A80" s="96">
        <v>540063</v>
      </c>
      <c r="B80" s="97" t="s">
        <v>819</v>
      </c>
      <c r="C80" s="97" t="s">
        <v>816</v>
      </c>
      <c r="D80" s="97" t="s">
        <v>29</v>
      </c>
      <c r="E80" s="96">
        <v>5</v>
      </c>
      <c r="F80" s="99" t="str">
        <f>"01/17/75"</f>
        <v>01/17/75</v>
      </c>
      <c r="G80" s="100">
        <v>31168</v>
      </c>
      <c r="H80" s="100">
        <v>38035</v>
      </c>
      <c r="I80" s="99" t="str">
        <f>"05/01/1985"</f>
        <v>05/01/1985</v>
      </c>
      <c r="J80" s="98">
        <v>2</v>
      </c>
      <c r="K80" s="97"/>
      <c r="L80" s="96"/>
    </row>
    <row r="81" spans="1:12" hidden="1" x14ac:dyDescent="0.3">
      <c r="A81" s="90">
        <v>540241</v>
      </c>
      <c r="B81" s="91" t="s">
        <v>818</v>
      </c>
      <c r="C81" s="91" t="s">
        <v>816</v>
      </c>
      <c r="D81" s="91" t="s">
        <v>2</v>
      </c>
      <c r="E81" s="90">
        <v>5</v>
      </c>
      <c r="F81" s="95">
        <v>27348</v>
      </c>
      <c r="G81" s="94">
        <v>33315</v>
      </c>
      <c r="H81" s="94">
        <v>38035</v>
      </c>
      <c r="I81" s="93" t="str">
        <f>"03/18/1991"</f>
        <v>03/18/1991</v>
      </c>
      <c r="J81" s="92">
        <v>2</v>
      </c>
      <c r="K81" s="91"/>
      <c r="L81" s="90"/>
    </row>
    <row r="82" spans="1:12" hidden="1" x14ac:dyDescent="0.3">
      <c r="A82" s="90">
        <v>540064</v>
      </c>
      <c r="B82" s="91" t="s">
        <v>817</v>
      </c>
      <c r="C82" s="91" t="s">
        <v>816</v>
      </c>
      <c r="D82" s="91" t="s">
        <v>2</v>
      </c>
      <c r="E82" s="90">
        <v>5</v>
      </c>
      <c r="F82" s="93" t="str">
        <f>"05/17/74"</f>
        <v>05/17/74</v>
      </c>
      <c r="G82" s="94">
        <v>28369</v>
      </c>
      <c r="H82" s="94">
        <v>38035</v>
      </c>
      <c r="I82" s="93" t="str">
        <f>"09/01/1977"</f>
        <v>09/01/1977</v>
      </c>
      <c r="J82" s="92">
        <v>2</v>
      </c>
      <c r="K82" s="91"/>
      <c r="L82" s="90"/>
    </row>
    <row r="83" spans="1:12" hidden="1" x14ac:dyDescent="0.3">
      <c r="A83" s="96">
        <v>540065</v>
      </c>
      <c r="B83" s="97" t="s">
        <v>815</v>
      </c>
      <c r="C83" s="97" t="s">
        <v>809</v>
      </c>
      <c r="D83" s="97" t="s">
        <v>29</v>
      </c>
      <c r="E83" s="96">
        <v>9</v>
      </c>
      <c r="F83" s="101">
        <v>27383</v>
      </c>
      <c r="G83" s="100">
        <v>29509</v>
      </c>
      <c r="H83" s="100">
        <v>40165</v>
      </c>
      <c r="I83" s="101">
        <v>29509</v>
      </c>
      <c r="J83" s="98">
        <v>3</v>
      </c>
      <c r="K83" s="97" t="s">
        <v>569</v>
      </c>
      <c r="L83" s="96" t="s">
        <v>592</v>
      </c>
    </row>
    <row r="84" spans="1:12" hidden="1" x14ac:dyDescent="0.3">
      <c r="A84" s="90">
        <v>540030</v>
      </c>
      <c r="B84" s="91" t="s">
        <v>814</v>
      </c>
      <c r="C84" s="91" t="s">
        <v>809</v>
      </c>
      <c r="D84" s="91" t="s">
        <v>2</v>
      </c>
      <c r="E84" s="90">
        <v>9</v>
      </c>
      <c r="F84" s="93"/>
      <c r="G84" s="94">
        <v>40165</v>
      </c>
      <c r="H84" s="94">
        <v>40165</v>
      </c>
      <c r="I84" s="93" t="str">
        <f>"07/07/1910"</f>
        <v>07/07/1910</v>
      </c>
      <c r="J84" s="92">
        <v>2</v>
      </c>
      <c r="K84" s="91" t="s">
        <v>569</v>
      </c>
      <c r="L84" s="90" t="s">
        <v>592</v>
      </c>
    </row>
    <row r="85" spans="1:12" hidden="1" x14ac:dyDescent="0.3">
      <c r="A85" s="90">
        <v>540066</v>
      </c>
      <c r="B85" s="91" t="s">
        <v>813</v>
      </c>
      <c r="C85" s="91" t="s">
        <v>809</v>
      </c>
      <c r="D85" s="91" t="s">
        <v>2</v>
      </c>
      <c r="E85" s="90">
        <v>9</v>
      </c>
      <c r="F85" s="93" t="str">
        <f>"02/01/74"</f>
        <v>02/01/74</v>
      </c>
      <c r="G85" s="94">
        <v>29193</v>
      </c>
      <c r="H85" s="94">
        <v>40165</v>
      </c>
      <c r="I85" s="95">
        <v>29193</v>
      </c>
      <c r="J85" s="92">
        <v>2</v>
      </c>
      <c r="K85" s="91" t="s">
        <v>569</v>
      </c>
      <c r="L85" s="90" t="s">
        <v>592</v>
      </c>
    </row>
    <row r="86" spans="1:12" hidden="1" x14ac:dyDescent="0.3">
      <c r="A86" s="90">
        <v>540067</v>
      </c>
      <c r="B86" s="91" t="s">
        <v>812</v>
      </c>
      <c r="C86" s="91" t="s">
        <v>809</v>
      </c>
      <c r="D86" s="91" t="s">
        <v>2</v>
      </c>
      <c r="E86" s="90">
        <v>9</v>
      </c>
      <c r="F86" s="93" t="str">
        <f>"02/27/76"</f>
        <v>02/27/76</v>
      </c>
      <c r="G86" s="94">
        <v>30918</v>
      </c>
      <c r="H86" s="94">
        <v>40165</v>
      </c>
      <c r="I86" s="93" t="str">
        <f>"08/24/1984"</f>
        <v>08/24/1984</v>
      </c>
      <c r="J86" s="92">
        <v>2</v>
      </c>
      <c r="K86" s="91" t="s">
        <v>569</v>
      </c>
      <c r="L86" s="90" t="s">
        <v>592</v>
      </c>
    </row>
    <row r="87" spans="1:12" hidden="1" x14ac:dyDescent="0.3">
      <c r="A87" s="90">
        <v>540068</v>
      </c>
      <c r="B87" s="91" t="s">
        <v>811</v>
      </c>
      <c r="C87" s="91" t="s">
        <v>809</v>
      </c>
      <c r="D87" s="91" t="s">
        <v>2</v>
      </c>
      <c r="E87" s="90">
        <v>9</v>
      </c>
      <c r="F87" s="93" t="str">
        <f>"05/03/74"</f>
        <v>05/03/74</v>
      </c>
      <c r="G87" s="94">
        <v>29021</v>
      </c>
      <c r="H87" s="94">
        <v>40165</v>
      </c>
      <c r="I87" s="93" t="str">
        <f>"06/15/1979"</f>
        <v>06/15/1979</v>
      </c>
      <c r="J87" s="92">
        <v>2</v>
      </c>
      <c r="K87" s="91" t="s">
        <v>569</v>
      </c>
      <c r="L87" s="90" t="s">
        <v>592</v>
      </c>
    </row>
    <row r="88" spans="1:12" hidden="1" x14ac:dyDescent="0.3">
      <c r="A88" s="90">
        <v>540069</v>
      </c>
      <c r="B88" s="91" t="s">
        <v>810</v>
      </c>
      <c r="C88" s="91" t="s">
        <v>809</v>
      </c>
      <c r="D88" s="91" t="s">
        <v>2</v>
      </c>
      <c r="E88" s="90">
        <v>9</v>
      </c>
      <c r="F88" s="93" t="str">
        <f>"02/01/74"</f>
        <v>02/01/74</v>
      </c>
      <c r="G88" s="94">
        <v>29298</v>
      </c>
      <c r="H88" s="94">
        <v>40165</v>
      </c>
      <c r="I88" s="93" t="str">
        <f>"03/18/1980"</f>
        <v>03/18/1980</v>
      </c>
      <c r="J88" s="92">
        <v>2</v>
      </c>
      <c r="K88" s="91" t="s">
        <v>569</v>
      </c>
      <c r="L88" s="90" t="s">
        <v>592</v>
      </c>
    </row>
    <row r="89" spans="1:12" hidden="1" x14ac:dyDescent="0.3">
      <c r="A89" s="96">
        <v>540070</v>
      </c>
      <c r="B89" s="97" t="s">
        <v>808</v>
      </c>
      <c r="C89" s="97" t="s">
        <v>793</v>
      </c>
      <c r="D89" s="97" t="s">
        <v>29</v>
      </c>
      <c r="E89" s="96">
        <v>3</v>
      </c>
      <c r="F89" s="99" t="str">
        <f>"04/25/75"</f>
        <v>04/25/75</v>
      </c>
      <c r="G89" s="100">
        <v>31124</v>
      </c>
      <c r="H89" s="100">
        <v>39484</v>
      </c>
      <c r="I89" s="99" t="str">
        <f>"03/18/1985"</f>
        <v>03/18/1985</v>
      </c>
      <c r="J89" s="98">
        <v>2</v>
      </c>
      <c r="K89" s="97" t="s">
        <v>595</v>
      </c>
      <c r="L89" s="96" t="s">
        <v>568</v>
      </c>
    </row>
    <row r="90" spans="1:12" hidden="1" x14ac:dyDescent="0.3">
      <c r="A90" s="90">
        <v>540071</v>
      </c>
      <c r="B90" s="91" t="s">
        <v>807</v>
      </c>
      <c r="C90" s="91" t="s">
        <v>793</v>
      </c>
      <c r="D90" s="91" t="s">
        <v>2</v>
      </c>
      <c r="E90" s="90">
        <v>3</v>
      </c>
      <c r="F90" s="95">
        <v>27698</v>
      </c>
      <c r="G90" s="94">
        <v>30056</v>
      </c>
      <c r="H90" s="94">
        <v>39484</v>
      </c>
      <c r="I90" s="93" t="str">
        <f>"04/15/1982"</f>
        <v>04/15/1982</v>
      </c>
      <c r="J90" s="92">
        <v>2</v>
      </c>
      <c r="K90" s="91"/>
      <c r="L90" s="90"/>
    </row>
    <row r="91" spans="1:12" hidden="1" x14ac:dyDescent="0.3">
      <c r="A91" s="90">
        <v>540072</v>
      </c>
      <c r="B91" s="91" t="s">
        <v>806</v>
      </c>
      <c r="C91" s="91" t="s">
        <v>793</v>
      </c>
      <c r="D91" s="91" t="s">
        <v>2</v>
      </c>
      <c r="E91" s="90">
        <v>3</v>
      </c>
      <c r="F91" s="93" t="str">
        <f>"03/08/74"</f>
        <v>03/08/74</v>
      </c>
      <c r="G91" s="94">
        <v>30103</v>
      </c>
      <c r="H91" s="94">
        <v>39484</v>
      </c>
      <c r="I91" s="93" t="str">
        <f>"06/01/1982"</f>
        <v>06/01/1982</v>
      </c>
      <c r="J91" s="92">
        <v>2</v>
      </c>
      <c r="K91" s="91"/>
      <c r="L91" s="90"/>
    </row>
    <row r="92" spans="1:12" hidden="1" x14ac:dyDescent="0.3">
      <c r="A92" s="90">
        <v>540073</v>
      </c>
      <c r="B92" s="91" t="s">
        <v>805</v>
      </c>
      <c r="C92" s="91" t="s">
        <v>793</v>
      </c>
      <c r="D92" s="91" t="s">
        <v>2</v>
      </c>
      <c r="E92" s="90">
        <v>3</v>
      </c>
      <c r="F92" s="93" t="str">
        <f>"05/10/74"</f>
        <v>05/10/74</v>
      </c>
      <c r="G92" s="94">
        <v>30482</v>
      </c>
      <c r="H92" s="94">
        <v>39484</v>
      </c>
      <c r="I92" s="93" t="str">
        <f>"06/15/1983"</f>
        <v>06/15/1983</v>
      </c>
      <c r="J92" s="92">
        <v>2</v>
      </c>
      <c r="K92" s="91"/>
      <c r="L92" s="90"/>
    </row>
    <row r="93" spans="1:12" hidden="1" x14ac:dyDescent="0.3">
      <c r="A93" s="90">
        <v>540074</v>
      </c>
      <c r="B93" s="91" t="s">
        <v>804</v>
      </c>
      <c r="C93" s="91" t="s">
        <v>793</v>
      </c>
      <c r="D93" s="91" t="s">
        <v>2</v>
      </c>
      <c r="E93" s="90">
        <v>3</v>
      </c>
      <c r="F93" s="93" t="str">
        <f>"03/15/74"</f>
        <v>03/15/74</v>
      </c>
      <c r="G93" s="94">
        <v>30103</v>
      </c>
      <c r="H93" s="94">
        <v>39484</v>
      </c>
      <c r="I93" s="93" t="str">
        <f>"06/01/1982"</f>
        <v>06/01/1982</v>
      </c>
      <c r="J93" s="92">
        <v>2</v>
      </c>
      <c r="K93" s="91"/>
      <c r="L93" s="90"/>
    </row>
    <row r="94" spans="1:12" hidden="1" x14ac:dyDescent="0.3">
      <c r="A94" s="90">
        <v>540075</v>
      </c>
      <c r="B94" s="91" t="s">
        <v>803</v>
      </c>
      <c r="C94" s="91" t="s">
        <v>793</v>
      </c>
      <c r="D94" s="91" t="s">
        <v>2</v>
      </c>
      <c r="E94" s="90">
        <v>3</v>
      </c>
      <c r="F94" s="93" t="str">
        <f>"06/11/76"</f>
        <v>06/11/76</v>
      </c>
      <c r="G94" s="94">
        <v>30879</v>
      </c>
      <c r="H94" s="94">
        <v>39484</v>
      </c>
      <c r="I94" s="93" t="str">
        <f>"07/16/1984"</f>
        <v>07/16/1984</v>
      </c>
      <c r="J94" s="92">
        <v>2</v>
      </c>
      <c r="K94" s="91" t="s">
        <v>593</v>
      </c>
      <c r="L94" s="90" t="s">
        <v>568</v>
      </c>
    </row>
    <row r="95" spans="1:12" hidden="1" x14ac:dyDescent="0.3">
      <c r="A95" s="90">
        <v>540076</v>
      </c>
      <c r="B95" s="91" t="s">
        <v>802</v>
      </c>
      <c r="C95" s="91" t="s">
        <v>793</v>
      </c>
      <c r="D95" s="91" t="s">
        <v>2</v>
      </c>
      <c r="E95" s="90">
        <v>3</v>
      </c>
      <c r="F95" s="93" t="str">
        <f>"03/01/74"</f>
        <v>03/01/74</v>
      </c>
      <c r="G95" s="94">
        <v>30103</v>
      </c>
      <c r="H95" s="94">
        <v>39484</v>
      </c>
      <c r="I95" s="93" t="str">
        <f>"06/01/1982"</f>
        <v>06/01/1982</v>
      </c>
      <c r="J95" s="92">
        <v>2</v>
      </c>
      <c r="K95" s="91"/>
      <c r="L95" s="90"/>
    </row>
    <row r="96" spans="1:12" hidden="1" x14ac:dyDescent="0.3">
      <c r="A96" s="90">
        <v>540077</v>
      </c>
      <c r="B96" s="91" t="s">
        <v>801</v>
      </c>
      <c r="C96" s="91" t="s">
        <v>793</v>
      </c>
      <c r="D96" s="91" t="s">
        <v>2</v>
      </c>
      <c r="E96" s="90">
        <v>3</v>
      </c>
      <c r="F96" s="93" t="str">
        <f>"03/22/74"</f>
        <v>03/22/74</v>
      </c>
      <c r="G96" s="94">
        <v>30103</v>
      </c>
      <c r="H96" s="94">
        <v>39484</v>
      </c>
      <c r="I96" s="93" t="str">
        <f>"06/01/1982"</f>
        <v>06/01/1982</v>
      </c>
      <c r="J96" s="92">
        <v>2</v>
      </c>
      <c r="K96" s="91"/>
      <c r="L96" s="90"/>
    </row>
    <row r="97" spans="1:12" hidden="1" x14ac:dyDescent="0.3">
      <c r="A97" s="90">
        <v>540078</v>
      </c>
      <c r="B97" s="91" t="s">
        <v>800</v>
      </c>
      <c r="C97" s="91" t="s">
        <v>793</v>
      </c>
      <c r="D97" s="91" t="s">
        <v>2</v>
      </c>
      <c r="E97" s="90">
        <v>3</v>
      </c>
      <c r="F97" s="93" t="str">
        <f>"03/08/74"</f>
        <v>03/08/74</v>
      </c>
      <c r="G97" s="94">
        <v>30117</v>
      </c>
      <c r="H97" s="94">
        <v>39484</v>
      </c>
      <c r="I97" s="93" t="str">
        <f>"06/15/1982"</f>
        <v>06/15/1982</v>
      </c>
      <c r="J97" s="92">
        <v>2</v>
      </c>
      <c r="K97" s="91"/>
      <c r="L97" s="90"/>
    </row>
    <row r="98" spans="1:12" hidden="1" x14ac:dyDescent="0.3">
      <c r="A98" s="90">
        <v>540279</v>
      </c>
      <c r="B98" s="91" t="s">
        <v>799</v>
      </c>
      <c r="C98" s="91" t="s">
        <v>793</v>
      </c>
      <c r="D98" s="91" t="s">
        <v>2</v>
      </c>
      <c r="E98" s="90">
        <v>3</v>
      </c>
      <c r="F98" s="93" t="str">
        <f>"01/17/75"</f>
        <v>01/17/75</v>
      </c>
      <c r="G98" s="94">
        <v>30868</v>
      </c>
      <c r="H98" s="94">
        <v>39484</v>
      </c>
      <c r="I98" s="93" t="str">
        <f>"07/05/1984"</f>
        <v>07/05/1984</v>
      </c>
      <c r="J98" s="92">
        <v>2</v>
      </c>
      <c r="K98" s="91"/>
      <c r="L98" s="90"/>
    </row>
    <row r="99" spans="1:12" hidden="1" x14ac:dyDescent="0.3">
      <c r="A99" s="90">
        <v>540079</v>
      </c>
      <c r="B99" s="91" t="s">
        <v>798</v>
      </c>
      <c r="C99" s="91" t="s">
        <v>793</v>
      </c>
      <c r="D99" s="91" t="s">
        <v>2</v>
      </c>
      <c r="E99" s="90">
        <v>3</v>
      </c>
      <c r="F99" s="93" t="str">
        <f>"04/12/74"</f>
        <v>04/12/74</v>
      </c>
      <c r="G99" s="94">
        <v>30056</v>
      </c>
      <c r="H99" s="94">
        <v>39484</v>
      </c>
      <c r="I99" s="93" t="str">
        <f>"04/15/1982"</f>
        <v>04/15/1982</v>
      </c>
      <c r="J99" s="92">
        <v>2</v>
      </c>
      <c r="K99" s="91"/>
      <c r="L99" s="90"/>
    </row>
    <row r="100" spans="1:12" hidden="1" x14ac:dyDescent="0.3">
      <c r="A100" s="90">
        <v>540029</v>
      </c>
      <c r="B100" s="91" t="s">
        <v>797</v>
      </c>
      <c r="C100" s="91" t="s">
        <v>793</v>
      </c>
      <c r="D100" s="91" t="s">
        <v>2</v>
      </c>
      <c r="E100" s="90">
        <v>3</v>
      </c>
      <c r="F100" s="93" t="str">
        <f>"02/27/76"</f>
        <v>02/27/76</v>
      </c>
      <c r="G100" s="94">
        <v>30103</v>
      </c>
      <c r="H100" s="94">
        <v>40424</v>
      </c>
      <c r="I100" s="93" t="str">
        <f>"06/01/1982"</f>
        <v>06/01/1982</v>
      </c>
      <c r="J100" s="92">
        <v>2</v>
      </c>
      <c r="K100" s="91"/>
      <c r="L100" s="90"/>
    </row>
    <row r="101" spans="1:12" hidden="1" x14ac:dyDescent="0.3">
      <c r="A101" s="90">
        <v>540082</v>
      </c>
      <c r="B101" s="91" t="s">
        <v>796</v>
      </c>
      <c r="C101" s="91" t="s">
        <v>793</v>
      </c>
      <c r="D101" s="91" t="s">
        <v>2</v>
      </c>
      <c r="E101" s="90">
        <v>3</v>
      </c>
      <c r="F101" s="93" t="str">
        <f>"03/08/74"</f>
        <v>03/08/74</v>
      </c>
      <c r="G101" s="94">
        <v>30803</v>
      </c>
      <c r="H101" s="94">
        <v>39484</v>
      </c>
      <c r="I101" s="93" t="str">
        <f>"05/01/1984"</f>
        <v>05/01/1984</v>
      </c>
      <c r="J101" s="92">
        <v>2</v>
      </c>
      <c r="K101" s="91"/>
      <c r="L101" s="90"/>
    </row>
    <row r="102" spans="1:12" hidden="1" x14ac:dyDescent="0.3">
      <c r="A102" s="90">
        <v>540223</v>
      </c>
      <c r="B102" s="91" t="s">
        <v>795</v>
      </c>
      <c r="C102" s="91" t="s">
        <v>793</v>
      </c>
      <c r="D102" s="91" t="s">
        <v>2</v>
      </c>
      <c r="E102" s="90">
        <v>3</v>
      </c>
      <c r="F102" s="95">
        <v>27334</v>
      </c>
      <c r="G102" s="94">
        <v>30117</v>
      </c>
      <c r="H102" s="94">
        <v>39484</v>
      </c>
      <c r="I102" s="93" t="str">
        <f>"06/15/1982"</f>
        <v>06/15/1982</v>
      </c>
      <c r="J102" s="92">
        <v>2</v>
      </c>
      <c r="K102" s="91"/>
      <c r="L102" s="90"/>
    </row>
    <row r="103" spans="1:12" hidden="1" x14ac:dyDescent="0.3">
      <c r="A103" s="90">
        <v>540083</v>
      </c>
      <c r="B103" s="91" t="s">
        <v>794</v>
      </c>
      <c r="C103" s="91" t="s">
        <v>793</v>
      </c>
      <c r="D103" s="91" t="s">
        <v>2</v>
      </c>
      <c r="E103" s="90">
        <v>3</v>
      </c>
      <c r="F103" s="93" t="str">
        <f>"03/08/74"</f>
        <v>03/08/74</v>
      </c>
      <c r="G103" s="94">
        <v>30117</v>
      </c>
      <c r="H103" s="94">
        <v>39484</v>
      </c>
      <c r="I103" s="93" t="str">
        <f>"06/15/1982"</f>
        <v>06/15/1982</v>
      </c>
      <c r="J103" s="92">
        <v>2</v>
      </c>
      <c r="K103" s="91"/>
      <c r="L103" s="90"/>
    </row>
    <row r="104" spans="1:12" hidden="1" x14ac:dyDescent="0.3">
      <c r="A104" s="96">
        <v>540085</v>
      </c>
      <c r="B104" s="97" t="s">
        <v>792</v>
      </c>
      <c r="C104" s="97" t="s">
        <v>789</v>
      </c>
      <c r="D104" s="97" t="s">
        <v>29</v>
      </c>
      <c r="E104" s="96">
        <v>7</v>
      </c>
      <c r="F104" s="99" t="str">
        <f>"02/21/75"</f>
        <v>02/21/75</v>
      </c>
      <c r="G104" s="100">
        <v>31959</v>
      </c>
      <c r="H104" s="100">
        <v>40287</v>
      </c>
      <c r="I104" s="99" t="str">
        <f>"07/01/1987"</f>
        <v>07/01/1987</v>
      </c>
      <c r="J104" s="98">
        <v>2</v>
      </c>
      <c r="K104" s="97"/>
      <c r="L104" s="96"/>
    </row>
    <row r="105" spans="1:12" hidden="1" x14ac:dyDescent="0.3">
      <c r="A105" s="90">
        <v>540086</v>
      </c>
      <c r="B105" s="91" t="s">
        <v>791</v>
      </c>
      <c r="C105" s="91" t="s">
        <v>789</v>
      </c>
      <c r="D105" s="91" t="s">
        <v>2</v>
      </c>
      <c r="E105" s="90">
        <v>7</v>
      </c>
      <c r="F105" s="93" t="str">
        <f>"08/09/74"</f>
        <v>08/09/74</v>
      </c>
      <c r="G105" s="94">
        <v>30949</v>
      </c>
      <c r="H105" s="94">
        <v>40287</v>
      </c>
      <c r="I105" s="93" t="str">
        <f>"09/24/1984"</f>
        <v>09/24/1984</v>
      </c>
      <c r="J105" s="92">
        <v>2</v>
      </c>
      <c r="K105" s="91"/>
      <c r="L105" s="90"/>
    </row>
    <row r="106" spans="1:12" hidden="1" x14ac:dyDescent="0.3">
      <c r="A106" s="90">
        <v>540087</v>
      </c>
      <c r="B106" s="91" t="s">
        <v>790</v>
      </c>
      <c r="C106" s="91" t="s">
        <v>789</v>
      </c>
      <c r="D106" s="91" t="s">
        <v>2</v>
      </c>
      <c r="E106" s="90">
        <v>7</v>
      </c>
      <c r="F106" s="93" t="str">
        <f>"04/05/74"</f>
        <v>04/05/74</v>
      </c>
      <c r="G106" s="94">
        <v>30056</v>
      </c>
      <c r="H106" s="94">
        <v>40287</v>
      </c>
      <c r="I106" s="93" t="str">
        <f>"04/15/1982"</f>
        <v>04/15/1982</v>
      </c>
      <c r="J106" s="92">
        <v>2</v>
      </c>
      <c r="K106" s="91"/>
      <c r="L106" s="90"/>
    </row>
    <row r="107" spans="1:12" x14ac:dyDescent="0.3">
      <c r="A107" s="96">
        <v>540088</v>
      </c>
      <c r="B107" s="97" t="s">
        <v>788</v>
      </c>
      <c r="C107" s="97" t="s">
        <v>785</v>
      </c>
      <c r="D107" s="97" t="s">
        <v>29</v>
      </c>
      <c r="E107" s="96">
        <v>2</v>
      </c>
      <c r="F107" s="99" t="str">
        <f>"07/18/75"</f>
        <v>07/18/75</v>
      </c>
      <c r="G107" s="100">
        <v>32038</v>
      </c>
      <c r="H107" s="100">
        <v>41563</v>
      </c>
      <c r="I107" s="99" t="str">
        <f>"09/18/1987"</f>
        <v>09/18/1987</v>
      </c>
      <c r="J107" s="98">
        <v>2</v>
      </c>
      <c r="K107" s="97" t="s">
        <v>653</v>
      </c>
      <c r="L107" s="96" t="s">
        <v>568</v>
      </c>
    </row>
    <row r="108" spans="1:12" x14ac:dyDescent="0.3">
      <c r="A108" s="90">
        <v>540089</v>
      </c>
      <c r="B108" s="91" t="s">
        <v>787</v>
      </c>
      <c r="C108" s="91" t="s">
        <v>785</v>
      </c>
      <c r="D108" s="91" t="s">
        <v>2</v>
      </c>
      <c r="E108" s="90">
        <v>2</v>
      </c>
      <c r="F108" s="93" t="str">
        <f>"05/17/74"</f>
        <v>05/17/74</v>
      </c>
      <c r="G108" s="94">
        <v>32024</v>
      </c>
      <c r="H108" s="94">
        <v>41563</v>
      </c>
      <c r="I108" s="93" t="str">
        <f>"09/04/1987"</f>
        <v>09/04/1987</v>
      </c>
      <c r="J108" s="92">
        <v>2</v>
      </c>
      <c r="K108" s="91" t="s">
        <v>569</v>
      </c>
      <c r="L108" s="90" t="s">
        <v>568</v>
      </c>
    </row>
    <row r="109" spans="1:12" x14ac:dyDescent="0.3">
      <c r="A109" s="90">
        <v>540090</v>
      </c>
      <c r="B109" s="91" t="s">
        <v>786</v>
      </c>
      <c r="C109" s="91" t="s">
        <v>785</v>
      </c>
      <c r="D109" s="91" t="s">
        <v>2</v>
      </c>
      <c r="E109" s="90">
        <v>2</v>
      </c>
      <c r="F109" s="93" t="str">
        <f>"05/31/74"</f>
        <v>05/31/74</v>
      </c>
      <c r="G109" s="94">
        <v>32024</v>
      </c>
      <c r="H109" s="94">
        <v>41563</v>
      </c>
      <c r="I109" s="93" t="str">
        <f>"09/04/1987"</f>
        <v>09/04/1987</v>
      </c>
      <c r="J109" s="92">
        <v>2</v>
      </c>
      <c r="K109" s="91" t="s">
        <v>569</v>
      </c>
      <c r="L109" s="90" t="s">
        <v>568</v>
      </c>
    </row>
    <row r="110" spans="1:12" x14ac:dyDescent="0.3">
      <c r="A110" s="96">
        <v>545536</v>
      </c>
      <c r="B110" s="97" t="s">
        <v>784</v>
      </c>
      <c r="C110" s="97" t="s">
        <v>778</v>
      </c>
      <c r="D110" s="97" t="s">
        <v>29</v>
      </c>
      <c r="E110" s="96">
        <v>2</v>
      </c>
      <c r="F110" s="99"/>
      <c r="G110" s="109">
        <v>26396</v>
      </c>
      <c r="H110" s="100">
        <v>39484</v>
      </c>
      <c r="I110" s="99" t="str">
        <f>"04/07/1972"</f>
        <v>04/07/1972</v>
      </c>
      <c r="J110" s="98">
        <v>2</v>
      </c>
      <c r="K110" s="97" t="s">
        <v>653</v>
      </c>
      <c r="L110" s="96" t="s">
        <v>568</v>
      </c>
    </row>
    <row r="111" spans="1:12" x14ac:dyDescent="0.3">
      <c r="A111" s="90">
        <v>540092</v>
      </c>
      <c r="B111" s="91" t="s">
        <v>783</v>
      </c>
      <c r="C111" s="91" t="s">
        <v>778</v>
      </c>
      <c r="D111" s="91" t="s">
        <v>2</v>
      </c>
      <c r="E111" s="90">
        <v>2</v>
      </c>
      <c r="F111" s="93" t="str">
        <f>"02/09/71"</f>
        <v>02/09/71</v>
      </c>
      <c r="G111" s="107">
        <v>26172</v>
      </c>
      <c r="H111" s="94">
        <v>39484</v>
      </c>
      <c r="I111" s="93" t="str">
        <f>"08/27/1971"</f>
        <v>08/27/1971</v>
      </c>
      <c r="J111" s="92">
        <v>2</v>
      </c>
      <c r="K111" s="91" t="s">
        <v>569</v>
      </c>
      <c r="L111" s="90" t="s">
        <v>568</v>
      </c>
    </row>
    <row r="112" spans="1:12" x14ac:dyDescent="0.3">
      <c r="A112" s="90">
        <v>545535</v>
      </c>
      <c r="B112" s="91" t="s">
        <v>782</v>
      </c>
      <c r="C112" s="91" t="s">
        <v>778</v>
      </c>
      <c r="D112" s="91" t="s">
        <v>2</v>
      </c>
      <c r="E112" s="90">
        <v>2</v>
      </c>
      <c r="F112" s="93" t="str">
        <f>"02/09/71"</f>
        <v>02/09/71</v>
      </c>
      <c r="G112" s="107">
        <v>26130</v>
      </c>
      <c r="H112" s="94">
        <v>39484</v>
      </c>
      <c r="I112" s="93" t="str">
        <f>"07/16/1971"</f>
        <v>07/16/1971</v>
      </c>
      <c r="J112" s="92">
        <v>2</v>
      </c>
      <c r="K112" s="91" t="s">
        <v>569</v>
      </c>
      <c r="L112" s="90" t="s">
        <v>568</v>
      </c>
    </row>
    <row r="113" spans="1:12" x14ac:dyDescent="0.3">
      <c r="A113" s="90">
        <v>545537</v>
      </c>
      <c r="B113" s="91" t="s">
        <v>781</v>
      </c>
      <c r="C113" s="91" t="s">
        <v>778</v>
      </c>
      <c r="D113" s="91" t="s">
        <v>2</v>
      </c>
      <c r="E113" s="90">
        <v>2</v>
      </c>
      <c r="F113" s="93" t="str">
        <f>"09/15/71"</f>
        <v>09/15/71</v>
      </c>
      <c r="G113" s="107">
        <v>26186</v>
      </c>
      <c r="H113" s="94">
        <v>39484</v>
      </c>
      <c r="I113" s="93" t="str">
        <f>"09/10/1971"</f>
        <v>09/10/1971</v>
      </c>
      <c r="J113" s="92">
        <v>2</v>
      </c>
      <c r="K113" s="91" t="s">
        <v>569</v>
      </c>
      <c r="L113" s="90" t="s">
        <v>568</v>
      </c>
    </row>
    <row r="114" spans="1:12" x14ac:dyDescent="0.3">
      <c r="A114" s="90">
        <v>540095</v>
      </c>
      <c r="B114" s="91" t="s">
        <v>780</v>
      </c>
      <c r="C114" s="91" t="s">
        <v>778</v>
      </c>
      <c r="D114" s="91" t="s">
        <v>2</v>
      </c>
      <c r="E114" s="90">
        <v>2</v>
      </c>
      <c r="F114" s="93" t="str">
        <f>"08/17/71"</f>
        <v>08/17/71</v>
      </c>
      <c r="G114" s="107">
        <v>26158</v>
      </c>
      <c r="H114" s="94">
        <v>39484</v>
      </c>
      <c r="I114" s="93" t="str">
        <f>"08/13/1971"</f>
        <v>08/13/1971</v>
      </c>
      <c r="J114" s="92">
        <v>2</v>
      </c>
      <c r="K114" s="91" t="s">
        <v>569</v>
      </c>
      <c r="L114" s="90" t="s">
        <v>568</v>
      </c>
    </row>
    <row r="115" spans="1:12" x14ac:dyDescent="0.3">
      <c r="A115" s="90">
        <v>545539</v>
      </c>
      <c r="B115" s="91" t="s">
        <v>779</v>
      </c>
      <c r="C115" s="91" t="s">
        <v>778</v>
      </c>
      <c r="D115" s="91" t="s">
        <v>2</v>
      </c>
      <c r="E115" s="90">
        <v>2</v>
      </c>
      <c r="F115" s="93" t="str">
        <f>"06/03/72"</f>
        <v>06/03/72</v>
      </c>
      <c r="G115" s="107">
        <v>26452</v>
      </c>
      <c r="H115" s="94">
        <v>39484</v>
      </c>
      <c r="I115" s="93" t="str">
        <f>"06/02/1972"</f>
        <v>06/02/1972</v>
      </c>
      <c r="J115" s="92">
        <v>2</v>
      </c>
      <c r="K115" s="91" t="s">
        <v>569</v>
      </c>
      <c r="L115" s="90" t="s">
        <v>568</v>
      </c>
    </row>
    <row r="116" spans="1:12" hidden="1" x14ac:dyDescent="0.3">
      <c r="A116" s="110">
        <v>540097</v>
      </c>
      <c r="B116" s="97" t="s">
        <v>777</v>
      </c>
      <c r="C116" s="97" t="s">
        <v>765</v>
      </c>
      <c r="D116" s="97" t="s">
        <v>29</v>
      </c>
      <c r="E116" s="96">
        <v>6</v>
      </c>
      <c r="F116" s="99" t="str">
        <f>"08/30/74"</f>
        <v>08/30/74</v>
      </c>
      <c r="G116" s="100">
        <v>32328</v>
      </c>
      <c r="H116" s="100">
        <v>43560</v>
      </c>
      <c r="I116" s="99" t="str">
        <f>"07/04/1988"</f>
        <v>07/04/1988</v>
      </c>
      <c r="J116" s="98">
        <v>3</v>
      </c>
      <c r="K116" s="97"/>
      <c r="L116" s="96"/>
    </row>
    <row r="117" spans="1:12" hidden="1" x14ac:dyDescent="0.3">
      <c r="A117" s="90">
        <v>540098</v>
      </c>
      <c r="B117" s="91" t="s">
        <v>776</v>
      </c>
      <c r="C117" s="91" t="s">
        <v>765</v>
      </c>
      <c r="D117" s="91" t="s">
        <v>2</v>
      </c>
      <c r="E117" s="90">
        <v>6</v>
      </c>
      <c r="F117" s="93" t="str">
        <f>"03/10/78"</f>
        <v>03/10/78</v>
      </c>
      <c r="G117" s="94">
        <v>32218</v>
      </c>
      <c r="H117" s="94">
        <v>41079</v>
      </c>
      <c r="I117" s="93" t="str">
        <f>"03/16/1988"</f>
        <v>03/16/1988</v>
      </c>
      <c r="J117" s="92">
        <v>2</v>
      </c>
      <c r="K117" s="91"/>
      <c r="L117" s="90"/>
    </row>
    <row r="118" spans="1:12" hidden="1" x14ac:dyDescent="0.3">
      <c r="A118" s="90" t="s">
        <v>775</v>
      </c>
      <c r="B118" s="91" t="s">
        <v>774</v>
      </c>
      <c r="C118" s="91" t="s">
        <v>765</v>
      </c>
      <c r="D118" s="91" t="s">
        <v>2</v>
      </c>
      <c r="E118" s="90">
        <v>6</v>
      </c>
      <c r="F118" s="93" t="str">
        <f>"07/23/76"</f>
        <v>07/23/76</v>
      </c>
      <c r="G118" s="94">
        <v>31960</v>
      </c>
      <c r="H118" s="94">
        <v>43560</v>
      </c>
      <c r="I118" s="93" t="str">
        <f>"07/02/1987"</f>
        <v>07/02/1987</v>
      </c>
      <c r="J118" s="92">
        <v>2</v>
      </c>
      <c r="K118" s="91"/>
      <c r="L118" s="90"/>
    </row>
    <row r="119" spans="1:12" hidden="1" x14ac:dyDescent="0.3">
      <c r="A119" s="90">
        <v>540100</v>
      </c>
      <c r="B119" s="91" t="s">
        <v>773</v>
      </c>
      <c r="C119" s="91" t="s">
        <v>765</v>
      </c>
      <c r="D119" s="91" t="s">
        <v>2</v>
      </c>
      <c r="E119" s="90">
        <v>6</v>
      </c>
      <c r="F119" s="93" t="str">
        <f>"05/31/74"</f>
        <v>05/31/74</v>
      </c>
      <c r="G119" s="94">
        <v>32218</v>
      </c>
      <c r="H119" s="94">
        <v>41079</v>
      </c>
      <c r="I119" s="93" t="str">
        <f>"03/16/1988"</f>
        <v>03/16/1988</v>
      </c>
      <c r="J119" s="92">
        <v>2</v>
      </c>
      <c r="K119" s="91"/>
      <c r="L119" s="90"/>
    </row>
    <row r="120" spans="1:12" hidden="1" x14ac:dyDescent="0.3">
      <c r="A120" s="90">
        <v>540101</v>
      </c>
      <c r="B120" s="91" t="s">
        <v>772</v>
      </c>
      <c r="C120" s="91" t="s">
        <v>765</v>
      </c>
      <c r="D120" s="91" t="s">
        <v>2</v>
      </c>
      <c r="E120" s="90">
        <v>6</v>
      </c>
      <c r="F120" s="93" t="str">
        <f>"05/31/74"</f>
        <v>05/31/74</v>
      </c>
      <c r="G120" s="94">
        <v>32218</v>
      </c>
      <c r="H120" s="94">
        <v>41079</v>
      </c>
      <c r="I120" s="93" t="str">
        <f>"03/16/1988"</f>
        <v>03/16/1988</v>
      </c>
      <c r="J120" s="92">
        <v>2</v>
      </c>
      <c r="K120" s="91"/>
      <c r="L120" s="90"/>
    </row>
    <row r="121" spans="1:12" hidden="1" x14ac:dyDescent="0.3">
      <c r="A121" s="90">
        <v>540102</v>
      </c>
      <c r="B121" s="91" t="s">
        <v>771</v>
      </c>
      <c r="C121" s="91" t="s">
        <v>765</v>
      </c>
      <c r="D121" s="91" t="s">
        <v>2</v>
      </c>
      <c r="E121" s="90">
        <v>6</v>
      </c>
      <c r="F121" s="93" t="str">
        <f>"05/31/74"</f>
        <v>05/31/74</v>
      </c>
      <c r="G121" s="94">
        <v>32206</v>
      </c>
      <c r="H121" s="94">
        <v>41079</v>
      </c>
      <c r="I121" s="93" t="str">
        <f>"03/04/1988"</f>
        <v>03/04/1988</v>
      </c>
      <c r="J121" s="92">
        <v>2</v>
      </c>
      <c r="K121" s="91"/>
      <c r="L121" s="90"/>
    </row>
    <row r="122" spans="1:12" hidden="1" x14ac:dyDescent="0.3">
      <c r="A122" s="90">
        <v>540103</v>
      </c>
      <c r="B122" s="91" t="s">
        <v>770</v>
      </c>
      <c r="C122" s="91" t="s">
        <v>765</v>
      </c>
      <c r="D122" s="91" t="s">
        <v>2</v>
      </c>
      <c r="E122" s="90">
        <v>6</v>
      </c>
      <c r="F122" s="93" t="str">
        <f>"05/31/74"</f>
        <v>05/31/74</v>
      </c>
      <c r="G122" s="94">
        <v>31735</v>
      </c>
      <c r="H122" s="94">
        <v>41079</v>
      </c>
      <c r="I122" s="95">
        <v>31735</v>
      </c>
      <c r="J122" s="92">
        <v>2</v>
      </c>
      <c r="K122" s="91"/>
      <c r="L122" s="90"/>
    </row>
    <row r="123" spans="1:12" hidden="1" x14ac:dyDescent="0.3">
      <c r="A123" s="90">
        <v>540104</v>
      </c>
      <c r="B123" s="91" t="s">
        <v>769</v>
      </c>
      <c r="C123" s="91" t="s">
        <v>765</v>
      </c>
      <c r="D123" s="91" t="s">
        <v>2</v>
      </c>
      <c r="E123" s="90">
        <v>6</v>
      </c>
      <c r="F123" s="93" t="str">
        <f>"05/31/74"</f>
        <v>05/31/74</v>
      </c>
      <c r="G123" s="94">
        <v>32218</v>
      </c>
      <c r="H123" s="94">
        <v>41079</v>
      </c>
      <c r="I123" s="93" t="str">
        <f>"03/16/1988"</f>
        <v>03/16/1988</v>
      </c>
      <c r="J123" s="92">
        <v>2</v>
      </c>
      <c r="K123" s="91"/>
      <c r="L123" s="90"/>
    </row>
    <row r="124" spans="1:12" hidden="1" x14ac:dyDescent="0.3">
      <c r="A124" s="90">
        <v>540292</v>
      </c>
      <c r="B124" s="91" t="s">
        <v>768</v>
      </c>
      <c r="C124" s="91" t="s">
        <v>765</v>
      </c>
      <c r="D124" s="91" t="s">
        <v>2</v>
      </c>
      <c r="E124" s="90">
        <v>6</v>
      </c>
      <c r="F124" s="93"/>
      <c r="G124" s="94">
        <v>41079</v>
      </c>
      <c r="H124" s="94">
        <v>41079</v>
      </c>
      <c r="I124" s="93" t="str">
        <f>"03/29/1904"</f>
        <v>03/29/1904</v>
      </c>
      <c r="J124" s="92">
        <v>2</v>
      </c>
      <c r="K124" s="91"/>
      <c r="L124" s="90"/>
    </row>
    <row r="125" spans="1:12" hidden="1" x14ac:dyDescent="0.3">
      <c r="A125" s="90">
        <v>540105</v>
      </c>
      <c r="B125" s="91" t="s">
        <v>767</v>
      </c>
      <c r="C125" s="91" t="s">
        <v>765</v>
      </c>
      <c r="D125" s="91" t="s">
        <v>2</v>
      </c>
      <c r="E125" s="90">
        <v>6</v>
      </c>
      <c r="F125" s="93" t="str">
        <f>"05/31/74"</f>
        <v>05/31/74</v>
      </c>
      <c r="G125" s="94">
        <v>32218</v>
      </c>
      <c r="H125" s="94">
        <v>41079</v>
      </c>
      <c r="I125" s="93" t="str">
        <f>"03/16/1988"</f>
        <v>03/16/1988</v>
      </c>
      <c r="J125" s="92">
        <v>2</v>
      </c>
      <c r="K125" s="91"/>
      <c r="L125" s="90"/>
    </row>
    <row r="126" spans="1:12" hidden="1" x14ac:dyDescent="0.3">
      <c r="A126" s="90">
        <v>540106</v>
      </c>
      <c r="B126" s="91" t="s">
        <v>766</v>
      </c>
      <c r="C126" s="91" t="s">
        <v>765</v>
      </c>
      <c r="D126" s="91" t="s">
        <v>2</v>
      </c>
      <c r="E126" s="90">
        <v>6</v>
      </c>
      <c r="F126" s="93" t="str">
        <f>"08/02/74"</f>
        <v>08/02/74</v>
      </c>
      <c r="G126" s="94">
        <v>32218</v>
      </c>
      <c r="H126" s="94">
        <v>41079</v>
      </c>
      <c r="I126" s="93" t="str">
        <f>"03/16/1988"</f>
        <v>03/16/1988</v>
      </c>
      <c r="J126" s="92">
        <v>2</v>
      </c>
      <c r="K126" s="91"/>
      <c r="L126" s="90"/>
    </row>
    <row r="127" spans="1:12" hidden="1" x14ac:dyDescent="0.3">
      <c r="A127" s="96">
        <v>540107</v>
      </c>
      <c r="B127" s="97" t="s">
        <v>764</v>
      </c>
      <c r="C127" s="97" t="s">
        <v>758</v>
      </c>
      <c r="D127" s="97" t="s">
        <v>29</v>
      </c>
      <c r="E127" s="96">
        <v>10</v>
      </c>
      <c r="F127" s="101">
        <v>27383</v>
      </c>
      <c r="G127" s="109">
        <v>27383</v>
      </c>
      <c r="H127" s="100">
        <v>40081</v>
      </c>
      <c r="I127" s="99" t="str">
        <f>"04/17/1984"</f>
        <v>04/17/1984</v>
      </c>
      <c r="J127" s="98">
        <v>2</v>
      </c>
      <c r="K127" s="97"/>
      <c r="L127" s="96"/>
    </row>
    <row r="128" spans="1:12" hidden="1" x14ac:dyDescent="0.3">
      <c r="A128" s="90">
        <v>540108</v>
      </c>
      <c r="B128" s="91" t="s">
        <v>763</v>
      </c>
      <c r="C128" s="91" t="s">
        <v>758</v>
      </c>
      <c r="D128" s="91" t="s">
        <v>2</v>
      </c>
      <c r="E128" s="90">
        <v>10</v>
      </c>
      <c r="F128" s="93" t="str">
        <f>"04/05/74"</f>
        <v>04/05/74</v>
      </c>
      <c r="G128" s="94">
        <v>29342</v>
      </c>
      <c r="H128" s="94">
        <v>40081</v>
      </c>
      <c r="I128" s="93" t="str">
        <f>"05/01/1980"</f>
        <v>05/01/1980</v>
      </c>
      <c r="J128" s="92">
        <v>2</v>
      </c>
      <c r="K128" s="91"/>
      <c r="L128" s="90"/>
    </row>
    <row r="129" spans="1:12" hidden="1" x14ac:dyDescent="0.3">
      <c r="A129" s="90">
        <v>540287</v>
      </c>
      <c r="B129" s="91" t="s">
        <v>762</v>
      </c>
      <c r="C129" s="91" t="s">
        <v>758</v>
      </c>
      <c r="D129" s="91" t="s">
        <v>2</v>
      </c>
      <c r="E129" s="90">
        <v>10</v>
      </c>
      <c r="F129" s="95">
        <v>27355</v>
      </c>
      <c r="G129" s="94">
        <v>40081</v>
      </c>
      <c r="H129" s="94">
        <v>40081</v>
      </c>
      <c r="I129" s="93" t="str">
        <f>"09/04/1986"</f>
        <v>09/04/1986</v>
      </c>
      <c r="J129" s="92">
        <v>2</v>
      </c>
      <c r="K129" s="91"/>
      <c r="L129" s="90"/>
    </row>
    <row r="130" spans="1:12" hidden="1" x14ac:dyDescent="0.3">
      <c r="A130" s="90">
        <v>540109</v>
      </c>
      <c r="B130" s="91" t="s">
        <v>761</v>
      </c>
      <c r="C130" s="91" t="s">
        <v>758</v>
      </c>
      <c r="D130" s="91" t="s">
        <v>2</v>
      </c>
      <c r="E130" s="90">
        <v>10</v>
      </c>
      <c r="F130" s="93" t="str">
        <f>"06/28/74"</f>
        <v>06/28/74</v>
      </c>
      <c r="G130" s="107">
        <v>27208</v>
      </c>
      <c r="H130" s="94">
        <v>40081</v>
      </c>
      <c r="I130" s="93" t="str">
        <f>"04/01/1980"</f>
        <v>04/01/1980</v>
      </c>
      <c r="J130" s="92">
        <v>2</v>
      </c>
      <c r="K130" s="91"/>
      <c r="L130" s="90"/>
    </row>
    <row r="131" spans="1:12" hidden="1" x14ac:dyDescent="0.3">
      <c r="A131" s="90">
        <v>540110</v>
      </c>
      <c r="B131" s="91" t="s">
        <v>760</v>
      </c>
      <c r="C131" s="91" t="s">
        <v>758</v>
      </c>
      <c r="D131" s="91" t="s">
        <v>2</v>
      </c>
      <c r="E131" s="90">
        <v>10</v>
      </c>
      <c r="F131" s="93" t="str">
        <f>"03/29/74"</f>
        <v>03/29/74</v>
      </c>
      <c r="G131" s="94">
        <v>40081</v>
      </c>
      <c r="H131" s="94">
        <v>40081</v>
      </c>
      <c r="I131" s="93" t="str">
        <f>"04/15/1980"</f>
        <v>04/15/1980</v>
      </c>
      <c r="J131" s="92">
        <v>2</v>
      </c>
      <c r="K131" s="91"/>
      <c r="L131" s="90"/>
    </row>
    <row r="132" spans="1:12" hidden="1" x14ac:dyDescent="0.3">
      <c r="A132" s="90">
        <v>540111</v>
      </c>
      <c r="B132" s="91" t="s">
        <v>759</v>
      </c>
      <c r="C132" s="91" t="s">
        <v>758</v>
      </c>
      <c r="D132" s="91" t="s">
        <v>2</v>
      </c>
      <c r="E132" s="90">
        <v>10</v>
      </c>
      <c r="F132" s="93" t="str">
        <f>"03/22/74"</f>
        <v>03/22/74</v>
      </c>
      <c r="G132" s="107">
        <v>27110</v>
      </c>
      <c r="H132" s="94">
        <v>40081</v>
      </c>
      <c r="I132" s="93" t="str">
        <f>"05/15/1980"</f>
        <v>05/15/1980</v>
      </c>
      <c r="J132" s="92">
        <v>1.5</v>
      </c>
      <c r="K132" s="91"/>
      <c r="L132" s="90"/>
    </row>
    <row r="133" spans="1:12" x14ac:dyDescent="0.3">
      <c r="A133" s="96">
        <v>540112</v>
      </c>
      <c r="B133" s="97" t="s">
        <v>757</v>
      </c>
      <c r="C133" s="97" t="s">
        <v>750</v>
      </c>
      <c r="D133" s="97" t="s">
        <v>29</v>
      </c>
      <c r="E133" s="96">
        <v>2</v>
      </c>
      <c r="F133" s="99" t="str">
        <f>"04/25/75"</f>
        <v>04/25/75</v>
      </c>
      <c r="G133" s="100">
        <v>29222</v>
      </c>
      <c r="H133" s="100">
        <v>41611</v>
      </c>
      <c r="I133" s="99" t="str">
        <f>"01/02/1980"</f>
        <v>01/02/1980</v>
      </c>
      <c r="J133" s="98">
        <v>2</v>
      </c>
      <c r="K133" s="97" t="s">
        <v>653</v>
      </c>
      <c r="L133" s="96" t="s">
        <v>568</v>
      </c>
    </row>
    <row r="134" spans="1:12" x14ac:dyDescent="0.3">
      <c r="A134" s="90">
        <v>540247</v>
      </c>
      <c r="B134" s="91" t="s">
        <v>756</v>
      </c>
      <c r="C134" s="91" t="s">
        <v>750</v>
      </c>
      <c r="D134" s="91" t="s">
        <v>2</v>
      </c>
      <c r="E134" s="90">
        <v>2</v>
      </c>
      <c r="F134" s="95">
        <v>27355</v>
      </c>
      <c r="G134" s="94">
        <v>28536</v>
      </c>
      <c r="H134" s="94">
        <v>41611</v>
      </c>
      <c r="I134" s="93" t="str">
        <f>"02/15/1978"</f>
        <v>02/15/1978</v>
      </c>
      <c r="J134" s="92">
        <v>2</v>
      </c>
      <c r="K134" s="91"/>
      <c r="L134" s="90"/>
    </row>
    <row r="135" spans="1:12" x14ac:dyDescent="0.3">
      <c r="A135" s="90">
        <v>540251</v>
      </c>
      <c r="B135" s="91" t="s">
        <v>755</v>
      </c>
      <c r="C135" s="91" t="s">
        <v>750</v>
      </c>
      <c r="D135" s="91" t="s">
        <v>2</v>
      </c>
      <c r="E135" s="90">
        <v>2</v>
      </c>
      <c r="F135" s="95">
        <v>27390</v>
      </c>
      <c r="G135" s="94">
        <v>28625</v>
      </c>
      <c r="H135" s="94">
        <v>41611</v>
      </c>
      <c r="I135" s="93" t="str">
        <f>"05/15/1978"</f>
        <v>05/15/1978</v>
      </c>
      <c r="J135" s="92">
        <v>2</v>
      </c>
      <c r="K135" s="91" t="s">
        <v>653</v>
      </c>
      <c r="L135" s="90" t="s">
        <v>568</v>
      </c>
    </row>
    <row r="136" spans="1:12" x14ac:dyDescent="0.3">
      <c r="A136" s="90">
        <v>540113</v>
      </c>
      <c r="B136" s="91" t="s">
        <v>754</v>
      </c>
      <c r="C136" s="91" t="s">
        <v>750</v>
      </c>
      <c r="D136" s="91" t="s">
        <v>2</v>
      </c>
      <c r="E136" s="90">
        <v>2</v>
      </c>
      <c r="F136" s="93" t="str">
        <f>"09/06/74"</f>
        <v>09/06/74</v>
      </c>
      <c r="G136" s="94">
        <v>28717</v>
      </c>
      <c r="H136" s="94">
        <v>41611</v>
      </c>
      <c r="I136" s="93" t="str">
        <f>"08/15/1978"</f>
        <v>08/15/1978</v>
      </c>
      <c r="J136" s="92">
        <v>2</v>
      </c>
      <c r="K136" s="91"/>
      <c r="L136" s="90"/>
    </row>
    <row r="137" spans="1:12" x14ac:dyDescent="0.3">
      <c r="A137" s="90">
        <v>540248</v>
      </c>
      <c r="B137" s="91" t="s">
        <v>753</v>
      </c>
      <c r="C137" s="91" t="s">
        <v>750</v>
      </c>
      <c r="D137" s="91" t="s">
        <v>2</v>
      </c>
      <c r="E137" s="90">
        <v>2</v>
      </c>
      <c r="F137" s="95">
        <v>27348</v>
      </c>
      <c r="G137" s="94">
        <v>28536</v>
      </c>
      <c r="H137" s="94">
        <v>41611</v>
      </c>
      <c r="I137" s="93" t="str">
        <f>"02/15/1978"</f>
        <v>02/15/1978</v>
      </c>
      <c r="J137" s="92">
        <v>2</v>
      </c>
      <c r="K137" s="91"/>
      <c r="L137" s="90"/>
    </row>
    <row r="138" spans="1:12" x14ac:dyDescent="0.3">
      <c r="A138" s="90">
        <v>540249</v>
      </c>
      <c r="B138" s="91" t="s">
        <v>752</v>
      </c>
      <c r="C138" s="91" t="s">
        <v>750</v>
      </c>
      <c r="D138" s="91" t="s">
        <v>2</v>
      </c>
      <c r="E138" s="90">
        <v>2</v>
      </c>
      <c r="F138" s="95">
        <v>27348</v>
      </c>
      <c r="G138" s="94">
        <v>28674</v>
      </c>
      <c r="H138" s="94">
        <v>41611</v>
      </c>
      <c r="I138" s="93" t="str">
        <f>"07/03/1978"</f>
        <v>07/03/1978</v>
      </c>
      <c r="J138" s="92">
        <v>2</v>
      </c>
      <c r="K138" s="91"/>
      <c r="L138" s="90"/>
    </row>
    <row r="139" spans="1:12" x14ac:dyDescent="0.3">
      <c r="A139" s="90">
        <v>540250</v>
      </c>
      <c r="B139" s="91" t="s">
        <v>751</v>
      </c>
      <c r="C139" s="91" t="s">
        <v>750</v>
      </c>
      <c r="D139" s="91" t="s">
        <v>2</v>
      </c>
      <c r="E139" s="90">
        <v>2</v>
      </c>
      <c r="F139" s="93" t="str">
        <f>"02/07/75"</f>
        <v>02/07/75</v>
      </c>
      <c r="G139" s="94">
        <v>28625</v>
      </c>
      <c r="H139" s="94">
        <v>41611</v>
      </c>
      <c r="I139" s="93" t="str">
        <f>"05/15/1978"</f>
        <v>05/15/1978</v>
      </c>
      <c r="J139" s="92">
        <v>2</v>
      </c>
      <c r="K139" s="91" t="s">
        <v>653</v>
      </c>
      <c r="L139" s="90" t="s">
        <v>568</v>
      </c>
    </row>
    <row r="140" spans="1:12" hidden="1" x14ac:dyDescent="0.3">
      <c r="A140" s="96">
        <v>540114</v>
      </c>
      <c r="B140" s="97" t="s">
        <v>749</v>
      </c>
      <c r="C140" s="97" t="s">
        <v>738</v>
      </c>
      <c r="D140" s="97" t="s">
        <v>29</v>
      </c>
      <c r="E140" s="96">
        <v>1</v>
      </c>
      <c r="F140" s="99" t="str">
        <f>"01/10/75"</f>
        <v>01/10/75</v>
      </c>
      <c r="G140" s="100">
        <v>31673</v>
      </c>
      <c r="H140" s="100">
        <v>38519</v>
      </c>
      <c r="I140" s="99" t="str">
        <f>"09/18/1986"</f>
        <v>09/18/1986</v>
      </c>
      <c r="J140" s="98">
        <v>1</v>
      </c>
      <c r="K140" s="97" t="s">
        <v>569</v>
      </c>
      <c r="L140" s="96" t="s">
        <v>568</v>
      </c>
    </row>
    <row r="141" spans="1:12" hidden="1" x14ac:dyDescent="0.3">
      <c r="A141" s="90">
        <v>540115</v>
      </c>
      <c r="B141" s="91" t="s">
        <v>748</v>
      </c>
      <c r="C141" s="91" t="s">
        <v>738</v>
      </c>
      <c r="D141" s="91" t="s">
        <v>2</v>
      </c>
      <c r="E141" s="90">
        <v>1</v>
      </c>
      <c r="F141" s="93" t="str">
        <f>"05/31/74"</f>
        <v>05/31/74</v>
      </c>
      <c r="G141" s="94">
        <v>31079</v>
      </c>
      <c r="H141" s="94">
        <v>38519</v>
      </c>
      <c r="I141" s="93" t="str">
        <f>"02/01/1985"</f>
        <v>02/01/1985</v>
      </c>
      <c r="J141" s="92">
        <v>1</v>
      </c>
      <c r="K141" s="91" t="s">
        <v>569</v>
      </c>
      <c r="L141" s="90" t="s">
        <v>568</v>
      </c>
    </row>
    <row r="142" spans="1:12" hidden="1" x14ac:dyDescent="0.3">
      <c r="A142" s="90">
        <v>540291</v>
      </c>
      <c r="B142" s="91" t="s">
        <v>747</v>
      </c>
      <c r="C142" s="91" t="s">
        <v>738</v>
      </c>
      <c r="D142" s="91" t="s">
        <v>2</v>
      </c>
      <c r="E142" s="90">
        <v>1</v>
      </c>
      <c r="F142" s="93"/>
      <c r="G142" s="94">
        <v>31673</v>
      </c>
      <c r="H142" s="94">
        <v>38519</v>
      </c>
      <c r="I142" s="93" t="str">
        <f>"07/08/1902"</f>
        <v>07/08/1902</v>
      </c>
      <c r="J142" s="92">
        <v>1</v>
      </c>
      <c r="K142" s="91" t="s">
        <v>569</v>
      </c>
      <c r="L142" s="90" t="s">
        <v>568</v>
      </c>
    </row>
    <row r="143" spans="1:12" hidden="1" x14ac:dyDescent="0.3">
      <c r="A143" s="90">
        <v>540116</v>
      </c>
      <c r="B143" s="91" t="s">
        <v>746</v>
      </c>
      <c r="C143" s="91" t="s">
        <v>738</v>
      </c>
      <c r="D143" s="91" t="s">
        <v>2</v>
      </c>
      <c r="E143" s="90">
        <v>1</v>
      </c>
      <c r="F143" s="93" t="str">
        <f>"09/06/74"</f>
        <v>09/06/74</v>
      </c>
      <c r="G143" s="94">
        <v>30953</v>
      </c>
      <c r="H143" s="94">
        <v>38519</v>
      </c>
      <c r="I143" s="93" t="str">
        <f>"09/28/1984"</f>
        <v>09/28/1984</v>
      </c>
      <c r="J143" s="92">
        <v>1</v>
      </c>
      <c r="K143" s="91" t="s">
        <v>569</v>
      </c>
      <c r="L143" s="90" t="s">
        <v>568</v>
      </c>
    </row>
    <row r="144" spans="1:12" hidden="1" x14ac:dyDescent="0.3">
      <c r="A144" s="90">
        <v>540117</v>
      </c>
      <c r="B144" s="91" t="s">
        <v>745</v>
      </c>
      <c r="C144" s="91" t="s">
        <v>738</v>
      </c>
      <c r="D144" s="91" t="s">
        <v>2</v>
      </c>
      <c r="E144" s="90">
        <v>1</v>
      </c>
      <c r="F144" s="93" t="str">
        <f>"07/19/74"</f>
        <v>07/19/74</v>
      </c>
      <c r="G144" s="94">
        <v>31079</v>
      </c>
      <c r="H144" s="94">
        <v>38519</v>
      </c>
      <c r="I144" s="93" t="str">
        <f>"02/01/1985"</f>
        <v>02/01/1985</v>
      </c>
      <c r="J144" s="92">
        <v>1</v>
      </c>
      <c r="K144" s="91" t="s">
        <v>569</v>
      </c>
      <c r="L144" s="90" t="s">
        <v>568</v>
      </c>
    </row>
    <row r="145" spans="1:12" hidden="1" x14ac:dyDescent="0.3">
      <c r="A145" s="90">
        <v>540118</v>
      </c>
      <c r="B145" s="91" t="s">
        <v>744</v>
      </c>
      <c r="C145" s="91" t="s">
        <v>738</v>
      </c>
      <c r="D145" s="91" t="s">
        <v>2</v>
      </c>
      <c r="E145" s="90">
        <v>1</v>
      </c>
      <c r="F145" s="93" t="str">
        <f>"05/24/74"</f>
        <v>05/24/74</v>
      </c>
      <c r="G145" s="94">
        <v>30953</v>
      </c>
      <c r="H145" s="94">
        <v>38519</v>
      </c>
      <c r="I145" s="93" t="str">
        <f>"09/28/1984"</f>
        <v>09/28/1984</v>
      </c>
      <c r="J145" s="92">
        <v>1</v>
      </c>
      <c r="K145" s="91" t="s">
        <v>569</v>
      </c>
      <c r="L145" s="90" t="s">
        <v>568</v>
      </c>
    </row>
    <row r="146" spans="1:12" hidden="1" x14ac:dyDescent="0.3">
      <c r="A146" s="90">
        <v>540119</v>
      </c>
      <c r="B146" s="91" t="s">
        <v>743</v>
      </c>
      <c r="C146" s="91" t="s">
        <v>738</v>
      </c>
      <c r="D146" s="91" t="s">
        <v>2</v>
      </c>
      <c r="E146" s="90">
        <v>1</v>
      </c>
      <c r="F146" s="93" t="str">
        <f>"05/17/74"</f>
        <v>05/17/74</v>
      </c>
      <c r="G146" s="94">
        <v>31079</v>
      </c>
      <c r="H146" s="94">
        <v>38519</v>
      </c>
      <c r="I146" s="93" t="str">
        <f>"02/01/1985"</f>
        <v>02/01/1985</v>
      </c>
      <c r="J146" s="92">
        <v>1</v>
      </c>
      <c r="K146" s="91" t="s">
        <v>569</v>
      </c>
      <c r="L146" s="90" t="s">
        <v>568</v>
      </c>
    </row>
    <row r="147" spans="1:12" hidden="1" x14ac:dyDescent="0.3">
      <c r="A147" s="90">
        <v>540120</v>
      </c>
      <c r="B147" s="91" t="s">
        <v>742</v>
      </c>
      <c r="C147" s="91" t="s">
        <v>738</v>
      </c>
      <c r="D147" s="91" t="s">
        <v>2</v>
      </c>
      <c r="E147" s="90">
        <v>1</v>
      </c>
      <c r="F147" s="93" t="str">
        <f>"05/17/74"</f>
        <v>05/17/74</v>
      </c>
      <c r="G147" s="94">
        <v>31079</v>
      </c>
      <c r="H147" s="94">
        <v>38519</v>
      </c>
      <c r="I147" s="93" t="str">
        <f>"02/01/1985"</f>
        <v>02/01/1985</v>
      </c>
      <c r="J147" s="92">
        <v>1</v>
      </c>
      <c r="K147" s="91" t="s">
        <v>569</v>
      </c>
      <c r="L147" s="90" t="s">
        <v>568</v>
      </c>
    </row>
    <row r="148" spans="1:12" hidden="1" x14ac:dyDescent="0.3">
      <c r="A148" s="90">
        <v>540121</v>
      </c>
      <c r="B148" s="91" t="s">
        <v>741</v>
      </c>
      <c r="C148" s="91" t="s">
        <v>738</v>
      </c>
      <c r="D148" s="91" t="s">
        <v>2</v>
      </c>
      <c r="E148" s="90">
        <v>1</v>
      </c>
      <c r="F148" s="93" t="str">
        <f>"05/24/74"</f>
        <v>05/24/74</v>
      </c>
      <c r="G148" s="94">
        <v>31140</v>
      </c>
      <c r="H148" s="94">
        <v>38519</v>
      </c>
      <c r="I148" s="93" t="str">
        <f>"04/03/1985"</f>
        <v>04/03/1985</v>
      </c>
      <c r="J148" s="92">
        <v>1</v>
      </c>
      <c r="K148" s="91" t="s">
        <v>569</v>
      </c>
      <c r="L148" s="90" t="s">
        <v>568</v>
      </c>
    </row>
    <row r="149" spans="1:12" hidden="1" x14ac:dyDescent="0.3">
      <c r="A149" s="90">
        <v>540122</v>
      </c>
      <c r="B149" s="91" t="s">
        <v>740</v>
      </c>
      <c r="C149" s="91" t="s">
        <v>738</v>
      </c>
      <c r="D149" s="91" t="s">
        <v>2</v>
      </c>
      <c r="E149" s="90">
        <v>1</v>
      </c>
      <c r="F149" s="93" t="str">
        <f>"05/31/74"</f>
        <v>05/31/74</v>
      </c>
      <c r="G149" s="94">
        <v>30953</v>
      </c>
      <c r="H149" s="94">
        <v>38519</v>
      </c>
      <c r="I149" s="93" t="str">
        <f>"09/28/1984"</f>
        <v>09/28/1984</v>
      </c>
      <c r="J149" s="92">
        <v>1</v>
      </c>
      <c r="K149" s="91" t="s">
        <v>569</v>
      </c>
      <c r="L149" s="90" t="s">
        <v>568</v>
      </c>
    </row>
    <row r="150" spans="1:12" hidden="1" x14ac:dyDescent="0.3">
      <c r="A150" s="90">
        <v>540123</v>
      </c>
      <c r="B150" s="91" t="s">
        <v>739</v>
      </c>
      <c r="C150" s="91" t="s">
        <v>738</v>
      </c>
      <c r="D150" s="91" t="s">
        <v>2</v>
      </c>
      <c r="E150" s="90">
        <v>1</v>
      </c>
      <c r="F150" s="93" t="str">
        <f>"05/31/74"</f>
        <v>05/31/74</v>
      </c>
      <c r="G150" s="94">
        <v>30560</v>
      </c>
      <c r="H150" s="94">
        <v>38519</v>
      </c>
      <c r="I150" s="93" t="str">
        <f>"09/01/1983"</f>
        <v>09/01/1983</v>
      </c>
      <c r="J150" s="92">
        <v>1</v>
      </c>
      <c r="K150" s="91" t="s">
        <v>569</v>
      </c>
      <c r="L150" s="90" t="s">
        <v>568</v>
      </c>
    </row>
    <row r="151" spans="1:12" hidden="1" x14ac:dyDescent="0.3">
      <c r="A151" s="96">
        <v>540124</v>
      </c>
      <c r="B151" s="97" t="s">
        <v>737</v>
      </c>
      <c r="C151" s="97" t="s">
        <v>729</v>
      </c>
      <c r="D151" s="97" t="s">
        <v>29</v>
      </c>
      <c r="E151" s="96">
        <v>1</v>
      </c>
      <c r="F151" s="101">
        <v>27376</v>
      </c>
      <c r="G151" s="100">
        <v>31079</v>
      </c>
      <c r="H151" s="100">
        <v>38413</v>
      </c>
      <c r="I151" s="99" t="str">
        <f>"02/01/1985"</f>
        <v>02/01/1985</v>
      </c>
      <c r="J151" s="98">
        <v>2</v>
      </c>
      <c r="K151" s="97" t="s">
        <v>569</v>
      </c>
      <c r="L151" s="96" t="s">
        <v>568</v>
      </c>
    </row>
    <row r="152" spans="1:12" hidden="1" x14ac:dyDescent="0.3">
      <c r="A152" s="90">
        <v>540172</v>
      </c>
      <c r="B152" s="91" t="s">
        <v>736</v>
      </c>
      <c r="C152" s="91" t="s">
        <v>729</v>
      </c>
      <c r="D152" s="91" t="s">
        <v>2</v>
      </c>
      <c r="E152" s="90">
        <v>1</v>
      </c>
      <c r="F152" s="93"/>
      <c r="G152" s="94">
        <v>38413</v>
      </c>
      <c r="H152" s="94">
        <v>38413</v>
      </c>
      <c r="I152" s="93" t="str">
        <f>"04/26/1913"</f>
        <v>04/26/1913</v>
      </c>
      <c r="J152" s="92">
        <v>2</v>
      </c>
      <c r="K152" s="91" t="s">
        <v>569</v>
      </c>
      <c r="L152" s="90" t="s">
        <v>568</v>
      </c>
    </row>
    <row r="153" spans="1:12" hidden="1" x14ac:dyDescent="0.3">
      <c r="A153" s="90">
        <v>540285</v>
      </c>
      <c r="B153" s="91" t="s">
        <v>735</v>
      </c>
      <c r="C153" s="91" t="s">
        <v>729</v>
      </c>
      <c r="D153" s="91" t="s">
        <v>2</v>
      </c>
      <c r="E153" s="90">
        <v>1</v>
      </c>
      <c r="F153" s="93"/>
      <c r="G153" s="94">
        <v>38413</v>
      </c>
      <c r="H153" s="94">
        <v>38413</v>
      </c>
      <c r="I153" s="93" t="str">
        <f>"05/26/1978"</f>
        <v>05/26/1978</v>
      </c>
      <c r="J153" s="92">
        <v>2</v>
      </c>
      <c r="K153" s="91" t="s">
        <v>569</v>
      </c>
      <c r="L153" s="90" t="s">
        <v>568</v>
      </c>
    </row>
    <row r="154" spans="1:12" hidden="1" x14ac:dyDescent="0.3">
      <c r="A154" s="90">
        <v>540125</v>
      </c>
      <c r="B154" s="91" t="s">
        <v>734</v>
      </c>
      <c r="C154" s="91" t="s">
        <v>729</v>
      </c>
      <c r="D154" s="91" t="s">
        <v>2</v>
      </c>
      <c r="E154" s="90">
        <v>1</v>
      </c>
      <c r="F154" s="93" t="str">
        <f>"05/24/74"</f>
        <v>05/24/74</v>
      </c>
      <c r="G154" s="94">
        <v>30651</v>
      </c>
      <c r="H154" s="94">
        <v>38413</v>
      </c>
      <c r="I154" s="95">
        <v>30651</v>
      </c>
      <c r="J154" s="92">
        <v>2</v>
      </c>
      <c r="K154" s="91" t="s">
        <v>569</v>
      </c>
      <c r="L154" s="90" t="s">
        <v>568</v>
      </c>
    </row>
    <row r="155" spans="1:12" hidden="1" x14ac:dyDescent="0.3">
      <c r="A155" s="102">
        <v>540126</v>
      </c>
      <c r="B155" s="103" t="s">
        <v>733</v>
      </c>
      <c r="C155" s="103" t="s">
        <v>729</v>
      </c>
      <c r="D155" s="103" t="s">
        <v>2</v>
      </c>
      <c r="E155" s="102">
        <v>1</v>
      </c>
      <c r="F155" s="105" t="str">
        <f>"07/30/76"</f>
        <v>07/30/76</v>
      </c>
      <c r="G155" s="106">
        <v>30665</v>
      </c>
      <c r="H155" s="106">
        <v>38413</v>
      </c>
      <c r="I155" s="108">
        <v>30665</v>
      </c>
      <c r="J155" s="104">
        <v>2</v>
      </c>
      <c r="K155" s="103" t="s">
        <v>732</v>
      </c>
      <c r="L155" s="102" t="s">
        <v>568</v>
      </c>
    </row>
    <row r="156" spans="1:12" hidden="1" x14ac:dyDescent="0.3">
      <c r="A156" s="90">
        <v>540127</v>
      </c>
      <c r="B156" s="91" t="s">
        <v>731</v>
      </c>
      <c r="C156" s="91" t="s">
        <v>729</v>
      </c>
      <c r="D156" s="91" t="s">
        <v>2</v>
      </c>
      <c r="E156" s="90">
        <v>1</v>
      </c>
      <c r="F156" s="95">
        <v>27327</v>
      </c>
      <c r="G156" s="94">
        <v>30665</v>
      </c>
      <c r="H156" s="94">
        <v>38413</v>
      </c>
      <c r="I156" s="95">
        <v>30665</v>
      </c>
      <c r="J156" s="92">
        <v>2</v>
      </c>
      <c r="K156" s="91" t="s">
        <v>569</v>
      </c>
      <c r="L156" s="90" t="s">
        <v>568</v>
      </c>
    </row>
    <row r="157" spans="1:12" hidden="1" x14ac:dyDescent="0.3">
      <c r="A157" s="90">
        <v>540128</v>
      </c>
      <c r="B157" s="91" t="s">
        <v>730</v>
      </c>
      <c r="C157" s="91" t="s">
        <v>729</v>
      </c>
      <c r="D157" s="91" t="s">
        <v>2</v>
      </c>
      <c r="E157" s="90">
        <v>1</v>
      </c>
      <c r="F157" s="93" t="str">
        <f>"07/19/74"</f>
        <v>07/19/74</v>
      </c>
      <c r="G157" s="94">
        <v>30713</v>
      </c>
      <c r="H157" s="94">
        <v>38413</v>
      </c>
      <c r="I157" s="93" t="str">
        <f>"02/01/1984"</f>
        <v>02/01/1984</v>
      </c>
      <c r="J157" s="92">
        <v>0</v>
      </c>
      <c r="K157" s="91" t="s">
        <v>569</v>
      </c>
      <c r="L157" s="90" t="s">
        <v>568</v>
      </c>
    </row>
    <row r="158" spans="1:12" hidden="1" x14ac:dyDescent="0.3">
      <c r="A158" s="96">
        <v>540129</v>
      </c>
      <c r="B158" s="97" t="s">
        <v>728</v>
      </c>
      <c r="C158" s="97" t="s">
        <v>724</v>
      </c>
      <c r="D158" s="97" t="s">
        <v>29</v>
      </c>
      <c r="E158" s="96">
        <v>8</v>
      </c>
      <c r="F158" s="99" t="str">
        <f>"01/31/75"</f>
        <v>01/31/75</v>
      </c>
      <c r="G158" s="100">
        <v>33508</v>
      </c>
      <c r="H158" s="100">
        <v>41352</v>
      </c>
      <c r="I158" s="99" t="str">
        <f>"09/27/1991"</f>
        <v>09/27/1991</v>
      </c>
      <c r="J158" s="98">
        <v>2</v>
      </c>
      <c r="K158" s="97"/>
      <c r="L158" s="96"/>
    </row>
    <row r="159" spans="1:12" hidden="1" x14ac:dyDescent="0.3">
      <c r="A159" s="90">
        <v>540130</v>
      </c>
      <c r="B159" s="91" t="s">
        <v>727</v>
      </c>
      <c r="C159" s="91" t="s">
        <v>724</v>
      </c>
      <c r="D159" s="91" t="s">
        <v>2</v>
      </c>
      <c r="E159" s="90">
        <v>8</v>
      </c>
      <c r="F159" s="93" t="str">
        <f>"06/28/74"</f>
        <v>06/28/74</v>
      </c>
      <c r="G159" s="94">
        <v>33508</v>
      </c>
      <c r="H159" s="94">
        <v>41352</v>
      </c>
      <c r="I159" s="93" t="str">
        <f>"09/27/1991"</f>
        <v>09/27/1991</v>
      </c>
      <c r="J159" s="92">
        <v>2</v>
      </c>
      <c r="K159" s="91"/>
      <c r="L159" s="90"/>
    </row>
    <row r="160" spans="1:12" hidden="1" x14ac:dyDescent="0.3">
      <c r="A160" s="90">
        <v>540131</v>
      </c>
      <c r="B160" s="91" t="s">
        <v>726</v>
      </c>
      <c r="C160" s="91" t="s">
        <v>724</v>
      </c>
      <c r="D160" s="91" t="s">
        <v>2</v>
      </c>
      <c r="E160" s="90">
        <v>8</v>
      </c>
      <c r="F160" s="93" t="str">
        <f>"08/23/74"</f>
        <v>08/23/74</v>
      </c>
      <c r="G160" s="94">
        <v>33508</v>
      </c>
      <c r="H160" s="94">
        <v>41352</v>
      </c>
      <c r="I160" s="93" t="str">
        <f>"09/27/1991"</f>
        <v>09/27/1991</v>
      </c>
      <c r="J160" s="92">
        <v>2</v>
      </c>
      <c r="K160" s="91"/>
      <c r="L160" s="90"/>
    </row>
    <row r="161" spans="1:12" hidden="1" x14ac:dyDescent="0.3">
      <c r="A161" s="90">
        <v>540155</v>
      </c>
      <c r="B161" s="91" t="s">
        <v>725</v>
      </c>
      <c r="C161" s="91" t="s">
        <v>724</v>
      </c>
      <c r="D161" s="91" t="s">
        <v>2</v>
      </c>
      <c r="E161" s="90">
        <v>8</v>
      </c>
      <c r="F161" s="93" t="str">
        <f>"01/31/75"</f>
        <v>01/31/75</v>
      </c>
      <c r="G161" s="94">
        <v>33508</v>
      </c>
      <c r="H161" s="94">
        <v>41352</v>
      </c>
      <c r="I161" s="93" t="str">
        <f>"04/03/1913"</f>
        <v>04/03/1913</v>
      </c>
      <c r="J161" s="92">
        <v>2</v>
      </c>
      <c r="K161" s="91"/>
      <c r="L161" s="90"/>
    </row>
    <row r="162" spans="1:12" x14ac:dyDescent="0.3">
      <c r="A162" s="96">
        <v>540133</v>
      </c>
      <c r="B162" s="97" t="s">
        <v>723</v>
      </c>
      <c r="C162" s="97" t="s">
        <v>714</v>
      </c>
      <c r="D162" s="97" t="s">
        <v>29</v>
      </c>
      <c r="E162" s="96">
        <v>2</v>
      </c>
      <c r="F162" s="101">
        <v>27383</v>
      </c>
      <c r="G162" s="100">
        <v>29557</v>
      </c>
      <c r="H162" s="100">
        <v>42599</v>
      </c>
      <c r="I162" s="101">
        <v>29557</v>
      </c>
      <c r="J162" s="98">
        <v>2</v>
      </c>
      <c r="K162" s="97" t="s">
        <v>569</v>
      </c>
      <c r="L162" s="96" t="s">
        <v>568</v>
      </c>
    </row>
    <row r="163" spans="1:12" x14ac:dyDescent="0.3">
      <c r="A163" s="90">
        <v>540134</v>
      </c>
      <c r="B163" s="91" t="s">
        <v>722</v>
      </c>
      <c r="C163" s="91" t="s">
        <v>714</v>
      </c>
      <c r="D163" s="91" t="s">
        <v>2</v>
      </c>
      <c r="E163" s="90">
        <v>2</v>
      </c>
      <c r="F163" s="93" t="str">
        <f>"03/02/73"</f>
        <v>03/02/73</v>
      </c>
      <c r="G163" s="94">
        <v>28199</v>
      </c>
      <c r="H163" s="94">
        <v>41184</v>
      </c>
      <c r="I163" s="93" t="str">
        <f>"03/15/1977"</f>
        <v>03/15/1977</v>
      </c>
      <c r="J163" s="92">
        <v>2</v>
      </c>
      <c r="K163" s="91" t="s">
        <v>569</v>
      </c>
      <c r="L163" s="90" t="s">
        <v>568</v>
      </c>
    </row>
    <row r="164" spans="1:12" x14ac:dyDescent="0.3">
      <c r="A164" s="90">
        <v>540135</v>
      </c>
      <c r="B164" s="91" t="s">
        <v>721</v>
      </c>
      <c r="C164" s="91" t="s">
        <v>714</v>
      </c>
      <c r="D164" s="91" t="s">
        <v>2</v>
      </c>
      <c r="E164" s="90">
        <v>2</v>
      </c>
      <c r="F164" s="93" t="str">
        <f>"05/31/74"</f>
        <v>05/31/74</v>
      </c>
      <c r="G164" s="94">
        <v>28247</v>
      </c>
      <c r="H164" s="94">
        <v>41184</v>
      </c>
      <c r="I164" s="93" t="str">
        <f>"05/02/1977"</f>
        <v>05/02/1977</v>
      </c>
      <c r="J164" s="92">
        <v>2</v>
      </c>
      <c r="K164" s="91" t="s">
        <v>569</v>
      </c>
      <c r="L164" s="90" t="s">
        <v>568</v>
      </c>
    </row>
    <row r="165" spans="1:12" x14ac:dyDescent="0.3">
      <c r="A165" s="90" t="s">
        <v>720</v>
      </c>
      <c r="B165" s="91" t="s">
        <v>719</v>
      </c>
      <c r="C165" s="91" t="s">
        <v>714</v>
      </c>
      <c r="D165" s="91" t="s">
        <v>2</v>
      </c>
      <c r="E165" s="90">
        <v>2</v>
      </c>
      <c r="F165" s="93" t="str">
        <f>"01/04/74"</f>
        <v>01/04/74</v>
      </c>
      <c r="G165" s="94">
        <v>28550</v>
      </c>
      <c r="H165" s="94">
        <v>42599</v>
      </c>
      <c r="I165" s="93" t="str">
        <f>"03/01/1978"</f>
        <v>03/01/1978</v>
      </c>
      <c r="J165" s="92">
        <v>2</v>
      </c>
      <c r="K165" s="91" t="s">
        <v>569</v>
      </c>
      <c r="L165" s="90" t="s">
        <v>568</v>
      </c>
    </row>
    <row r="166" spans="1:12" x14ac:dyDescent="0.3">
      <c r="A166" s="90" t="s">
        <v>718</v>
      </c>
      <c r="B166" s="91" t="s">
        <v>717</v>
      </c>
      <c r="C166" s="91" t="s">
        <v>714</v>
      </c>
      <c r="D166" s="91" t="s">
        <v>2</v>
      </c>
      <c r="E166" s="90">
        <v>2</v>
      </c>
      <c r="F166" s="93"/>
      <c r="G166" s="107">
        <v>25602</v>
      </c>
      <c r="H166" s="94">
        <v>42599</v>
      </c>
      <c r="I166" s="93" t="str">
        <f>"02/03/1970"</f>
        <v>02/03/1970</v>
      </c>
      <c r="J166" s="92">
        <v>2</v>
      </c>
      <c r="K166" s="91" t="s">
        <v>569</v>
      </c>
      <c r="L166" s="90" t="s">
        <v>568</v>
      </c>
    </row>
    <row r="167" spans="1:12" x14ac:dyDescent="0.3">
      <c r="A167" s="90" t="s">
        <v>716</v>
      </c>
      <c r="B167" s="91" t="s">
        <v>715</v>
      </c>
      <c r="C167" s="91" t="s">
        <v>714</v>
      </c>
      <c r="D167" s="91" t="s">
        <v>2</v>
      </c>
      <c r="E167" s="90">
        <v>2</v>
      </c>
      <c r="F167" s="93" t="str">
        <f>"05/31/74"</f>
        <v>05/31/74</v>
      </c>
      <c r="G167" s="94">
        <v>29602</v>
      </c>
      <c r="H167" s="94">
        <v>42599</v>
      </c>
      <c r="I167" s="93" t="str">
        <f>"01/16/1981"</f>
        <v>01/16/1981</v>
      </c>
      <c r="J167" s="92">
        <v>2</v>
      </c>
      <c r="K167" s="91" t="s">
        <v>569</v>
      </c>
      <c r="L167" s="90" t="s">
        <v>568</v>
      </c>
    </row>
    <row r="168" spans="1:12" hidden="1" x14ac:dyDescent="0.3">
      <c r="A168" s="96">
        <v>540139</v>
      </c>
      <c r="B168" s="97" t="s">
        <v>713</v>
      </c>
      <c r="C168" s="97" t="s">
        <v>707</v>
      </c>
      <c r="D168" s="97" t="s">
        <v>29</v>
      </c>
      <c r="E168" s="96">
        <v>6</v>
      </c>
      <c r="F168" s="99"/>
      <c r="G168" s="100">
        <v>40198</v>
      </c>
      <c r="H168" s="100">
        <v>43560</v>
      </c>
      <c r="I168" s="99" t="str">
        <f>"05/01/1984"</f>
        <v>05/01/1984</v>
      </c>
      <c r="J168" s="98">
        <v>2</v>
      </c>
      <c r="K168" s="97"/>
      <c r="L168" s="96"/>
    </row>
    <row r="169" spans="1:12" hidden="1" x14ac:dyDescent="0.3">
      <c r="A169" s="90">
        <v>540140</v>
      </c>
      <c r="B169" s="91" t="s">
        <v>712</v>
      </c>
      <c r="C169" s="91" t="s">
        <v>707</v>
      </c>
      <c r="D169" s="91" t="s">
        <v>2</v>
      </c>
      <c r="E169" s="90">
        <v>6</v>
      </c>
      <c r="F169" s="95">
        <v>27327</v>
      </c>
      <c r="G169" s="94">
        <v>40198</v>
      </c>
      <c r="H169" s="94">
        <v>40198</v>
      </c>
      <c r="I169" s="95">
        <v>28850</v>
      </c>
      <c r="J169" s="92">
        <v>2</v>
      </c>
      <c r="K169" s="91"/>
      <c r="L169" s="90"/>
    </row>
    <row r="170" spans="1:12" hidden="1" x14ac:dyDescent="0.3">
      <c r="A170" s="90">
        <v>540272</v>
      </c>
      <c r="B170" s="91" t="s">
        <v>711</v>
      </c>
      <c r="C170" s="91" t="s">
        <v>707</v>
      </c>
      <c r="D170" s="91" t="s">
        <v>2</v>
      </c>
      <c r="E170" s="90">
        <v>6</v>
      </c>
      <c r="F170" s="95">
        <v>27362</v>
      </c>
      <c r="G170" s="94">
        <v>30665</v>
      </c>
      <c r="H170" s="94">
        <v>43560</v>
      </c>
      <c r="I170" s="95">
        <v>30665</v>
      </c>
      <c r="J170" s="92">
        <v>2</v>
      </c>
      <c r="K170" s="91"/>
      <c r="L170" s="90"/>
    </row>
    <row r="171" spans="1:12" hidden="1" x14ac:dyDescent="0.3">
      <c r="A171" s="90">
        <v>540141</v>
      </c>
      <c r="B171" s="91" t="s">
        <v>710</v>
      </c>
      <c r="C171" s="91" t="s">
        <v>707</v>
      </c>
      <c r="D171" s="91" t="s">
        <v>2</v>
      </c>
      <c r="E171" s="90">
        <v>6</v>
      </c>
      <c r="F171" s="93" t="str">
        <f>"08/02/74"</f>
        <v>08/02/74</v>
      </c>
      <c r="G171" s="94">
        <v>29068</v>
      </c>
      <c r="H171" s="94">
        <v>43560</v>
      </c>
      <c r="I171" s="93" t="str">
        <f>"08/01/1979"</f>
        <v>08/01/1979</v>
      </c>
      <c r="J171" s="92">
        <v>2</v>
      </c>
      <c r="K171" s="91"/>
      <c r="L171" s="90"/>
    </row>
    <row r="172" spans="1:12" hidden="1" x14ac:dyDescent="0.3">
      <c r="A172" s="90">
        <v>540273</v>
      </c>
      <c r="B172" s="91" t="s">
        <v>709</v>
      </c>
      <c r="C172" s="91" t="s">
        <v>707</v>
      </c>
      <c r="D172" s="91" t="s">
        <v>2</v>
      </c>
      <c r="E172" s="90">
        <v>6</v>
      </c>
      <c r="F172" s="95">
        <v>27355</v>
      </c>
      <c r="G172" s="94">
        <v>28703</v>
      </c>
      <c r="H172" s="94">
        <v>43560</v>
      </c>
      <c r="I172" s="93" t="str">
        <f>"08/01/1978"</f>
        <v>08/01/1978</v>
      </c>
      <c r="J172" s="92">
        <v>2</v>
      </c>
      <c r="K172" s="91"/>
      <c r="L172" s="90"/>
    </row>
    <row r="173" spans="1:12" hidden="1" x14ac:dyDescent="0.3">
      <c r="A173" s="90">
        <v>540274</v>
      </c>
      <c r="B173" s="91" t="s">
        <v>708</v>
      </c>
      <c r="C173" s="91" t="s">
        <v>707</v>
      </c>
      <c r="D173" s="91" t="s">
        <v>2</v>
      </c>
      <c r="E173" s="90">
        <v>6</v>
      </c>
      <c r="F173" s="95">
        <v>27355</v>
      </c>
      <c r="G173" s="94">
        <v>28703</v>
      </c>
      <c r="H173" s="94">
        <v>43560</v>
      </c>
      <c r="I173" s="93" t="str">
        <f>"08/01/1978"</f>
        <v>08/01/1978</v>
      </c>
      <c r="J173" s="92">
        <v>2</v>
      </c>
      <c r="K173" s="91"/>
      <c r="L173" s="90"/>
    </row>
    <row r="174" spans="1:12" hidden="1" x14ac:dyDescent="0.3">
      <c r="A174" s="96">
        <v>540278</v>
      </c>
      <c r="B174" s="97" t="s">
        <v>706</v>
      </c>
      <c r="C174" s="97" t="s">
        <v>702</v>
      </c>
      <c r="D174" s="97" t="s">
        <v>29</v>
      </c>
      <c r="E174" s="96">
        <v>1</v>
      </c>
      <c r="F174" s="99" t="str">
        <f>"07/25/75"</f>
        <v>07/25/75</v>
      </c>
      <c r="G174" s="100">
        <v>30330</v>
      </c>
      <c r="H174" s="100">
        <v>37424</v>
      </c>
      <c r="I174" s="99" t="str">
        <f>"01/14/1983"</f>
        <v>01/14/1983</v>
      </c>
      <c r="J174" s="98">
        <v>2</v>
      </c>
      <c r="K174" s="97" t="s">
        <v>569</v>
      </c>
      <c r="L174" s="96" t="s">
        <v>592</v>
      </c>
    </row>
    <row r="175" spans="1:12" hidden="1" x14ac:dyDescent="0.3">
      <c r="A175" s="90">
        <v>540041</v>
      </c>
      <c r="B175" s="91" t="s">
        <v>705</v>
      </c>
      <c r="C175" s="91" t="s">
        <v>702</v>
      </c>
      <c r="D175" s="91" t="s">
        <v>2</v>
      </c>
      <c r="E175" s="90">
        <v>1</v>
      </c>
      <c r="F175" s="93" t="str">
        <f>"06/14/74"</f>
        <v>06/14/74</v>
      </c>
      <c r="G175" s="94">
        <v>33508</v>
      </c>
      <c r="H175" s="94">
        <v>37424</v>
      </c>
      <c r="I175" s="93" t="str">
        <f>"09/27/1991"</f>
        <v>09/27/1991</v>
      </c>
      <c r="J175" s="92">
        <v>2</v>
      </c>
      <c r="K175" s="91" t="s">
        <v>569</v>
      </c>
      <c r="L175" s="90" t="s">
        <v>592</v>
      </c>
    </row>
    <row r="176" spans="1:12" hidden="1" x14ac:dyDescent="0.3">
      <c r="A176" s="90">
        <v>540143</v>
      </c>
      <c r="B176" s="91" t="s">
        <v>704</v>
      </c>
      <c r="C176" s="91" t="s">
        <v>702</v>
      </c>
      <c r="D176" s="91" t="s">
        <v>2</v>
      </c>
      <c r="E176" s="90">
        <v>1</v>
      </c>
      <c r="F176" s="93" t="str">
        <f>"06/28/74"</f>
        <v>06/28/74</v>
      </c>
      <c r="G176" s="94">
        <v>29068</v>
      </c>
      <c r="H176" s="94">
        <v>37424</v>
      </c>
      <c r="I176" s="93" t="str">
        <f>"08/01/1979"</f>
        <v>08/01/1979</v>
      </c>
      <c r="J176" s="92">
        <v>2</v>
      </c>
      <c r="K176" s="91" t="s">
        <v>569</v>
      </c>
      <c r="L176" s="90" t="s">
        <v>592</v>
      </c>
    </row>
    <row r="177" spans="1:12" hidden="1" x14ac:dyDescent="0.3">
      <c r="A177" s="90">
        <v>540290</v>
      </c>
      <c r="B177" s="91" t="s">
        <v>703</v>
      </c>
      <c r="C177" s="91" t="s">
        <v>702</v>
      </c>
      <c r="D177" s="91" t="s">
        <v>2</v>
      </c>
      <c r="E177" s="90">
        <v>1</v>
      </c>
      <c r="F177" s="93"/>
      <c r="G177" s="94">
        <v>37424</v>
      </c>
      <c r="H177" s="94">
        <v>37424</v>
      </c>
      <c r="I177" s="95">
        <v>39020</v>
      </c>
      <c r="J177" s="92">
        <v>2</v>
      </c>
      <c r="K177" s="91" t="s">
        <v>569</v>
      </c>
      <c r="L177" s="90" t="s">
        <v>592</v>
      </c>
    </row>
    <row r="178" spans="1:12" hidden="1" x14ac:dyDescent="0.3">
      <c r="A178" s="96">
        <v>540144</v>
      </c>
      <c r="B178" s="97" t="s">
        <v>701</v>
      </c>
      <c r="C178" s="97" t="s">
        <v>698</v>
      </c>
      <c r="D178" s="97" t="s">
        <v>29</v>
      </c>
      <c r="E178" s="96">
        <v>9</v>
      </c>
      <c r="F178" s="99" t="str">
        <f>"05/20/77"</f>
        <v>05/20/77</v>
      </c>
      <c r="G178" s="100">
        <v>31959</v>
      </c>
      <c r="H178" s="100">
        <v>40081</v>
      </c>
      <c r="I178" s="99" t="str">
        <f>"07/01/1987"</f>
        <v>07/01/1987</v>
      </c>
      <c r="J178" s="98">
        <v>2</v>
      </c>
      <c r="K178" s="97" t="s">
        <v>569</v>
      </c>
      <c r="L178" s="96" t="s">
        <v>592</v>
      </c>
    </row>
    <row r="179" spans="1:12" hidden="1" x14ac:dyDescent="0.3">
      <c r="A179" s="90">
        <v>540005</v>
      </c>
      <c r="B179" s="91" t="s">
        <v>700</v>
      </c>
      <c r="C179" s="91" t="s">
        <v>698</v>
      </c>
      <c r="D179" s="91" t="s">
        <v>2</v>
      </c>
      <c r="E179" s="90">
        <v>9</v>
      </c>
      <c r="F179" s="93" t="str">
        <f>"02/27/76"</f>
        <v>02/27/76</v>
      </c>
      <c r="G179" s="94">
        <v>29222</v>
      </c>
      <c r="H179" s="94">
        <v>40081</v>
      </c>
      <c r="I179" s="93" t="str">
        <f>"01/02/1980"</f>
        <v>01/02/1980</v>
      </c>
      <c r="J179" s="92">
        <v>2</v>
      </c>
      <c r="K179" s="91" t="s">
        <v>569</v>
      </c>
      <c r="L179" s="90" t="s">
        <v>592</v>
      </c>
    </row>
    <row r="180" spans="1:12" hidden="1" x14ac:dyDescent="0.3">
      <c r="A180" s="90">
        <v>540252</v>
      </c>
      <c r="B180" s="91" t="s">
        <v>699</v>
      </c>
      <c r="C180" s="91" t="s">
        <v>698</v>
      </c>
      <c r="D180" s="91" t="s">
        <v>2</v>
      </c>
      <c r="E180" s="90">
        <v>9</v>
      </c>
      <c r="F180" s="95">
        <v>27348</v>
      </c>
      <c r="G180" s="94">
        <v>30988</v>
      </c>
      <c r="H180" s="94">
        <v>40081</v>
      </c>
      <c r="I180" s="95">
        <v>30988</v>
      </c>
      <c r="J180" s="92">
        <v>2</v>
      </c>
      <c r="K180" s="91" t="s">
        <v>569</v>
      </c>
      <c r="L180" s="90" t="s">
        <v>592</v>
      </c>
    </row>
    <row r="181" spans="1:12" hidden="1" x14ac:dyDescent="0.3">
      <c r="A181" s="96">
        <v>540146</v>
      </c>
      <c r="B181" s="97" t="s">
        <v>697</v>
      </c>
      <c r="C181" s="97" t="s">
        <v>694</v>
      </c>
      <c r="D181" s="97" t="s">
        <v>29</v>
      </c>
      <c r="E181" s="96">
        <v>4</v>
      </c>
      <c r="F181" s="99" t="str">
        <f>"07/25/75"</f>
        <v>07/25/75</v>
      </c>
      <c r="G181" s="100">
        <v>33548</v>
      </c>
      <c r="H181" s="100">
        <v>40728</v>
      </c>
      <c r="I181" s="99" t="str">
        <f>"04/05/1994"</f>
        <v>04/05/1994</v>
      </c>
      <c r="J181" s="98">
        <v>2</v>
      </c>
      <c r="K181" s="97" t="s">
        <v>595</v>
      </c>
      <c r="L181" s="96" t="s">
        <v>592</v>
      </c>
    </row>
    <row r="182" spans="1:12" hidden="1" x14ac:dyDescent="0.3">
      <c r="A182" s="90">
        <v>540147</v>
      </c>
      <c r="B182" s="91" t="s">
        <v>696</v>
      </c>
      <c r="C182" s="91" t="s">
        <v>694</v>
      </c>
      <c r="D182" s="91" t="s">
        <v>2</v>
      </c>
      <c r="E182" s="90">
        <v>4</v>
      </c>
      <c r="F182" s="93" t="str">
        <f>"05/31/74"</f>
        <v>05/31/74</v>
      </c>
      <c r="G182" s="94">
        <v>33508</v>
      </c>
      <c r="H182" s="94">
        <v>40728</v>
      </c>
      <c r="I182" s="93" t="str">
        <f>"09/27/1991"</f>
        <v>09/27/1991</v>
      </c>
      <c r="J182" s="92">
        <v>2</v>
      </c>
      <c r="K182" s="91" t="s">
        <v>593</v>
      </c>
      <c r="L182" s="90" t="s">
        <v>592</v>
      </c>
    </row>
    <row r="183" spans="1:12" hidden="1" x14ac:dyDescent="0.3">
      <c r="A183" s="90">
        <v>540148</v>
      </c>
      <c r="B183" s="91" t="s">
        <v>695</v>
      </c>
      <c r="C183" s="91" t="s">
        <v>694</v>
      </c>
      <c r="D183" s="91" t="s">
        <v>2</v>
      </c>
      <c r="E183" s="90">
        <v>4</v>
      </c>
      <c r="F183" s="93" t="str">
        <f>"06/28/74"</f>
        <v>06/28/74</v>
      </c>
      <c r="G183" s="94">
        <v>30918</v>
      </c>
      <c r="H183" s="94">
        <v>40728</v>
      </c>
      <c r="I183" s="93" t="str">
        <f>"08/24/1984"</f>
        <v>08/24/1984</v>
      </c>
      <c r="J183" s="92">
        <v>2</v>
      </c>
      <c r="K183" s="91"/>
      <c r="L183" s="90"/>
    </row>
    <row r="184" spans="1:12" hidden="1" x14ac:dyDescent="0.3">
      <c r="A184" s="96">
        <v>540149</v>
      </c>
      <c r="B184" s="97" t="s">
        <v>693</v>
      </c>
      <c r="C184" s="97" t="s">
        <v>686</v>
      </c>
      <c r="D184" s="97" t="s">
        <v>29</v>
      </c>
      <c r="E184" s="96">
        <v>10</v>
      </c>
      <c r="F184" s="101">
        <v>27362</v>
      </c>
      <c r="G184" s="100">
        <v>30410</v>
      </c>
      <c r="H184" s="100">
        <v>38915</v>
      </c>
      <c r="I184" s="99" t="str">
        <f>"04/04/1983"</f>
        <v>04/04/1983</v>
      </c>
      <c r="J184" s="98">
        <v>2</v>
      </c>
      <c r="K184" s="97"/>
      <c r="L184" s="96"/>
    </row>
    <row r="185" spans="1:12" hidden="1" x14ac:dyDescent="0.3">
      <c r="A185" s="90">
        <v>540275</v>
      </c>
      <c r="B185" s="91" t="s">
        <v>692</v>
      </c>
      <c r="C185" s="91" t="s">
        <v>686</v>
      </c>
      <c r="D185" s="91" t="s">
        <v>2</v>
      </c>
      <c r="E185" s="90">
        <v>10</v>
      </c>
      <c r="F185" s="93"/>
      <c r="G185" s="94">
        <v>38915</v>
      </c>
      <c r="H185" s="94">
        <v>38915</v>
      </c>
      <c r="I185" s="93" t="str">
        <f>"08/26/1977"</f>
        <v>08/26/1977</v>
      </c>
      <c r="J185" s="92">
        <v>2</v>
      </c>
      <c r="K185" s="91"/>
      <c r="L185" s="90"/>
    </row>
    <row r="186" spans="1:12" hidden="1" x14ac:dyDescent="0.3">
      <c r="A186" s="90">
        <v>540080</v>
      </c>
      <c r="B186" s="91" t="s">
        <v>691</v>
      </c>
      <c r="C186" s="91" t="s">
        <v>686</v>
      </c>
      <c r="D186" s="91" t="s">
        <v>2</v>
      </c>
      <c r="E186" s="90">
        <v>10</v>
      </c>
      <c r="F186" s="93"/>
      <c r="G186" s="94">
        <v>38915</v>
      </c>
      <c r="H186" s="94">
        <v>38915</v>
      </c>
      <c r="I186" s="93" t="str">
        <f>"03/16/1907"</f>
        <v>03/16/1907</v>
      </c>
      <c r="J186" s="92">
        <v>2</v>
      </c>
      <c r="K186" s="91"/>
      <c r="L186" s="90"/>
    </row>
    <row r="187" spans="1:12" hidden="1" x14ac:dyDescent="0.3">
      <c r="A187" s="90">
        <v>540150</v>
      </c>
      <c r="B187" s="91" t="s">
        <v>690</v>
      </c>
      <c r="C187" s="91" t="s">
        <v>686</v>
      </c>
      <c r="D187" s="91" t="s">
        <v>2</v>
      </c>
      <c r="E187" s="90">
        <v>10</v>
      </c>
      <c r="F187" s="93" t="str">
        <f>"02/08/74"</f>
        <v>02/08/74</v>
      </c>
      <c r="G187" s="94">
        <v>30699</v>
      </c>
      <c r="H187" s="94">
        <v>38915</v>
      </c>
      <c r="I187" s="93" t="str">
        <f>"01/18/1984"</f>
        <v>01/18/1984</v>
      </c>
      <c r="J187" s="92">
        <v>2</v>
      </c>
      <c r="K187" s="91"/>
      <c r="L187" s="90"/>
    </row>
    <row r="188" spans="1:12" hidden="1" x14ac:dyDescent="0.3">
      <c r="A188" s="90">
        <v>540151</v>
      </c>
      <c r="B188" s="91" t="s">
        <v>689</v>
      </c>
      <c r="C188" s="91" t="s">
        <v>686</v>
      </c>
      <c r="D188" s="91" t="s">
        <v>2</v>
      </c>
      <c r="E188" s="90">
        <v>10</v>
      </c>
      <c r="F188" s="93" t="str">
        <f>"02/01/74"</f>
        <v>02/01/74</v>
      </c>
      <c r="G188" s="94">
        <v>29126</v>
      </c>
      <c r="H188" s="94">
        <v>38915</v>
      </c>
      <c r="I188" s="93" t="str">
        <f>"09/28/1979"</f>
        <v>09/28/1979</v>
      </c>
      <c r="J188" s="92">
        <v>2</v>
      </c>
      <c r="K188" s="91"/>
      <c r="L188" s="90"/>
    </row>
    <row r="189" spans="1:12" hidden="1" x14ac:dyDescent="0.3">
      <c r="A189" s="90">
        <v>540094</v>
      </c>
      <c r="B189" s="91" t="s">
        <v>688</v>
      </c>
      <c r="C189" s="91" t="s">
        <v>686</v>
      </c>
      <c r="D189" s="91" t="s">
        <v>2</v>
      </c>
      <c r="E189" s="90">
        <v>10</v>
      </c>
      <c r="F189" s="93"/>
      <c r="G189" s="94">
        <v>38915</v>
      </c>
      <c r="H189" s="94">
        <v>38915</v>
      </c>
      <c r="I189" s="93" t="str">
        <f>"07/17/1906"</f>
        <v>07/17/1906</v>
      </c>
      <c r="J189" s="92">
        <v>2</v>
      </c>
      <c r="K189" s="91"/>
      <c r="L189" s="90"/>
    </row>
    <row r="190" spans="1:12" hidden="1" x14ac:dyDescent="0.3">
      <c r="A190" s="90">
        <v>540152</v>
      </c>
      <c r="B190" s="91" t="s">
        <v>687</v>
      </c>
      <c r="C190" s="91" t="s">
        <v>686</v>
      </c>
      <c r="D190" s="91" t="s">
        <v>2</v>
      </c>
      <c r="E190" s="90">
        <v>10</v>
      </c>
      <c r="F190" s="95">
        <v>27376</v>
      </c>
      <c r="G190" s="94">
        <v>29635</v>
      </c>
      <c r="H190" s="94">
        <v>38915</v>
      </c>
      <c r="I190" s="93" t="str">
        <f>"02/18/1981"</f>
        <v>02/18/1981</v>
      </c>
      <c r="J190" s="92">
        <v>2</v>
      </c>
      <c r="K190" s="91"/>
      <c r="L190" s="90"/>
    </row>
    <row r="191" spans="1:12" hidden="1" x14ac:dyDescent="0.3">
      <c r="A191" s="96">
        <v>540153</v>
      </c>
      <c r="B191" s="97" t="s">
        <v>685</v>
      </c>
      <c r="C191" s="97" t="s">
        <v>683</v>
      </c>
      <c r="D191" s="97" t="s">
        <v>29</v>
      </c>
      <c r="E191" s="96">
        <v>8</v>
      </c>
      <c r="F191" s="99" t="str">
        <f>"04/25/75"</f>
        <v>04/25/75</v>
      </c>
      <c r="G191" s="100">
        <v>31959</v>
      </c>
      <c r="H191" s="100">
        <v>40239</v>
      </c>
      <c r="I191" s="99" t="str">
        <f>"07/01/1987"</f>
        <v>07/01/1987</v>
      </c>
      <c r="J191" s="98">
        <v>2</v>
      </c>
      <c r="K191" s="97" t="s">
        <v>569</v>
      </c>
      <c r="L191" s="96" t="s">
        <v>592</v>
      </c>
    </row>
    <row r="192" spans="1:12" hidden="1" x14ac:dyDescent="0.3">
      <c r="A192" s="90">
        <v>540154</v>
      </c>
      <c r="B192" s="91" t="s">
        <v>684</v>
      </c>
      <c r="C192" s="91" t="s">
        <v>683</v>
      </c>
      <c r="D192" s="91" t="s">
        <v>2</v>
      </c>
      <c r="E192" s="90">
        <v>8</v>
      </c>
      <c r="F192" s="93" t="str">
        <f>"05/31/74"</f>
        <v>05/31/74</v>
      </c>
      <c r="G192" s="94">
        <v>32021</v>
      </c>
      <c r="H192" s="94">
        <v>40239</v>
      </c>
      <c r="I192" s="93" t="str">
        <f>"09/01/1987"</f>
        <v>09/01/1987</v>
      </c>
      <c r="J192" s="92">
        <v>2</v>
      </c>
      <c r="K192" s="91" t="s">
        <v>569</v>
      </c>
      <c r="L192" s="90" t="s">
        <v>592</v>
      </c>
    </row>
    <row r="193" spans="1:12" hidden="1" x14ac:dyDescent="0.3">
      <c r="A193" s="96">
        <v>540225</v>
      </c>
      <c r="B193" s="97" t="s">
        <v>682</v>
      </c>
      <c r="C193" s="97" t="s">
        <v>679</v>
      </c>
      <c r="D193" s="97" t="s">
        <v>29</v>
      </c>
      <c r="E193" s="96">
        <v>5</v>
      </c>
      <c r="F193" s="99" t="str">
        <f>"01/03/75"</f>
        <v>01/03/75</v>
      </c>
      <c r="G193" s="100">
        <v>33392</v>
      </c>
      <c r="H193" s="100">
        <v>41764</v>
      </c>
      <c r="I193" s="99" t="str">
        <f>"06/03/1991"</f>
        <v>06/03/1991</v>
      </c>
      <c r="J193" s="98">
        <v>2</v>
      </c>
      <c r="K193" s="97"/>
      <c r="L193" s="96"/>
    </row>
    <row r="194" spans="1:12" hidden="1" x14ac:dyDescent="0.3">
      <c r="A194" s="90">
        <v>540253</v>
      </c>
      <c r="B194" s="91" t="s">
        <v>681</v>
      </c>
      <c r="C194" s="91" t="s">
        <v>679</v>
      </c>
      <c r="D194" s="91" t="s">
        <v>2</v>
      </c>
      <c r="E194" s="90">
        <v>5</v>
      </c>
      <c r="F194" s="93" t="str">
        <f>"02/21/75"</f>
        <v>02/21/75</v>
      </c>
      <c r="G194" s="94">
        <v>33392</v>
      </c>
      <c r="H194" s="94">
        <v>41764</v>
      </c>
      <c r="I194" s="93" t="str">
        <f>"06/03/1991"</f>
        <v>06/03/1991</v>
      </c>
      <c r="J194" s="92">
        <v>2</v>
      </c>
      <c r="K194" s="91"/>
      <c r="L194" s="90"/>
    </row>
    <row r="195" spans="1:12" hidden="1" x14ac:dyDescent="0.3">
      <c r="A195" s="90">
        <v>540156</v>
      </c>
      <c r="B195" s="91" t="s">
        <v>680</v>
      </c>
      <c r="C195" s="91" t="s">
        <v>679</v>
      </c>
      <c r="D195" s="91" t="s">
        <v>2</v>
      </c>
      <c r="E195" s="90">
        <v>5</v>
      </c>
      <c r="F195" s="93" t="str">
        <f>"03/29/74"</f>
        <v>03/29/74</v>
      </c>
      <c r="G195" s="94">
        <v>33392</v>
      </c>
      <c r="H195" s="94">
        <v>41764</v>
      </c>
      <c r="I195" s="93" t="str">
        <f>"06/03/1991"</f>
        <v>06/03/1991</v>
      </c>
      <c r="J195" s="92">
        <v>2</v>
      </c>
      <c r="K195" s="91"/>
      <c r="L195" s="90"/>
    </row>
    <row r="196" spans="1:12" hidden="1" x14ac:dyDescent="0.3">
      <c r="A196" s="96">
        <v>540283</v>
      </c>
      <c r="B196" s="97" t="s">
        <v>678</v>
      </c>
      <c r="C196" s="97" t="s">
        <v>675</v>
      </c>
      <c r="D196" s="97" t="s">
        <v>29</v>
      </c>
      <c r="E196" s="96">
        <v>4</v>
      </c>
      <c r="F196" s="99" t="str">
        <f>"01/24/75"</f>
        <v>01/24/75</v>
      </c>
      <c r="G196" s="100">
        <v>32798</v>
      </c>
      <c r="H196" s="100">
        <v>40486</v>
      </c>
      <c r="I196" s="101">
        <v>32798</v>
      </c>
      <c r="J196" s="98">
        <v>2</v>
      </c>
      <c r="K196" s="97" t="s">
        <v>569</v>
      </c>
      <c r="L196" s="96" t="s">
        <v>592</v>
      </c>
    </row>
    <row r="197" spans="1:12" hidden="1" x14ac:dyDescent="0.3">
      <c r="A197" s="90">
        <v>540158</v>
      </c>
      <c r="B197" s="91" t="s">
        <v>677</v>
      </c>
      <c r="C197" s="91" t="s">
        <v>675</v>
      </c>
      <c r="D197" s="91" t="s">
        <v>2</v>
      </c>
      <c r="E197" s="90">
        <v>4</v>
      </c>
      <c r="F197" s="93" t="str">
        <f>"08/09/74"</f>
        <v>08/09/74</v>
      </c>
      <c r="G197" s="94">
        <v>30918</v>
      </c>
      <c r="H197" s="94">
        <v>40486</v>
      </c>
      <c r="I197" s="93" t="str">
        <f>"08/24/1984"</f>
        <v>08/24/1984</v>
      </c>
      <c r="J197" s="92">
        <v>2</v>
      </c>
      <c r="K197" s="91" t="s">
        <v>569</v>
      </c>
      <c r="L197" s="90" t="s">
        <v>592</v>
      </c>
    </row>
    <row r="198" spans="1:12" hidden="1" x14ac:dyDescent="0.3">
      <c r="A198" s="90">
        <v>540159</v>
      </c>
      <c r="B198" s="91" t="s">
        <v>676</v>
      </c>
      <c r="C198" s="91" t="s">
        <v>675</v>
      </c>
      <c r="D198" s="91" t="s">
        <v>2</v>
      </c>
      <c r="E198" s="90">
        <v>4</v>
      </c>
      <c r="F198" s="93" t="str">
        <f>"06/07/74"</f>
        <v>06/07/74</v>
      </c>
      <c r="G198" s="94">
        <v>32798</v>
      </c>
      <c r="H198" s="94">
        <v>40486</v>
      </c>
      <c r="I198" s="95">
        <v>32798</v>
      </c>
      <c r="J198" s="92">
        <v>2</v>
      </c>
      <c r="K198" s="91" t="s">
        <v>569</v>
      </c>
      <c r="L198" s="90" t="s">
        <v>592</v>
      </c>
    </row>
    <row r="199" spans="1:12" hidden="1" x14ac:dyDescent="0.3">
      <c r="A199" s="96">
        <v>540160</v>
      </c>
      <c r="B199" s="97" t="s">
        <v>674</v>
      </c>
      <c r="C199" s="97" t="s">
        <v>664</v>
      </c>
      <c r="D199" s="97" t="s">
        <v>29</v>
      </c>
      <c r="E199" s="96">
        <v>6</v>
      </c>
      <c r="F199" s="99" t="str">
        <f>"07/25/75"</f>
        <v>07/25/75</v>
      </c>
      <c r="G199" s="100">
        <v>31837</v>
      </c>
      <c r="H199" s="100">
        <v>41065</v>
      </c>
      <c r="I199" s="99" t="str">
        <f>"03/01/1987"</f>
        <v>03/01/1987</v>
      </c>
      <c r="J199" s="98">
        <v>2</v>
      </c>
      <c r="K199" s="97"/>
      <c r="L199" s="96"/>
    </row>
    <row r="200" spans="1:12" hidden="1" x14ac:dyDescent="0.3">
      <c r="A200" s="90">
        <v>540161</v>
      </c>
      <c r="B200" s="91" t="s">
        <v>673</v>
      </c>
      <c r="C200" s="91" t="s">
        <v>664</v>
      </c>
      <c r="D200" s="91" t="s">
        <v>2</v>
      </c>
      <c r="E200" s="90">
        <v>6</v>
      </c>
      <c r="F200" s="95">
        <v>27327</v>
      </c>
      <c r="G200" s="94">
        <v>31990</v>
      </c>
      <c r="H200" s="94">
        <v>41065</v>
      </c>
      <c r="I200" s="93" t="str">
        <f>"08/01/1987"</f>
        <v>08/01/1987</v>
      </c>
      <c r="J200" s="92">
        <v>2</v>
      </c>
      <c r="K200" s="91"/>
      <c r="L200" s="90"/>
    </row>
    <row r="201" spans="1:12" hidden="1" x14ac:dyDescent="0.3">
      <c r="A201" s="90">
        <v>540162</v>
      </c>
      <c r="B201" s="91" t="s">
        <v>672</v>
      </c>
      <c r="C201" s="91" t="s">
        <v>664</v>
      </c>
      <c r="D201" s="91" t="s">
        <v>2</v>
      </c>
      <c r="E201" s="90">
        <v>6</v>
      </c>
      <c r="F201" s="93" t="str">
        <f>"08/09/74"</f>
        <v>08/09/74</v>
      </c>
      <c r="G201" s="94">
        <v>31990</v>
      </c>
      <c r="H201" s="94">
        <v>41065</v>
      </c>
      <c r="I201" s="93" t="str">
        <f>"08/01/1987"</f>
        <v>08/01/1987</v>
      </c>
      <c r="J201" s="92">
        <v>2</v>
      </c>
      <c r="K201" s="91"/>
      <c r="L201" s="90"/>
    </row>
    <row r="202" spans="1:12" hidden="1" x14ac:dyDescent="0.3">
      <c r="A202" s="90">
        <v>540254</v>
      </c>
      <c r="B202" s="91" t="s">
        <v>671</v>
      </c>
      <c r="C202" s="91" t="s">
        <v>664</v>
      </c>
      <c r="D202" s="91" t="s">
        <v>2</v>
      </c>
      <c r="E202" s="90">
        <v>6</v>
      </c>
      <c r="F202" s="93" t="str">
        <f>"09/03/76"</f>
        <v>09/03/76</v>
      </c>
      <c r="G202" s="94">
        <v>41065</v>
      </c>
      <c r="H202" s="94">
        <v>41065</v>
      </c>
      <c r="I202" s="95">
        <v>31728</v>
      </c>
      <c r="J202" s="92">
        <v>2</v>
      </c>
      <c r="K202" s="91"/>
      <c r="L202" s="90"/>
    </row>
    <row r="203" spans="1:12" hidden="1" x14ac:dyDescent="0.3">
      <c r="A203" s="90">
        <v>540270</v>
      </c>
      <c r="B203" s="91" t="s">
        <v>670</v>
      </c>
      <c r="C203" s="91" t="s">
        <v>664</v>
      </c>
      <c r="D203" s="91" t="s">
        <v>2</v>
      </c>
      <c r="E203" s="90">
        <v>6</v>
      </c>
      <c r="F203" s="95">
        <v>27348</v>
      </c>
      <c r="G203" s="94">
        <v>41065</v>
      </c>
      <c r="H203" s="94">
        <v>41065</v>
      </c>
      <c r="I203" s="93" t="str">
        <f>"09/26/1912"</f>
        <v>09/26/1912</v>
      </c>
      <c r="J203" s="92">
        <v>2</v>
      </c>
      <c r="K203" s="91"/>
      <c r="L203" s="90"/>
    </row>
    <row r="204" spans="1:12" hidden="1" x14ac:dyDescent="0.3">
      <c r="A204" s="90">
        <v>540268</v>
      </c>
      <c r="B204" s="91" t="s">
        <v>669</v>
      </c>
      <c r="C204" s="91" t="s">
        <v>664</v>
      </c>
      <c r="D204" s="91" t="s">
        <v>2</v>
      </c>
      <c r="E204" s="90">
        <v>6</v>
      </c>
      <c r="F204" s="95">
        <v>27348</v>
      </c>
      <c r="G204" s="94">
        <v>31990</v>
      </c>
      <c r="H204" s="94">
        <v>41065</v>
      </c>
      <c r="I204" s="93" t="str">
        <f>"08/01/1987"</f>
        <v>08/01/1987</v>
      </c>
      <c r="J204" s="92">
        <v>2</v>
      </c>
      <c r="K204" s="91"/>
      <c r="L204" s="90"/>
    </row>
    <row r="205" spans="1:12" hidden="1" x14ac:dyDescent="0.3">
      <c r="A205" s="90">
        <v>540269</v>
      </c>
      <c r="B205" s="91" t="s">
        <v>668</v>
      </c>
      <c r="C205" s="91" t="s">
        <v>664</v>
      </c>
      <c r="D205" s="91" t="s">
        <v>2</v>
      </c>
      <c r="E205" s="90">
        <v>6</v>
      </c>
      <c r="F205" s="95">
        <v>27348</v>
      </c>
      <c r="G205" s="94">
        <v>31990</v>
      </c>
      <c r="H205" s="94">
        <v>41065</v>
      </c>
      <c r="I205" s="93" t="str">
        <f>"08/01/1987"</f>
        <v>08/01/1987</v>
      </c>
      <c r="J205" s="92">
        <v>2</v>
      </c>
      <c r="K205" s="91"/>
      <c r="L205" s="90"/>
    </row>
    <row r="206" spans="1:12" hidden="1" x14ac:dyDescent="0.3">
      <c r="A206" s="90">
        <v>540163</v>
      </c>
      <c r="B206" s="91" t="s">
        <v>667</v>
      </c>
      <c r="C206" s="91" t="s">
        <v>664</v>
      </c>
      <c r="D206" s="91" t="s">
        <v>2</v>
      </c>
      <c r="E206" s="90">
        <v>6</v>
      </c>
      <c r="F206" s="93" t="str">
        <f>"02/01/74"</f>
        <v>02/01/74</v>
      </c>
      <c r="G206" s="94">
        <v>29068</v>
      </c>
      <c r="H206" s="94">
        <v>41065</v>
      </c>
      <c r="I206" s="93" t="str">
        <f>"08/01/1979"</f>
        <v>08/01/1979</v>
      </c>
      <c r="J206" s="92">
        <v>2</v>
      </c>
      <c r="K206" s="91"/>
      <c r="L206" s="90"/>
    </row>
    <row r="207" spans="1:12" hidden="1" x14ac:dyDescent="0.3">
      <c r="A207" s="90">
        <v>540257</v>
      </c>
      <c r="B207" s="91" t="s">
        <v>666</v>
      </c>
      <c r="C207" s="91" t="s">
        <v>664</v>
      </c>
      <c r="D207" s="91" t="s">
        <v>2</v>
      </c>
      <c r="E207" s="90">
        <v>6</v>
      </c>
      <c r="F207" s="95">
        <v>27348</v>
      </c>
      <c r="G207" s="94">
        <v>31990</v>
      </c>
      <c r="H207" s="94">
        <v>41065</v>
      </c>
      <c r="I207" s="93" t="str">
        <f>"08/25/1987"</f>
        <v>08/25/1987</v>
      </c>
      <c r="J207" s="92">
        <v>2</v>
      </c>
      <c r="K207" s="91"/>
      <c r="L207" s="90"/>
    </row>
    <row r="208" spans="1:12" hidden="1" x14ac:dyDescent="0.3">
      <c r="A208" s="90">
        <v>540137</v>
      </c>
      <c r="B208" s="91" t="s">
        <v>665</v>
      </c>
      <c r="C208" s="91" t="s">
        <v>664</v>
      </c>
      <c r="D208" s="91" t="s">
        <v>2</v>
      </c>
      <c r="E208" s="90">
        <v>6</v>
      </c>
      <c r="F208" s="93"/>
      <c r="G208" s="94">
        <v>41065</v>
      </c>
      <c r="H208" s="94">
        <v>41065</v>
      </c>
      <c r="I208" s="93" t="str">
        <f>"06/05/1912"</f>
        <v>06/05/1912</v>
      </c>
      <c r="J208" s="92">
        <v>2</v>
      </c>
      <c r="K208" s="91"/>
      <c r="L208" s="90"/>
    </row>
    <row r="209" spans="1:12" hidden="1" x14ac:dyDescent="0.3">
      <c r="A209" s="96">
        <v>540164</v>
      </c>
      <c r="B209" s="97" t="s">
        <v>663</v>
      </c>
      <c r="C209" s="97" t="s">
        <v>655</v>
      </c>
      <c r="D209" s="97" t="s">
        <v>29</v>
      </c>
      <c r="E209" s="96">
        <v>3</v>
      </c>
      <c r="F209" s="99" t="str">
        <f>"04/18/75"</f>
        <v>04/18/75</v>
      </c>
      <c r="G209" s="100">
        <v>31946</v>
      </c>
      <c r="H209" s="100">
        <v>40941</v>
      </c>
      <c r="I209" s="99" t="str">
        <f>"06/18/1987"</f>
        <v>06/18/1987</v>
      </c>
      <c r="J209" s="98">
        <v>2</v>
      </c>
      <c r="K209" s="97"/>
      <c r="L209" s="96"/>
    </row>
    <row r="210" spans="1:12" hidden="1" x14ac:dyDescent="0.3">
      <c r="A210" s="90">
        <v>540165</v>
      </c>
      <c r="B210" s="91" t="s">
        <v>662</v>
      </c>
      <c r="C210" s="91" t="s">
        <v>655</v>
      </c>
      <c r="D210" s="91" t="s">
        <v>2</v>
      </c>
      <c r="E210" s="90">
        <v>3</v>
      </c>
      <c r="F210" s="93" t="str">
        <f>"08/09/74"</f>
        <v>08/09/74</v>
      </c>
      <c r="G210" s="94">
        <v>31399</v>
      </c>
      <c r="H210" s="94">
        <v>40941</v>
      </c>
      <c r="I210" s="95">
        <v>31399</v>
      </c>
      <c r="J210" s="92">
        <v>2</v>
      </c>
      <c r="K210" s="91"/>
      <c r="L210" s="90"/>
    </row>
    <row r="211" spans="1:12" hidden="1" x14ac:dyDescent="0.3">
      <c r="A211" s="90">
        <v>540166</v>
      </c>
      <c r="B211" s="91" t="s">
        <v>661</v>
      </c>
      <c r="C211" s="91" t="s">
        <v>655</v>
      </c>
      <c r="D211" s="91" t="s">
        <v>2</v>
      </c>
      <c r="E211" s="90">
        <v>3</v>
      </c>
      <c r="F211" s="93" t="str">
        <f>"02/01/74"</f>
        <v>02/01/74</v>
      </c>
      <c r="G211" s="94">
        <v>31399</v>
      </c>
      <c r="H211" s="94">
        <v>40941</v>
      </c>
      <c r="I211" s="95">
        <v>31399</v>
      </c>
      <c r="J211" s="92">
        <v>0</v>
      </c>
      <c r="K211" s="91"/>
      <c r="L211" s="90"/>
    </row>
    <row r="212" spans="1:12" hidden="1" x14ac:dyDescent="0.3">
      <c r="A212" s="90">
        <v>540222</v>
      </c>
      <c r="B212" s="91" t="s">
        <v>660</v>
      </c>
      <c r="C212" s="91" t="s">
        <v>655</v>
      </c>
      <c r="D212" s="91" t="s">
        <v>2</v>
      </c>
      <c r="E212" s="90">
        <v>3</v>
      </c>
      <c r="F212" s="95">
        <v>27383</v>
      </c>
      <c r="G212" s="94">
        <v>30718</v>
      </c>
      <c r="H212" s="94">
        <v>40941</v>
      </c>
      <c r="I212" s="93" t="str">
        <f>"02/06/1984"</f>
        <v>02/06/1984</v>
      </c>
      <c r="J212" s="92">
        <v>2</v>
      </c>
      <c r="K212" s="91"/>
      <c r="L212" s="90"/>
    </row>
    <row r="213" spans="1:12" hidden="1" x14ac:dyDescent="0.3">
      <c r="A213" s="90">
        <v>540167</v>
      </c>
      <c r="B213" s="91" t="s">
        <v>659</v>
      </c>
      <c r="C213" s="91" t="s">
        <v>655</v>
      </c>
      <c r="D213" s="91" t="s">
        <v>2</v>
      </c>
      <c r="E213" s="90">
        <v>3</v>
      </c>
      <c r="F213" s="93" t="str">
        <f>"04/09/76"</f>
        <v>04/09/76</v>
      </c>
      <c r="G213" s="94">
        <v>31475</v>
      </c>
      <c r="H213" s="94">
        <v>40941</v>
      </c>
      <c r="I213" s="93" t="str">
        <f>"03/04/1986"</f>
        <v>03/04/1986</v>
      </c>
      <c r="J213" s="92">
        <v>2</v>
      </c>
      <c r="K213" s="91"/>
      <c r="L213" s="90"/>
    </row>
    <row r="214" spans="1:12" hidden="1" x14ac:dyDescent="0.3">
      <c r="A214" s="90">
        <v>540081</v>
      </c>
      <c r="B214" s="91" t="s">
        <v>658</v>
      </c>
      <c r="C214" s="91" t="s">
        <v>655</v>
      </c>
      <c r="D214" s="91" t="s">
        <v>2</v>
      </c>
      <c r="E214" s="90">
        <v>3</v>
      </c>
      <c r="F214" s="93" t="str">
        <f>"03/15/74"</f>
        <v>03/15/74</v>
      </c>
      <c r="G214" s="94">
        <v>30056</v>
      </c>
      <c r="H214" s="94">
        <v>39484</v>
      </c>
      <c r="I214" s="93" t="str">
        <f>"04/15/1982"</f>
        <v>04/15/1982</v>
      </c>
      <c r="J214" s="92">
        <v>2</v>
      </c>
      <c r="K214" s="91"/>
      <c r="L214" s="90"/>
    </row>
    <row r="215" spans="1:12" hidden="1" x14ac:dyDescent="0.3">
      <c r="A215" s="90">
        <v>540168</v>
      </c>
      <c r="B215" s="91" t="s">
        <v>657</v>
      </c>
      <c r="C215" s="91" t="s">
        <v>655</v>
      </c>
      <c r="D215" s="91" t="s">
        <v>2</v>
      </c>
      <c r="E215" s="90">
        <v>3</v>
      </c>
      <c r="F215" s="93" t="str">
        <f>"03/29/74"</f>
        <v>03/29/74</v>
      </c>
      <c r="G215" s="94">
        <v>31399</v>
      </c>
      <c r="H215" s="94">
        <v>40941</v>
      </c>
      <c r="I215" s="95">
        <v>31399</v>
      </c>
      <c r="J215" s="92">
        <v>2</v>
      </c>
      <c r="K215" s="91"/>
      <c r="L215" s="90"/>
    </row>
    <row r="216" spans="1:12" hidden="1" x14ac:dyDescent="0.3">
      <c r="A216" s="90">
        <v>540271</v>
      </c>
      <c r="B216" s="91" t="s">
        <v>656</v>
      </c>
      <c r="C216" s="91" t="s">
        <v>655</v>
      </c>
      <c r="D216" s="91" t="s">
        <v>2</v>
      </c>
      <c r="E216" s="90">
        <v>3</v>
      </c>
      <c r="F216" s="95">
        <v>27348</v>
      </c>
      <c r="G216" s="94">
        <v>31399</v>
      </c>
      <c r="H216" s="94">
        <v>40941</v>
      </c>
      <c r="I216" s="95">
        <v>31399</v>
      </c>
      <c r="J216" s="92">
        <v>2</v>
      </c>
      <c r="K216" s="91"/>
      <c r="L216" s="90"/>
    </row>
    <row r="217" spans="1:12" hidden="1" x14ac:dyDescent="0.3">
      <c r="A217" s="96">
        <v>540169</v>
      </c>
      <c r="B217" s="97" t="s">
        <v>654</v>
      </c>
      <c r="C217" s="97" t="s">
        <v>647</v>
      </c>
      <c r="D217" s="97" t="s">
        <v>29</v>
      </c>
      <c r="E217" s="96">
        <v>1</v>
      </c>
      <c r="F217" s="99" t="str">
        <f>"04/25/75"</f>
        <v>04/25/75</v>
      </c>
      <c r="G217" s="100">
        <v>31034</v>
      </c>
      <c r="H217" s="100">
        <v>39980</v>
      </c>
      <c r="I217" s="101">
        <v>31034</v>
      </c>
      <c r="J217" s="98">
        <v>1</v>
      </c>
      <c r="K217" s="97" t="s">
        <v>653</v>
      </c>
      <c r="L217" s="96" t="s">
        <v>568</v>
      </c>
    </row>
    <row r="218" spans="1:12" hidden="1" x14ac:dyDescent="0.3">
      <c r="A218" s="90">
        <v>540170</v>
      </c>
      <c r="B218" s="91" t="s">
        <v>652</v>
      </c>
      <c r="C218" s="91" t="s">
        <v>647</v>
      </c>
      <c r="D218" s="91" t="s">
        <v>2</v>
      </c>
      <c r="E218" s="90">
        <v>1</v>
      </c>
      <c r="F218" s="93" t="str">
        <f>"06/07/74"</f>
        <v>06/07/74</v>
      </c>
      <c r="G218" s="94">
        <v>30987</v>
      </c>
      <c r="H218" s="94">
        <v>38989</v>
      </c>
      <c r="I218" s="95">
        <v>30987</v>
      </c>
      <c r="J218" s="92">
        <v>2</v>
      </c>
      <c r="K218" s="91"/>
      <c r="L218" s="90"/>
    </row>
    <row r="219" spans="1:12" hidden="1" x14ac:dyDescent="0.3">
      <c r="A219" s="90">
        <v>540171</v>
      </c>
      <c r="B219" s="91" t="s">
        <v>651</v>
      </c>
      <c r="C219" s="91" t="s">
        <v>647</v>
      </c>
      <c r="D219" s="91" t="s">
        <v>2</v>
      </c>
      <c r="E219" s="90">
        <v>1</v>
      </c>
      <c r="F219" s="93" t="str">
        <f>"06/28/74"</f>
        <v>06/28/74</v>
      </c>
      <c r="G219" s="94">
        <v>32234</v>
      </c>
      <c r="H219" s="94">
        <v>38989</v>
      </c>
      <c r="I219" s="93" t="str">
        <f>"04/01/1988"</f>
        <v>04/01/1988</v>
      </c>
      <c r="J219" s="92">
        <v>2</v>
      </c>
      <c r="K219" s="91"/>
      <c r="L219" s="90"/>
    </row>
    <row r="220" spans="1:12" hidden="1" x14ac:dyDescent="0.3">
      <c r="A220" s="90">
        <v>540286</v>
      </c>
      <c r="B220" s="91" t="s">
        <v>650</v>
      </c>
      <c r="C220" s="91" t="s">
        <v>647</v>
      </c>
      <c r="D220" s="91" t="s">
        <v>2</v>
      </c>
      <c r="E220" s="90">
        <v>1</v>
      </c>
      <c r="F220" s="95">
        <v>29910</v>
      </c>
      <c r="G220" s="94">
        <v>31110</v>
      </c>
      <c r="H220" s="94">
        <v>38989</v>
      </c>
      <c r="I220" s="93" t="str">
        <f>"03/04/1985"</f>
        <v>03/04/1985</v>
      </c>
      <c r="J220" s="92">
        <v>2</v>
      </c>
      <c r="K220" s="91"/>
      <c r="L220" s="90"/>
    </row>
    <row r="221" spans="1:12" hidden="1" x14ac:dyDescent="0.3">
      <c r="A221" s="102">
        <v>540173</v>
      </c>
      <c r="B221" s="103" t="s">
        <v>649</v>
      </c>
      <c r="C221" s="103" t="s">
        <v>647</v>
      </c>
      <c r="D221" s="103" t="s">
        <v>2</v>
      </c>
      <c r="E221" s="102">
        <v>1</v>
      </c>
      <c r="F221" s="105" t="str">
        <f>"05/21/76"</f>
        <v>05/21/76</v>
      </c>
      <c r="G221" s="106">
        <v>32021</v>
      </c>
      <c r="H221" s="106">
        <v>38989</v>
      </c>
      <c r="I221" s="105" t="str">
        <f>"09/01/1987"</f>
        <v>09/01/1987</v>
      </c>
      <c r="J221" s="104">
        <v>2</v>
      </c>
      <c r="K221" s="103"/>
      <c r="L221" s="102"/>
    </row>
    <row r="222" spans="1:12" hidden="1" x14ac:dyDescent="0.3">
      <c r="A222" s="90">
        <v>540174</v>
      </c>
      <c r="B222" s="91" t="s">
        <v>648</v>
      </c>
      <c r="C222" s="91" t="s">
        <v>647</v>
      </c>
      <c r="D222" s="91" t="s">
        <v>2</v>
      </c>
      <c r="E222" s="90">
        <v>1</v>
      </c>
      <c r="F222" s="93" t="str">
        <f>"06/28/74"</f>
        <v>06/28/74</v>
      </c>
      <c r="G222" s="94">
        <v>33344</v>
      </c>
      <c r="H222" s="94">
        <v>39980</v>
      </c>
      <c r="I222" s="93" t="str">
        <f>"04/16/1991"</f>
        <v>04/16/1991</v>
      </c>
      <c r="J222" s="92">
        <v>2</v>
      </c>
      <c r="K222" s="91"/>
      <c r="L222" s="90"/>
    </row>
    <row r="223" spans="1:12" hidden="1" x14ac:dyDescent="0.3">
      <c r="A223" s="96">
        <v>540175</v>
      </c>
      <c r="B223" s="97" t="s">
        <v>646</v>
      </c>
      <c r="C223" s="97" t="s">
        <v>638</v>
      </c>
      <c r="D223" s="97" t="s">
        <v>29</v>
      </c>
      <c r="E223" s="96">
        <v>7</v>
      </c>
      <c r="F223" s="99" t="str">
        <f>"04/18/75"</f>
        <v>04/18/75</v>
      </c>
      <c r="G223" s="100">
        <v>33508</v>
      </c>
      <c r="H223" s="100">
        <v>40450</v>
      </c>
      <c r="I223" s="99" t="str">
        <f>"09/27/1991"</f>
        <v>09/27/1991</v>
      </c>
      <c r="J223" s="98">
        <v>1</v>
      </c>
      <c r="K223" s="97"/>
      <c r="L223" s="96"/>
    </row>
    <row r="224" spans="1:12" hidden="1" x14ac:dyDescent="0.3">
      <c r="A224" s="90">
        <v>540267</v>
      </c>
      <c r="B224" s="91" t="s">
        <v>645</v>
      </c>
      <c r="C224" s="91" t="s">
        <v>638</v>
      </c>
      <c r="D224" s="91" t="s">
        <v>2</v>
      </c>
      <c r="E224" s="90">
        <v>7</v>
      </c>
      <c r="F224" s="95">
        <v>27355</v>
      </c>
      <c r="G224" s="94">
        <v>33575</v>
      </c>
      <c r="H224" s="94">
        <v>40450</v>
      </c>
      <c r="I224" s="95">
        <v>33575</v>
      </c>
      <c r="J224" s="92">
        <v>1</v>
      </c>
      <c r="K224" s="91"/>
      <c r="L224" s="90"/>
    </row>
    <row r="225" spans="1:12" hidden="1" x14ac:dyDescent="0.3">
      <c r="A225" s="90">
        <v>540177</v>
      </c>
      <c r="B225" s="91" t="s">
        <v>644</v>
      </c>
      <c r="C225" s="91" t="s">
        <v>638</v>
      </c>
      <c r="D225" s="91" t="s">
        <v>2</v>
      </c>
      <c r="E225" s="90">
        <v>7</v>
      </c>
      <c r="F225" s="93" t="str">
        <f>"02/15/74"</f>
        <v>02/15/74</v>
      </c>
      <c r="G225" s="94">
        <v>31870</v>
      </c>
      <c r="H225" s="94">
        <v>40450</v>
      </c>
      <c r="I225" s="93" t="str">
        <f>"04/03/1987"</f>
        <v>04/03/1987</v>
      </c>
      <c r="J225" s="92">
        <v>1</v>
      </c>
      <c r="K225" s="91"/>
      <c r="L225" s="90"/>
    </row>
    <row r="226" spans="1:12" hidden="1" x14ac:dyDescent="0.3">
      <c r="A226" s="90">
        <v>540178</v>
      </c>
      <c r="B226" s="91" t="s">
        <v>643</v>
      </c>
      <c r="C226" s="91" t="s">
        <v>638</v>
      </c>
      <c r="D226" s="91" t="s">
        <v>2</v>
      </c>
      <c r="E226" s="90">
        <v>7</v>
      </c>
      <c r="F226" s="93" t="str">
        <f>"04/01/77"</f>
        <v>04/01/77</v>
      </c>
      <c r="G226" s="94">
        <v>30918</v>
      </c>
      <c r="H226" s="94">
        <v>40450</v>
      </c>
      <c r="I226" s="93" t="str">
        <f>"08/24/1984"</f>
        <v>08/24/1984</v>
      </c>
      <c r="J226" s="92">
        <v>1</v>
      </c>
      <c r="K226" s="91"/>
      <c r="L226" s="90"/>
    </row>
    <row r="227" spans="1:12" hidden="1" x14ac:dyDescent="0.3">
      <c r="A227" s="90">
        <v>540264</v>
      </c>
      <c r="B227" s="91" t="s">
        <v>642</v>
      </c>
      <c r="C227" s="91" t="s">
        <v>638</v>
      </c>
      <c r="D227" s="91" t="s">
        <v>2</v>
      </c>
      <c r="E227" s="90">
        <v>7</v>
      </c>
      <c r="F227" s="95">
        <v>27348</v>
      </c>
      <c r="G227" s="94">
        <v>30918</v>
      </c>
      <c r="H227" s="94">
        <v>40450</v>
      </c>
      <c r="I227" s="93" t="str">
        <f>"08/24/1984"</f>
        <v>08/24/1984</v>
      </c>
      <c r="J227" s="92">
        <v>1</v>
      </c>
      <c r="K227" s="91"/>
      <c r="L227" s="90"/>
    </row>
    <row r="228" spans="1:12" hidden="1" x14ac:dyDescent="0.3">
      <c r="A228" s="90">
        <v>540266</v>
      </c>
      <c r="B228" s="91" t="s">
        <v>641</v>
      </c>
      <c r="C228" s="91" t="s">
        <v>638</v>
      </c>
      <c r="D228" s="91" t="s">
        <v>2</v>
      </c>
      <c r="E228" s="90">
        <v>7</v>
      </c>
      <c r="F228" s="93" t="str">
        <f>"01/10/75"</f>
        <v>01/10/75</v>
      </c>
      <c r="G228" s="94">
        <v>30918</v>
      </c>
      <c r="H228" s="94">
        <v>40450</v>
      </c>
      <c r="I228" s="93" t="str">
        <f>"08/24/1984"</f>
        <v>08/24/1984</v>
      </c>
      <c r="J228" s="92">
        <v>1</v>
      </c>
      <c r="K228" s="91"/>
      <c r="L228" s="90"/>
    </row>
    <row r="229" spans="1:12" hidden="1" x14ac:dyDescent="0.3">
      <c r="A229" s="90">
        <v>540265</v>
      </c>
      <c r="B229" s="91" t="s">
        <v>640</v>
      </c>
      <c r="C229" s="91" t="s">
        <v>638</v>
      </c>
      <c r="D229" s="91" t="s">
        <v>2</v>
      </c>
      <c r="E229" s="90">
        <v>7</v>
      </c>
      <c r="F229" s="95">
        <v>27348</v>
      </c>
      <c r="G229" s="94">
        <v>30949</v>
      </c>
      <c r="H229" s="94">
        <v>40450</v>
      </c>
      <c r="I229" s="93" t="str">
        <f>"09/24/1984"</f>
        <v>09/24/1984</v>
      </c>
      <c r="J229" s="92">
        <v>1</v>
      </c>
      <c r="K229" s="91"/>
      <c r="L229" s="90"/>
    </row>
    <row r="230" spans="1:12" hidden="1" x14ac:dyDescent="0.3">
      <c r="A230" s="90">
        <v>540176</v>
      </c>
      <c r="B230" s="91" t="s">
        <v>639</v>
      </c>
      <c r="C230" s="91" t="s">
        <v>638</v>
      </c>
      <c r="D230" s="91" t="s">
        <v>2</v>
      </c>
      <c r="E230" s="90">
        <v>7</v>
      </c>
      <c r="F230" s="93" t="str">
        <f>"08/09/74"</f>
        <v>08/09/74</v>
      </c>
      <c r="G230" s="94">
        <v>30935</v>
      </c>
      <c r="H230" s="94">
        <v>40450</v>
      </c>
      <c r="I230" s="93" t="str">
        <f>"09/10/1984"</f>
        <v>09/10/1984</v>
      </c>
      <c r="J230" s="92">
        <v>1</v>
      </c>
      <c r="K230" s="91"/>
      <c r="L230" s="90"/>
    </row>
    <row r="231" spans="1:12" hidden="1" x14ac:dyDescent="0.3">
      <c r="A231" s="96">
        <v>540224</v>
      </c>
      <c r="B231" s="97" t="s">
        <v>637</v>
      </c>
      <c r="C231" s="97" t="s">
        <v>630</v>
      </c>
      <c r="D231" s="97" t="s">
        <v>29</v>
      </c>
      <c r="E231" s="96">
        <v>5</v>
      </c>
      <c r="F231" s="99" t="str">
        <f>"04/25/75"</f>
        <v>04/25/75</v>
      </c>
      <c r="G231" s="100">
        <v>33239</v>
      </c>
      <c r="H231" s="100">
        <v>40941</v>
      </c>
      <c r="I231" s="99" t="str">
        <f>"01/01/1991"</f>
        <v>01/01/1991</v>
      </c>
      <c r="J231" s="98">
        <v>2</v>
      </c>
      <c r="K231" s="97"/>
      <c r="L231" s="96"/>
    </row>
    <row r="232" spans="1:12" hidden="1" x14ac:dyDescent="0.3">
      <c r="A232" s="90">
        <v>540262</v>
      </c>
      <c r="B232" s="91" t="s">
        <v>636</v>
      </c>
      <c r="C232" s="91" t="s">
        <v>630</v>
      </c>
      <c r="D232" s="91" t="s">
        <v>2</v>
      </c>
      <c r="E232" s="90">
        <v>5</v>
      </c>
      <c r="F232" s="93" t="str">
        <f>"01/24/74"</f>
        <v>01/24/74</v>
      </c>
      <c r="G232" s="94">
        <v>30949</v>
      </c>
      <c r="H232" s="94">
        <v>40941</v>
      </c>
      <c r="I232" s="93" t="str">
        <f>"09/24/1984"</f>
        <v>09/24/1984</v>
      </c>
      <c r="J232" s="92">
        <v>2</v>
      </c>
      <c r="K232" s="91"/>
      <c r="L232" s="90"/>
    </row>
    <row r="233" spans="1:12" hidden="1" x14ac:dyDescent="0.3">
      <c r="A233" s="90">
        <v>540179</v>
      </c>
      <c r="B233" s="91" t="s">
        <v>635</v>
      </c>
      <c r="C233" s="91" t="s">
        <v>630</v>
      </c>
      <c r="D233" s="91" t="s">
        <v>2</v>
      </c>
      <c r="E233" s="90">
        <v>5</v>
      </c>
      <c r="F233" s="93" t="str">
        <f>"08/09/74"</f>
        <v>08/09/74</v>
      </c>
      <c r="G233" s="94">
        <v>33315</v>
      </c>
      <c r="H233" s="94">
        <v>40941</v>
      </c>
      <c r="I233" s="93" t="str">
        <f>"03/18/1991"</f>
        <v>03/18/1991</v>
      </c>
      <c r="J233" s="92">
        <v>2</v>
      </c>
      <c r="K233" s="91"/>
      <c r="L233" s="90"/>
    </row>
    <row r="234" spans="1:12" hidden="1" x14ac:dyDescent="0.3">
      <c r="A234" s="90">
        <v>540180</v>
      </c>
      <c r="B234" s="91" t="s">
        <v>634</v>
      </c>
      <c r="C234" s="91" t="s">
        <v>630</v>
      </c>
      <c r="D234" s="91" t="s">
        <v>2</v>
      </c>
      <c r="E234" s="90">
        <v>5</v>
      </c>
      <c r="F234" s="93" t="str">
        <f>"08/09/74"</f>
        <v>08/09/74</v>
      </c>
      <c r="G234" s="94">
        <v>30918</v>
      </c>
      <c r="H234" s="94">
        <v>40941</v>
      </c>
      <c r="I234" s="93" t="str">
        <f>"08/24/1984"</f>
        <v>08/24/1984</v>
      </c>
      <c r="J234" s="92">
        <v>2</v>
      </c>
      <c r="K234" s="91"/>
      <c r="L234" s="90"/>
    </row>
    <row r="235" spans="1:12" hidden="1" x14ac:dyDescent="0.3">
      <c r="A235" s="90">
        <v>540132</v>
      </c>
      <c r="B235" s="91" t="s">
        <v>633</v>
      </c>
      <c r="C235" s="91" t="s">
        <v>630</v>
      </c>
      <c r="D235" s="91" t="s">
        <v>2</v>
      </c>
      <c r="E235" s="90">
        <v>5</v>
      </c>
      <c r="F235" s="93" t="str">
        <f>"01/31/75"</f>
        <v>01/31/75</v>
      </c>
      <c r="G235" s="94">
        <v>38755</v>
      </c>
      <c r="H235" s="94">
        <v>40941</v>
      </c>
      <c r="I235" s="93" t="str">
        <f>"02/07/1906"</f>
        <v>02/07/1906</v>
      </c>
      <c r="J235" s="92">
        <v>2</v>
      </c>
      <c r="K235" s="91"/>
      <c r="L235" s="90"/>
    </row>
    <row r="236" spans="1:12" hidden="1" x14ac:dyDescent="0.3">
      <c r="A236" s="90">
        <v>540182</v>
      </c>
      <c r="B236" s="91" t="s">
        <v>632</v>
      </c>
      <c r="C236" s="91" t="s">
        <v>630</v>
      </c>
      <c r="D236" s="91" t="s">
        <v>2</v>
      </c>
      <c r="E236" s="90">
        <v>5</v>
      </c>
      <c r="F236" s="93" t="str">
        <f>"05/31/74"</f>
        <v>05/31/74</v>
      </c>
      <c r="G236" s="94">
        <v>32402</v>
      </c>
      <c r="H236" s="94">
        <v>40941</v>
      </c>
      <c r="I236" s="93" t="str">
        <f>"09/16/1988"</f>
        <v>09/16/1988</v>
      </c>
      <c r="J236" s="92">
        <v>2</v>
      </c>
      <c r="K236" s="91"/>
      <c r="L236" s="90"/>
    </row>
    <row r="237" spans="1:12" hidden="1" x14ac:dyDescent="0.3">
      <c r="A237" s="90">
        <v>540263</v>
      </c>
      <c r="B237" s="91" t="s">
        <v>631</v>
      </c>
      <c r="C237" s="91" t="s">
        <v>630</v>
      </c>
      <c r="D237" s="91" t="s">
        <v>2</v>
      </c>
      <c r="E237" s="90">
        <v>5</v>
      </c>
      <c r="F237" s="93" t="str">
        <f>"02/25/77"</f>
        <v>02/25/77</v>
      </c>
      <c r="G237" s="94">
        <v>30935</v>
      </c>
      <c r="H237" s="94">
        <v>40941</v>
      </c>
      <c r="I237" s="93" t="str">
        <f>"09/10/1984"</f>
        <v>09/10/1984</v>
      </c>
      <c r="J237" s="92">
        <v>2</v>
      </c>
      <c r="K237" s="91"/>
      <c r="L237" s="90"/>
    </row>
    <row r="238" spans="1:12" hidden="1" x14ac:dyDescent="0.3">
      <c r="A238" s="96">
        <v>540183</v>
      </c>
      <c r="B238" s="97" t="s">
        <v>629</v>
      </c>
      <c r="C238" s="97" t="s">
        <v>626</v>
      </c>
      <c r="D238" s="97" t="s">
        <v>29</v>
      </c>
      <c r="E238" s="96">
        <v>5</v>
      </c>
      <c r="F238" s="99" t="str">
        <f>"04/25/75"</f>
        <v>04/25/75</v>
      </c>
      <c r="G238" s="100">
        <v>30935</v>
      </c>
      <c r="H238" s="100">
        <v>40970</v>
      </c>
      <c r="I238" s="99" t="str">
        <f>"09/10/1984"</f>
        <v>09/10/1984</v>
      </c>
      <c r="J238" s="98">
        <v>2</v>
      </c>
      <c r="K238" s="97"/>
      <c r="L238" s="96"/>
    </row>
    <row r="239" spans="1:12" hidden="1" x14ac:dyDescent="0.3">
      <c r="A239" s="90">
        <v>540184</v>
      </c>
      <c r="B239" s="91" t="s">
        <v>628</v>
      </c>
      <c r="C239" s="91" t="s">
        <v>626</v>
      </c>
      <c r="D239" s="91" t="s">
        <v>2</v>
      </c>
      <c r="E239" s="90">
        <v>5</v>
      </c>
      <c r="F239" s="93" t="str">
        <f>"08/09/74"</f>
        <v>08/09/74</v>
      </c>
      <c r="G239" s="94">
        <v>28825</v>
      </c>
      <c r="H239" s="94">
        <v>40970</v>
      </c>
      <c r="I239" s="95">
        <v>28825</v>
      </c>
      <c r="J239" s="92">
        <v>2</v>
      </c>
      <c r="K239" s="91"/>
      <c r="L239" s="90"/>
    </row>
    <row r="240" spans="1:12" hidden="1" x14ac:dyDescent="0.3">
      <c r="A240" s="90">
        <v>540185</v>
      </c>
      <c r="B240" s="91" t="s">
        <v>627</v>
      </c>
      <c r="C240" s="91" t="s">
        <v>626</v>
      </c>
      <c r="D240" s="91" t="s">
        <v>2</v>
      </c>
      <c r="E240" s="90">
        <v>5</v>
      </c>
      <c r="F240" s="93" t="str">
        <f>"06/28/74"</f>
        <v>06/28/74</v>
      </c>
      <c r="G240" s="94">
        <v>28858</v>
      </c>
      <c r="H240" s="94">
        <v>40970</v>
      </c>
      <c r="I240" s="93" t="str">
        <f>"01/03/1979"</f>
        <v>01/03/1979</v>
      </c>
      <c r="J240" s="92">
        <v>2</v>
      </c>
      <c r="K240" s="91"/>
      <c r="L240" s="90"/>
    </row>
    <row r="241" spans="1:12" hidden="1" x14ac:dyDescent="0.3">
      <c r="A241" s="96">
        <v>540186</v>
      </c>
      <c r="B241" s="97" t="s">
        <v>625</v>
      </c>
      <c r="C241" s="97" t="s">
        <v>623</v>
      </c>
      <c r="D241" s="97" t="s">
        <v>29</v>
      </c>
      <c r="E241" s="96">
        <v>1</v>
      </c>
      <c r="F241" s="99" t="str">
        <f>"01/03/75"</f>
        <v>01/03/75</v>
      </c>
      <c r="G241" s="100">
        <v>29530</v>
      </c>
      <c r="H241" s="100">
        <v>40212</v>
      </c>
      <c r="I241" s="101">
        <v>29530</v>
      </c>
      <c r="J241" s="98">
        <v>2</v>
      </c>
      <c r="K241" s="97" t="s">
        <v>569</v>
      </c>
      <c r="L241" s="96" t="s">
        <v>592</v>
      </c>
    </row>
    <row r="242" spans="1:12" hidden="1" x14ac:dyDescent="0.3">
      <c r="A242" s="90">
        <v>540187</v>
      </c>
      <c r="B242" s="91" t="s">
        <v>624</v>
      </c>
      <c r="C242" s="91" t="s">
        <v>623</v>
      </c>
      <c r="D242" s="91" t="s">
        <v>2</v>
      </c>
      <c r="E242" s="90">
        <v>1</v>
      </c>
      <c r="F242" s="93" t="str">
        <f>"05/31/74"</f>
        <v>05/31/74</v>
      </c>
      <c r="G242" s="94">
        <v>29068</v>
      </c>
      <c r="H242" s="94">
        <v>40212</v>
      </c>
      <c r="I242" s="93" t="str">
        <f>"08/01/1979"</f>
        <v>08/01/1979</v>
      </c>
      <c r="J242" s="92">
        <v>2</v>
      </c>
      <c r="K242" s="91" t="s">
        <v>569</v>
      </c>
      <c r="L242" s="90" t="s">
        <v>592</v>
      </c>
    </row>
    <row r="243" spans="1:12" hidden="1" x14ac:dyDescent="0.3">
      <c r="A243" s="96">
        <v>540188</v>
      </c>
      <c r="B243" s="97" t="s">
        <v>622</v>
      </c>
      <c r="C243" s="97" t="s">
        <v>619</v>
      </c>
      <c r="D243" s="97" t="s">
        <v>29</v>
      </c>
      <c r="E243" s="96">
        <v>6</v>
      </c>
      <c r="F243" s="101">
        <v>27376</v>
      </c>
      <c r="G243" s="100">
        <v>31959</v>
      </c>
      <c r="H243" s="100">
        <v>40757</v>
      </c>
      <c r="I243" s="99" t="str">
        <f>"07/01/1987"</f>
        <v>07/01/1987</v>
      </c>
      <c r="J243" s="98">
        <v>2</v>
      </c>
      <c r="K243" s="97"/>
      <c r="L243" s="96"/>
    </row>
    <row r="244" spans="1:12" hidden="1" x14ac:dyDescent="0.3">
      <c r="A244" s="90">
        <v>540189</v>
      </c>
      <c r="B244" s="91" t="s">
        <v>621</v>
      </c>
      <c r="C244" s="91" t="s">
        <v>619</v>
      </c>
      <c r="D244" s="91" t="s">
        <v>2</v>
      </c>
      <c r="E244" s="90">
        <v>6</v>
      </c>
      <c r="F244" s="93" t="str">
        <f>"08/09/74"</f>
        <v>08/09/74</v>
      </c>
      <c r="G244" s="94">
        <v>40081</v>
      </c>
      <c r="H244" s="94">
        <v>40757</v>
      </c>
      <c r="I244" s="95">
        <v>28850</v>
      </c>
      <c r="J244" s="92">
        <v>2</v>
      </c>
      <c r="K244" s="91"/>
      <c r="L244" s="90"/>
    </row>
    <row r="245" spans="1:12" hidden="1" x14ac:dyDescent="0.3">
      <c r="A245" s="90">
        <v>540190</v>
      </c>
      <c r="B245" s="91" t="s">
        <v>620</v>
      </c>
      <c r="C245" s="91" t="s">
        <v>619</v>
      </c>
      <c r="D245" s="91" t="s">
        <v>2</v>
      </c>
      <c r="E245" s="90">
        <v>6</v>
      </c>
      <c r="F245" s="93" t="str">
        <f>"06/28/74"</f>
        <v>06/28/74</v>
      </c>
      <c r="G245" s="94">
        <v>31990</v>
      </c>
      <c r="H245" s="94">
        <v>40081</v>
      </c>
      <c r="I245" s="93" t="str">
        <f>"08/01/1987"</f>
        <v>08/01/1987</v>
      </c>
      <c r="J245" s="92">
        <v>2</v>
      </c>
      <c r="K245" s="91"/>
      <c r="L245" s="90"/>
    </row>
    <row r="246" spans="1:12" hidden="1" x14ac:dyDescent="0.3">
      <c r="A246" s="96">
        <v>540191</v>
      </c>
      <c r="B246" s="97" t="s">
        <v>618</v>
      </c>
      <c r="C246" s="97" t="s">
        <v>612</v>
      </c>
      <c r="D246" s="97" t="s">
        <v>29</v>
      </c>
      <c r="E246" s="96">
        <v>7</v>
      </c>
      <c r="F246" s="101">
        <v>27376</v>
      </c>
      <c r="G246" s="100">
        <v>31959</v>
      </c>
      <c r="H246" s="100">
        <v>40365</v>
      </c>
      <c r="I246" s="99" t="str">
        <f>"07/01/1987"</f>
        <v>07/01/1987</v>
      </c>
      <c r="J246" s="98">
        <v>2</v>
      </c>
      <c r="K246" s="97"/>
      <c r="L246" s="96"/>
    </row>
    <row r="247" spans="1:12" hidden="1" x14ac:dyDescent="0.3">
      <c r="A247" s="90">
        <v>540260</v>
      </c>
      <c r="B247" s="91" t="s">
        <v>617</v>
      </c>
      <c r="C247" s="91" t="s">
        <v>612</v>
      </c>
      <c r="D247" s="91" t="s">
        <v>2</v>
      </c>
      <c r="E247" s="90">
        <v>7</v>
      </c>
      <c r="F247" s="95">
        <v>27355</v>
      </c>
      <c r="G247" s="94">
        <v>30883</v>
      </c>
      <c r="H247" s="94">
        <v>40365</v>
      </c>
      <c r="I247" s="93" t="str">
        <f>"07/20/1984"</f>
        <v>07/20/1984</v>
      </c>
      <c r="J247" s="92">
        <v>2</v>
      </c>
      <c r="K247" s="91"/>
      <c r="L247" s="90"/>
    </row>
    <row r="248" spans="1:12" hidden="1" x14ac:dyDescent="0.3">
      <c r="A248" s="90">
        <v>540192</v>
      </c>
      <c r="B248" s="91" t="s">
        <v>616</v>
      </c>
      <c r="C248" s="91" t="s">
        <v>612</v>
      </c>
      <c r="D248" s="91" t="s">
        <v>2</v>
      </c>
      <c r="E248" s="90">
        <v>7</v>
      </c>
      <c r="F248" s="93" t="str">
        <f>"02/01/74"</f>
        <v>02/01/74</v>
      </c>
      <c r="G248" s="94">
        <v>30883</v>
      </c>
      <c r="H248" s="94">
        <v>40365</v>
      </c>
      <c r="I248" s="93" t="str">
        <f>"07/20/1984"</f>
        <v>07/20/1984</v>
      </c>
      <c r="J248" s="92">
        <v>2</v>
      </c>
      <c r="K248" s="91"/>
      <c r="L248" s="90"/>
    </row>
    <row r="249" spans="1:12" hidden="1" x14ac:dyDescent="0.3">
      <c r="A249" s="90">
        <v>540193</v>
      </c>
      <c r="B249" s="91" t="s">
        <v>615</v>
      </c>
      <c r="C249" s="91" t="s">
        <v>612</v>
      </c>
      <c r="D249" s="91" t="s">
        <v>2</v>
      </c>
      <c r="E249" s="90">
        <v>7</v>
      </c>
      <c r="F249" s="95">
        <v>27390</v>
      </c>
      <c r="G249" s="94">
        <v>31990</v>
      </c>
      <c r="H249" s="94">
        <v>40365</v>
      </c>
      <c r="I249" s="93" t="str">
        <f>"08/01/1987"</f>
        <v>08/01/1987</v>
      </c>
      <c r="J249" s="92">
        <v>2</v>
      </c>
      <c r="K249" s="91"/>
      <c r="L249" s="90"/>
    </row>
    <row r="250" spans="1:12" hidden="1" x14ac:dyDescent="0.3">
      <c r="A250" s="90">
        <v>540194</v>
      </c>
      <c r="B250" s="91" t="s">
        <v>614</v>
      </c>
      <c r="C250" s="91" t="s">
        <v>612</v>
      </c>
      <c r="D250" s="91" t="s">
        <v>2</v>
      </c>
      <c r="E250" s="90">
        <v>7</v>
      </c>
      <c r="F250" s="93" t="str">
        <f>"02/08/74"</f>
        <v>02/08/74</v>
      </c>
      <c r="G250" s="94">
        <v>29082</v>
      </c>
      <c r="H250" s="94">
        <v>40365</v>
      </c>
      <c r="I250" s="93" t="str">
        <f>"08/15/1979"</f>
        <v>08/15/1979</v>
      </c>
      <c r="J250" s="92">
        <v>2</v>
      </c>
      <c r="K250" s="91"/>
      <c r="L250" s="90"/>
    </row>
    <row r="251" spans="1:12" hidden="1" x14ac:dyDescent="0.3">
      <c r="A251" s="90">
        <v>540261</v>
      </c>
      <c r="B251" s="91" t="s">
        <v>613</v>
      </c>
      <c r="C251" s="91" t="s">
        <v>612</v>
      </c>
      <c r="D251" s="91" t="s">
        <v>2</v>
      </c>
      <c r="E251" s="90">
        <v>7</v>
      </c>
      <c r="F251" s="95">
        <v>27383</v>
      </c>
      <c r="G251" s="94">
        <v>30935</v>
      </c>
      <c r="H251" s="94">
        <v>40365</v>
      </c>
      <c r="I251" s="93" t="str">
        <f>"09/10/1984"</f>
        <v>09/10/1984</v>
      </c>
      <c r="J251" s="92">
        <v>2</v>
      </c>
      <c r="K251" s="91"/>
      <c r="L251" s="90"/>
    </row>
    <row r="252" spans="1:12" hidden="1" x14ac:dyDescent="0.3">
      <c r="A252" s="96">
        <v>540277</v>
      </c>
      <c r="B252" s="97" t="s">
        <v>611</v>
      </c>
      <c r="C252" s="97" t="s">
        <v>607</v>
      </c>
      <c r="D252" s="97" t="s">
        <v>29</v>
      </c>
      <c r="E252" s="96">
        <v>5</v>
      </c>
      <c r="F252" s="101">
        <v>27383</v>
      </c>
      <c r="G252" s="100">
        <v>32451</v>
      </c>
      <c r="H252" s="100">
        <v>40301</v>
      </c>
      <c r="I252" s="101">
        <v>32451</v>
      </c>
      <c r="J252" s="98">
        <v>2</v>
      </c>
      <c r="K252" s="97"/>
      <c r="L252" s="96"/>
    </row>
    <row r="253" spans="1:12" hidden="1" x14ac:dyDescent="0.3">
      <c r="A253" s="90">
        <v>540259</v>
      </c>
      <c r="B253" s="91" t="s">
        <v>610</v>
      </c>
      <c r="C253" s="91" t="s">
        <v>607</v>
      </c>
      <c r="D253" s="91" t="s">
        <v>2</v>
      </c>
      <c r="E253" s="90">
        <v>5</v>
      </c>
      <c r="F253" s="95">
        <v>27362</v>
      </c>
      <c r="G253" s="94">
        <v>32451</v>
      </c>
      <c r="H253" s="94">
        <v>40301</v>
      </c>
      <c r="I253" s="95">
        <v>32451</v>
      </c>
      <c r="J253" s="92">
        <v>2</v>
      </c>
      <c r="K253" s="91"/>
      <c r="L253" s="90"/>
    </row>
    <row r="254" spans="1:12" hidden="1" x14ac:dyDescent="0.3">
      <c r="A254" s="90">
        <v>540195</v>
      </c>
      <c r="B254" s="91" t="s">
        <v>609</v>
      </c>
      <c r="C254" s="91" t="s">
        <v>607</v>
      </c>
      <c r="D254" s="91" t="s">
        <v>2</v>
      </c>
      <c r="E254" s="90">
        <v>5</v>
      </c>
      <c r="F254" s="93" t="str">
        <f>"05/24/74"</f>
        <v>05/24/74</v>
      </c>
      <c r="G254" s="94">
        <v>32451</v>
      </c>
      <c r="H254" s="94">
        <v>40301</v>
      </c>
      <c r="I254" s="95">
        <v>32451</v>
      </c>
      <c r="J254" s="92">
        <v>2</v>
      </c>
      <c r="K254" s="91"/>
      <c r="L254" s="90"/>
    </row>
    <row r="255" spans="1:12" hidden="1" x14ac:dyDescent="0.3">
      <c r="A255" s="90">
        <v>540197</v>
      </c>
      <c r="B255" s="91" t="s">
        <v>608</v>
      </c>
      <c r="C255" s="91" t="s">
        <v>607</v>
      </c>
      <c r="D255" s="91" t="s">
        <v>2</v>
      </c>
      <c r="E255" s="90">
        <v>5</v>
      </c>
      <c r="F255" s="93" t="str">
        <f>"06/21/74"</f>
        <v>06/21/74</v>
      </c>
      <c r="G255" s="94">
        <v>32451</v>
      </c>
      <c r="H255" s="94">
        <v>40301</v>
      </c>
      <c r="I255" s="95">
        <v>32451</v>
      </c>
      <c r="J255" s="92">
        <v>2</v>
      </c>
      <c r="K255" s="91"/>
      <c r="L255" s="90"/>
    </row>
    <row r="256" spans="1:12" hidden="1" x14ac:dyDescent="0.3">
      <c r="A256" s="96">
        <v>540198</v>
      </c>
      <c r="B256" s="97" t="s">
        <v>606</v>
      </c>
      <c r="C256" s="97" t="s">
        <v>604</v>
      </c>
      <c r="D256" s="97" t="s">
        <v>29</v>
      </c>
      <c r="E256" s="96">
        <v>7</v>
      </c>
      <c r="F256" s="99" t="str">
        <f>"01/17/75"</f>
        <v>01/17/75</v>
      </c>
      <c r="G256" s="100">
        <v>31959</v>
      </c>
      <c r="H256" s="100">
        <v>40450</v>
      </c>
      <c r="I256" s="99" t="str">
        <f>"07/01/1987"</f>
        <v>07/01/1987</v>
      </c>
      <c r="J256" s="98">
        <v>2</v>
      </c>
      <c r="K256" s="97"/>
      <c r="L256" s="96"/>
    </row>
    <row r="257" spans="1:12" hidden="1" x14ac:dyDescent="0.3">
      <c r="A257" s="90">
        <v>540199</v>
      </c>
      <c r="B257" s="91" t="s">
        <v>605</v>
      </c>
      <c r="C257" s="91" t="s">
        <v>604</v>
      </c>
      <c r="D257" s="91" t="s">
        <v>2</v>
      </c>
      <c r="E257" s="90">
        <v>7</v>
      </c>
      <c r="F257" s="93" t="str">
        <f>"06/28/74"</f>
        <v>06/28/74</v>
      </c>
      <c r="G257" s="94">
        <v>31659</v>
      </c>
      <c r="H257" s="94">
        <v>40450</v>
      </c>
      <c r="I257" s="93" t="str">
        <f>"09/04/1986"</f>
        <v>09/04/1986</v>
      </c>
      <c r="J257" s="92">
        <v>1.5</v>
      </c>
      <c r="K257" s="91"/>
      <c r="L257" s="90"/>
    </row>
    <row r="258" spans="1:12" x14ac:dyDescent="0.3">
      <c r="A258" s="96">
        <v>540200</v>
      </c>
      <c r="B258" s="97" t="s">
        <v>603</v>
      </c>
      <c r="C258" s="97" t="s">
        <v>597</v>
      </c>
      <c r="D258" s="97" t="s">
        <v>29</v>
      </c>
      <c r="E258" s="96">
        <v>2</v>
      </c>
      <c r="F258" s="99" t="str">
        <f>"02/21/75"</f>
        <v>02/21/75</v>
      </c>
      <c r="G258" s="100">
        <v>32038</v>
      </c>
      <c r="H258" s="100">
        <v>42615</v>
      </c>
      <c r="I258" s="99" t="str">
        <f>"09/18/1987"</f>
        <v>09/18/1987</v>
      </c>
      <c r="J258" s="98">
        <v>2</v>
      </c>
      <c r="K258" s="97" t="s">
        <v>569</v>
      </c>
      <c r="L258" s="96" t="s">
        <v>568</v>
      </c>
    </row>
    <row r="259" spans="1:12" x14ac:dyDescent="0.3">
      <c r="A259" s="90">
        <v>540232</v>
      </c>
      <c r="B259" s="91" t="s">
        <v>602</v>
      </c>
      <c r="C259" s="91" t="s">
        <v>597</v>
      </c>
      <c r="D259" s="91" t="s">
        <v>2</v>
      </c>
      <c r="E259" s="90">
        <v>2</v>
      </c>
      <c r="F259" s="93" t="str">
        <f>"01/03/75"</f>
        <v>01/03/75</v>
      </c>
      <c r="G259" s="94">
        <v>32645</v>
      </c>
      <c r="H259" s="94">
        <v>42615</v>
      </c>
      <c r="I259" s="93" t="str">
        <f>"05/17/1989"</f>
        <v>05/17/1989</v>
      </c>
      <c r="J259" s="92">
        <v>2</v>
      </c>
      <c r="K259" s="91" t="s">
        <v>569</v>
      </c>
      <c r="L259" s="90" t="s">
        <v>568</v>
      </c>
    </row>
    <row r="260" spans="1:12" x14ac:dyDescent="0.3">
      <c r="A260" s="90">
        <v>540202</v>
      </c>
      <c r="B260" s="91" t="s">
        <v>601</v>
      </c>
      <c r="C260" s="91" t="s">
        <v>597</v>
      </c>
      <c r="D260" s="91" t="s">
        <v>2</v>
      </c>
      <c r="E260" s="90">
        <v>2</v>
      </c>
      <c r="F260" s="93" t="str">
        <f>"09/13/74"</f>
        <v>09/13/74</v>
      </c>
      <c r="G260" s="94">
        <v>28858</v>
      </c>
      <c r="H260" s="94">
        <v>42615</v>
      </c>
      <c r="I260" s="93" t="str">
        <f>"01/03/1979"</f>
        <v>01/03/1979</v>
      </c>
      <c r="J260" s="92">
        <v>2</v>
      </c>
      <c r="K260" s="91" t="s">
        <v>569</v>
      </c>
      <c r="L260" s="90" t="s">
        <v>568</v>
      </c>
    </row>
    <row r="261" spans="1:12" x14ac:dyDescent="0.3">
      <c r="A261" s="90">
        <v>540018</v>
      </c>
      <c r="B261" s="91" t="s">
        <v>600</v>
      </c>
      <c r="C261" s="91" t="s">
        <v>597</v>
      </c>
      <c r="D261" s="91" t="s">
        <v>2</v>
      </c>
      <c r="E261" s="90">
        <v>2</v>
      </c>
      <c r="F261" s="93" t="str">
        <f>"05/06/77"</f>
        <v>05/06/77</v>
      </c>
      <c r="G261" s="94">
        <v>32890</v>
      </c>
      <c r="H261" s="94">
        <v>41689</v>
      </c>
      <c r="I261" s="93" t="str">
        <f>"08/17/1981"</f>
        <v>08/17/1981</v>
      </c>
      <c r="J261" s="92">
        <v>2</v>
      </c>
      <c r="K261" s="91" t="s">
        <v>569</v>
      </c>
      <c r="L261" s="90" t="s">
        <v>568</v>
      </c>
    </row>
    <row r="262" spans="1:12" x14ac:dyDescent="0.3">
      <c r="A262" s="90">
        <v>540221</v>
      </c>
      <c r="B262" s="91" t="s">
        <v>599</v>
      </c>
      <c r="C262" s="91" t="s">
        <v>597</v>
      </c>
      <c r="D262" s="91" t="s">
        <v>2</v>
      </c>
      <c r="E262" s="90">
        <v>2</v>
      </c>
      <c r="F262" s="93" t="str">
        <f>"05/03/74"</f>
        <v>05/03/74</v>
      </c>
      <c r="G262" s="94">
        <v>32645</v>
      </c>
      <c r="H262" s="94">
        <v>42615</v>
      </c>
      <c r="I262" s="93" t="str">
        <f>"05/17/1989"</f>
        <v>05/17/1989</v>
      </c>
      <c r="J262" s="92">
        <v>2</v>
      </c>
      <c r="K262" s="91" t="s">
        <v>569</v>
      </c>
      <c r="L262" s="90" t="s">
        <v>568</v>
      </c>
    </row>
    <row r="263" spans="1:12" x14ac:dyDescent="0.3">
      <c r="A263" s="90">
        <v>540231</v>
      </c>
      <c r="B263" s="91" t="s">
        <v>598</v>
      </c>
      <c r="C263" s="91" t="s">
        <v>597</v>
      </c>
      <c r="D263" s="91" t="s">
        <v>2</v>
      </c>
      <c r="E263" s="90">
        <v>2</v>
      </c>
      <c r="F263" s="93" t="str">
        <f>"01/10/75"</f>
        <v>01/10/75</v>
      </c>
      <c r="G263" s="94">
        <v>32050</v>
      </c>
      <c r="H263" s="94">
        <v>41276</v>
      </c>
      <c r="I263" s="93" t="str">
        <f>"09/30/1987"</f>
        <v>09/30/1987</v>
      </c>
      <c r="J263" s="92">
        <v>2</v>
      </c>
      <c r="K263" s="91" t="s">
        <v>569</v>
      </c>
      <c r="L263" s="90" t="s">
        <v>568</v>
      </c>
    </row>
    <row r="264" spans="1:12" hidden="1" x14ac:dyDescent="0.3">
      <c r="A264" s="96">
        <v>540203</v>
      </c>
      <c r="B264" s="97" t="s">
        <v>596</v>
      </c>
      <c r="C264" s="97" t="s">
        <v>590</v>
      </c>
      <c r="D264" s="97" t="s">
        <v>29</v>
      </c>
      <c r="E264" s="96">
        <v>4</v>
      </c>
      <c r="F264" s="101">
        <v>27376</v>
      </c>
      <c r="G264" s="100">
        <v>32920</v>
      </c>
      <c r="H264" s="100">
        <v>40914</v>
      </c>
      <c r="I264" s="99" t="str">
        <f>"02/16/1990"</f>
        <v>02/16/1990</v>
      </c>
      <c r="J264" s="98">
        <v>2</v>
      </c>
      <c r="K264" s="97" t="s">
        <v>595</v>
      </c>
      <c r="L264" s="96" t="s">
        <v>592</v>
      </c>
    </row>
    <row r="265" spans="1:12" hidden="1" x14ac:dyDescent="0.3">
      <c r="A265" s="90">
        <v>540205</v>
      </c>
      <c r="B265" s="91" t="s">
        <v>594</v>
      </c>
      <c r="C265" s="91" t="s">
        <v>590</v>
      </c>
      <c r="D265" s="91" t="s">
        <v>2</v>
      </c>
      <c r="E265" s="90">
        <v>4</v>
      </c>
      <c r="F265" s="93" t="str">
        <f>"08/09/74"</f>
        <v>08/09/74</v>
      </c>
      <c r="G265" s="94">
        <v>30918</v>
      </c>
      <c r="H265" s="94">
        <v>40914</v>
      </c>
      <c r="I265" s="93" t="str">
        <f>"08/24/1984"</f>
        <v>08/24/1984</v>
      </c>
      <c r="J265" s="92">
        <v>2</v>
      </c>
      <c r="K265" s="91" t="s">
        <v>593</v>
      </c>
      <c r="L265" s="90" t="s">
        <v>592</v>
      </c>
    </row>
    <row r="266" spans="1:12" hidden="1" x14ac:dyDescent="0.3">
      <c r="A266" s="90">
        <v>540206</v>
      </c>
      <c r="B266" s="91" t="s">
        <v>591</v>
      </c>
      <c r="C266" s="91" t="s">
        <v>590</v>
      </c>
      <c r="D266" s="91" t="s">
        <v>2</v>
      </c>
      <c r="E266" s="90">
        <v>4</v>
      </c>
      <c r="F266" s="93" t="str">
        <f>"08/09/74"</f>
        <v>08/09/74</v>
      </c>
      <c r="G266" s="94">
        <v>30918</v>
      </c>
      <c r="H266" s="94">
        <v>40914</v>
      </c>
      <c r="I266" s="93" t="str">
        <f>"08/24/1984"</f>
        <v>08/24/1984</v>
      </c>
      <c r="J266" s="92">
        <v>2</v>
      </c>
      <c r="K266" s="91"/>
      <c r="L266" s="90"/>
    </row>
    <row r="267" spans="1:12" hidden="1" x14ac:dyDescent="0.3">
      <c r="A267" s="96">
        <v>540207</v>
      </c>
      <c r="B267" s="97" t="s">
        <v>589</v>
      </c>
      <c r="C267" s="97" t="s">
        <v>583</v>
      </c>
      <c r="D267" s="97" t="s">
        <v>29</v>
      </c>
      <c r="E267" s="96">
        <v>10</v>
      </c>
      <c r="F267" s="101">
        <v>27383</v>
      </c>
      <c r="G267" s="100">
        <v>30410</v>
      </c>
      <c r="H267" s="100">
        <v>40081</v>
      </c>
      <c r="I267" s="99" t="str">
        <f>"04/04/1983"</f>
        <v>04/04/1983</v>
      </c>
      <c r="J267" s="98">
        <v>2</v>
      </c>
      <c r="K267" s="97"/>
      <c r="L267" s="96"/>
    </row>
    <row r="268" spans="1:12" hidden="1" x14ac:dyDescent="0.3">
      <c r="A268" s="90">
        <v>540256</v>
      </c>
      <c r="B268" s="91" t="s">
        <v>588</v>
      </c>
      <c r="C268" s="91" t="s">
        <v>583</v>
      </c>
      <c r="D268" s="91" t="s">
        <v>2</v>
      </c>
      <c r="E268" s="90">
        <v>10</v>
      </c>
      <c r="F268" s="95">
        <v>27355</v>
      </c>
      <c r="G268" s="94">
        <v>32234</v>
      </c>
      <c r="H268" s="94">
        <v>40081</v>
      </c>
      <c r="I268" s="93" t="str">
        <f>"04/01/1988"</f>
        <v>04/01/1988</v>
      </c>
      <c r="J268" s="92">
        <v>2</v>
      </c>
      <c r="K268" s="91"/>
      <c r="L268" s="90"/>
    </row>
    <row r="269" spans="1:12" hidden="1" x14ac:dyDescent="0.3">
      <c r="A269" s="90">
        <v>540208</v>
      </c>
      <c r="B269" s="91" t="s">
        <v>587</v>
      </c>
      <c r="C269" s="91" t="s">
        <v>583</v>
      </c>
      <c r="D269" s="91" t="s">
        <v>2</v>
      </c>
      <c r="E269" s="90">
        <v>10</v>
      </c>
      <c r="F269" s="93" t="str">
        <f>"06/28/74"</f>
        <v>06/28/74</v>
      </c>
      <c r="G269" s="94">
        <v>30196</v>
      </c>
      <c r="H269" s="94">
        <v>40081</v>
      </c>
      <c r="I269" s="93" t="str">
        <f>"09/02/1982"</f>
        <v>09/02/1982</v>
      </c>
      <c r="J269" s="92">
        <v>2</v>
      </c>
      <c r="K269" s="91"/>
      <c r="L269" s="90"/>
    </row>
    <row r="270" spans="1:12" hidden="1" x14ac:dyDescent="0.3">
      <c r="A270" s="90">
        <v>540196</v>
      </c>
      <c r="B270" s="91" t="s">
        <v>586</v>
      </c>
      <c r="C270" s="91" t="s">
        <v>583</v>
      </c>
      <c r="D270" s="91" t="s">
        <v>2</v>
      </c>
      <c r="E270" s="90">
        <v>10</v>
      </c>
      <c r="F270" s="93" t="str">
        <f>"05/24/74"</f>
        <v>05/24/74</v>
      </c>
      <c r="G270" s="94">
        <v>32583</v>
      </c>
      <c r="H270" s="94">
        <v>40081</v>
      </c>
      <c r="I270" s="93" t="str">
        <f>"03/16/1989"</f>
        <v>03/16/1989</v>
      </c>
      <c r="J270" s="92">
        <v>2</v>
      </c>
      <c r="K270" s="91"/>
      <c r="L270" s="90"/>
    </row>
    <row r="271" spans="1:12" hidden="1" x14ac:dyDescent="0.3">
      <c r="A271" s="90">
        <v>540210</v>
      </c>
      <c r="B271" s="91" t="s">
        <v>585</v>
      </c>
      <c r="C271" s="91" t="s">
        <v>583</v>
      </c>
      <c r="D271" s="91" t="s">
        <v>2</v>
      </c>
      <c r="E271" s="90">
        <v>10</v>
      </c>
      <c r="F271" s="93" t="str">
        <f>"05/24/74"</f>
        <v>05/24/74</v>
      </c>
      <c r="G271" s="94">
        <v>32234</v>
      </c>
      <c r="H271" s="94">
        <v>40081</v>
      </c>
      <c r="I271" s="93" t="str">
        <f>"04/01/1988"</f>
        <v>04/01/1988</v>
      </c>
      <c r="J271" s="92">
        <v>2</v>
      </c>
      <c r="K271" s="91"/>
      <c r="L271" s="90"/>
    </row>
    <row r="272" spans="1:12" hidden="1" x14ac:dyDescent="0.3">
      <c r="A272" s="90">
        <v>540258</v>
      </c>
      <c r="B272" s="91" t="s">
        <v>584</v>
      </c>
      <c r="C272" s="91" t="s">
        <v>583</v>
      </c>
      <c r="D272" s="91" t="s">
        <v>2</v>
      </c>
      <c r="E272" s="90">
        <v>10</v>
      </c>
      <c r="F272" s="95">
        <v>27348</v>
      </c>
      <c r="G272" s="94">
        <v>32234</v>
      </c>
      <c r="H272" s="94">
        <v>40081</v>
      </c>
      <c r="I272" s="93" t="str">
        <f>"04/01/1988"</f>
        <v>04/01/1988</v>
      </c>
      <c r="J272" s="92">
        <v>2</v>
      </c>
      <c r="K272" s="91"/>
      <c r="L272" s="90"/>
    </row>
    <row r="273" spans="1:12" ht="18" hidden="1" customHeight="1" x14ac:dyDescent="0.3">
      <c r="A273" s="96">
        <v>540211</v>
      </c>
      <c r="B273" s="97" t="s">
        <v>582</v>
      </c>
      <c r="C273" s="97" t="s">
        <v>580</v>
      </c>
      <c r="D273" s="97" t="s">
        <v>29</v>
      </c>
      <c r="E273" s="96">
        <v>5</v>
      </c>
      <c r="F273" s="99" t="str">
        <f>"01/17/75"</f>
        <v>01/17/75</v>
      </c>
      <c r="G273" s="100">
        <v>32234</v>
      </c>
      <c r="H273" s="100">
        <v>41123</v>
      </c>
      <c r="I273" s="99" t="str">
        <f>"04/01/1988"</f>
        <v>04/01/1988</v>
      </c>
      <c r="J273" s="98">
        <v>2</v>
      </c>
      <c r="K273" s="97"/>
      <c r="L273" s="96"/>
    </row>
    <row r="274" spans="1:12" hidden="1" x14ac:dyDescent="0.3">
      <c r="A274" s="90">
        <v>540212</v>
      </c>
      <c r="B274" s="91" t="s">
        <v>581</v>
      </c>
      <c r="C274" s="91" t="s">
        <v>580</v>
      </c>
      <c r="D274" s="91" t="s">
        <v>2</v>
      </c>
      <c r="E274" s="90">
        <v>5</v>
      </c>
      <c r="F274" s="93" t="str">
        <f>"04/05/74"</f>
        <v>04/05/74</v>
      </c>
      <c r="G274" s="94">
        <v>33255</v>
      </c>
      <c r="H274" s="94">
        <v>41123</v>
      </c>
      <c r="I274" s="93" t="str">
        <f>"01/17/1991"</f>
        <v>01/17/1991</v>
      </c>
      <c r="J274" s="92">
        <v>2</v>
      </c>
      <c r="K274" s="91"/>
      <c r="L274" s="90"/>
    </row>
    <row r="275" spans="1:12" hidden="1" x14ac:dyDescent="0.3">
      <c r="A275" s="96">
        <v>540213</v>
      </c>
      <c r="B275" s="97" t="s">
        <v>579</v>
      </c>
      <c r="C275" s="97" t="s">
        <v>575</v>
      </c>
      <c r="D275" s="97" t="s">
        <v>29</v>
      </c>
      <c r="E275" s="96">
        <v>5</v>
      </c>
      <c r="F275" s="99" t="str">
        <f>"01/17/75"</f>
        <v>01/17/75</v>
      </c>
      <c r="G275" s="100">
        <v>31110</v>
      </c>
      <c r="H275" s="100">
        <v>41584</v>
      </c>
      <c r="I275" s="99" t="str">
        <f>"03/04/1985"</f>
        <v>03/04/1985</v>
      </c>
      <c r="J275" s="98">
        <v>2</v>
      </c>
      <c r="K275" s="97"/>
      <c r="L275" s="96"/>
    </row>
    <row r="276" spans="1:12" hidden="1" x14ac:dyDescent="0.3">
      <c r="A276" s="90">
        <v>540214</v>
      </c>
      <c r="B276" s="91" t="s">
        <v>578</v>
      </c>
      <c r="C276" s="91" t="s">
        <v>575</v>
      </c>
      <c r="D276" s="91" t="s">
        <v>2</v>
      </c>
      <c r="E276" s="90">
        <v>5</v>
      </c>
      <c r="F276" s="93" t="str">
        <f>"06/14/74"</f>
        <v>06/14/74</v>
      </c>
      <c r="G276" s="94">
        <v>31659</v>
      </c>
      <c r="H276" s="94">
        <v>41584</v>
      </c>
      <c r="I276" s="93" t="str">
        <f>"09/04/1986"</f>
        <v>09/04/1986</v>
      </c>
      <c r="J276" s="92">
        <v>2</v>
      </c>
      <c r="K276" s="91"/>
      <c r="L276" s="90"/>
    </row>
    <row r="277" spans="1:12" hidden="1" x14ac:dyDescent="0.3">
      <c r="A277" s="90">
        <v>540215</v>
      </c>
      <c r="B277" s="91" t="s">
        <v>577</v>
      </c>
      <c r="C277" s="91" t="s">
        <v>575</v>
      </c>
      <c r="D277" s="91" t="s">
        <v>2</v>
      </c>
      <c r="E277" s="90">
        <v>5</v>
      </c>
      <c r="F277" s="95">
        <v>27376</v>
      </c>
      <c r="G277" s="94">
        <v>31399</v>
      </c>
      <c r="H277" s="94">
        <v>41584</v>
      </c>
      <c r="I277" s="95">
        <v>31399</v>
      </c>
      <c r="J277" s="92">
        <v>2</v>
      </c>
      <c r="K277" s="91"/>
      <c r="L277" s="90"/>
    </row>
    <row r="278" spans="1:12" hidden="1" x14ac:dyDescent="0.3">
      <c r="A278" s="90">
        <v>540216</v>
      </c>
      <c r="B278" s="91" t="s">
        <v>576</v>
      </c>
      <c r="C278" s="91" t="s">
        <v>575</v>
      </c>
      <c r="D278" s="91" t="s">
        <v>2</v>
      </c>
      <c r="E278" s="90">
        <v>5</v>
      </c>
      <c r="F278" s="93" t="str">
        <f>"05/17/74"</f>
        <v>05/17/74</v>
      </c>
      <c r="G278" s="94">
        <v>30607</v>
      </c>
      <c r="H278" s="94">
        <v>41584</v>
      </c>
      <c r="I278" s="95">
        <v>30607</v>
      </c>
      <c r="J278" s="92">
        <v>2</v>
      </c>
      <c r="K278" s="91"/>
      <c r="L278" s="90"/>
    </row>
    <row r="279" spans="1:12" hidden="1" x14ac:dyDescent="0.3">
      <c r="A279" s="96">
        <v>540217</v>
      </c>
      <c r="B279" s="97" t="s">
        <v>574</v>
      </c>
      <c r="C279" s="97" t="s">
        <v>570</v>
      </c>
      <c r="D279" s="97" t="s">
        <v>29</v>
      </c>
      <c r="E279" s="96">
        <v>1</v>
      </c>
      <c r="F279" s="99" t="str">
        <f>"01/17/75"</f>
        <v>01/17/75</v>
      </c>
      <c r="G279" s="100">
        <v>30756</v>
      </c>
      <c r="H279" s="100">
        <v>38853</v>
      </c>
      <c r="I279" s="99" t="str">
        <f>"03/15/1984"</f>
        <v>03/15/1984</v>
      </c>
      <c r="J279" s="98">
        <v>2</v>
      </c>
      <c r="K279" s="97" t="s">
        <v>569</v>
      </c>
      <c r="L279" s="96" t="s">
        <v>568</v>
      </c>
    </row>
    <row r="280" spans="1:12" hidden="1" x14ac:dyDescent="0.3">
      <c r="A280" s="90">
        <v>540218</v>
      </c>
      <c r="B280" s="91" t="s">
        <v>573</v>
      </c>
      <c r="C280" s="91" t="s">
        <v>570</v>
      </c>
      <c r="D280" s="91" t="s">
        <v>2</v>
      </c>
      <c r="E280" s="90">
        <v>1</v>
      </c>
      <c r="F280" s="93" t="str">
        <f>"06/28/74"</f>
        <v>06/28/74</v>
      </c>
      <c r="G280" s="94">
        <v>29068</v>
      </c>
      <c r="H280" s="94">
        <v>38853</v>
      </c>
      <c r="I280" s="93" t="str">
        <f>"08/01/1979"</f>
        <v>08/01/1979</v>
      </c>
      <c r="J280" s="92">
        <v>2</v>
      </c>
      <c r="K280" s="91" t="s">
        <v>569</v>
      </c>
      <c r="L280" s="90" t="s">
        <v>568</v>
      </c>
    </row>
    <row r="281" spans="1:12" hidden="1" x14ac:dyDescent="0.3">
      <c r="A281" s="90">
        <v>540219</v>
      </c>
      <c r="B281" s="91" t="s">
        <v>572</v>
      </c>
      <c r="C281" s="91" t="s">
        <v>570</v>
      </c>
      <c r="D281" s="91" t="s">
        <v>2</v>
      </c>
      <c r="E281" s="90">
        <v>1</v>
      </c>
      <c r="F281" s="93" t="str">
        <f>"06/28/74"</f>
        <v>06/28/74</v>
      </c>
      <c r="G281" s="94">
        <v>29144</v>
      </c>
      <c r="H281" s="94">
        <v>38853</v>
      </c>
      <c r="I281" s="95">
        <v>29144</v>
      </c>
      <c r="J281" s="92">
        <v>2</v>
      </c>
      <c r="K281" s="91" t="s">
        <v>569</v>
      </c>
      <c r="L281" s="90" t="s">
        <v>568</v>
      </c>
    </row>
    <row r="282" spans="1:12" hidden="1" x14ac:dyDescent="0.3">
      <c r="A282" s="90">
        <v>540220</v>
      </c>
      <c r="B282" s="91" t="s">
        <v>571</v>
      </c>
      <c r="C282" s="91" t="s">
        <v>570</v>
      </c>
      <c r="D282" s="91" t="s">
        <v>2</v>
      </c>
      <c r="E282" s="90">
        <v>1</v>
      </c>
      <c r="F282" s="93" t="str">
        <f>"07/26/74"</f>
        <v>07/26/74</v>
      </c>
      <c r="G282" s="94">
        <v>30589</v>
      </c>
      <c r="H282" s="94">
        <v>38853</v>
      </c>
      <c r="I282" s="93" t="str">
        <f>"09/30/1983"</f>
        <v>09/30/1983</v>
      </c>
      <c r="J282" s="92">
        <v>2</v>
      </c>
      <c r="K282" s="91" t="s">
        <v>569</v>
      </c>
      <c r="L282" s="90" t="s">
        <v>568</v>
      </c>
    </row>
    <row r="284" spans="1:12" x14ac:dyDescent="0.3">
      <c r="A284" s="88" t="s">
        <v>567</v>
      </c>
      <c r="C284" s="88"/>
      <c r="D284" s="88"/>
      <c r="E284" s="87"/>
    </row>
    <row r="285" spans="1:12" x14ac:dyDescent="0.3">
      <c r="B285" s="89" t="s">
        <v>566</v>
      </c>
      <c r="C285" s="88"/>
      <c r="D285" s="88"/>
      <c r="E285" s="87"/>
      <c r="F285" s="86"/>
      <c r="G285" s="86"/>
      <c r="H285" s="85"/>
    </row>
    <row r="286" spans="1:12" x14ac:dyDescent="0.3">
      <c r="B286" s="89" t="s">
        <v>565</v>
      </c>
      <c r="C286" s="88"/>
      <c r="D286" s="88"/>
      <c r="E286" s="87"/>
      <c r="F286" s="86"/>
      <c r="G286" s="86"/>
      <c r="H286" s="85"/>
    </row>
    <row r="287" spans="1:12" x14ac:dyDescent="0.3">
      <c r="B287" s="89" t="s">
        <v>564</v>
      </c>
      <c r="C287" s="88"/>
      <c r="D287" s="88"/>
      <c r="E287" s="87"/>
      <c r="F287" s="86"/>
      <c r="G287" s="86"/>
      <c r="H287" s="85"/>
    </row>
    <row r="290" spans="1:10" x14ac:dyDescent="0.3">
      <c r="A290" s="84" t="s">
        <v>563</v>
      </c>
      <c r="B290" s="83"/>
    </row>
    <row r="291" spans="1:10" ht="50.25" customHeight="1" x14ac:dyDescent="0.3">
      <c r="A291" s="197" t="s">
        <v>562</v>
      </c>
      <c r="B291" s="197"/>
      <c r="C291" s="197"/>
      <c r="D291" s="197"/>
      <c r="E291" s="197"/>
      <c r="F291" s="197"/>
      <c r="G291" s="197"/>
      <c r="H291" s="197"/>
      <c r="I291" s="197"/>
      <c r="J291" s="197"/>
    </row>
    <row r="292" spans="1:10" ht="15" customHeight="1" x14ac:dyDescent="0.3">
      <c r="A292" s="198" t="s">
        <v>561</v>
      </c>
      <c r="B292" s="198"/>
      <c r="C292" s="198"/>
      <c r="D292" s="198"/>
      <c r="E292" s="198"/>
      <c r="F292" s="198"/>
      <c r="G292" s="198"/>
      <c r="H292" s="198"/>
      <c r="I292" s="198"/>
      <c r="J292" s="198"/>
    </row>
    <row r="293" spans="1:10" x14ac:dyDescent="0.3">
      <c r="A293" s="198"/>
      <c r="B293" s="198"/>
      <c r="C293" s="198"/>
      <c r="D293" s="198"/>
      <c r="E293" s="198"/>
      <c r="F293" s="198"/>
      <c r="G293" s="198"/>
      <c r="H293" s="198"/>
      <c r="I293" s="198"/>
      <c r="J293" s="198"/>
    </row>
    <row r="294" spans="1:10" x14ac:dyDescent="0.3">
      <c r="A294" s="198"/>
      <c r="B294" s="198"/>
      <c r="C294" s="198"/>
      <c r="D294" s="198"/>
      <c r="E294" s="198"/>
      <c r="F294" s="198"/>
      <c r="G294" s="198"/>
      <c r="H294" s="198"/>
      <c r="I294" s="198"/>
      <c r="J294" s="198"/>
    </row>
    <row r="295" spans="1:10" ht="14.25" customHeight="1" x14ac:dyDescent="0.3">
      <c r="A295" s="198"/>
      <c r="B295" s="198"/>
      <c r="C295" s="198"/>
      <c r="D295" s="198"/>
      <c r="E295" s="198"/>
      <c r="F295" s="198"/>
      <c r="G295" s="198"/>
      <c r="H295" s="198"/>
      <c r="I295" s="198"/>
      <c r="J295" s="198"/>
    </row>
    <row r="296" spans="1:10" ht="15" customHeight="1" x14ac:dyDescent="0.3">
      <c r="A296" s="198"/>
      <c r="B296" s="198"/>
      <c r="C296" s="198"/>
      <c r="D296" s="198"/>
      <c r="E296" s="198"/>
      <c r="F296" s="198"/>
      <c r="G296" s="198"/>
      <c r="H296" s="198"/>
      <c r="I296" s="198"/>
      <c r="J296" s="198"/>
    </row>
  </sheetData>
  <autoFilter ref="A3:L282" xr:uid="{00000000-0009-0000-0000-000002000000}">
    <filterColumn colId="4">
      <filters>
        <filter val="2"/>
      </filters>
    </filterColumn>
  </autoFilter>
  <mergeCells count="2">
    <mergeCell ref="A291:J291"/>
    <mergeCell ref="A292:J29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280"/>
  <sheetViews>
    <sheetView workbookViewId="0">
      <selection activeCell="I2" sqref="I2"/>
    </sheetView>
  </sheetViews>
  <sheetFormatPr defaultRowHeight="14.4" x14ac:dyDescent="0.3"/>
  <cols>
    <col min="1" max="1" width="9.109375" style="3"/>
    <col min="2" max="2" width="25.88671875" customWidth="1"/>
    <col min="3" max="3" width="23.5546875" customWidth="1"/>
    <col min="4" max="4" width="19.44140625" customWidth="1"/>
    <col min="5" max="5" width="6.33203125" style="3" customWidth="1"/>
    <col min="6" max="6" width="25" style="3" customWidth="1"/>
  </cols>
  <sheetData>
    <row r="1" spans="1:6" s="79" customFormat="1" x14ac:dyDescent="0.3">
      <c r="A1" s="81" t="s">
        <v>923</v>
      </c>
      <c r="E1" s="78"/>
      <c r="F1" s="87"/>
    </row>
    <row r="2" spans="1:6" s="79" customFormat="1" ht="32.25" customHeight="1" x14ac:dyDescent="0.3">
      <c r="A2" s="111" t="s">
        <v>516</v>
      </c>
      <c r="B2" s="111" t="s">
        <v>515</v>
      </c>
      <c r="C2" s="111" t="s">
        <v>26</v>
      </c>
      <c r="D2" s="111" t="s">
        <v>1186</v>
      </c>
      <c r="E2" s="111" t="s">
        <v>920</v>
      </c>
      <c r="F2" s="113" t="s">
        <v>1185</v>
      </c>
    </row>
    <row r="3" spans="1:6" s="79" customFormat="1" ht="18.75" hidden="1" customHeight="1" x14ac:dyDescent="0.3">
      <c r="A3" s="96">
        <v>540001</v>
      </c>
      <c r="B3" s="97" t="s">
        <v>912</v>
      </c>
      <c r="C3" s="97" t="s">
        <v>479</v>
      </c>
      <c r="D3" s="97" t="s">
        <v>29</v>
      </c>
      <c r="E3" s="96">
        <v>7</v>
      </c>
      <c r="F3" s="116">
        <v>31959</v>
      </c>
    </row>
    <row r="4" spans="1:6" s="79" customFormat="1" hidden="1" x14ac:dyDescent="0.3">
      <c r="A4" s="90">
        <v>540002</v>
      </c>
      <c r="B4" s="91" t="s">
        <v>911</v>
      </c>
      <c r="C4" s="91" t="s">
        <v>1184</v>
      </c>
      <c r="D4" s="91" t="s">
        <v>2</v>
      </c>
      <c r="E4" s="90">
        <v>7</v>
      </c>
      <c r="F4" s="115">
        <v>29068</v>
      </c>
    </row>
    <row r="5" spans="1:6" s="79" customFormat="1" hidden="1" x14ac:dyDescent="0.3">
      <c r="A5" s="90">
        <v>540003</v>
      </c>
      <c r="B5" s="91" t="s">
        <v>910</v>
      </c>
      <c r="C5" s="91" t="s">
        <v>1183</v>
      </c>
      <c r="D5" s="91" t="s">
        <v>2</v>
      </c>
      <c r="E5" s="90">
        <v>7</v>
      </c>
      <c r="F5" s="115">
        <v>31884</v>
      </c>
    </row>
    <row r="6" spans="1:6" s="79" customFormat="1" hidden="1" x14ac:dyDescent="0.3">
      <c r="A6" s="90">
        <v>540004</v>
      </c>
      <c r="B6" s="91" t="s">
        <v>909</v>
      </c>
      <c r="C6" s="91" t="s">
        <v>1182</v>
      </c>
      <c r="D6" s="91" t="s">
        <v>2</v>
      </c>
      <c r="E6" s="90">
        <v>7</v>
      </c>
      <c r="F6" s="115">
        <v>31659</v>
      </c>
    </row>
    <row r="7" spans="1:6" s="79" customFormat="1" hidden="1" x14ac:dyDescent="0.3">
      <c r="A7" s="96">
        <v>540282</v>
      </c>
      <c r="B7" s="97" t="s">
        <v>907</v>
      </c>
      <c r="C7" s="97" t="s">
        <v>1181</v>
      </c>
      <c r="D7" s="97" t="s">
        <v>29</v>
      </c>
      <c r="E7" s="96">
        <v>9</v>
      </c>
      <c r="F7" s="116">
        <v>32359</v>
      </c>
    </row>
    <row r="8" spans="1:6" s="79" customFormat="1" hidden="1" x14ac:dyDescent="0.3">
      <c r="A8" s="90">
        <v>540006</v>
      </c>
      <c r="B8" s="91" t="s">
        <v>906</v>
      </c>
      <c r="C8" s="91" t="s">
        <v>1180</v>
      </c>
      <c r="D8" s="91" t="s">
        <v>2</v>
      </c>
      <c r="E8" s="90">
        <v>9</v>
      </c>
      <c r="F8" s="115">
        <v>29207</v>
      </c>
    </row>
    <row r="9" spans="1:6" s="79" customFormat="1" hidden="1" x14ac:dyDescent="0.3">
      <c r="A9" s="96">
        <v>540007</v>
      </c>
      <c r="B9" s="97" t="s">
        <v>904</v>
      </c>
      <c r="C9" s="97" t="s">
        <v>1179</v>
      </c>
      <c r="D9" s="97" t="s">
        <v>29</v>
      </c>
      <c r="E9" s="96">
        <v>3</v>
      </c>
      <c r="F9" s="116">
        <v>33344</v>
      </c>
    </row>
    <row r="10" spans="1:6" s="79" customFormat="1" hidden="1" x14ac:dyDescent="0.3">
      <c r="A10" s="90">
        <v>540230</v>
      </c>
      <c r="B10" s="91" t="s">
        <v>903</v>
      </c>
      <c r="C10" s="91" t="s">
        <v>1178</v>
      </c>
      <c r="D10" s="91" t="s">
        <v>2</v>
      </c>
      <c r="E10" s="90">
        <v>3</v>
      </c>
      <c r="F10" s="115">
        <v>33344</v>
      </c>
    </row>
    <row r="11" spans="1:6" s="79" customFormat="1" hidden="1" x14ac:dyDescent="0.3">
      <c r="A11" s="90">
        <v>540008</v>
      </c>
      <c r="B11" s="91" t="s">
        <v>902</v>
      </c>
      <c r="C11" s="91" t="s">
        <v>1177</v>
      </c>
      <c r="D11" s="91" t="s">
        <v>2</v>
      </c>
      <c r="E11" s="90">
        <v>3</v>
      </c>
      <c r="F11" s="115">
        <v>33344</v>
      </c>
    </row>
    <row r="12" spans="1:6" s="79" customFormat="1" hidden="1" x14ac:dyDescent="0.3">
      <c r="A12" s="90">
        <v>540238</v>
      </c>
      <c r="B12" s="91" t="s">
        <v>901</v>
      </c>
      <c r="C12" s="91" t="s">
        <v>1176</v>
      </c>
      <c r="D12" s="91" t="s">
        <v>2</v>
      </c>
      <c r="E12" s="90">
        <v>3</v>
      </c>
      <c r="F12" s="115">
        <v>33344</v>
      </c>
    </row>
    <row r="13" spans="1:6" s="79" customFormat="1" hidden="1" x14ac:dyDescent="0.3">
      <c r="A13" s="90">
        <v>540229</v>
      </c>
      <c r="B13" s="91" t="s">
        <v>900</v>
      </c>
      <c r="C13" s="91" t="s">
        <v>1175</v>
      </c>
      <c r="D13" s="91" t="s">
        <v>2</v>
      </c>
      <c r="E13" s="90">
        <v>3</v>
      </c>
      <c r="F13" s="115">
        <v>33344</v>
      </c>
    </row>
    <row r="14" spans="1:6" s="79" customFormat="1" hidden="1" x14ac:dyDescent="0.3">
      <c r="A14" s="96">
        <v>540009</v>
      </c>
      <c r="B14" s="97" t="s">
        <v>898</v>
      </c>
      <c r="C14" s="97" t="s">
        <v>1174</v>
      </c>
      <c r="D14" s="97" t="s">
        <v>29</v>
      </c>
      <c r="E14" s="96">
        <v>7</v>
      </c>
      <c r="F14" s="116">
        <v>40287</v>
      </c>
    </row>
    <row r="15" spans="1:6" s="79" customFormat="1" hidden="1" x14ac:dyDescent="0.3">
      <c r="A15" s="90">
        <v>540010</v>
      </c>
      <c r="B15" s="91" t="s">
        <v>897</v>
      </c>
      <c r="C15" s="91" t="s">
        <v>1173</v>
      </c>
      <c r="D15" s="91" t="s">
        <v>2</v>
      </c>
      <c r="E15" s="90">
        <v>7</v>
      </c>
      <c r="F15" s="115">
        <v>40287</v>
      </c>
    </row>
    <row r="16" spans="1:6" s="79" customFormat="1" hidden="1" x14ac:dyDescent="0.3">
      <c r="A16" s="90">
        <v>540235</v>
      </c>
      <c r="B16" s="91" t="s">
        <v>896</v>
      </c>
      <c r="C16" s="91" t="s">
        <v>1172</v>
      </c>
      <c r="D16" s="91" t="s">
        <v>2</v>
      </c>
      <c r="E16" s="90">
        <v>7</v>
      </c>
      <c r="F16" s="115">
        <v>40287</v>
      </c>
    </row>
    <row r="17" spans="1:6" s="79" customFormat="1" hidden="1" x14ac:dyDescent="0.3">
      <c r="A17" s="90">
        <v>540237</v>
      </c>
      <c r="B17" s="91" t="s">
        <v>895</v>
      </c>
      <c r="C17" s="91" t="s">
        <v>1171</v>
      </c>
      <c r="D17" s="91" t="s">
        <v>2</v>
      </c>
      <c r="E17" s="90">
        <v>7</v>
      </c>
      <c r="F17" s="115">
        <v>40287</v>
      </c>
    </row>
    <row r="18" spans="1:6" s="79" customFormat="1" hidden="1" x14ac:dyDescent="0.3">
      <c r="A18" s="90">
        <v>540236</v>
      </c>
      <c r="B18" s="91" t="s">
        <v>894</v>
      </c>
      <c r="C18" s="91" t="s">
        <v>1170</v>
      </c>
      <c r="D18" s="91" t="s">
        <v>2</v>
      </c>
      <c r="E18" s="90">
        <v>7</v>
      </c>
      <c r="F18" s="115">
        <v>40287</v>
      </c>
    </row>
    <row r="19" spans="1:6" s="79" customFormat="1" hidden="1" x14ac:dyDescent="0.3">
      <c r="A19" s="96">
        <v>540011</v>
      </c>
      <c r="B19" s="97" t="s">
        <v>892</v>
      </c>
      <c r="C19" s="97" t="s">
        <v>1169</v>
      </c>
      <c r="D19" s="97" t="s">
        <v>29</v>
      </c>
      <c r="E19" s="96">
        <v>11</v>
      </c>
      <c r="F19" s="116">
        <v>30665</v>
      </c>
    </row>
    <row r="20" spans="1:6" s="79" customFormat="1" hidden="1" x14ac:dyDescent="0.3">
      <c r="A20" s="90">
        <v>540093</v>
      </c>
      <c r="B20" s="91" t="s">
        <v>891</v>
      </c>
      <c r="C20" s="91" t="s">
        <v>1168</v>
      </c>
      <c r="D20" s="91" t="s">
        <v>2</v>
      </c>
      <c r="E20" s="90">
        <v>11</v>
      </c>
      <c r="F20" s="115">
        <v>40287</v>
      </c>
    </row>
    <row r="21" spans="1:6" s="79" customFormat="1" hidden="1" x14ac:dyDescent="0.3">
      <c r="A21" s="90">
        <v>540012</v>
      </c>
      <c r="B21" s="91" t="s">
        <v>890</v>
      </c>
      <c r="C21" s="91" t="s">
        <v>1167</v>
      </c>
      <c r="D21" s="91" t="s">
        <v>2</v>
      </c>
      <c r="E21" s="90">
        <v>11</v>
      </c>
      <c r="F21" s="115">
        <v>29126</v>
      </c>
    </row>
    <row r="22" spans="1:6" s="79" customFormat="1" hidden="1" x14ac:dyDescent="0.3">
      <c r="A22" s="90">
        <v>540013</v>
      </c>
      <c r="B22" s="91" t="s">
        <v>889</v>
      </c>
      <c r="C22" s="91" t="s">
        <v>1166</v>
      </c>
      <c r="D22" s="91" t="s">
        <v>2</v>
      </c>
      <c r="E22" s="90">
        <v>11</v>
      </c>
      <c r="F22" s="115">
        <v>30224</v>
      </c>
    </row>
    <row r="23" spans="1:6" s="79" customFormat="1" hidden="1" x14ac:dyDescent="0.3">
      <c r="A23" s="90">
        <v>540015</v>
      </c>
      <c r="B23" s="91" t="s">
        <v>887</v>
      </c>
      <c r="C23" s="91" t="s">
        <v>1165</v>
      </c>
      <c r="D23" s="91" t="s">
        <v>2</v>
      </c>
      <c r="E23" s="90">
        <v>11</v>
      </c>
      <c r="F23" s="115">
        <v>30272</v>
      </c>
    </row>
    <row r="24" spans="1:6" s="79" customFormat="1" hidden="1" x14ac:dyDescent="0.3">
      <c r="A24" s="90">
        <v>540014</v>
      </c>
      <c r="B24" s="91" t="s">
        <v>888</v>
      </c>
      <c r="C24" s="91" t="s">
        <v>1164</v>
      </c>
      <c r="D24" s="91" t="s">
        <v>2</v>
      </c>
      <c r="E24" s="90">
        <v>11</v>
      </c>
      <c r="F24" s="115">
        <v>29126</v>
      </c>
    </row>
    <row r="25" spans="1:6" s="79" customFormat="1" x14ac:dyDescent="0.3">
      <c r="A25" s="96">
        <v>540016</v>
      </c>
      <c r="B25" s="97" t="s">
        <v>885</v>
      </c>
      <c r="C25" s="97" t="s">
        <v>448</v>
      </c>
      <c r="D25" s="97" t="s">
        <v>29</v>
      </c>
      <c r="E25" s="96">
        <v>2</v>
      </c>
      <c r="F25" s="116">
        <v>32050</v>
      </c>
    </row>
    <row r="26" spans="1:6" s="79" customFormat="1" x14ac:dyDescent="0.3">
      <c r="A26" s="90">
        <v>540017</v>
      </c>
      <c r="B26" s="91" t="s">
        <v>884</v>
      </c>
      <c r="C26" s="91" t="s">
        <v>1163</v>
      </c>
      <c r="D26" s="91" t="s">
        <v>2</v>
      </c>
      <c r="E26" s="90">
        <v>2</v>
      </c>
      <c r="F26" s="115">
        <v>32297</v>
      </c>
    </row>
    <row r="27" spans="1:6" s="79" customFormat="1" x14ac:dyDescent="0.3">
      <c r="A27" s="90">
        <v>540019</v>
      </c>
      <c r="B27" s="91" t="s">
        <v>883</v>
      </c>
      <c r="C27" s="91" t="s">
        <v>1162</v>
      </c>
      <c r="D27" s="91" t="s">
        <v>2</v>
      </c>
      <c r="E27" s="90">
        <v>2</v>
      </c>
      <c r="F27" s="115">
        <v>32050</v>
      </c>
    </row>
    <row r="28" spans="1:6" s="79" customFormat="1" hidden="1" x14ac:dyDescent="0.3">
      <c r="A28" s="96">
        <v>540020</v>
      </c>
      <c r="B28" s="97" t="s">
        <v>881</v>
      </c>
      <c r="C28" s="97" t="s">
        <v>1161</v>
      </c>
      <c r="D28" s="97" t="s">
        <v>29</v>
      </c>
      <c r="E28" s="96">
        <v>5</v>
      </c>
      <c r="F28" s="116">
        <v>33315</v>
      </c>
    </row>
    <row r="29" spans="1:6" s="79" customFormat="1" hidden="1" x14ac:dyDescent="0.3">
      <c r="A29" s="90">
        <v>540021</v>
      </c>
      <c r="B29" s="91" t="s">
        <v>880</v>
      </c>
      <c r="C29" s="91" t="s">
        <v>1160</v>
      </c>
      <c r="D29" s="91" t="s">
        <v>2</v>
      </c>
      <c r="E29" s="90">
        <v>5</v>
      </c>
      <c r="F29" s="115">
        <v>33315</v>
      </c>
    </row>
    <row r="30" spans="1:6" s="79" customFormat="1" hidden="1" x14ac:dyDescent="0.3">
      <c r="A30" s="96">
        <v>540022</v>
      </c>
      <c r="B30" s="97" t="s">
        <v>878</v>
      </c>
      <c r="C30" s="97" t="s">
        <v>1159</v>
      </c>
      <c r="D30" s="97" t="s">
        <v>29</v>
      </c>
      <c r="E30" s="96">
        <v>3</v>
      </c>
      <c r="F30" s="116">
        <v>33315</v>
      </c>
    </row>
    <row r="31" spans="1:6" s="79" customFormat="1" hidden="1" x14ac:dyDescent="0.3">
      <c r="A31" s="90">
        <v>540023</v>
      </c>
      <c r="B31" s="91" t="s">
        <v>877</v>
      </c>
      <c r="C31" s="91" t="s">
        <v>1158</v>
      </c>
      <c r="D31" s="91" t="s">
        <v>2</v>
      </c>
      <c r="E31" s="90">
        <v>3</v>
      </c>
      <c r="F31" s="115">
        <v>33315</v>
      </c>
    </row>
    <row r="32" spans="1:6" s="79" customFormat="1" hidden="1" x14ac:dyDescent="0.3">
      <c r="A32" s="96">
        <v>540024</v>
      </c>
      <c r="B32" s="97" t="s">
        <v>875</v>
      </c>
      <c r="C32" s="97" t="s">
        <v>1157</v>
      </c>
      <c r="D32" s="97" t="s">
        <v>29</v>
      </c>
      <c r="E32" s="96">
        <v>6</v>
      </c>
      <c r="F32" s="116">
        <v>33315</v>
      </c>
    </row>
    <row r="33" spans="1:6" s="79" customFormat="1" hidden="1" x14ac:dyDescent="0.3">
      <c r="A33" s="90">
        <v>540025</v>
      </c>
      <c r="B33" s="91" t="s">
        <v>874</v>
      </c>
      <c r="C33" s="91" t="s">
        <v>1156</v>
      </c>
      <c r="D33" s="91" t="s">
        <v>2</v>
      </c>
      <c r="E33" s="90">
        <v>6</v>
      </c>
      <c r="F33" s="115">
        <v>33315</v>
      </c>
    </row>
    <row r="34" spans="1:6" s="79" customFormat="1" hidden="1" x14ac:dyDescent="0.3">
      <c r="A34" s="96">
        <v>540026</v>
      </c>
      <c r="B34" s="97" t="s">
        <v>872</v>
      </c>
      <c r="C34" s="97" t="s">
        <v>424</v>
      </c>
      <c r="D34" s="97" t="s">
        <v>29</v>
      </c>
      <c r="E34" s="96">
        <v>4</v>
      </c>
      <c r="F34" s="116">
        <v>32206</v>
      </c>
    </row>
    <row r="35" spans="1:6" s="79" customFormat="1" hidden="1" x14ac:dyDescent="0.3">
      <c r="A35" s="90">
        <v>540027</v>
      </c>
      <c r="B35" s="91" t="s">
        <v>871</v>
      </c>
      <c r="C35" s="91" t="s">
        <v>1155</v>
      </c>
      <c r="D35" s="91" t="s">
        <v>2</v>
      </c>
      <c r="E35" s="90">
        <v>4</v>
      </c>
      <c r="F35" s="115">
        <v>29889</v>
      </c>
    </row>
    <row r="36" spans="1:6" s="79" customFormat="1" hidden="1" x14ac:dyDescent="0.3">
      <c r="A36" s="90">
        <v>540293</v>
      </c>
      <c r="B36" s="91" t="s">
        <v>870</v>
      </c>
      <c r="C36" s="91" t="s">
        <v>1154</v>
      </c>
      <c r="D36" s="91" t="s">
        <v>2</v>
      </c>
      <c r="E36" s="90">
        <v>4</v>
      </c>
      <c r="F36" s="115">
        <v>32206</v>
      </c>
    </row>
    <row r="37" spans="1:6" s="79" customFormat="1" hidden="1" x14ac:dyDescent="0.3">
      <c r="A37" s="90">
        <v>540294</v>
      </c>
      <c r="B37" s="91" t="s">
        <v>869</v>
      </c>
      <c r="C37" s="91" t="s">
        <v>1153</v>
      </c>
      <c r="D37" s="91" t="s">
        <v>2</v>
      </c>
      <c r="E37" s="90">
        <v>4</v>
      </c>
      <c r="F37" s="115">
        <v>33499</v>
      </c>
    </row>
    <row r="38" spans="1:6" s="79" customFormat="1" hidden="1" x14ac:dyDescent="0.3">
      <c r="A38" s="90">
        <v>540028</v>
      </c>
      <c r="B38" s="91" t="s">
        <v>868</v>
      </c>
      <c r="C38" s="91" t="s">
        <v>1152</v>
      </c>
      <c r="D38" s="91" t="s">
        <v>2</v>
      </c>
      <c r="E38" s="90">
        <v>4</v>
      </c>
      <c r="F38" s="115">
        <v>33240</v>
      </c>
    </row>
    <row r="39" spans="1:6" s="79" customFormat="1" hidden="1" x14ac:dyDescent="0.3">
      <c r="A39" s="90">
        <v>540280</v>
      </c>
      <c r="B39" s="91" t="s">
        <v>866</v>
      </c>
      <c r="C39" s="91" t="s">
        <v>1151</v>
      </c>
      <c r="D39" s="91" t="s">
        <v>2</v>
      </c>
      <c r="E39" s="90">
        <v>4</v>
      </c>
      <c r="F39" s="115">
        <v>29077</v>
      </c>
    </row>
    <row r="40" spans="1:6" s="79" customFormat="1" hidden="1" x14ac:dyDescent="0.3">
      <c r="A40" s="90">
        <v>540031</v>
      </c>
      <c r="B40" s="91" t="s">
        <v>865</v>
      </c>
      <c r="C40" s="91" t="s">
        <v>1150</v>
      </c>
      <c r="D40" s="91" t="s">
        <v>2</v>
      </c>
      <c r="E40" s="90">
        <v>4</v>
      </c>
      <c r="F40" s="115">
        <v>29238</v>
      </c>
    </row>
    <row r="41" spans="1:6" s="79" customFormat="1" hidden="1" x14ac:dyDescent="0.3">
      <c r="A41" s="90">
        <v>540032</v>
      </c>
      <c r="B41" s="91" t="s">
        <v>864</v>
      </c>
      <c r="C41" s="91" t="s">
        <v>1149</v>
      </c>
      <c r="D41" s="91" t="s">
        <v>2</v>
      </c>
      <c r="E41" s="90">
        <v>4</v>
      </c>
      <c r="F41" s="115">
        <v>29077</v>
      </c>
    </row>
    <row r="42" spans="1:6" s="79" customFormat="1" hidden="1" x14ac:dyDescent="0.3">
      <c r="A42" s="90">
        <v>540033</v>
      </c>
      <c r="B42" s="91" t="s">
        <v>1148</v>
      </c>
      <c r="C42" s="91" t="s">
        <v>1147</v>
      </c>
      <c r="D42" s="91" t="s">
        <v>2</v>
      </c>
      <c r="E42" s="90">
        <v>4</v>
      </c>
      <c r="F42" s="115">
        <v>30056</v>
      </c>
    </row>
    <row r="43" spans="1:6" s="79" customFormat="1" hidden="1" x14ac:dyDescent="0.3">
      <c r="A43" s="96">
        <v>540035</v>
      </c>
      <c r="B43" s="97" t="s">
        <v>861</v>
      </c>
      <c r="C43" s="97" t="s">
        <v>1146</v>
      </c>
      <c r="D43" s="97" t="s">
        <v>29</v>
      </c>
      <c r="E43" s="96">
        <v>7</v>
      </c>
      <c r="F43" s="116">
        <v>33344</v>
      </c>
    </row>
    <row r="44" spans="1:6" s="79" customFormat="1" hidden="1" x14ac:dyDescent="0.3">
      <c r="A44" s="90">
        <v>540036</v>
      </c>
      <c r="B44" s="91" t="s">
        <v>860</v>
      </c>
      <c r="C44" s="91" t="s">
        <v>1145</v>
      </c>
      <c r="D44" s="91" t="s">
        <v>2</v>
      </c>
      <c r="E44" s="90">
        <v>7</v>
      </c>
      <c r="F44" s="115">
        <v>33344</v>
      </c>
    </row>
    <row r="45" spans="1:6" s="79" customFormat="1" hidden="1" x14ac:dyDescent="0.3">
      <c r="A45" s="90">
        <v>540037</v>
      </c>
      <c r="B45" s="91" t="s">
        <v>859</v>
      </c>
      <c r="C45" s="91" t="s">
        <v>1144</v>
      </c>
      <c r="D45" s="91" t="s">
        <v>2</v>
      </c>
      <c r="E45" s="90">
        <v>7</v>
      </c>
      <c r="F45" s="115">
        <v>33344</v>
      </c>
    </row>
    <row r="46" spans="1:6" s="79" customFormat="1" hidden="1" x14ac:dyDescent="0.3">
      <c r="A46" s="96">
        <v>540038</v>
      </c>
      <c r="B46" s="97" t="s">
        <v>857</v>
      </c>
      <c r="C46" s="97" t="s">
        <v>418</v>
      </c>
      <c r="D46" s="97" t="s">
        <v>29</v>
      </c>
      <c r="E46" s="96">
        <v>8</v>
      </c>
      <c r="F46" s="116">
        <v>31990</v>
      </c>
    </row>
    <row r="47" spans="1:6" s="79" customFormat="1" hidden="1" x14ac:dyDescent="0.3">
      <c r="A47" s="90" t="s">
        <v>856</v>
      </c>
      <c r="B47" s="91" t="s">
        <v>855</v>
      </c>
      <c r="C47" s="91" t="s">
        <v>1143</v>
      </c>
      <c r="D47" s="91" t="s">
        <v>2</v>
      </c>
      <c r="E47" s="90">
        <v>8</v>
      </c>
      <c r="F47" s="115">
        <v>29077</v>
      </c>
    </row>
    <row r="48" spans="1:6" s="79" customFormat="1" hidden="1" x14ac:dyDescent="0.3">
      <c r="A48" s="90">
        <v>540039</v>
      </c>
      <c r="B48" s="91" t="s">
        <v>854</v>
      </c>
      <c r="C48" s="91" t="s">
        <v>1142</v>
      </c>
      <c r="D48" s="91" t="s">
        <v>2</v>
      </c>
      <c r="E48" s="90">
        <v>8</v>
      </c>
      <c r="F48" s="115">
        <v>32996</v>
      </c>
    </row>
    <row r="49" spans="1:6" s="79" customFormat="1" hidden="1" x14ac:dyDescent="0.3">
      <c r="A49" s="96">
        <v>540040</v>
      </c>
      <c r="B49" s="97" t="s">
        <v>852</v>
      </c>
      <c r="C49" s="97" t="s">
        <v>412</v>
      </c>
      <c r="D49" s="97" t="s">
        <v>29</v>
      </c>
      <c r="E49" s="96">
        <v>4</v>
      </c>
      <c r="F49" s="116">
        <v>32157</v>
      </c>
    </row>
    <row r="50" spans="1:6" s="79" customFormat="1" hidden="1" x14ac:dyDescent="0.3">
      <c r="A50" s="90">
        <v>540243</v>
      </c>
      <c r="B50" s="91" t="s">
        <v>851</v>
      </c>
      <c r="C50" s="91" t="s">
        <v>1141</v>
      </c>
      <c r="D50" s="91" t="s">
        <v>2</v>
      </c>
      <c r="E50" s="90">
        <v>4</v>
      </c>
      <c r="F50" s="115">
        <v>30949</v>
      </c>
    </row>
    <row r="51" spans="1:6" s="79" customFormat="1" hidden="1" x14ac:dyDescent="0.3">
      <c r="A51" s="90">
        <v>540281</v>
      </c>
      <c r="B51" s="91" t="s">
        <v>850</v>
      </c>
      <c r="C51" s="91" t="s">
        <v>1140</v>
      </c>
      <c r="D51" s="91" t="s">
        <v>2</v>
      </c>
      <c r="E51" s="90">
        <v>4</v>
      </c>
      <c r="F51" s="115">
        <v>41198</v>
      </c>
    </row>
    <row r="52" spans="1:6" s="79" customFormat="1" hidden="1" x14ac:dyDescent="0.3">
      <c r="A52" s="90">
        <v>540244</v>
      </c>
      <c r="B52" s="91" t="s">
        <v>849</v>
      </c>
      <c r="C52" s="91" t="s">
        <v>1139</v>
      </c>
      <c r="D52" s="91" t="s">
        <v>2</v>
      </c>
      <c r="E52" s="90">
        <v>4</v>
      </c>
      <c r="F52" s="115">
        <v>29644</v>
      </c>
    </row>
    <row r="53" spans="1:6" s="79" customFormat="1" hidden="1" x14ac:dyDescent="0.3">
      <c r="A53" s="90">
        <v>540228</v>
      </c>
      <c r="B53" s="91" t="s">
        <v>848</v>
      </c>
      <c r="C53" s="91" t="s">
        <v>1138</v>
      </c>
      <c r="D53" s="91" t="s">
        <v>2</v>
      </c>
      <c r="E53" s="90">
        <v>4</v>
      </c>
      <c r="F53" s="115">
        <v>32100</v>
      </c>
    </row>
    <row r="54" spans="1:6" s="79" customFormat="1" hidden="1" x14ac:dyDescent="0.3">
      <c r="A54" s="90">
        <v>540043</v>
      </c>
      <c r="B54" s="91" t="s">
        <v>847</v>
      </c>
      <c r="C54" s="91" t="s">
        <v>1137</v>
      </c>
      <c r="D54" s="91" t="s">
        <v>2</v>
      </c>
      <c r="E54" s="90">
        <v>4</v>
      </c>
      <c r="F54" s="115">
        <v>33010</v>
      </c>
    </row>
    <row r="55" spans="1:6" s="79" customFormat="1" hidden="1" x14ac:dyDescent="0.3">
      <c r="A55" s="90">
        <v>540044</v>
      </c>
      <c r="B55" s="91" t="s">
        <v>846</v>
      </c>
      <c r="C55" s="91" t="s">
        <v>1136</v>
      </c>
      <c r="D55" s="91" t="s">
        <v>2</v>
      </c>
      <c r="E55" s="90">
        <v>4</v>
      </c>
      <c r="F55" s="115">
        <v>30918</v>
      </c>
    </row>
    <row r="56" spans="1:6" s="79" customFormat="1" hidden="1" x14ac:dyDescent="0.3">
      <c r="A56" s="90">
        <v>540045</v>
      </c>
      <c r="B56" s="91" t="s">
        <v>845</v>
      </c>
      <c r="C56" s="91" t="s">
        <v>1135</v>
      </c>
      <c r="D56" s="91" t="s">
        <v>2</v>
      </c>
      <c r="E56" s="90">
        <v>4</v>
      </c>
      <c r="F56" s="115">
        <v>28703</v>
      </c>
    </row>
    <row r="57" spans="1:6" s="79" customFormat="1" hidden="1" x14ac:dyDescent="0.3">
      <c r="A57" s="96">
        <v>540226</v>
      </c>
      <c r="B57" s="97" t="s">
        <v>843</v>
      </c>
      <c r="C57" s="97" t="s">
        <v>402</v>
      </c>
      <c r="D57" s="97" t="s">
        <v>29</v>
      </c>
      <c r="E57" s="96">
        <v>8</v>
      </c>
      <c r="F57" s="116">
        <v>31990</v>
      </c>
    </row>
    <row r="58" spans="1:6" s="79" customFormat="1" hidden="1" x14ac:dyDescent="0.3">
      <c r="A58" s="90">
        <v>540046</v>
      </c>
      <c r="B58" s="91" t="s">
        <v>842</v>
      </c>
      <c r="C58" s="91" t="s">
        <v>1134</v>
      </c>
      <c r="D58" s="91" t="s">
        <v>2</v>
      </c>
      <c r="E58" s="90">
        <v>8</v>
      </c>
      <c r="F58" s="115">
        <v>32234</v>
      </c>
    </row>
    <row r="59" spans="1:6" s="79" customFormat="1" hidden="1" x14ac:dyDescent="0.3">
      <c r="A59" s="90">
        <v>540276</v>
      </c>
      <c r="B59" s="91" t="s">
        <v>841</v>
      </c>
      <c r="C59" s="91" t="s">
        <v>1133</v>
      </c>
      <c r="D59" s="91" t="s">
        <v>2</v>
      </c>
      <c r="E59" s="90">
        <v>8</v>
      </c>
      <c r="F59" s="115">
        <v>32309</v>
      </c>
    </row>
    <row r="60" spans="1:6" s="79" customFormat="1" hidden="1" x14ac:dyDescent="0.3">
      <c r="A60" s="96">
        <v>540047</v>
      </c>
      <c r="B60" s="97" t="s">
        <v>839</v>
      </c>
      <c r="C60" s="97" t="s">
        <v>1132</v>
      </c>
      <c r="D60" s="97" t="s">
        <v>29</v>
      </c>
      <c r="E60" s="96">
        <v>11</v>
      </c>
      <c r="F60" s="116">
        <v>30848</v>
      </c>
    </row>
    <row r="61" spans="1:6" s="79" customFormat="1" hidden="1" x14ac:dyDescent="0.3">
      <c r="A61" s="90">
        <v>540048</v>
      </c>
      <c r="B61" s="91" t="s">
        <v>838</v>
      </c>
      <c r="C61" s="91" t="s">
        <v>1131</v>
      </c>
      <c r="D61" s="91" t="s">
        <v>2</v>
      </c>
      <c r="E61" s="90">
        <v>11</v>
      </c>
      <c r="F61" s="115">
        <v>30286</v>
      </c>
    </row>
    <row r="62" spans="1:6" s="79" customFormat="1" hidden="1" x14ac:dyDescent="0.3">
      <c r="A62" s="90">
        <v>540049</v>
      </c>
      <c r="B62" s="91" t="s">
        <v>837</v>
      </c>
      <c r="C62" s="91" t="s">
        <v>1130</v>
      </c>
      <c r="D62" s="91" t="s">
        <v>2</v>
      </c>
      <c r="E62" s="90">
        <v>11</v>
      </c>
      <c r="F62" s="115">
        <v>29356</v>
      </c>
    </row>
    <row r="63" spans="1:6" s="79" customFormat="1" hidden="1" x14ac:dyDescent="0.3">
      <c r="A63" s="96">
        <v>540051</v>
      </c>
      <c r="B63" s="97" t="s">
        <v>835</v>
      </c>
      <c r="C63" s="97" t="s">
        <v>1129</v>
      </c>
      <c r="D63" s="97" t="s">
        <v>29</v>
      </c>
      <c r="E63" s="96">
        <v>8</v>
      </c>
      <c r="F63" s="116">
        <v>31217</v>
      </c>
    </row>
    <row r="64" spans="1:6" s="79" customFormat="1" hidden="1" x14ac:dyDescent="0.3">
      <c r="A64" s="90">
        <v>540052</v>
      </c>
      <c r="B64" s="91" t="s">
        <v>834</v>
      </c>
      <c r="C64" s="91" t="s">
        <v>1128</v>
      </c>
      <c r="D64" s="91" t="s">
        <v>2</v>
      </c>
      <c r="E64" s="90">
        <v>8</v>
      </c>
      <c r="F64" s="115">
        <v>33222</v>
      </c>
    </row>
    <row r="65" spans="1:6" s="79" customFormat="1" hidden="1" x14ac:dyDescent="0.3">
      <c r="A65" s="90">
        <v>540245</v>
      </c>
      <c r="B65" s="91" t="s">
        <v>833</v>
      </c>
      <c r="C65" s="91" t="s">
        <v>1127</v>
      </c>
      <c r="D65" s="91" t="s">
        <v>2</v>
      </c>
      <c r="E65" s="90">
        <v>8</v>
      </c>
      <c r="F65" s="115">
        <v>31990</v>
      </c>
    </row>
    <row r="66" spans="1:6" s="79" customFormat="1" hidden="1" x14ac:dyDescent="0.3">
      <c r="A66" s="96">
        <v>540053</v>
      </c>
      <c r="B66" s="97" t="s">
        <v>831</v>
      </c>
      <c r="C66" s="97" t="s">
        <v>384</v>
      </c>
      <c r="D66" s="97" t="s">
        <v>29</v>
      </c>
      <c r="E66" s="96">
        <v>6</v>
      </c>
      <c r="F66" s="116">
        <v>32328</v>
      </c>
    </row>
    <row r="67" spans="1:6" s="79" customFormat="1" hidden="1" x14ac:dyDescent="0.3">
      <c r="A67" s="90">
        <v>540054</v>
      </c>
      <c r="B67" s="91" t="s">
        <v>830</v>
      </c>
      <c r="C67" s="91" t="s">
        <v>1126</v>
      </c>
      <c r="D67" s="91" t="s">
        <v>2</v>
      </c>
      <c r="E67" s="90">
        <v>6</v>
      </c>
      <c r="F67" s="115">
        <v>29467</v>
      </c>
    </row>
    <row r="68" spans="1:6" s="79" customFormat="1" hidden="1" x14ac:dyDescent="0.3">
      <c r="A68" s="90">
        <v>540055</v>
      </c>
      <c r="B68" s="91" t="s">
        <v>829</v>
      </c>
      <c r="C68" s="91" t="s">
        <v>1125</v>
      </c>
      <c r="D68" s="91" t="s">
        <v>2</v>
      </c>
      <c r="E68" s="90">
        <v>6</v>
      </c>
      <c r="F68" s="115">
        <v>32206</v>
      </c>
    </row>
    <row r="69" spans="1:6" s="79" customFormat="1" hidden="1" x14ac:dyDescent="0.3">
      <c r="A69" s="90">
        <v>540056</v>
      </c>
      <c r="B69" s="91" t="s">
        <v>828</v>
      </c>
      <c r="C69" s="91" t="s">
        <v>1124</v>
      </c>
      <c r="D69" s="91" t="s">
        <v>2</v>
      </c>
      <c r="E69" s="90">
        <v>6</v>
      </c>
      <c r="F69" s="115">
        <v>28536</v>
      </c>
    </row>
    <row r="70" spans="1:6" s="79" customFormat="1" hidden="1" x14ac:dyDescent="0.3">
      <c r="A70" s="90">
        <v>540057</v>
      </c>
      <c r="B70" s="91" t="s">
        <v>827</v>
      </c>
      <c r="C70" s="91" t="s">
        <v>1123</v>
      </c>
      <c r="D70" s="91" t="s">
        <v>2</v>
      </c>
      <c r="E70" s="90">
        <v>6</v>
      </c>
      <c r="F70" s="115">
        <v>32206</v>
      </c>
    </row>
    <row r="71" spans="1:6" s="79" customFormat="1" hidden="1" x14ac:dyDescent="0.3">
      <c r="A71" s="90">
        <v>540058</v>
      </c>
      <c r="B71" s="91" t="s">
        <v>826</v>
      </c>
      <c r="C71" s="91" t="s">
        <v>1122</v>
      </c>
      <c r="D71" s="91" t="s">
        <v>2</v>
      </c>
      <c r="E71" s="90">
        <v>6</v>
      </c>
      <c r="F71" s="115">
        <v>32206</v>
      </c>
    </row>
    <row r="72" spans="1:6" s="79" customFormat="1" hidden="1" x14ac:dyDescent="0.3">
      <c r="A72" s="90">
        <v>540059</v>
      </c>
      <c r="B72" s="91" t="s">
        <v>825</v>
      </c>
      <c r="C72" s="91" t="s">
        <v>1121</v>
      </c>
      <c r="D72" s="91" t="s">
        <v>2</v>
      </c>
      <c r="E72" s="90">
        <v>6</v>
      </c>
      <c r="F72" s="115">
        <v>29481</v>
      </c>
    </row>
    <row r="73" spans="1:6" s="79" customFormat="1" hidden="1" x14ac:dyDescent="0.3">
      <c r="A73" s="90">
        <v>540242</v>
      </c>
      <c r="B73" s="91" t="s">
        <v>824</v>
      </c>
      <c r="C73" s="91" t="s">
        <v>1120</v>
      </c>
      <c r="D73" s="91" t="s">
        <v>2</v>
      </c>
      <c r="E73" s="90">
        <v>6</v>
      </c>
      <c r="F73" s="115">
        <v>31385</v>
      </c>
    </row>
    <row r="74" spans="1:6" s="79" customFormat="1" hidden="1" x14ac:dyDescent="0.3">
      <c r="A74" s="90">
        <v>540060</v>
      </c>
      <c r="B74" s="91" t="s">
        <v>823</v>
      </c>
      <c r="C74" s="91" t="s">
        <v>1119</v>
      </c>
      <c r="D74" s="91" t="s">
        <v>2</v>
      </c>
      <c r="E74" s="90">
        <v>6</v>
      </c>
      <c r="F74" s="115">
        <v>32218</v>
      </c>
    </row>
    <row r="75" spans="1:6" s="79" customFormat="1" hidden="1" x14ac:dyDescent="0.3">
      <c r="A75" s="90">
        <v>540061</v>
      </c>
      <c r="B75" s="91" t="s">
        <v>822</v>
      </c>
      <c r="C75" s="91" t="s">
        <v>1118</v>
      </c>
      <c r="D75" s="91" t="s">
        <v>2</v>
      </c>
      <c r="E75" s="90">
        <v>6</v>
      </c>
      <c r="F75" s="115">
        <v>29103</v>
      </c>
    </row>
    <row r="76" spans="1:6" s="79" customFormat="1" hidden="1" x14ac:dyDescent="0.3">
      <c r="A76" s="90">
        <v>540062</v>
      </c>
      <c r="B76" s="91" t="s">
        <v>821</v>
      </c>
      <c r="C76" s="91" t="s">
        <v>1117</v>
      </c>
      <c r="D76" s="91" t="s">
        <v>2</v>
      </c>
      <c r="E76" s="90">
        <v>6</v>
      </c>
      <c r="F76" s="115">
        <v>32234</v>
      </c>
    </row>
    <row r="77" spans="1:6" s="79" customFormat="1" hidden="1" x14ac:dyDescent="0.3">
      <c r="A77" s="96">
        <v>540063</v>
      </c>
      <c r="B77" s="97" t="s">
        <v>819</v>
      </c>
      <c r="C77" s="97" t="s">
        <v>1116</v>
      </c>
      <c r="D77" s="97" t="s">
        <v>29</v>
      </c>
      <c r="E77" s="96">
        <v>5</v>
      </c>
      <c r="F77" s="116">
        <v>31168</v>
      </c>
    </row>
    <row r="78" spans="1:6" s="79" customFormat="1" hidden="1" x14ac:dyDescent="0.3">
      <c r="A78" s="90">
        <v>540241</v>
      </c>
      <c r="B78" s="91" t="s">
        <v>818</v>
      </c>
      <c r="C78" s="91" t="s">
        <v>1115</v>
      </c>
      <c r="D78" s="91" t="s">
        <v>2</v>
      </c>
      <c r="E78" s="90">
        <v>5</v>
      </c>
      <c r="F78" s="115">
        <v>33315</v>
      </c>
    </row>
    <row r="79" spans="1:6" s="79" customFormat="1" hidden="1" x14ac:dyDescent="0.3">
      <c r="A79" s="90">
        <v>540064</v>
      </c>
      <c r="B79" s="91" t="s">
        <v>817</v>
      </c>
      <c r="C79" s="91" t="s">
        <v>1114</v>
      </c>
      <c r="D79" s="91" t="s">
        <v>2</v>
      </c>
      <c r="E79" s="90">
        <v>5</v>
      </c>
      <c r="F79" s="115">
        <v>28369</v>
      </c>
    </row>
    <row r="80" spans="1:6" s="79" customFormat="1" hidden="1" x14ac:dyDescent="0.3">
      <c r="A80" s="96">
        <v>540065</v>
      </c>
      <c r="B80" s="97" t="s">
        <v>815</v>
      </c>
      <c r="C80" s="97" t="s">
        <v>1113</v>
      </c>
      <c r="D80" s="97" t="s">
        <v>29</v>
      </c>
      <c r="E80" s="96">
        <v>9</v>
      </c>
      <c r="F80" s="116">
        <v>29509</v>
      </c>
    </row>
    <row r="81" spans="1:6" s="79" customFormat="1" hidden="1" x14ac:dyDescent="0.3">
      <c r="A81" s="90">
        <v>540030</v>
      </c>
      <c r="B81" s="91" t="s">
        <v>814</v>
      </c>
      <c r="C81" s="91" t="s">
        <v>1112</v>
      </c>
      <c r="D81" s="91" t="s">
        <v>2</v>
      </c>
      <c r="E81" s="90">
        <v>9</v>
      </c>
      <c r="F81" s="115">
        <v>40165</v>
      </c>
    </row>
    <row r="82" spans="1:6" s="79" customFormat="1" hidden="1" x14ac:dyDescent="0.3">
      <c r="A82" s="90">
        <v>540066</v>
      </c>
      <c r="B82" s="91" t="s">
        <v>813</v>
      </c>
      <c r="C82" s="91" t="s">
        <v>1111</v>
      </c>
      <c r="D82" s="91" t="s">
        <v>2</v>
      </c>
      <c r="E82" s="90">
        <v>9</v>
      </c>
      <c r="F82" s="115">
        <v>29193</v>
      </c>
    </row>
    <row r="83" spans="1:6" s="79" customFormat="1" hidden="1" x14ac:dyDescent="0.3">
      <c r="A83" s="90">
        <v>540067</v>
      </c>
      <c r="B83" s="91" t="s">
        <v>812</v>
      </c>
      <c r="C83" s="91" t="s">
        <v>1110</v>
      </c>
      <c r="D83" s="91" t="s">
        <v>2</v>
      </c>
      <c r="E83" s="90">
        <v>9</v>
      </c>
      <c r="F83" s="115">
        <v>30918</v>
      </c>
    </row>
    <row r="84" spans="1:6" s="79" customFormat="1" hidden="1" x14ac:dyDescent="0.3">
      <c r="A84" s="90">
        <v>540068</v>
      </c>
      <c r="B84" s="91" t="s">
        <v>811</v>
      </c>
      <c r="C84" s="91" t="s">
        <v>1109</v>
      </c>
      <c r="D84" s="91" t="s">
        <v>2</v>
      </c>
      <c r="E84" s="90">
        <v>9</v>
      </c>
      <c r="F84" s="115">
        <v>29021</v>
      </c>
    </row>
    <row r="85" spans="1:6" s="79" customFormat="1" hidden="1" x14ac:dyDescent="0.3">
      <c r="A85" s="90">
        <v>540069</v>
      </c>
      <c r="B85" s="91" t="s">
        <v>810</v>
      </c>
      <c r="C85" s="91" t="s">
        <v>1108</v>
      </c>
      <c r="D85" s="91" t="s">
        <v>2</v>
      </c>
      <c r="E85" s="90">
        <v>9</v>
      </c>
      <c r="F85" s="115">
        <v>29298</v>
      </c>
    </row>
    <row r="86" spans="1:6" s="79" customFormat="1" hidden="1" x14ac:dyDescent="0.3">
      <c r="A86" s="96">
        <v>540070</v>
      </c>
      <c r="B86" s="97" t="s">
        <v>808</v>
      </c>
      <c r="C86" s="97" t="s">
        <v>1107</v>
      </c>
      <c r="D86" s="97" t="s">
        <v>29</v>
      </c>
      <c r="E86" s="96">
        <v>3</v>
      </c>
      <c r="F86" s="116">
        <v>31124</v>
      </c>
    </row>
    <row r="87" spans="1:6" s="79" customFormat="1" hidden="1" x14ac:dyDescent="0.3">
      <c r="A87" s="90">
        <v>540071</v>
      </c>
      <c r="B87" s="91" t="s">
        <v>807</v>
      </c>
      <c r="C87" s="91" t="s">
        <v>1106</v>
      </c>
      <c r="D87" s="91" t="s">
        <v>2</v>
      </c>
      <c r="E87" s="90">
        <v>3</v>
      </c>
      <c r="F87" s="115">
        <v>30056</v>
      </c>
    </row>
    <row r="88" spans="1:6" s="79" customFormat="1" hidden="1" x14ac:dyDescent="0.3">
      <c r="A88" s="90">
        <v>540072</v>
      </c>
      <c r="B88" s="91" t="s">
        <v>806</v>
      </c>
      <c r="C88" s="91" t="s">
        <v>1105</v>
      </c>
      <c r="D88" s="91" t="s">
        <v>2</v>
      </c>
      <c r="E88" s="90">
        <v>3</v>
      </c>
      <c r="F88" s="115">
        <v>30103</v>
      </c>
    </row>
    <row r="89" spans="1:6" s="79" customFormat="1" hidden="1" x14ac:dyDescent="0.3">
      <c r="A89" s="90">
        <v>540073</v>
      </c>
      <c r="B89" s="91" t="s">
        <v>805</v>
      </c>
      <c r="C89" s="91" t="s">
        <v>1104</v>
      </c>
      <c r="D89" s="91" t="s">
        <v>2</v>
      </c>
      <c r="E89" s="90">
        <v>3</v>
      </c>
      <c r="F89" s="115">
        <v>30482</v>
      </c>
    </row>
    <row r="90" spans="1:6" s="79" customFormat="1" hidden="1" x14ac:dyDescent="0.3">
      <c r="A90" s="90">
        <v>540074</v>
      </c>
      <c r="B90" s="91" t="s">
        <v>804</v>
      </c>
      <c r="C90" s="91" t="s">
        <v>1103</v>
      </c>
      <c r="D90" s="91" t="s">
        <v>2</v>
      </c>
      <c r="E90" s="90">
        <v>3</v>
      </c>
      <c r="F90" s="115">
        <v>30103</v>
      </c>
    </row>
    <row r="91" spans="1:6" s="79" customFormat="1" hidden="1" x14ac:dyDescent="0.3">
      <c r="A91" s="90">
        <v>540075</v>
      </c>
      <c r="B91" s="91" t="s">
        <v>803</v>
      </c>
      <c r="C91" s="91" t="s">
        <v>1102</v>
      </c>
      <c r="D91" s="91" t="s">
        <v>2</v>
      </c>
      <c r="E91" s="90">
        <v>3</v>
      </c>
      <c r="F91" s="115">
        <v>30879</v>
      </c>
    </row>
    <row r="92" spans="1:6" s="79" customFormat="1" hidden="1" x14ac:dyDescent="0.3">
      <c r="A92" s="90">
        <v>540076</v>
      </c>
      <c r="B92" s="91" t="s">
        <v>802</v>
      </c>
      <c r="C92" s="91" t="s">
        <v>1101</v>
      </c>
      <c r="D92" s="91" t="s">
        <v>2</v>
      </c>
      <c r="E92" s="90">
        <v>3</v>
      </c>
      <c r="F92" s="115">
        <v>30103</v>
      </c>
    </row>
    <row r="93" spans="1:6" s="79" customFormat="1" hidden="1" x14ac:dyDescent="0.3">
      <c r="A93" s="90">
        <v>540077</v>
      </c>
      <c r="B93" s="91" t="s">
        <v>801</v>
      </c>
      <c r="C93" s="91" t="s">
        <v>1100</v>
      </c>
      <c r="D93" s="91" t="s">
        <v>2</v>
      </c>
      <c r="E93" s="90">
        <v>3</v>
      </c>
      <c r="F93" s="115">
        <v>30103</v>
      </c>
    </row>
    <row r="94" spans="1:6" s="79" customFormat="1" hidden="1" x14ac:dyDescent="0.3">
      <c r="A94" s="90">
        <v>540078</v>
      </c>
      <c r="B94" s="91" t="s">
        <v>800</v>
      </c>
      <c r="C94" s="91" t="s">
        <v>1099</v>
      </c>
      <c r="D94" s="91" t="s">
        <v>2</v>
      </c>
      <c r="E94" s="90">
        <v>3</v>
      </c>
      <c r="F94" s="115">
        <v>30117</v>
      </c>
    </row>
    <row r="95" spans="1:6" s="79" customFormat="1" hidden="1" x14ac:dyDescent="0.3">
      <c r="A95" s="90">
        <v>540279</v>
      </c>
      <c r="B95" s="91" t="s">
        <v>799</v>
      </c>
      <c r="C95" s="91" t="s">
        <v>1098</v>
      </c>
      <c r="D95" s="91" t="s">
        <v>2</v>
      </c>
      <c r="E95" s="90">
        <v>3</v>
      </c>
      <c r="F95" s="115">
        <v>30868</v>
      </c>
    </row>
    <row r="96" spans="1:6" s="79" customFormat="1" hidden="1" x14ac:dyDescent="0.3">
      <c r="A96" s="90">
        <v>540079</v>
      </c>
      <c r="B96" s="91" t="s">
        <v>798</v>
      </c>
      <c r="C96" s="91" t="s">
        <v>1097</v>
      </c>
      <c r="D96" s="91" t="s">
        <v>2</v>
      </c>
      <c r="E96" s="90">
        <v>3</v>
      </c>
      <c r="F96" s="115">
        <v>30056</v>
      </c>
    </row>
    <row r="97" spans="1:6" s="79" customFormat="1" hidden="1" x14ac:dyDescent="0.3">
      <c r="A97" s="90">
        <v>540082</v>
      </c>
      <c r="B97" s="91" t="s">
        <v>796</v>
      </c>
      <c r="C97" s="91" t="s">
        <v>1096</v>
      </c>
      <c r="D97" s="91" t="s">
        <v>2</v>
      </c>
      <c r="E97" s="90">
        <v>3</v>
      </c>
      <c r="F97" s="115">
        <v>30803</v>
      </c>
    </row>
    <row r="98" spans="1:6" s="79" customFormat="1" hidden="1" x14ac:dyDescent="0.3">
      <c r="A98" s="90">
        <v>540223</v>
      </c>
      <c r="B98" s="91" t="s">
        <v>795</v>
      </c>
      <c r="C98" s="91" t="s">
        <v>1095</v>
      </c>
      <c r="D98" s="91" t="s">
        <v>2</v>
      </c>
      <c r="E98" s="90">
        <v>3</v>
      </c>
      <c r="F98" s="115">
        <v>30117</v>
      </c>
    </row>
    <row r="99" spans="1:6" s="79" customFormat="1" hidden="1" x14ac:dyDescent="0.3">
      <c r="A99" s="90">
        <v>540083</v>
      </c>
      <c r="B99" s="91" t="s">
        <v>794</v>
      </c>
      <c r="C99" s="91" t="s">
        <v>1094</v>
      </c>
      <c r="D99" s="91" t="s">
        <v>2</v>
      </c>
      <c r="E99" s="90">
        <v>3</v>
      </c>
      <c r="F99" s="115">
        <v>30117</v>
      </c>
    </row>
    <row r="100" spans="1:6" s="79" customFormat="1" hidden="1" x14ac:dyDescent="0.3">
      <c r="A100" s="90">
        <v>540029</v>
      </c>
      <c r="B100" s="91" t="s">
        <v>797</v>
      </c>
      <c r="C100" s="91" t="s">
        <v>1093</v>
      </c>
      <c r="D100" s="91" t="s">
        <v>2</v>
      </c>
      <c r="E100" s="90">
        <v>3</v>
      </c>
      <c r="F100" s="115">
        <v>30103</v>
      </c>
    </row>
    <row r="101" spans="1:6" s="79" customFormat="1" hidden="1" x14ac:dyDescent="0.3">
      <c r="A101" s="96">
        <v>540085</v>
      </c>
      <c r="B101" s="97" t="s">
        <v>792</v>
      </c>
      <c r="C101" s="97" t="s">
        <v>329</v>
      </c>
      <c r="D101" s="97" t="s">
        <v>29</v>
      </c>
      <c r="E101" s="96">
        <v>7</v>
      </c>
      <c r="F101" s="116">
        <v>31959</v>
      </c>
    </row>
    <row r="102" spans="1:6" s="79" customFormat="1" hidden="1" x14ac:dyDescent="0.3">
      <c r="A102" s="90">
        <v>540086</v>
      </c>
      <c r="B102" s="91" t="s">
        <v>791</v>
      </c>
      <c r="C102" s="91" t="s">
        <v>1092</v>
      </c>
      <c r="D102" s="91" t="s">
        <v>2</v>
      </c>
      <c r="E102" s="90">
        <v>7</v>
      </c>
      <c r="F102" s="115">
        <v>30949</v>
      </c>
    </row>
    <row r="103" spans="1:6" s="79" customFormat="1" hidden="1" x14ac:dyDescent="0.3">
      <c r="A103" s="90">
        <v>540087</v>
      </c>
      <c r="B103" s="91" t="s">
        <v>790</v>
      </c>
      <c r="C103" s="91" t="s">
        <v>1091</v>
      </c>
      <c r="D103" s="91" t="s">
        <v>2</v>
      </c>
      <c r="E103" s="90">
        <v>7</v>
      </c>
      <c r="F103" s="115">
        <v>30056</v>
      </c>
    </row>
    <row r="104" spans="1:6" s="79" customFormat="1" x14ac:dyDescent="0.3">
      <c r="A104" s="96">
        <v>540088</v>
      </c>
      <c r="B104" s="97" t="s">
        <v>788</v>
      </c>
      <c r="C104" s="97" t="s">
        <v>325</v>
      </c>
      <c r="D104" s="97" t="s">
        <v>29</v>
      </c>
      <c r="E104" s="96">
        <v>2</v>
      </c>
      <c r="F104" s="116">
        <v>32038</v>
      </c>
    </row>
    <row r="105" spans="1:6" s="79" customFormat="1" x14ac:dyDescent="0.3">
      <c r="A105" s="90">
        <v>540089</v>
      </c>
      <c r="B105" s="91" t="s">
        <v>787</v>
      </c>
      <c r="C105" s="91" t="s">
        <v>1090</v>
      </c>
      <c r="D105" s="91" t="s">
        <v>2</v>
      </c>
      <c r="E105" s="90">
        <v>2</v>
      </c>
      <c r="F105" s="115">
        <v>32024</v>
      </c>
    </row>
    <row r="106" spans="1:6" s="79" customFormat="1" x14ac:dyDescent="0.3">
      <c r="A106" s="90">
        <v>540090</v>
      </c>
      <c r="B106" s="91" t="s">
        <v>786</v>
      </c>
      <c r="C106" s="91" t="s">
        <v>1089</v>
      </c>
      <c r="D106" s="91" t="s">
        <v>2</v>
      </c>
      <c r="E106" s="90">
        <v>2</v>
      </c>
      <c r="F106" s="115">
        <v>32024</v>
      </c>
    </row>
    <row r="107" spans="1:6" s="79" customFormat="1" x14ac:dyDescent="0.3">
      <c r="A107" s="96">
        <v>545536</v>
      </c>
      <c r="B107" s="97" t="s">
        <v>784</v>
      </c>
      <c r="C107" s="97" t="s">
        <v>1088</v>
      </c>
      <c r="D107" s="97" t="s">
        <v>29</v>
      </c>
      <c r="E107" s="96">
        <v>2</v>
      </c>
      <c r="F107" s="116">
        <v>26396</v>
      </c>
    </row>
    <row r="108" spans="1:6" s="79" customFormat="1" x14ac:dyDescent="0.3">
      <c r="A108" s="90">
        <v>540092</v>
      </c>
      <c r="B108" s="91" t="s">
        <v>783</v>
      </c>
      <c r="C108" s="91" t="s">
        <v>1087</v>
      </c>
      <c r="D108" s="91" t="s">
        <v>2</v>
      </c>
      <c r="E108" s="90">
        <v>2</v>
      </c>
      <c r="F108" s="115">
        <v>26172</v>
      </c>
    </row>
    <row r="109" spans="1:6" s="79" customFormat="1" x14ac:dyDescent="0.3">
      <c r="A109" s="90">
        <v>545535</v>
      </c>
      <c r="B109" s="91" t="s">
        <v>782</v>
      </c>
      <c r="C109" s="91" t="s">
        <v>1086</v>
      </c>
      <c r="D109" s="91" t="s">
        <v>2</v>
      </c>
      <c r="E109" s="90">
        <v>2</v>
      </c>
      <c r="F109" s="115">
        <v>26130</v>
      </c>
    </row>
    <row r="110" spans="1:6" s="79" customFormat="1" x14ac:dyDescent="0.3">
      <c r="A110" s="90">
        <v>545537</v>
      </c>
      <c r="B110" s="91" t="s">
        <v>781</v>
      </c>
      <c r="C110" s="91" t="s">
        <v>1085</v>
      </c>
      <c r="D110" s="91" t="s">
        <v>2</v>
      </c>
      <c r="E110" s="90">
        <v>2</v>
      </c>
      <c r="F110" s="115">
        <v>26186</v>
      </c>
    </row>
    <row r="111" spans="1:6" s="79" customFormat="1" x14ac:dyDescent="0.3">
      <c r="A111" s="90">
        <v>540095</v>
      </c>
      <c r="B111" s="91" t="s">
        <v>780</v>
      </c>
      <c r="C111" s="91" t="s">
        <v>1084</v>
      </c>
      <c r="D111" s="91" t="s">
        <v>2</v>
      </c>
      <c r="E111" s="90">
        <v>2</v>
      </c>
      <c r="F111" s="115">
        <v>26158</v>
      </c>
    </row>
    <row r="112" spans="1:6" s="79" customFormat="1" x14ac:dyDescent="0.3">
      <c r="A112" s="90">
        <v>545539</v>
      </c>
      <c r="B112" s="91" t="s">
        <v>779</v>
      </c>
      <c r="C112" s="91" t="s">
        <v>1083</v>
      </c>
      <c r="D112" s="91" t="s">
        <v>2</v>
      </c>
      <c r="E112" s="90">
        <v>2</v>
      </c>
      <c r="F112" s="115">
        <v>26452</v>
      </c>
    </row>
    <row r="113" spans="1:6" s="79" customFormat="1" hidden="1" x14ac:dyDescent="0.3">
      <c r="A113" s="120">
        <v>540097</v>
      </c>
      <c r="B113" s="97" t="s">
        <v>777</v>
      </c>
      <c r="C113" s="97" t="s">
        <v>307</v>
      </c>
      <c r="D113" s="97" t="s">
        <v>29</v>
      </c>
      <c r="E113" s="96">
        <v>6</v>
      </c>
      <c r="F113" s="116">
        <v>32328</v>
      </c>
    </row>
    <row r="114" spans="1:6" s="79" customFormat="1" hidden="1" x14ac:dyDescent="0.3">
      <c r="A114" s="90">
        <v>540098</v>
      </c>
      <c r="B114" s="91" t="s">
        <v>776</v>
      </c>
      <c r="C114" s="91" t="s">
        <v>1082</v>
      </c>
      <c r="D114" s="91" t="s">
        <v>2</v>
      </c>
      <c r="E114" s="90">
        <v>6</v>
      </c>
      <c r="F114" s="115">
        <v>32218</v>
      </c>
    </row>
    <row r="115" spans="1:6" s="79" customFormat="1" hidden="1" x14ac:dyDescent="0.3">
      <c r="A115" s="90" t="s">
        <v>775</v>
      </c>
      <c r="B115" s="91" t="s">
        <v>774</v>
      </c>
      <c r="C115" s="91" t="s">
        <v>1081</v>
      </c>
      <c r="D115" s="91" t="s">
        <v>2</v>
      </c>
      <c r="E115" s="90">
        <v>6</v>
      </c>
      <c r="F115" s="115">
        <v>31960</v>
      </c>
    </row>
    <row r="116" spans="1:6" s="79" customFormat="1" hidden="1" x14ac:dyDescent="0.3">
      <c r="A116" s="90">
        <v>540100</v>
      </c>
      <c r="B116" s="91" t="s">
        <v>773</v>
      </c>
      <c r="C116" s="91" t="s">
        <v>1080</v>
      </c>
      <c r="D116" s="91" t="s">
        <v>2</v>
      </c>
      <c r="E116" s="90">
        <v>6</v>
      </c>
      <c r="F116" s="115">
        <v>32218</v>
      </c>
    </row>
    <row r="117" spans="1:6" s="79" customFormat="1" hidden="1" x14ac:dyDescent="0.3">
      <c r="A117" s="90">
        <v>540101</v>
      </c>
      <c r="B117" s="91" t="s">
        <v>772</v>
      </c>
      <c r="C117" s="91" t="s">
        <v>1079</v>
      </c>
      <c r="D117" s="91" t="s">
        <v>2</v>
      </c>
      <c r="E117" s="90">
        <v>6</v>
      </c>
      <c r="F117" s="115">
        <v>32218</v>
      </c>
    </row>
    <row r="118" spans="1:6" s="79" customFormat="1" hidden="1" x14ac:dyDescent="0.3">
      <c r="A118" s="90">
        <v>540102</v>
      </c>
      <c r="B118" s="91" t="s">
        <v>771</v>
      </c>
      <c r="C118" s="91" t="s">
        <v>1078</v>
      </c>
      <c r="D118" s="91" t="s">
        <v>2</v>
      </c>
      <c r="E118" s="90">
        <v>6</v>
      </c>
      <c r="F118" s="115">
        <v>32206</v>
      </c>
    </row>
    <row r="119" spans="1:6" s="79" customFormat="1" hidden="1" x14ac:dyDescent="0.3">
      <c r="A119" s="90">
        <v>540103</v>
      </c>
      <c r="B119" s="91" t="s">
        <v>770</v>
      </c>
      <c r="C119" s="91" t="s">
        <v>1077</v>
      </c>
      <c r="D119" s="91" t="s">
        <v>2</v>
      </c>
      <c r="E119" s="90">
        <v>6</v>
      </c>
      <c r="F119" s="115">
        <v>31735</v>
      </c>
    </row>
    <row r="120" spans="1:6" s="79" customFormat="1" hidden="1" x14ac:dyDescent="0.3">
      <c r="A120" s="90">
        <v>540104</v>
      </c>
      <c r="B120" s="91" t="s">
        <v>769</v>
      </c>
      <c r="C120" s="91" t="s">
        <v>1076</v>
      </c>
      <c r="D120" s="91" t="s">
        <v>2</v>
      </c>
      <c r="E120" s="90">
        <v>6</v>
      </c>
      <c r="F120" s="115">
        <v>32218</v>
      </c>
    </row>
    <row r="121" spans="1:6" s="79" customFormat="1" hidden="1" x14ac:dyDescent="0.3">
      <c r="A121" s="90">
        <v>540292</v>
      </c>
      <c r="B121" s="91" t="s">
        <v>768</v>
      </c>
      <c r="C121" s="91" t="s">
        <v>1075</v>
      </c>
      <c r="D121" s="91" t="s">
        <v>2</v>
      </c>
      <c r="E121" s="90">
        <v>6</v>
      </c>
      <c r="F121" s="115">
        <v>41079</v>
      </c>
    </row>
    <row r="122" spans="1:6" s="79" customFormat="1" hidden="1" x14ac:dyDescent="0.3">
      <c r="A122" s="90">
        <v>540105</v>
      </c>
      <c r="B122" s="91" t="s">
        <v>767</v>
      </c>
      <c r="C122" s="91" t="s">
        <v>1074</v>
      </c>
      <c r="D122" s="91" t="s">
        <v>2</v>
      </c>
      <c r="E122" s="90">
        <v>6</v>
      </c>
      <c r="F122" s="115">
        <v>32218</v>
      </c>
    </row>
    <row r="123" spans="1:6" s="79" customFormat="1" hidden="1" x14ac:dyDescent="0.3">
      <c r="A123" s="90">
        <v>540106</v>
      </c>
      <c r="B123" s="91" t="s">
        <v>766</v>
      </c>
      <c r="C123" s="91" t="s">
        <v>1073</v>
      </c>
      <c r="D123" s="91" t="s">
        <v>2</v>
      </c>
      <c r="E123" s="90">
        <v>6</v>
      </c>
      <c r="F123" s="115">
        <v>32218</v>
      </c>
    </row>
    <row r="124" spans="1:6" s="79" customFormat="1" hidden="1" x14ac:dyDescent="0.3">
      <c r="A124" s="96">
        <v>540107</v>
      </c>
      <c r="B124" s="97" t="s">
        <v>764</v>
      </c>
      <c r="C124" s="97" t="s">
        <v>1072</v>
      </c>
      <c r="D124" s="97" t="s">
        <v>29</v>
      </c>
      <c r="E124" s="96">
        <v>10</v>
      </c>
      <c r="F124" s="116">
        <v>27383</v>
      </c>
    </row>
    <row r="125" spans="1:6" s="79" customFormat="1" hidden="1" x14ac:dyDescent="0.3">
      <c r="A125" s="90">
        <v>540108</v>
      </c>
      <c r="B125" s="91" t="s">
        <v>763</v>
      </c>
      <c r="C125" s="91" t="s">
        <v>1071</v>
      </c>
      <c r="D125" s="91" t="s">
        <v>2</v>
      </c>
      <c r="E125" s="90">
        <v>10</v>
      </c>
      <c r="F125" s="115">
        <v>29342</v>
      </c>
    </row>
    <row r="126" spans="1:6" s="79" customFormat="1" hidden="1" x14ac:dyDescent="0.3">
      <c r="A126" s="90">
        <v>540287</v>
      </c>
      <c r="B126" s="91" t="s">
        <v>762</v>
      </c>
      <c r="C126" s="91" t="s">
        <v>1070</v>
      </c>
      <c r="D126" s="91" t="s">
        <v>2</v>
      </c>
      <c r="E126" s="90">
        <v>10</v>
      </c>
      <c r="F126" s="115">
        <v>40081</v>
      </c>
    </row>
    <row r="127" spans="1:6" s="79" customFormat="1" hidden="1" x14ac:dyDescent="0.3">
      <c r="A127" s="90">
        <v>540109</v>
      </c>
      <c r="B127" s="91" t="s">
        <v>761</v>
      </c>
      <c r="C127" s="91" t="s">
        <v>1069</v>
      </c>
      <c r="D127" s="91" t="s">
        <v>2</v>
      </c>
      <c r="E127" s="90">
        <v>10</v>
      </c>
      <c r="F127" s="115">
        <v>27208</v>
      </c>
    </row>
    <row r="128" spans="1:6" s="79" customFormat="1" hidden="1" x14ac:dyDescent="0.3">
      <c r="A128" s="90">
        <v>540110</v>
      </c>
      <c r="B128" s="91" t="s">
        <v>760</v>
      </c>
      <c r="C128" s="91" t="s">
        <v>1068</v>
      </c>
      <c r="D128" s="91" t="s">
        <v>2</v>
      </c>
      <c r="E128" s="90">
        <v>10</v>
      </c>
      <c r="F128" s="115">
        <v>40081</v>
      </c>
    </row>
    <row r="129" spans="1:6" s="79" customFormat="1" hidden="1" x14ac:dyDescent="0.3">
      <c r="A129" s="90">
        <v>540111</v>
      </c>
      <c r="B129" s="91" t="s">
        <v>759</v>
      </c>
      <c r="C129" s="91" t="s">
        <v>1067</v>
      </c>
      <c r="D129" s="91" t="s">
        <v>2</v>
      </c>
      <c r="E129" s="90">
        <v>10</v>
      </c>
      <c r="F129" s="115">
        <v>27110</v>
      </c>
    </row>
    <row r="130" spans="1:6" s="79" customFormat="1" x14ac:dyDescent="0.3">
      <c r="A130" s="96">
        <v>540112</v>
      </c>
      <c r="B130" s="97" t="s">
        <v>757</v>
      </c>
      <c r="C130" s="97" t="s">
        <v>1066</v>
      </c>
      <c r="D130" s="97" t="s">
        <v>29</v>
      </c>
      <c r="E130" s="96">
        <v>2</v>
      </c>
      <c r="F130" s="116">
        <v>29222</v>
      </c>
    </row>
    <row r="131" spans="1:6" s="79" customFormat="1" x14ac:dyDescent="0.3">
      <c r="A131" s="90">
        <v>540247</v>
      </c>
      <c r="B131" s="91" t="s">
        <v>756</v>
      </c>
      <c r="C131" s="91" t="s">
        <v>1065</v>
      </c>
      <c r="D131" s="91" t="s">
        <v>2</v>
      </c>
      <c r="E131" s="90">
        <v>2</v>
      </c>
      <c r="F131" s="115">
        <v>28536</v>
      </c>
    </row>
    <row r="132" spans="1:6" s="79" customFormat="1" x14ac:dyDescent="0.3">
      <c r="A132" s="90">
        <v>540251</v>
      </c>
      <c r="B132" s="91" t="s">
        <v>755</v>
      </c>
      <c r="C132" s="91" t="s">
        <v>1064</v>
      </c>
      <c r="D132" s="91" t="s">
        <v>2</v>
      </c>
      <c r="E132" s="90">
        <v>2</v>
      </c>
      <c r="F132" s="115">
        <v>28625</v>
      </c>
    </row>
    <row r="133" spans="1:6" s="79" customFormat="1" x14ac:dyDescent="0.3">
      <c r="A133" s="90">
        <v>540113</v>
      </c>
      <c r="B133" s="91" t="s">
        <v>754</v>
      </c>
      <c r="C133" s="91" t="s">
        <v>1063</v>
      </c>
      <c r="D133" s="91" t="s">
        <v>2</v>
      </c>
      <c r="E133" s="90">
        <v>2</v>
      </c>
      <c r="F133" s="115">
        <v>28717</v>
      </c>
    </row>
    <row r="134" spans="1:6" s="79" customFormat="1" x14ac:dyDescent="0.3">
      <c r="A134" s="90">
        <v>540248</v>
      </c>
      <c r="B134" s="91" t="s">
        <v>753</v>
      </c>
      <c r="C134" s="91" t="s">
        <v>1062</v>
      </c>
      <c r="D134" s="91" t="s">
        <v>2</v>
      </c>
      <c r="E134" s="90">
        <v>2</v>
      </c>
      <c r="F134" s="115">
        <v>28536</v>
      </c>
    </row>
    <row r="135" spans="1:6" s="79" customFormat="1" x14ac:dyDescent="0.3">
      <c r="A135" s="90">
        <v>540249</v>
      </c>
      <c r="B135" s="91" t="s">
        <v>752</v>
      </c>
      <c r="C135" s="91" t="s">
        <v>1061</v>
      </c>
      <c r="D135" s="91" t="s">
        <v>2</v>
      </c>
      <c r="E135" s="90">
        <v>2</v>
      </c>
      <c r="F135" s="115">
        <v>28674</v>
      </c>
    </row>
    <row r="136" spans="1:6" s="79" customFormat="1" x14ac:dyDescent="0.3">
      <c r="A136" s="90">
        <v>540250</v>
      </c>
      <c r="B136" s="91" t="s">
        <v>751</v>
      </c>
      <c r="C136" s="91" t="s">
        <v>1060</v>
      </c>
      <c r="D136" s="91" t="s">
        <v>2</v>
      </c>
      <c r="E136" s="90">
        <v>2</v>
      </c>
      <c r="F136" s="115">
        <v>28625</v>
      </c>
    </row>
    <row r="137" spans="1:6" s="79" customFormat="1" hidden="1" x14ac:dyDescent="0.3">
      <c r="A137" s="96">
        <v>540114</v>
      </c>
      <c r="B137" s="97" t="s">
        <v>749</v>
      </c>
      <c r="C137" s="97" t="s">
        <v>1059</v>
      </c>
      <c r="D137" s="97" t="s">
        <v>29</v>
      </c>
      <c r="E137" s="96">
        <v>1</v>
      </c>
      <c r="F137" s="116">
        <v>31673</v>
      </c>
    </row>
    <row r="138" spans="1:6" s="79" customFormat="1" hidden="1" x14ac:dyDescent="0.3">
      <c r="A138" s="90">
        <v>540115</v>
      </c>
      <c r="B138" s="91" t="s">
        <v>748</v>
      </c>
      <c r="C138" s="91" t="s">
        <v>1058</v>
      </c>
      <c r="D138" s="91" t="s">
        <v>2</v>
      </c>
      <c r="E138" s="90">
        <v>1</v>
      </c>
      <c r="F138" s="115">
        <v>31079</v>
      </c>
    </row>
    <row r="139" spans="1:6" s="79" customFormat="1" hidden="1" x14ac:dyDescent="0.3">
      <c r="A139" s="90">
        <v>540291</v>
      </c>
      <c r="B139" s="91" t="s">
        <v>747</v>
      </c>
      <c r="C139" s="91" t="s">
        <v>1057</v>
      </c>
      <c r="D139" s="91" t="s">
        <v>2</v>
      </c>
      <c r="E139" s="90">
        <v>1</v>
      </c>
      <c r="F139" s="115">
        <v>31673</v>
      </c>
    </row>
    <row r="140" spans="1:6" s="79" customFormat="1" hidden="1" x14ac:dyDescent="0.3">
      <c r="A140" s="90">
        <v>540116</v>
      </c>
      <c r="B140" s="91" t="s">
        <v>746</v>
      </c>
      <c r="C140" s="91" t="s">
        <v>1056</v>
      </c>
      <c r="D140" s="91" t="s">
        <v>2</v>
      </c>
      <c r="E140" s="90">
        <v>1</v>
      </c>
      <c r="F140" s="115">
        <v>30953</v>
      </c>
    </row>
    <row r="141" spans="1:6" s="79" customFormat="1" hidden="1" x14ac:dyDescent="0.3">
      <c r="A141" s="90">
        <v>540117</v>
      </c>
      <c r="B141" s="91" t="s">
        <v>745</v>
      </c>
      <c r="C141" s="91" t="s">
        <v>1055</v>
      </c>
      <c r="D141" s="91" t="s">
        <v>2</v>
      </c>
      <c r="E141" s="90">
        <v>1</v>
      </c>
      <c r="F141" s="115">
        <v>31079</v>
      </c>
    </row>
    <row r="142" spans="1:6" s="79" customFormat="1" hidden="1" x14ac:dyDescent="0.3">
      <c r="A142" s="90">
        <v>540118</v>
      </c>
      <c r="B142" s="91" t="s">
        <v>744</v>
      </c>
      <c r="C142" s="91" t="s">
        <v>1054</v>
      </c>
      <c r="D142" s="91" t="s">
        <v>2</v>
      </c>
      <c r="E142" s="90">
        <v>1</v>
      </c>
      <c r="F142" s="115">
        <v>30953</v>
      </c>
    </row>
    <row r="143" spans="1:6" s="79" customFormat="1" hidden="1" x14ac:dyDescent="0.3">
      <c r="A143" s="90">
        <v>540119</v>
      </c>
      <c r="B143" s="91" t="s">
        <v>743</v>
      </c>
      <c r="C143" s="91" t="s">
        <v>1053</v>
      </c>
      <c r="D143" s="91" t="s">
        <v>2</v>
      </c>
      <c r="E143" s="90">
        <v>1</v>
      </c>
      <c r="F143" s="115">
        <v>31079</v>
      </c>
    </row>
    <row r="144" spans="1:6" s="79" customFormat="1" hidden="1" x14ac:dyDescent="0.3">
      <c r="A144" s="90">
        <v>540120</v>
      </c>
      <c r="B144" s="91" t="s">
        <v>742</v>
      </c>
      <c r="C144" s="91" t="s">
        <v>1052</v>
      </c>
      <c r="D144" s="91" t="s">
        <v>2</v>
      </c>
      <c r="E144" s="90">
        <v>1</v>
      </c>
      <c r="F144" s="115">
        <v>31079</v>
      </c>
    </row>
    <row r="145" spans="1:6" s="79" customFormat="1" hidden="1" x14ac:dyDescent="0.3">
      <c r="A145" s="90">
        <v>540121</v>
      </c>
      <c r="B145" s="91" t="s">
        <v>741</v>
      </c>
      <c r="C145" s="91" t="s">
        <v>1051</v>
      </c>
      <c r="D145" s="91" t="s">
        <v>2</v>
      </c>
      <c r="E145" s="90">
        <v>1</v>
      </c>
      <c r="F145" s="115">
        <v>31140</v>
      </c>
    </row>
    <row r="146" spans="1:6" s="79" customFormat="1" hidden="1" x14ac:dyDescent="0.3">
      <c r="A146" s="90">
        <v>540122</v>
      </c>
      <c r="B146" s="91" t="s">
        <v>740</v>
      </c>
      <c r="C146" s="91" t="s">
        <v>1050</v>
      </c>
      <c r="D146" s="91" t="s">
        <v>2</v>
      </c>
      <c r="E146" s="90">
        <v>1</v>
      </c>
      <c r="F146" s="115">
        <v>30953</v>
      </c>
    </row>
    <row r="147" spans="1:6" s="79" customFormat="1" hidden="1" x14ac:dyDescent="0.3">
      <c r="A147" s="90">
        <v>540123</v>
      </c>
      <c r="B147" s="91" t="s">
        <v>739</v>
      </c>
      <c r="C147" s="91" t="s">
        <v>1049</v>
      </c>
      <c r="D147" s="91" t="s">
        <v>2</v>
      </c>
      <c r="E147" s="90">
        <v>1</v>
      </c>
      <c r="F147" s="115">
        <v>30560</v>
      </c>
    </row>
    <row r="148" spans="1:6" s="79" customFormat="1" hidden="1" x14ac:dyDescent="0.3">
      <c r="A148" s="96">
        <v>540124</v>
      </c>
      <c r="B148" s="97" t="s">
        <v>737</v>
      </c>
      <c r="C148" s="97" t="s">
        <v>250</v>
      </c>
      <c r="D148" s="97" t="s">
        <v>29</v>
      </c>
      <c r="E148" s="96">
        <v>1</v>
      </c>
      <c r="F148" s="116">
        <v>31079</v>
      </c>
    </row>
    <row r="149" spans="1:6" s="79" customFormat="1" hidden="1" x14ac:dyDescent="0.3">
      <c r="A149" s="90">
        <v>540172</v>
      </c>
      <c r="B149" s="91" t="s">
        <v>736</v>
      </c>
      <c r="C149" s="91" t="s">
        <v>1048</v>
      </c>
      <c r="D149" s="91" t="s">
        <v>2</v>
      </c>
      <c r="E149" s="90">
        <v>1</v>
      </c>
      <c r="F149" s="115">
        <v>38413</v>
      </c>
    </row>
    <row r="150" spans="1:6" s="79" customFormat="1" hidden="1" x14ac:dyDescent="0.3">
      <c r="A150" s="90">
        <v>540285</v>
      </c>
      <c r="B150" s="91" t="s">
        <v>735</v>
      </c>
      <c r="C150" s="91" t="s">
        <v>1047</v>
      </c>
      <c r="D150" s="91" t="s">
        <v>2</v>
      </c>
      <c r="E150" s="90">
        <v>1</v>
      </c>
      <c r="F150" s="115">
        <v>38413</v>
      </c>
    </row>
    <row r="151" spans="1:6" s="79" customFormat="1" hidden="1" x14ac:dyDescent="0.3">
      <c r="A151" s="90">
        <v>540125</v>
      </c>
      <c r="B151" s="91" t="s">
        <v>734</v>
      </c>
      <c r="C151" s="91" t="s">
        <v>1046</v>
      </c>
      <c r="D151" s="91" t="s">
        <v>2</v>
      </c>
      <c r="E151" s="90">
        <v>1</v>
      </c>
      <c r="F151" s="115">
        <v>30651</v>
      </c>
    </row>
    <row r="152" spans="1:6" s="79" customFormat="1" hidden="1" x14ac:dyDescent="0.3">
      <c r="A152" s="118">
        <v>540126</v>
      </c>
      <c r="B152" s="119" t="s">
        <v>1045</v>
      </c>
      <c r="C152" s="119" t="s">
        <v>1044</v>
      </c>
      <c r="D152" s="119" t="s">
        <v>2</v>
      </c>
      <c r="E152" s="118">
        <v>1</v>
      </c>
      <c r="F152" s="117">
        <v>30665</v>
      </c>
    </row>
    <row r="153" spans="1:6" s="79" customFormat="1" hidden="1" x14ac:dyDescent="0.3">
      <c r="A153" s="90">
        <v>540127</v>
      </c>
      <c r="B153" s="91" t="s">
        <v>731</v>
      </c>
      <c r="C153" s="91" t="s">
        <v>1043</v>
      </c>
      <c r="D153" s="91" t="s">
        <v>2</v>
      </c>
      <c r="E153" s="90">
        <v>1</v>
      </c>
      <c r="F153" s="115">
        <v>30665</v>
      </c>
    </row>
    <row r="154" spans="1:6" s="79" customFormat="1" hidden="1" x14ac:dyDescent="0.3">
      <c r="A154" s="90">
        <v>540128</v>
      </c>
      <c r="B154" s="91" t="s">
        <v>730</v>
      </c>
      <c r="C154" s="91" t="s">
        <v>1042</v>
      </c>
      <c r="D154" s="91" t="s">
        <v>2</v>
      </c>
      <c r="E154" s="90">
        <v>1</v>
      </c>
      <c r="F154" s="115">
        <v>30713</v>
      </c>
    </row>
    <row r="155" spans="1:6" s="79" customFormat="1" hidden="1" x14ac:dyDescent="0.3">
      <c r="A155" s="96">
        <v>540129</v>
      </c>
      <c r="B155" s="97" t="s">
        <v>728</v>
      </c>
      <c r="C155" s="97" t="s">
        <v>1041</v>
      </c>
      <c r="D155" s="97" t="s">
        <v>29</v>
      </c>
      <c r="E155" s="96">
        <v>8</v>
      </c>
      <c r="F155" s="116">
        <v>33508</v>
      </c>
    </row>
    <row r="156" spans="1:6" s="79" customFormat="1" hidden="1" x14ac:dyDescent="0.3">
      <c r="A156" s="90">
        <v>540130</v>
      </c>
      <c r="B156" s="91" t="s">
        <v>727</v>
      </c>
      <c r="C156" s="91" t="s">
        <v>1040</v>
      </c>
      <c r="D156" s="91" t="s">
        <v>2</v>
      </c>
      <c r="E156" s="90">
        <v>8</v>
      </c>
      <c r="F156" s="115">
        <v>33508</v>
      </c>
    </row>
    <row r="157" spans="1:6" s="79" customFormat="1" hidden="1" x14ac:dyDescent="0.3">
      <c r="A157" s="90">
        <v>540131</v>
      </c>
      <c r="B157" s="91" t="s">
        <v>726</v>
      </c>
      <c r="C157" s="91" t="s">
        <v>1039</v>
      </c>
      <c r="D157" s="91" t="s">
        <v>2</v>
      </c>
      <c r="E157" s="90">
        <v>8</v>
      </c>
      <c r="F157" s="115">
        <v>33508</v>
      </c>
    </row>
    <row r="158" spans="1:6" s="79" customFormat="1" hidden="1" x14ac:dyDescent="0.3">
      <c r="A158" s="90">
        <v>540155</v>
      </c>
      <c r="B158" s="91" t="s">
        <v>725</v>
      </c>
      <c r="C158" s="91" t="s">
        <v>1038</v>
      </c>
      <c r="D158" s="91" t="s">
        <v>2</v>
      </c>
      <c r="E158" s="90">
        <v>8</v>
      </c>
      <c r="F158" s="115">
        <v>33508</v>
      </c>
    </row>
    <row r="159" spans="1:6" s="79" customFormat="1" x14ac:dyDescent="0.3">
      <c r="A159" s="96">
        <v>540133</v>
      </c>
      <c r="B159" s="97" t="s">
        <v>723</v>
      </c>
      <c r="C159" s="97" t="s">
        <v>1037</v>
      </c>
      <c r="D159" s="97" t="s">
        <v>29</v>
      </c>
      <c r="E159" s="96">
        <v>2</v>
      </c>
      <c r="F159" s="116">
        <v>29557</v>
      </c>
    </row>
    <row r="160" spans="1:6" s="79" customFormat="1" x14ac:dyDescent="0.3">
      <c r="A160" s="90">
        <v>540134</v>
      </c>
      <c r="B160" s="91" t="s">
        <v>722</v>
      </c>
      <c r="C160" s="91" t="s">
        <v>1036</v>
      </c>
      <c r="D160" s="91" t="s">
        <v>2</v>
      </c>
      <c r="E160" s="90">
        <v>2</v>
      </c>
      <c r="F160" s="115">
        <v>28199</v>
      </c>
    </row>
    <row r="161" spans="1:6" s="79" customFormat="1" x14ac:dyDescent="0.3">
      <c r="A161" s="90">
        <v>540135</v>
      </c>
      <c r="B161" s="91" t="s">
        <v>721</v>
      </c>
      <c r="C161" s="91" t="s">
        <v>1035</v>
      </c>
      <c r="D161" s="91" t="s">
        <v>2</v>
      </c>
      <c r="E161" s="90">
        <v>2</v>
      </c>
      <c r="F161" s="115">
        <v>28247</v>
      </c>
    </row>
    <row r="162" spans="1:6" s="79" customFormat="1" x14ac:dyDescent="0.3">
      <c r="A162" s="90" t="s">
        <v>720</v>
      </c>
      <c r="B162" s="91" t="s">
        <v>719</v>
      </c>
      <c r="C162" s="91" t="s">
        <v>1034</v>
      </c>
      <c r="D162" s="91" t="s">
        <v>2</v>
      </c>
      <c r="E162" s="90">
        <v>2</v>
      </c>
      <c r="F162" s="115">
        <v>28550</v>
      </c>
    </row>
    <row r="163" spans="1:6" s="79" customFormat="1" x14ac:dyDescent="0.3">
      <c r="A163" s="90" t="s">
        <v>718</v>
      </c>
      <c r="B163" s="91" t="s">
        <v>717</v>
      </c>
      <c r="C163" s="91" t="s">
        <v>1033</v>
      </c>
      <c r="D163" s="91" t="s">
        <v>2</v>
      </c>
      <c r="E163" s="90">
        <v>2</v>
      </c>
      <c r="F163" s="115">
        <v>25602</v>
      </c>
    </row>
    <row r="164" spans="1:6" s="79" customFormat="1" x14ac:dyDescent="0.3">
      <c r="A164" s="90" t="s">
        <v>716</v>
      </c>
      <c r="B164" s="91" t="s">
        <v>715</v>
      </c>
      <c r="C164" s="91" t="s">
        <v>1032</v>
      </c>
      <c r="D164" s="91" t="s">
        <v>2</v>
      </c>
      <c r="E164" s="90">
        <v>2</v>
      </c>
      <c r="F164" s="115">
        <v>29602</v>
      </c>
    </row>
    <row r="165" spans="1:6" s="79" customFormat="1" hidden="1" x14ac:dyDescent="0.3">
      <c r="A165" s="96">
        <v>540139</v>
      </c>
      <c r="B165" s="97" t="s">
        <v>713</v>
      </c>
      <c r="C165" s="97" t="s">
        <v>1031</v>
      </c>
      <c r="D165" s="97" t="s">
        <v>29</v>
      </c>
      <c r="E165" s="96">
        <v>6</v>
      </c>
      <c r="F165" s="116">
        <v>40198</v>
      </c>
    </row>
    <row r="166" spans="1:6" s="79" customFormat="1" hidden="1" x14ac:dyDescent="0.3">
      <c r="A166" s="90">
        <v>540140</v>
      </c>
      <c r="B166" s="91" t="s">
        <v>712</v>
      </c>
      <c r="C166" s="91" t="s">
        <v>1030</v>
      </c>
      <c r="D166" s="91" t="s">
        <v>2</v>
      </c>
      <c r="E166" s="90">
        <v>6</v>
      </c>
      <c r="F166" s="115">
        <v>40198</v>
      </c>
    </row>
    <row r="167" spans="1:6" s="79" customFormat="1" hidden="1" x14ac:dyDescent="0.3">
      <c r="A167" s="90">
        <v>540272</v>
      </c>
      <c r="B167" s="91" t="s">
        <v>711</v>
      </c>
      <c r="C167" s="91" t="s">
        <v>1029</v>
      </c>
      <c r="D167" s="91" t="s">
        <v>2</v>
      </c>
      <c r="E167" s="90">
        <v>6</v>
      </c>
      <c r="F167" s="115">
        <v>30665</v>
      </c>
    </row>
    <row r="168" spans="1:6" s="79" customFormat="1" hidden="1" x14ac:dyDescent="0.3">
      <c r="A168" s="90">
        <v>540141</v>
      </c>
      <c r="B168" s="91" t="s">
        <v>710</v>
      </c>
      <c r="C168" s="91" t="s">
        <v>1028</v>
      </c>
      <c r="D168" s="91" t="s">
        <v>2</v>
      </c>
      <c r="E168" s="90">
        <v>6</v>
      </c>
      <c r="F168" s="115">
        <v>29068</v>
      </c>
    </row>
    <row r="169" spans="1:6" s="79" customFormat="1" hidden="1" x14ac:dyDescent="0.3">
      <c r="A169" s="90">
        <v>540273</v>
      </c>
      <c r="B169" s="91" t="s">
        <v>709</v>
      </c>
      <c r="C169" s="91" t="s">
        <v>1027</v>
      </c>
      <c r="D169" s="91" t="s">
        <v>2</v>
      </c>
      <c r="E169" s="90">
        <v>6</v>
      </c>
      <c r="F169" s="115">
        <v>28703</v>
      </c>
    </row>
    <row r="170" spans="1:6" s="79" customFormat="1" hidden="1" x14ac:dyDescent="0.3">
      <c r="A170" s="90">
        <v>540274</v>
      </c>
      <c r="B170" s="91" t="s">
        <v>708</v>
      </c>
      <c r="C170" s="91" t="s">
        <v>1026</v>
      </c>
      <c r="D170" s="91" t="s">
        <v>2</v>
      </c>
      <c r="E170" s="90">
        <v>6</v>
      </c>
      <c r="F170" s="115">
        <v>28703</v>
      </c>
    </row>
    <row r="171" spans="1:6" s="79" customFormat="1" hidden="1" x14ac:dyDescent="0.3">
      <c r="A171" s="96">
        <v>540278</v>
      </c>
      <c r="B171" s="97" t="s">
        <v>706</v>
      </c>
      <c r="C171" s="97" t="s">
        <v>1025</v>
      </c>
      <c r="D171" s="97" t="s">
        <v>29</v>
      </c>
      <c r="E171" s="96">
        <v>1</v>
      </c>
      <c r="F171" s="116">
        <v>30330</v>
      </c>
    </row>
    <row r="172" spans="1:6" s="79" customFormat="1" hidden="1" x14ac:dyDescent="0.3">
      <c r="A172" s="90">
        <v>540143</v>
      </c>
      <c r="B172" s="91" t="s">
        <v>704</v>
      </c>
      <c r="C172" s="91" t="s">
        <v>1024</v>
      </c>
      <c r="D172" s="91" t="s">
        <v>2</v>
      </c>
      <c r="E172" s="90">
        <v>1</v>
      </c>
      <c r="F172" s="115">
        <v>29068</v>
      </c>
    </row>
    <row r="173" spans="1:6" s="79" customFormat="1" hidden="1" x14ac:dyDescent="0.3">
      <c r="A173" s="90">
        <v>540290</v>
      </c>
      <c r="B173" s="91" t="s">
        <v>703</v>
      </c>
      <c r="C173" s="91" t="s">
        <v>1023</v>
      </c>
      <c r="D173" s="91" t="s">
        <v>2</v>
      </c>
      <c r="E173" s="90">
        <v>1</v>
      </c>
      <c r="F173" s="115">
        <v>37424</v>
      </c>
    </row>
    <row r="174" spans="1:6" s="79" customFormat="1" hidden="1" x14ac:dyDescent="0.3">
      <c r="A174" s="90">
        <v>540041</v>
      </c>
      <c r="B174" s="91" t="s">
        <v>1022</v>
      </c>
      <c r="C174" s="91" t="s">
        <v>1021</v>
      </c>
      <c r="D174" s="91" t="s">
        <v>2</v>
      </c>
      <c r="E174" s="90">
        <v>1</v>
      </c>
      <c r="F174" s="115">
        <v>33508</v>
      </c>
    </row>
    <row r="175" spans="1:6" s="79" customFormat="1" hidden="1" x14ac:dyDescent="0.3">
      <c r="A175" s="96">
        <v>540144</v>
      </c>
      <c r="B175" s="97" t="s">
        <v>701</v>
      </c>
      <c r="C175" s="97" t="s">
        <v>207</v>
      </c>
      <c r="D175" s="97" t="s">
        <v>29</v>
      </c>
      <c r="E175" s="96">
        <v>9</v>
      </c>
      <c r="F175" s="116">
        <v>31959</v>
      </c>
    </row>
    <row r="176" spans="1:6" s="79" customFormat="1" hidden="1" x14ac:dyDescent="0.3">
      <c r="A176" s="90">
        <v>540005</v>
      </c>
      <c r="B176" s="91" t="s">
        <v>700</v>
      </c>
      <c r="C176" s="91" t="s">
        <v>1020</v>
      </c>
      <c r="D176" s="91" t="s">
        <v>2</v>
      </c>
      <c r="E176" s="90">
        <v>9</v>
      </c>
      <c r="F176" s="115">
        <v>29222</v>
      </c>
    </row>
    <row r="177" spans="1:6" s="79" customFormat="1" hidden="1" x14ac:dyDescent="0.3">
      <c r="A177" s="90">
        <v>540252</v>
      </c>
      <c r="B177" s="91" t="s">
        <v>699</v>
      </c>
      <c r="C177" s="91" t="s">
        <v>1019</v>
      </c>
      <c r="D177" s="91" t="s">
        <v>2</v>
      </c>
      <c r="E177" s="90">
        <v>9</v>
      </c>
      <c r="F177" s="115">
        <v>30988</v>
      </c>
    </row>
    <row r="178" spans="1:6" s="79" customFormat="1" hidden="1" x14ac:dyDescent="0.3">
      <c r="A178" s="96">
        <v>540146</v>
      </c>
      <c r="B178" s="97" t="s">
        <v>697</v>
      </c>
      <c r="C178" s="97" t="s">
        <v>201</v>
      </c>
      <c r="D178" s="97" t="s">
        <v>29</v>
      </c>
      <c r="E178" s="96">
        <v>4</v>
      </c>
      <c r="F178" s="116">
        <v>33548</v>
      </c>
    </row>
    <row r="179" spans="1:6" s="79" customFormat="1" hidden="1" x14ac:dyDescent="0.3">
      <c r="A179" s="90">
        <v>540147</v>
      </c>
      <c r="B179" s="91" t="s">
        <v>696</v>
      </c>
      <c r="C179" s="91" t="s">
        <v>1018</v>
      </c>
      <c r="D179" s="91" t="s">
        <v>2</v>
      </c>
      <c r="E179" s="90">
        <v>4</v>
      </c>
      <c r="F179" s="115">
        <v>33508</v>
      </c>
    </row>
    <row r="180" spans="1:6" s="79" customFormat="1" hidden="1" x14ac:dyDescent="0.3">
      <c r="A180" s="90">
        <v>540148</v>
      </c>
      <c r="B180" s="91" t="s">
        <v>695</v>
      </c>
      <c r="C180" s="91" t="s">
        <v>1017</v>
      </c>
      <c r="D180" s="91" t="s">
        <v>2</v>
      </c>
      <c r="E180" s="90">
        <v>4</v>
      </c>
      <c r="F180" s="115">
        <v>30918</v>
      </c>
    </row>
    <row r="181" spans="1:6" s="79" customFormat="1" hidden="1" x14ac:dyDescent="0.3">
      <c r="A181" s="96">
        <v>540149</v>
      </c>
      <c r="B181" s="97" t="s">
        <v>693</v>
      </c>
      <c r="C181" s="97" t="s">
        <v>1016</v>
      </c>
      <c r="D181" s="97" t="s">
        <v>29</v>
      </c>
      <c r="E181" s="96">
        <v>10</v>
      </c>
      <c r="F181" s="116">
        <v>30410</v>
      </c>
    </row>
    <row r="182" spans="1:6" s="79" customFormat="1" hidden="1" x14ac:dyDescent="0.3">
      <c r="A182" s="90">
        <v>540275</v>
      </c>
      <c r="B182" s="91" t="s">
        <v>692</v>
      </c>
      <c r="C182" s="91" t="s">
        <v>1015</v>
      </c>
      <c r="D182" s="91" t="s">
        <v>2</v>
      </c>
      <c r="E182" s="90">
        <v>10</v>
      </c>
      <c r="F182" s="115">
        <v>38915</v>
      </c>
    </row>
    <row r="183" spans="1:6" s="79" customFormat="1" hidden="1" x14ac:dyDescent="0.3">
      <c r="A183" s="90">
        <v>540080</v>
      </c>
      <c r="B183" s="91" t="s">
        <v>691</v>
      </c>
      <c r="C183" s="91" t="s">
        <v>1014</v>
      </c>
      <c r="D183" s="91" t="s">
        <v>2</v>
      </c>
      <c r="E183" s="90">
        <v>10</v>
      </c>
      <c r="F183" s="115">
        <v>38915</v>
      </c>
    </row>
    <row r="184" spans="1:6" s="79" customFormat="1" hidden="1" x14ac:dyDescent="0.3">
      <c r="A184" s="90">
        <v>540150</v>
      </c>
      <c r="B184" s="91" t="s">
        <v>690</v>
      </c>
      <c r="C184" s="91" t="s">
        <v>1013</v>
      </c>
      <c r="D184" s="91" t="s">
        <v>2</v>
      </c>
      <c r="E184" s="90">
        <v>10</v>
      </c>
      <c r="F184" s="115">
        <v>30699</v>
      </c>
    </row>
    <row r="185" spans="1:6" s="79" customFormat="1" hidden="1" x14ac:dyDescent="0.3">
      <c r="A185" s="90">
        <v>540151</v>
      </c>
      <c r="B185" s="91" t="s">
        <v>689</v>
      </c>
      <c r="C185" s="91" t="s">
        <v>1012</v>
      </c>
      <c r="D185" s="91" t="s">
        <v>2</v>
      </c>
      <c r="E185" s="90">
        <v>10</v>
      </c>
      <c r="F185" s="115">
        <v>29126</v>
      </c>
    </row>
    <row r="186" spans="1:6" s="79" customFormat="1" hidden="1" x14ac:dyDescent="0.3">
      <c r="A186" s="90">
        <v>540094</v>
      </c>
      <c r="B186" s="91" t="s">
        <v>688</v>
      </c>
      <c r="C186" s="91" t="s">
        <v>1011</v>
      </c>
      <c r="D186" s="91" t="s">
        <v>2</v>
      </c>
      <c r="E186" s="90">
        <v>10</v>
      </c>
      <c r="F186" s="115">
        <v>38915</v>
      </c>
    </row>
    <row r="187" spans="1:6" s="79" customFormat="1" hidden="1" x14ac:dyDescent="0.3">
      <c r="A187" s="90">
        <v>540152</v>
      </c>
      <c r="B187" s="91" t="s">
        <v>687</v>
      </c>
      <c r="C187" s="91" t="s">
        <v>1010</v>
      </c>
      <c r="D187" s="91" t="s">
        <v>2</v>
      </c>
      <c r="E187" s="90">
        <v>10</v>
      </c>
      <c r="F187" s="115">
        <v>29635</v>
      </c>
    </row>
    <row r="188" spans="1:6" s="79" customFormat="1" hidden="1" x14ac:dyDescent="0.3">
      <c r="A188" s="96">
        <v>540153</v>
      </c>
      <c r="B188" s="97" t="s">
        <v>685</v>
      </c>
      <c r="C188" s="97" t="s">
        <v>187</v>
      </c>
      <c r="D188" s="97" t="s">
        <v>29</v>
      </c>
      <c r="E188" s="96">
        <v>8</v>
      </c>
      <c r="F188" s="116">
        <v>31959</v>
      </c>
    </row>
    <row r="189" spans="1:6" s="79" customFormat="1" hidden="1" x14ac:dyDescent="0.3">
      <c r="A189" s="90">
        <v>540154</v>
      </c>
      <c r="B189" s="91" t="s">
        <v>684</v>
      </c>
      <c r="C189" s="91" t="s">
        <v>1009</v>
      </c>
      <c r="D189" s="91" t="s">
        <v>2</v>
      </c>
      <c r="E189" s="90">
        <v>8</v>
      </c>
      <c r="F189" s="115">
        <v>32021</v>
      </c>
    </row>
    <row r="190" spans="1:6" s="79" customFormat="1" hidden="1" x14ac:dyDescent="0.3">
      <c r="A190" s="96">
        <v>540225</v>
      </c>
      <c r="B190" s="97" t="s">
        <v>682</v>
      </c>
      <c r="C190" s="97" t="s">
        <v>1008</v>
      </c>
      <c r="D190" s="97" t="s">
        <v>29</v>
      </c>
      <c r="E190" s="96">
        <v>5</v>
      </c>
      <c r="F190" s="116">
        <v>33392</v>
      </c>
    </row>
    <row r="191" spans="1:6" s="79" customFormat="1" hidden="1" x14ac:dyDescent="0.3">
      <c r="A191" s="90">
        <v>540253</v>
      </c>
      <c r="B191" s="91" t="s">
        <v>681</v>
      </c>
      <c r="C191" s="91" t="s">
        <v>1007</v>
      </c>
      <c r="D191" s="91" t="s">
        <v>2</v>
      </c>
      <c r="E191" s="90">
        <v>5</v>
      </c>
      <c r="F191" s="115">
        <v>33392</v>
      </c>
    </row>
    <row r="192" spans="1:6" s="79" customFormat="1" hidden="1" x14ac:dyDescent="0.3">
      <c r="A192" s="90">
        <v>540156</v>
      </c>
      <c r="B192" s="91" t="s">
        <v>680</v>
      </c>
      <c r="C192" s="91" t="s">
        <v>1006</v>
      </c>
      <c r="D192" s="91" t="s">
        <v>2</v>
      </c>
      <c r="E192" s="90">
        <v>5</v>
      </c>
      <c r="F192" s="115">
        <v>33392</v>
      </c>
    </row>
    <row r="193" spans="1:6" s="79" customFormat="1" hidden="1" x14ac:dyDescent="0.3">
      <c r="A193" s="96">
        <v>540283</v>
      </c>
      <c r="B193" s="97" t="s">
        <v>678</v>
      </c>
      <c r="C193" s="97" t="s">
        <v>1005</v>
      </c>
      <c r="D193" s="97" t="s">
        <v>29</v>
      </c>
      <c r="E193" s="96">
        <v>4</v>
      </c>
      <c r="F193" s="116">
        <v>32798</v>
      </c>
    </row>
    <row r="194" spans="1:6" s="79" customFormat="1" hidden="1" x14ac:dyDescent="0.3">
      <c r="A194" s="90">
        <v>540158</v>
      </c>
      <c r="B194" s="91" t="s">
        <v>677</v>
      </c>
      <c r="C194" s="91" t="s">
        <v>1004</v>
      </c>
      <c r="D194" s="91" t="s">
        <v>2</v>
      </c>
      <c r="E194" s="90">
        <v>4</v>
      </c>
      <c r="F194" s="115">
        <v>30918</v>
      </c>
    </row>
    <row r="195" spans="1:6" s="79" customFormat="1" hidden="1" x14ac:dyDescent="0.3">
      <c r="A195" s="90">
        <v>540159</v>
      </c>
      <c r="B195" s="91" t="s">
        <v>676</v>
      </c>
      <c r="C195" s="91" t="s">
        <v>1003</v>
      </c>
      <c r="D195" s="91" t="s">
        <v>2</v>
      </c>
      <c r="E195" s="90">
        <v>4</v>
      </c>
      <c r="F195" s="115">
        <v>32798</v>
      </c>
    </row>
    <row r="196" spans="1:6" s="79" customFormat="1" hidden="1" x14ac:dyDescent="0.3">
      <c r="A196" s="96">
        <v>540160</v>
      </c>
      <c r="B196" s="97" t="s">
        <v>674</v>
      </c>
      <c r="C196" s="97" t="s">
        <v>174</v>
      </c>
      <c r="D196" s="97" t="s">
        <v>29</v>
      </c>
      <c r="E196" s="96">
        <v>6</v>
      </c>
      <c r="F196" s="116">
        <v>31837</v>
      </c>
    </row>
    <row r="197" spans="1:6" s="79" customFormat="1" hidden="1" x14ac:dyDescent="0.3">
      <c r="A197" s="90">
        <v>540161</v>
      </c>
      <c r="B197" s="91" t="s">
        <v>673</v>
      </c>
      <c r="C197" s="91" t="s">
        <v>1002</v>
      </c>
      <c r="D197" s="91" t="s">
        <v>2</v>
      </c>
      <c r="E197" s="90"/>
      <c r="F197" s="115">
        <v>31990</v>
      </c>
    </row>
    <row r="198" spans="1:6" s="79" customFormat="1" hidden="1" x14ac:dyDescent="0.3">
      <c r="A198" s="90">
        <v>540162</v>
      </c>
      <c r="B198" s="91" t="s">
        <v>672</v>
      </c>
      <c r="C198" s="91" t="s">
        <v>1001</v>
      </c>
      <c r="D198" s="91" t="s">
        <v>2</v>
      </c>
      <c r="E198" s="90">
        <v>6</v>
      </c>
      <c r="F198" s="115">
        <v>31990</v>
      </c>
    </row>
    <row r="199" spans="1:6" s="79" customFormat="1" hidden="1" x14ac:dyDescent="0.3">
      <c r="A199" s="90">
        <v>540254</v>
      </c>
      <c r="B199" s="91" t="s">
        <v>671</v>
      </c>
      <c r="C199" s="91" t="s">
        <v>1000</v>
      </c>
      <c r="D199" s="91" t="s">
        <v>2</v>
      </c>
      <c r="E199" s="90">
        <v>6</v>
      </c>
      <c r="F199" s="115">
        <v>41065</v>
      </c>
    </row>
    <row r="200" spans="1:6" s="79" customFormat="1" hidden="1" x14ac:dyDescent="0.3">
      <c r="A200" s="90">
        <v>540270</v>
      </c>
      <c r="B200" s="91" t="s">
        <v>670</v>
      </c>
      <c r="C200" s="91" t="s">
        <v>999</v>
      </c>
      <c r="D200" s="91" t="s">
        <v>2</v>
      </c>
      <c r="E200" s="90">
        <v>6</v>
      </c>
      <c r="F200" s="115">
        <v>41065</v>
      </c>
    </row>
    <row r="201" spans="1:6" s="79" customFormat="1" hidden="1" x14ac:dyDescent="0.3">
      <c r="A201" s="90">
        <v>540268</v>
      </c>
      <c r="B201" s="91" t="s">
        <v>669</v>
      </c>
      <c r="C201" s="91" t="s">
        <v>998</v>
      </c>
      <c r="D201" s="91" t="s">
        <v>2</v>
      </c>
      <c r="E201" s="90">
        <v>6</v>
      </c>
      <c r="F201" s="115">
        <v>31990</v>
      </c>
    </row>
    <row r="202" spans="1:6" s="79" customFormat="1" hidden="1" x14ac:dyDescent="0.3">
      <c r="A202" s="90">
        <v>540269</v>
      </c>
      <c r="B202" s="91" t="s">
        <v>668</v>
      </c>
      <c r="C202" s="91" t="s">
        <v>997</v>
      </c>
      <c r="D202" s="91" t="s">
        <v>2</v>
      </c>
      <c r="E202" s="90">
        <v>6</v>
      </c>
      <c r="F202" s="115">
        <v>31990</v>
      </c>
    </row>
    <row r="203" spans="1:6" s="79" customFormat="1" hidden="1" x14ac:dyDescent="0.3">
      <c r="A203" s="90">
        <v>540163</v>
      </c>
      <c r="B203" s="91" t="s">
        <v>667</v>
      </c>
      <c r="C203" s="91" t="s">
        <v>996</v>
      </c>
      <c r="D203" s="91" t="s">
        <v>2</v>
      </c>
      <c r="E203" s="90">
        <v>6</v>
      </c>
      <c r="F203" s="115">
        <v>29068</v>
      </c>
    </row>
    <row r="204" spans="1:6" s="79" customFormat="1" hidden="1" x14ac:dyDescent="0.3">
      <c r="A204" s="90">
        <v>540257</v>
      </c>
      <c r="B204" s="91" t="s">
        <v>666</v>
      </c>
      <c r="C204" s="91" t="s">
        <v>995</v>
      </c>
      <c r="D204" s="91" t="s">
        <v>2</v>
      </c>
      <c r="E204" s="90">
        <v>6</v>
      </c>
      <c r="F204" s="115">
        <v>31990</v>
      </c>
    </row>
    <row r="205" spans="1:6" s="79" customFormat="1" hidden="1" x14ac:dyDescent="0.3">
      <c r="A205" s="90">
        <v>540137</v>
      </c>
      <c r="B205" s="91" t="s">
        <v>665</v>
      </c>
      <c r="C205" s="91" t="s">
        <v>994</v>
      </c>
      <c r="D205" s="91" t="s">
        <v>2</v>
      </c>
      <c r="E205" s="90">
        <v>6</v>
      </c>
      <c r="F205" s="115">
        <v>41065</v>
      </c>
    </row>
    <row r="206" spans="1:6" s="79" customFormat="1" hidden="1" x14ac:dyDescent="0.3">
      <c r="A206" s="96">
        <v>540164</v>
      </c>
      <c r="B206" s="97" t="s">
        <v>663</v>
      </c>
      <c r="C206" s="97" t="s">
        <v>154</v>
      </c>
      <c r="D206" s="97" t="s">
        <v>29</v>
      </c>
      <c r="E206" s="96">
        <v>3</v>
      </c>
      <c r="F206" s="116">
        <v>31946</v>
      </c>
    </row>
    <row r="207" spans="1:6" s="79" customFormat="1" hidden="1" x14ac:dyDescent="0.3">
      <c r="A207" s="90">
        <v>540165</v>
      </c>
      <c r="B207" s="91" t="s">
        <v>662</v>
      </c>
      <c r="C207" s="91" t="s">
        <v>993</v>
      </c>
      <c r="D207" s="91" t="s">
        <v>2</v>
      </c>
      <c r="E207" s="90">
        <v>3</v>
      </c>
      <c r="F207" s="115">
        <v>31399</v>
      </c>
    </row>
    <row r="208" spans="1:6" s="79" customFormat="1" hidden="1" x14ac:dyDescent="0.3">
      <c r="A208" s="90">
        <v>540166</v>
      </c>
      <c r="B208" s="91" t="s">
        <v>661</v>
      </c>
      <c r="C208" s="91" t="s">
        <v>992</v>
      </c>
      <c r="D208" s="91" t="s">
        <v>2</v>
      </c>
      <c r="E208" s="90">
        <v>3</v>
      </c>
      <c r="F208" s="115">
        <v>31399</v>
      </c>
    </row>
    <row r="209" spans="1:6" s="79" customFormat="1" hidden="1" x14ac:dyDescent="0.3">
      <c r="A209" s="90">
        <v>540222</v>
      </c>
      <c r="B209" s="91" t="s">
        <v>660</v>
      </c>
      <c r="C209" s="91" t="s">
        <v>991</v>
      </c>
      <c r="D209" s="91" t="s">
        <v>2</v>
      </c>
      <c r="E209" s="90">
        <v>3</v>
      </c>
      <c r="F209" s="115">
        <v>30718</v>
      </c>
    </row>
    <row r="210" spans="1:6" s="79" customFormat="1" hidden="1" x14ac:dyDescent="0.3">
      <c r="A210" s="90">
        <v>540167</v>
      </c>
      <c r="B210" s="91" t="s">
        <v>659</v>
      </c>
      <c r="C210" s="91" t="s">
        <v>990</v>
      </c>
      <c r="D210" s="91" t="s">
        <v>2</v>
      </c>
      <c r="E210" s="90">
        <v>3</v>
      </c>
      <c r="F210" s="115">
        <v>31475</v>
      </c>
    </row>
    <row r="211" spans="1:6" s="79" customFormat="1" hidden="1" x14ac:dyDescent="0.3">
      <c r="A211" s="90">
        <v>540168</v>
      </c>
      <c r="B211" s="91" t="s">
        <v>657</v>
      </c>
      <c r="C211" s="91" t="s">
        <v>989</v>
      </c>
      <c r="D211" s="91" t="s">
        <v>2</v>
      </c>
      <c r="E211" s="90">
        <v>3</v>
      </c>
      <c r="F211" s="115">
        <v>31399</v>
      </c>
    </row>
    <row r="212" spans="1:6" s="79" customFormat="1" hidden="1" x14ac:dyDescent="0.3">
      <c r="A212" s="90">
        <v>540271</v>
      </c>
      <c r="B212" s="91" t="s">
        <v>656</v>
      </c>
      <c r="C212" s="91" t="s">
        <v>988</v>
      </c>
      <c r="D212" s="91" t="s">
        <v>2</v>
      </c>
      <c r="E212" s="90">
        <v>3</v>
      </c>
      <c r="F212" s="115">
        <v>31399</v>
      </c>
    </row>
    <row r="213" spans="1:6" s="79" customFormat="1" hidden="1" x14ac:dyDescent="0.3">
      <c r="A213" s="90">
        <v>540081</v>
      </c>
      <c r="B213" s="91" t="s">
        <v>658</v>
      </c>
      <c r="C213" s="91" t="s">
        <v>987</v>
      </c>
      <c r="D213" s="91" t="s">
        <v>2</v>
      </c>
      <c r="E213" s="90">
        <v>3</v>
      </c>
      <c r="F213" s="115">
        <v>30056</v>
      </c>
    </row>
    <row r="214" spans="1:6" s="79" customFormat="1" hidden="1" x14ac:dyDescent="0.3">
      <c r="A214" s="96">
        <v>540169</v>
      </c>
      <c r="B214" s="97" t="s">
        <v>654</v>
      </c>
      <c r="C214" s="97" t="s">
        <v>986</v>
      </c>
      <c r="D214" s="97" t="s">
        <v>29</v>
      </c>
      <c r="E214" s="96">
        <v>1</v>
      </c>
      <c r="F214" s="116">
        <v>31034</v>
      </c>
    </row>
    <row r="215" spans="1:6" s="79" customFormat="1" hidden="1" x14ac:dyDescent="0.3">
      <c r="A215" s="90">
        <v>540170</v>
      </c>
      <c r="B215" s="91" t="s">
        <v>652</v>
      </c>
      <c r="C215" s="91" t="s">
        <v>985</v>
      </c>
      <c r="D215" s="91" t="s">
        <v>2</v>
      </c>
      <c r="E215" s="90">
        <v>1</v>
      </c>
      <c r="F215" s="115">
        <v>30987</v>
      </c>
    </row>
    <row r="216" spans="1:6" s="79" customFormat="1" hidden="1" x14ac:dyDescent="0.3">
      <c r="A216" s="90">
        <v>540171</v>
      </c>
      <c r="B216" s="91" t="s">
        <v>651</v>
      </c>
      <c r="C216" s="91" t="s">
        <v>984</v>
      </c>
      <c r="D216" s="91" t="s">
        <v>2</v>
      </c>
      <c r="E216" s="90">
        <v>1</v>
      </c>
      <c r="F216" s="115">
        <v>32234</v>
      </c>
    </row>
    <row r="217" spans="1:6" s="79" customFormat="1" hidden="1" x14ac:dyDescent="0.3">
      <c r="A217" s="90">
        <v>540286</v>
      </c>
      <c r="B217" s="91" t="s">
        <v>650</v>
      </c>
      <c r="C217" s="91" t="s">
        <v>983</v>
      </c>
      <c r="D217" s="91" t="s">
        <v>2</v>
      </c>
      <c r="E217" s="90">
        <v>1</v>
      </c>
      <c r="F217" s="115">
        <v>31110</v>
      </c>
    </row>
    <row r="218" spans="1:6" s="79" customFormat="1" hidden="1" x14ac:dyDescent="0.3">
      <c r="A218" s="90">
        <v>540173</v>
      </c>
      <c r="B218" s="91" t="s">
        <v>982</v>
      </c>
      <c r="C218" s="91" t="s">
        <v>981</v>
      </c>
      <c r="D218" s="91" t="s">
        <v>2</v>
      </c>
      <c r="E218" s="90">
        <v>1</v>
      </c>
      <c r="F218" s="115">
        <v>32021</v>
      </c>
    </row>
    <row r="219" spans="1:6" s="79" customFormat="1" hidden="1" x14ac:dyDescent="0.3">
      <c r="A219" s="90">
        <v>540174</v>
      </c>
      <c r="B219" s="91" t="s">
        <v>648</v>
      </c>
      <c r="C219" s="91" t="s">
        <v>980</v>
      </c>
      <c r="D219" s="91" t="s">
        <v>2</v>
      </c>
      <c r="E219" s="90">
        <v>1</v>
      </c>
      <c r="F219" s="115">
        <v>33344</v>
      </c>
    </row>
    <row r="220" spans="1:6" s="79" customFormat="1" hidden="1" x14ac:dyDescent="0.3">
      <c r="A220" s="96">
        <v>540175</v>
      </c>
      <c r="B220" s="97" t="s">
        <v>646</v>
      </c>
      <c r="C220" s="97" t="s">
        <v>979</v>
      </c>
      <c r="D220" s="97" t="s">
        <v>29</v>
      </c>
      <c r="E220" s="96">
        <v>7</v>
      </c>
      <c r="F220" s="116">
        <v>33508</v>
      </c>
    </row>
    <row r="221" spans="1:6" s="79" customFormat="1" hidden="1" x14ac:dyDescent="0.3">
      <c r="A221" s="90">
        <v>540267</v>
      </c>
      <c r="B221" s="91" t="s">
        <v>645</v>
      </c>
      <c r="C221" s="91" t="s">
        <v>978</v>
      </c>
      <c r="D221" s="91" t="s">
        <v>2</v>
      </c>
      <c r="E221" s="90">
        <v>7</v>
      </c>
      <c r="F221" s="115">
        <v>33575</v>
      </c>
    </row>
    <row r="222" spans="1:6" s="79" customFormat="1" hidden="1" x14ac:dyDescent="0.3">
      <c r="A222" s="90">
        <v>540177</v>
      </c>
      <c r="B222" s="91" t="s">
        <v>644</v>
      </c>
      <c r="C222" s="91" t="s">
        <v>977</v>
      </c>
      <c r="D222" s="91" t="s">
        <v>2</v>
      </c>
      <c r="E222" s="90">
        <v>7</v>
      </c>
      <c r="F222" s="115">
        <v>31870</v>
      </c>
    </row>
    <row r="223" spans="1:6" s="79" customFormat="1" hidden="1" x14ac:dyDescent="0.3">
      <c r="A223" s="90">
        <v>540178</v>
      </c>
      <c r="B223" s="91" t="s">
        <v>643</v>
      </c>
      <c r="C223" s="91" t="s">
        <v>976</v>
      </c>
      <c r="D223" s="91" t="s">
        <v>2</v>
      </c>
      <c r="E223" s="90">
        <v>7</v>
      </c>
      <c r="F223" s="115">
        <v>30918</v>
      </c>
    </row>
    <row r="224" spans="1:6" s="79" customFormat="1" hidden="1" x14ac:dyDescent="0.3">
      <c r="A224" s="90">
        <v>540264</v>
      </c>
      <c r="B224" s="91" t="s">
        <v>642</v>
      </c>
      <c r="C224" s="91" t="s">
        <v>975</v>
      </c>
      <c r="D224" s="91" t="s">
        <v>2</v>
      </c>
      <c r="E224" s="90">
        <v>7</v>
      </c>
      <c r="F224" s="115">
        <v>30918</v>
      </c>
    </row>
    <row r="225" spans="1:6" s="79" customFormat="1" hidden="1" x14ac:dyDescent="0.3">
      <c r="A225" s="90">
        <v>540266</v>
      </c>
      <c r="B225" s="91" t="s">
        <v>641</v>
      </c>
      <c r="C225" s="91" t="s">
        <v>974</v>
      </c>
      <c r="D225" s="91" t="s">
        <v>2</v>
      </c>
      <c r="E225" s="90">
        <v>7</v>
      </c>
      <c r="F225" s="115">
        <v>30918</v>
      </c>
    </row>
    <row r="226" spans="1:6" s="79" customFormat="1" hidden="1" x14ac:dyDescent="0.3">
      <c r="A226" s="90">
        <v>540265</v>
      </c>
      <c r="B226" s="91" t="s">
        <v>640</v>
      </c>
      <c r="C226" s="91" t="s">
        <v>973</v>
      </c>
      <c r="D226" s="91" t="s">
        <v>2</v>
      </c>
      <c r="E226" s="90">
        <v>7</v>
      </c>
      <c r="F226" s="115">
        <v>30949</v>
      </c>
    </row>
    <row r="227" spans="1:6" s="79" customFormat="1" hidden="1" x14ac:dyDescent="0.3">
      <c r="A227" s="90">
        <v>540176</v>
      </c>
      <c r="B227" s="91" t="s">
        <v>639</v>
      </c>
      <c r="C227" s="91" t="s">
        <v>972</v>
      </c>
      <c r="D227" s="91" t="s">
        <v>2</v>
      </c>
      <c r="E227" s="90">
        <v>7</v>
      </c>
      <c r="F227" s="115">
        <v>30935</v>
      </c>
    </row>
    <row r="228" spans="1:6" s="79" customFormat="1" hidden="1" x14ac:dyDescent="0.3">
      <c r="A228" s="96">
        <v>540224</v>
      </c>
      <c r="B228" s="97" t="s">
        <v>637</v>
      </c>
      <c r="C228" s="97" t="s">
        <v>971</v>
      </c>
      <c r="D228" s="97" t="s">
        <v>29</v>
      </c>
      <c r="E228" s="96">
        <v>5</v>
      </c>
      <c r="F228" s="116">
        <v>33239</v>
      </c>
    </row>
    <row r="229" spans="1:6" s="79" customFormat="1" hidden="1" x14ac:dyDescent="0.3">
      <c r="A229" s="90">
        <v>540262</v>
      </c>
      <c r="B229" s="91" t="s">
        <v>636</v>
      </c>
      <c r="C229" s="91" t="s">
        <v>970</v>
      </c>
      <c r="D229" s="91" t="s">
        <v>2</v>
      </c>
      <c r="E229" s="90">
        <v>5</v>
      </c>
      <c r="F229" s="115">
        <v>30949</v>
      </c>
    </row>
    <row r="230" spans="1:6" s="79" customFormat="1" hidden="1" x14ac:dyDescent="0.3">
      <c r="A230" s="90">
        <v>540179</v>
      </c>
      <c r="B230" s="91" t="s">
        <v>635</v>
      </c>
      <c r="C230" s="91" t="s">
        <v>969</v>
      </c>
      <c r="D230" s="91" t="s">
        <v>2</v>
      </c>
      <c r="E230" s="90">
        <v>5</v>
      </c>
      <c r="F230" s="115">
        <v>33315</v>
      </c>
    </row>
    <row r="231" spans="1:6" s="79" customFormat="1" hidden="1" x14ac:dyDescent="0.3">
      <c r="A231" s="90">
        <v>540180</v>
      </c>
      <c r="B231" s="91" t="s">
        <v>634</v>
      </c>
      <c r="C231" s="91" t="s">
        <v>968</v>
      </c>
      <c r="D231" s="91" t="s">
        <v>2</v>
      </c>
      <c r="E231" s="90">
        <v>5</v>
      </c>
      <c r="F231" s="115">
        <v>30918</v>
      </c>
    </row>
    <row r="232" spans="1:6" s="79" customFormat="1" hidden="1" x14ac:dyDescent="0.3">
      <c r="A232" s="90">
        <v>540132</v>
      </c>
      <c r="B232" s="91" t="s">
        <v>633</v>
      </c>
      <c r="C232" s="91" t="s">
        <v>967</v>
      </c>
      <c r="D232" s="91" t="s">
        <v>2</v>
      </c>
      <c r="E232" s="90">
        <v>5</v>
      </c>
      <c r="F232" s="115">
        <v>38755</v>
      </c>
    </row>
    <row r="233" spans="1:6" s="79" customFormat="1" hidden="1" x14ac:dyDescent="0.3">
      <c r="A233" s="90">
        <v>540182</v>
      </c>
      <c r="B233" s="91" t="s">
        <v>632</v>
      </c>
      <c r="C233" s="91" t="s">
        <v>966</v>
      </c>
      <c r="D233" s="91" t="s">
        <v>2</v>
      </c>
      <c r="E233" s="90">
        <v>5</v>
      </c>
      <c r="F233" s="115">
        <v>32402</v>
      </c>
    </row>
    <row r="234" spans="1:6" s="79" customFormat="1" hidden="1" x14ac:dyDescent="0.3">
      <c r="A234" s="90">
        <v>540263</v>
      </c>
      <c r="B234" s="91" t="s">
        <v>631</v>
      </c>
      <c r="C234" s="91" t="s">
        <v>965</v>
      </c>
      <c r="D234" s="91" t="s">
        <v>2</v>
      </c>
      <c r="E234" s="90">
        <v>5</v>
      </c>
      <c r="F234" s="115">
        <v>30935</v>
      </c>
    </row>
    <row r="235" spans="1:6" s="79" customFormat="1" hidden="1" x14ac:dyDescent="0.3">
      <c r="A235" s="96">
        <v>540183</v>
      </c>
      <c r="B235" s="97" t="s">
        <v>629</v>
      </c>
      <c r="C235" s="97" t="s">
        <v>964</v>
      </c>
      <c r="D235" s="97" t="s">
        <v>29</v>
      </c>
      <c r="E235" s="96">
        <v>5</v>
      </c>
      <c r="F235" s="116">
        <v>30935</v>
      </c>
    </row>
    <row r="236" spans="1:6" s="79" customFormat="1" hidden="1" x14ac:dyDescent="0.3">
      <c r="A236" s="90">
        <v>540184</v>
      </c>
      <c r="B236" s="91" t="s">
        <v>628</v>
      </c>
      <c r="C236" s="91" t="s">
        <v>963</v>
      </c>
      <c r="D236" s="91" t="s">
        <v>2</v>
      </c>
      <c r="E236" s="90">
        <v>5</v>
      </c>
      <c r="F236" s="115">
        <v>28825</v>
      </c>
    </row>
    <row r="237" spans="1:6" s="79" customFormat="1" hidden="1" x14ac:dyDescent="0.3">
      <c r="A237" s="90">
        <v>540185</v>
      </c>
      <c r="B237" s="91" t="s">
        <v>627</v>
      </c>
      <c r="C237" s="91" t="s">
        <v>962</v>
      </c>
      <c r="D237" s="91" t="s">
        <v>2</v>
      </c>
      <c r="E237" s="90">
        <v>5</v>
      </c>
      <c r="F237" s="115">
        <v>28858</v>
      </c>
    </row>
    <row r="238" spans="1:6" s="79" customFormat="1" hidden="1" x14ac:dyDescent="0.3">
      <c r="A238" s="96">
        <v>540186</v>
      </c>
      <c r="B238" s="97" t="s">
        <v>625</v>
      </c>
      <c r="C238" s="97" t="s">
        <v>961</v>
      </c>
      <c r="D238" s="97" t="s">
        <v>29</v>
      </c>
      <c r="E238" s="96">
        <v>1</v>
      </c>
      <c r="F238" s="116">
        <v>29530</v>
      </c>
    </row>
    <row r="239" spans="1:6" s="79" customFormat="1" hidden="1" x14ac:dyDescent="0.3">
      <c r="A239" s="90">
        <v>540187</v>
      </c>
      <c r="B239" s="91" t="s">
        <v>624</v>
      </c>
      <c r="C239" s="91" t="s">
        <v>960</v>
      </c>
      <c r="D239" s="91" t="s">
        <v>2</v>
      </c>
      <c r="E239" s="90">
        <v>1</v>
      </c>
      <c r="F239" s="115">
        <v>29068</v>
      </c>
    </row>
    <row r="240" spans="1:6" s="79" customFormat="1" hidden="1" x14ac:dyDescent="0.3">
      <c r="A240" s="96">
        <v>540188</v>
      </c>
      <c r="B240" s="97" t="s">
        <v>622</v>
      </c>
      <c r="C240" s="97" t="s">
        <v>104</v>
      </c>
      <c r="D240" s="97" t="s">
        <v>29</v>
      </c>
      <c r="E240" s="96">
        <v>6</v>
      </c>
      <c r="F240" s="116">
        <v>31959</v>
      </c>
    </row>
    <row r="241" spans="1:6" s="79" customFormat="1" hidden="1" x14ac:dyDescent="0.3">
      <c r="A241" s="90">
        <v>540189</v>
      </c>
      <c r="B241" s="91" t="s">
        <v>621</v>
      </c>
      <c r="C241" s="91" t="s">
        <v>959</v>
      </c>
      <c r="D241" s="91" t="s">
        <v>2</v>
      </c>
      <c r="E241" s="90">
        <v>6</v>
      </c>
      <c r="F241" s="115">
        <v>40081</v>
      </c>
    </row>
    <row r="242" spans="1:6" s="79" customFormat="1" hidden="1" x14ac:dyDescent="0.3">
      <c r="A242" s="90">
        <v>540190</v>
      </c>
      <c r="B242" s="91" t="s">
        <v>620</v>
      </c>
      <c r="C242" s="91" t="s">
        <v>958</v>
      </c>
      <c r="D242" s="91" t="s">
        <v>2</v>
      </c>
      <c r="E242" s="90">
        <v>6</v>
      </c>
      <c r="F242" s="115">
        <v>31990</v>
      </c>
    </row>
    <row r="243" spans="1:6" s="79" customFormat="1" hidden="1" x14ac:dyDescent="0.3">
      <c r="A243" s="96">
        <v>540191</v>
      </c>
      <c r="B243" s="97" t="s">
        <v>618</v>
      </c>
      <c r="C243" s="97" t="s">
        <v>99</v>
      </c>
      <c r="D243" s="97" t="s">
        <v>29</v>
      </c>
      <c r="E243" s="96">
        <v>7</v>
      </c>
      <c r="F243" s="116">
        <v>31959</v>
      </c>
    </row>
    <row r="244" spans="1:6" s="79" customFormat="1" hidden="1" x14ac:dyDescent="0.3">
      <c r="A244" s="90">
        <v>540260</v>
      </c>
      <c r="B244" s="91" t="s">
        <v>617</v>
      </c>
      <c r="C244" s="91" t="s">
        <v>957</v>
      </c>
      <c r="D244" s="91" t="s">
        <v>2</v>
      </c>
      <c r="E244" s="90">
        <v>7</v>
      </c>
      <c r="F244" s="115">
        <v>30883</v>
      </c>
    </row>
    <row r="245" spans="1:6" s="79" customFormat="1" hidden="1" x14ac:dyDescent="0.3">
      <c r="A245" s="90">
        <v>540192</v>
      </c>
      <c r="B245" s="91" t="s">
        <v>616</v>
      </c>
      <c r="C245" s="91" t="s">
        <v>956</v>
      </c>
      <c r="D245" s="91" t="s">
        <v>2</v>
      </c>
      <c r="E245" s="90">
        <v>7</v>
      </c>
      <c r="F245" s="115">
        <v>30883</v>
      </c>
    </row>
    <row r="246" spans="1:6" s="79" customFormat="1" hidden="1" x14ac:dyDescent="0.3">
      <c r="A246" s="90">
        <v>540193</v>
      </c>
      <c r="B246" s="91" t="s">
        <v>615</v>
      </c>
      <c r="C246" s="91" t="s">
        <v>955</v>
      </c>
      <c r="D246" s="91" t="s">
        <v>2</v>
      </c>
      <c r="E246" s="90">
        <v>7</v>
      </c>
      <c r="F246" s="115">
        <v>31990</v>
      </c>
    </row>
    <row r="247" spans="1:6" s="79" customFormat="1" hidden="1" x14ac:dyDescent="0.3">
      <c r="A247" s="90">
        <v>540194</v>
      </c>
      <c r="B247" s="91" t="s">
        <v>614</v>
      </c>
      <c r="C247" s="91" t="s">
        <v>954</v>
      </c>
      <c r="D247" s="91" t="s">
        <v>2</v>
      </c>
      <c r="E247" s="90">
        <v>7</v>
      </c>
      <c r="F247" s="115">
        <v>29082</v>
      </c>
    </row>
    <row r="248" spans="1:6" s="79" customFormat="1" hidden="1" x14ac:dyDescent="0.3">
      <c r="A248" s="90">
        <v>540261</v>
      </c>
      <c r="B248" s="91" t="s">
        <v>613</v>
      </c>
      <c r="C248" s="91" t="s">
        <v>953</v>
      </c>
      <c r="D248" s="91" t="s">
        <v>2</v>
      </c>
      <c r="E248" s="90">
        <v>7</v>
      </c>
      <c r="F248" s="115">
        <v>30935</v>
      </c>
    </row>
    <row r="249" spans="1:6" s="79" customFormat="1" hidden="1" x14ac:dyDescent="0.3">
      <c r="A249" s="96">
        <v>540277</v>
      </c>
      <c r="B249" s="97" t="s">
        <v>611</v>
      </c>
      <c r="C249" s="97" t="s">
        <v>952</v>
      </c>
      <c r="D249" s="97" t="s">
        <v>29</v>
      </c>
      <c r="E249" s="96">
        <v>5</v>
      </c>
      <c r="F249" s="116">
        <v>32451</v>
      </c>
    </row>
    <row r="250" spans="1:6" s="79" customFormat="1" hidden="1" x14ac:dyDescent="0.3">
      <c r="A250" s="90">
        <v>540259</v>
      </c>
      <c r="B250" s="91" t="s">
        <v>610</v>
      </c>
      <c r="C250" s="91" t="s">
        <v>951</v>
      </c>
      <c r="D250" s="91" t="s">
        <v>2</v>
      </c>
      <c r="E250" s="90">
        <v>5</v>
      </c>
      <c r="F250" s="115">
        <v>32451</v>
      </c>
    </row>
    <row r="251" spans="1:6" s="79" customFormat="1" hidden="1" x14ac:dyDescent="0.3">
      <c r="A251" s="90">
        <v>540195</v>
      </c>
      <c r="B251" s="91" t="s">
        <v>609</v>
      </c>
      <c r="C251" s="91" t="s">
        <v>950</v>
      </c>
      <c r="D251" s="91" t="s">
        <v>2</v>
      </c>
      <c r="E251" s="90">
        <v>5</v>
      </c>
      <c r="F251" s="115">
        <v>32451</v>
      </c>
    </row>
    <row r="252" spans="1:6" s="79" customFormat="1" hidden="1" x14ac:dyDescent="0.3">
      <c r="A252" s="90">
        <v>540197</v>
      </c>
      <c r="B252" s="91" t="s">
        <v>608</v>
      </c>
      <c r="C252" s="91" t="s">
        <v>949</v>
      </c>
      <c r="D252" s="91" t="s">
        <v>2</v>
      </c>
      <c r="E252" s="90">
        <v>5</v>
      </c>
      <c r="F252" s="115">
        <v>32451</v>
      </c>
    </row>
    <row r="253" spans="1:6" s="79" customFormat="1" hidden="1" x14ac:dyDescent="0.3">
      <c r="A253" s="96">
        <v>540198</v>
      </c>
      <c r="B253" s="97" t="s">
        <v>606</v>
      </c>
      <c r="C253" s="97" t="s">
        <v>82</v>
      </c>
      <c r="D253" s="97" t="s">
        <v>29</v>
      </c>
      <c r="E253" s="96">
        <v>7</v>
      </c>
      <c r="F253" s="116">
        <v>31959</v>
      </c>
    </row>
    <row r="254" spans="1:6" s="79" customFormat="1" hidden="1" x14ac:dyDescent="0.3">
      <c r="A254" s="90">
        <v>540199</v>
      </c>
      <c r="B254" s="91" t="s">
        <v>605</v>
      </c>
      <c r="C254" s="91" t="s">
        <v>948</v>
      </c>
      <c r="D254" s="91" t="s">
        <v>2</v>
      </c>
      <c r="E254" s="90">
        <v>7</v>
      </c>
      <c r="F254" s="115">
        <v>31659</v>
      </c>
    </row>
    <row r="255" spans="1:6" s="79" customFormat="1" x14ac:dyDescent="0.3">
      <c r="A255" s="96">
        <v>540200</v>
      </c>
      <c r="B255" s="97" t="s">
        <v>603</v>
      </c>
      <c r="C255" s="97" t="s">
        <v>78</v>
      </c>
      <c r="D255" s="97" t="s">
        <v>29</v>
      </c>
      <c r="E255" s="96">
        <v>2</v>
      </c>
      <c r="F255" s="116">
        <v>32038</v>
      </c>
    </row>
    <row r="256" spans="1:6" s="79" customFormat="1" x14ac:dyDescent="0.3">
      <c r="A256" s="90">
        <v>540232</v>
      </c>
      <c r="B256" s="91" t="s">
        <v>602</v>
      </c>
      <c r="C256" s="91" t="s">
        <v>947</v>
      </c>
      <c r="D256" s="91" t="s">
        <v>2</v>
      </c>
      <c r="E256" s="90">
        <v>2</v>
      </c>
      <c r="F256" s="115">
        <v>32645</v>
      </c>
    </row>
    <row r="257" spans="1:6" s="79" customFormat="1" x14ac:dyDescent="0.3">
      <c r="A257" s="90">
        <v>540202</v>
      </c>
      <c r="B257" s="91" t="s">
        <v>601</v>
      </c>
      <c r="C257" s="91" t="s">
        <v>946</v>
      </c>
      <c r="D257" s="91" t="s">
        <v>2</v>
      </c>
      <c r="E257" s="90">
        <v>2</v>
      </c>
      <c r="F257" s="115">
        <v>28858</v>
      </c>
    </row>
    <row r="258" spans="1:6" s="79" customFormat="1" x14ac:dyDescent="0.3">
      <c r="A258" s="90">
        <v>540221</v>
      </c>
      <c r="B258" s="91" t="s">
        <v>599</v>
      </c>
      <c r="C258" s="91" t="s">
        <v>945</v>
      </c>
      <c r="D258" s="91" t="s">
        <v>2</v>
      </c>
      <c r="E258" s="90">
        <v>2</v>
      </c>
      <c r="F258" s="115">
        <v>32645</v>
      </c>
    </row>
    <row r="259" spans="1:6" s="79" customFormat="1" x14ac:dyDescent="0.3">
      <c r="A259" s="90">
        <v>540231</v>
      </c>
      <c r="B259" s="91" t="s">
        <v>598</v>
      </c>
      <c r="C259" s="91" t="s">
        <v>944</v>
      </c>
      <c r="D259" s="91" t="s">
        <v>2</v>
      </c>
      <c r="E259" s="90">
        <v>2</v>
      </c>
      <c r="F259" s="115">
        <v>32050</v>
      </c>
    </row>
    <row r="260" spans="1:6" s="79" customFormat="1" x14ac:dyDescent="0.3">
      <c r="A260" s="90">
        <v>540018</v>
      </c>
      <c r="B260" s="91" t="s">
        <v>600</v>
      </c>
      <c r="C260" s="91" t="s">
        <v>943</v>
      </c>
      <c r="D260" s="91" t="s">
        <v>2</v>
      </c>
      <c r="E260" s="90">
        <v>2</v>
      </c>
      <c r="F260" s="115">
        <v>32890</v>
      </c>
    </row>
    <row r="261" spans="1:6" s="79" customFormat="1" hidden="1" x14ac:dyDescent="0.3">
      <c r="A261" s="96">
        <v>540203</v>
      </c>
      <c r="B261" s="97" t="s">
        <v>596</v>
      </c>
      <c r="C261" s="97" t="s">
        <v>942</v>
      </c>
      <c r="D261" s="97" t="s">
        <v>29</v>
      </c>
      <c r="E261" s="96">
        <v>4</v>
      </c>
      <c r="F261" s="116">
        <v>32920</v>
      </c>
    </row>
    <row r="262" spans="1:6" s="79" customFormat="1" hidden="1" x14ac:dyDescent="0.3">
      <c r="A262" s="90">
        <v>540205</v>
      </c>
      <c r="B262" s="91" t="s">
        <v>594</v>
      </c>
      <c r="C262" s="91" t="s">
        <v>941</v>
      </c>
      <c r="D262" s="91" t="s">
        <v>2</v>
      </c>
      <c r="E262" s="90">
        <v>4</v>
      </c>
      <c r="F262" s="115">
        <v>30918</v>
      </c>
    </row>
    <row r="263" spans="1:6" s="79" customFormat="1" hidden="1" x14ac:dyDescent="0.3">
      <c r="A263" s="90">
        <v>540206</v>
      </c>
      <c r="B263" s="91" t="s">
        <v>591</v>
      </c>
      <c r="C263" s="91" t="s">
        <v>940</v>
      </c>
      <c r="D263" s="91" t="s">
        <v>2</v>
      </c>
      <c r="E263" s="90">
        <v>4</v>
      </c>
      <c r="F263" s="115">
        <v>30918</v>
      </c>
    </row>
    <row r="264" spans="1:6" s="79" customFormat="1" hidden="1" x14ac:dyDescent="0.3">
      <c r="A264" s="96">
        <v>540207</v>
      </c>
      <c r="B264" s="97" t="s">
        <v>589</v>
      </c>
      <c r="C264" s="97" t="s">
        <v>939</v>
      </c>
      <c r="D264" s="97" t="s">
        <v>29</v>
      </c>
      <c r="E264" s="96">
        <v>10</v>
      </c>
      <c r="F264" s="116">
        <v>30410</v>
      </c>
    </row>
    <row r="265" spans="1:6" s="79" customFormat="1" hidden="1" x14ac:dyDescent="0.3">
      <c r="A265" s="90">
        <v>540256</v>
      </c>
      <c r="B265" s="91" t="s">
        <v>588</v>
      </c>
      <c r="C265" s="91" t="s">
        <v>938</v>
      </c>
      <c r="D265" s="91" t="s">
        <v>2</v>
      </c>
      <c r="E265" s="90">
        <v>10</v>
      </c>
      <c r="F265" s="115">
        <v>32234</v>
      </c>
    </row>
    <row r="266" spans="1:6" s="79" customFormat="1" hidden="1" x14ac:dyDescent="0.3">
      <c r="A266" s="90">
        <v>540208</v>
      </c>
      <c r="B266" s="91" t="s">
        <v>587</v>
      </c>
      <c r="C266" s="91" t="s">
        <v>937</v>
      </c>
      <c r="D266" s="91" t="s">
        <v>2</v>
      </c>
      <c r="E266" s="90">
        <v>10</v>
      </c>
      <c r="F266" s="115">
        <v>30196</v>
      </c>
    </row>
    <row r="267" spans="1:6" s="79" customFormat="1" hidden="1" x14ac:dyDescent="0.3">
      <c r="A267" s="90">
        <v>540210</v>
      </c>
      <c r="B267" s="91" t="s">
        <v>585</v>
      </c>
      <c r="C267" s="91" t="s">
        <v>936</v>
      </c>
      <c r="D267" s="91" t="s">
        <v>2</v>
      </c>
      <c r="E267" s="90">
        <v>10</v>
      </c>
      <c r="F267" s="115">
        <v>32234</v>
      </c>
    </row>
    <row r="268" spans="1:6" s="79" customFormat="1" hidden="1" x14ac:dyDescent="0.3">
      <c r="A268" s="90">
        <v>540258</v>
      </c>
      <c r="B268" s="91" t="s">
        <v>584</v>
      </c>
      <c r="C268" s="91" t="s">
        <v>935</v>
      </c>
      <c r="D268" s="91" t="s">
        <v>2</v>
      </c>
      <c r="E268" s="90">
        <v>10</v>
      </c>
      <c r="F268" s="115">
        <v>32234</v>
      </c>
    </row>
    <row r="269" spans="1:6" s="79" customFormat="1" hidden="1" x14ac:dyDescent="0.3">
      <c r="A269" s="90">
        <v>540196</v>
      </c>
      <c r="B269" s="91" t="s">
        <v>586</v>
      </c>
      <c r="C269" s="91" t="s">
        <v>934</v>
      </c>
      <c r="D269" s="91" t="s">
        <v>2</v>
      </c>
      <c r="E269" s="90">
        <v>10</v>
      </c>
      <c r="F269" s="115">
        <v>32583</v>
      </c>
    </row>
    <row r="270" spans="1:6" s="79" customFormat="1" hidden="1" x14ac:dyDescent="0.3">
      <c r="A270" s="96">
        <v>540211</v>
      </c>
      <c r="B270" s="97" t="s">
        <v>582</v>
      </c>
      <c r="C270" s="97" t="s">
        <v>50</v>
      </c>
      <c r="D270" s="97" t="s">
        <v>29</v>
      </c>
      <c r="E270" s="96">
        <v>5</v>
      </c>
      <c r="F270" s="116">
        <v>32234</v>
      </c>
    </row>
    <row r="271" spans="1:6" s="79" customFormat="1" hidden="1" x14ac:dyDescent="0.3">
      <c r="A271" s="90">
        <v>540212</v>
      </c>
      <c r="B271" s="91" t="s">
        <v>581</v>
      </c>
      <c r="C271" s="91" t="s">
        <v>933</v>
      </c>
      <c r="D271" s="91" t="s">
        <v>2</v>
      </c>
      <c r="E271" s="90">
        <v>5</v>
      </c>
      <c r="F271" s="115">
        <v>33255</v>
      </c>
    </row>
    <row r="272" spans="1:6" s="79" customFormat="1" hidden="1" x14ac:dyDescent="0.3">
      <c r="A272" s="96">
        <v>540213</v>
      </c>
      <c r="B272" s="97" t="s">
        <v>579</v>
      </c>
      <c r="C272" s="97" t="s">
        <v>932</v>
      </c>
      <c r="D272" s="97" t="s">
        <v>29</v>
      </c>
      <c r="E272" s="96">
        <v>5</v>
      </c>
      <c r="F272" s="116">
        <v>31110</v>
      </c>
    </row>
    <row r="273" spans="1:6" s="79" customFormat="1" hidden="1" x14ac:dyDescent="0.3">
      <c r="A273" s="90">
        <v>540214</v>
      </c>
      <c r="B273" s="91" t="s">
        <v>578</v>
      </c>
      <c r="C273" s="91" t="s">
        <v>931</v>
      </c>
      <c r="D273" s="91" t="s">
        <v>2</v>
      </c>
      <c r="E273" s="90">
        <v>5</v>
      </c>
      <c r="F273" s="115">
        <v>31659</v>
      </c>
    </row>
    <row r="274" spans="1:6" s="79" customFormat="1" hidden="1" x14ac:dyDescent="0.3">
      <c r="A274" s="90">
        <v>540215</v>
      </c>
      <c r="B274" s="91" t="s">
        <v>577</v>
      </c>
      <c r="C274" s="91" t="s">
        <v>930</v>
      </c>
      <c r="D274" s="91" t="s">
        <v>2</v>
      </c>
      <c r="E274" s="90">
        <v>5</v>
      </c>
      <c r="F274" s="115">
        <v>31399</v>
      </c>
    </row>
    <row r="275" spans="1:6" s="79" customFormat="1" hidden="1" x14ac:dyDescent="0.3">
      <c r="A275" s="90">
        <v>540216</v>
      </c>
      <c r="B275" s="91" t="s">
        <v>576</v>
      </c>
      <c r="C275" s="91" t="s">
        <v>929</v>
      </c>
      <c r="D275" s="91" t="s">
        <v>2</v>
      </c>
      <c r="E275" s="90">
        <v>5</v>
      </c>
      <c r="F275" s="115">
        <v>30607</v>
      </c>
    </row>
    <row r="276" spans="1:6" s="79" customFormat="1" hidden="1" x14ac:dyDescent="0.3">
      <c r="A276" s="96">
        <v>540217</v>
      </c>
      <c r="B276" s="97" t="s">
        <v>574</v>
      </c>
      <c r="C276" s="97" t="s">
        <v>928</v>
      </c>
      <c r="D276" s="97" t="s">
        <v>29</v>
      </c>
      <c r="E276" s="96">
        <v>1</v>
      </c>
      <c r="F276" s="116">
        <v>30756</v>
      </c>
    </row>
    <row r="277" spans="1:6" s="79" customFormat="1" hidden="1" x14ac:dyDescent="0.3">
      <c r="A277" s="90">
        <v>540218</v>
      </c>
      <c r="B277" s="91" t="s">
        <v>573</v>
      </c>
      <c r="C277" s="91" t="s">
        <v>927</v>
      </c>
      <c r="D277" s="91" t="s">
        <v>2</v>
      </c>
      <c r="E277" s="90">
        <v>1</v>
      </c>
      <c r="F277" s="115">
        <v>29068</v>
      </c>
    </row>
    <row r="278" spans="1:6" s="79" customFormat="1" hidden="1" x14ac:dyDescent="0.3">
      <c r="A278" s="90">
        <v>540219</v>
      </c>
      <c r="B278" s="91" t="s">
        <v>572</v>
      </c>
      <c r="C278" s="91" t="s">
        <v>926</v>
      </c>
      <c r="D278" s="91" t="s">
        <v>2</v>
      </c>
      <c r="E278" s="90">
        <v>1</v>
      </c>
      <c r="F278" s="115">
        <v>29144</v>
      </c>
    </row>
    <row r="279" spans="1:6" s="79" customFormat="1" hidden="1" x14ac:dyDescent="0.3">
      <c r="A279" s="90">
        <v>540220</v>
      </c>
      <c r="B279" s="91" t="s">
        <v>571</v>
      </c>
      <c r="C279" s="91" t="s">
        <v>925</v>
      </c>
      <c r="D279" s="91" t="s">
        <v>2</v>
      </c>
      <c r="E279" s="90">
        <v>1</v>
      </c>
      <c r="F279" s="115">
        <v>30589</v>
      </c>
    </row>
    <row r="280" spans="1:6" s="79" customFormat="1" x14ac:dyDescent="0.3">
      <c r="A280" s="78"/>
      <c r="E280" s="78"/>
      <c r="F280" s="78"/>
    </row>
  </sheetData>
  <autoFilter ref="A2:F279" xr:uid="{00000000-0009-0000-0000-000003000000}">
    <filterColumn colId="4">
      <filters>
        <filter val="2"/>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7"/>
  <sheetViews>
    <sheetView workbookViewId="0">
      <selection activeCell="O22" sqref="O22"/>
    </sheetView>
  </sheetViews>
  <sheetFormatPr defaultRowHeight="14.4" x14ac:dyDescent="0.3"/>
  <cols>
    <col min="1" max="1" width="19.6640625" customWidth="1"/>
  </cols>
  <sheetData>
    <row r="2" spans="1:1" x14ac:dyDescent="0.3">
      <c r="A2" s="121" t="s">
        <v>1202</v>
      </c>
    </row>
    <row r="3" spans="1:1" x14ac:dyDescent="0.3">
      <c r="A3" s="128" t="s">
        <v>1201</v>
      </c>
    </row>
    <row r="4" spans="1:1" x14ac:dyDescent="0.3">
      <c r="A4" s="128" t="s">
        <v>1200</v>
      </c>
    </row>
    <row r="5" spans="1:1" x14ac:dyDescent="0.3">
      <c r="A5" s="121" t="s">
        <v>1199</v>
      </c>
    </row>
    <row r="7" spans="1:1" x14ac:dyDescent="0.3">
      <c r="A7" t="s">
        <v>1198</v>
      </c>
    </row>
  </sheetData>
  <hyperlinks>
    <hyperlink ref="A3" r:id="rId1" xr:uid="{00000000-0004-0000-0400-000000000000}"/>
    <hyperlink ref="A4" r:id="rId2" xr:uid="{00000000-0004-0000-04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election activeCell="D2" sqref="D2"/>
    </sheetView>
  </sheetViews>
  <sheetFormatPr defaultRowHeight="14.4" x14ac:dyDescent="0.3"/>
  <cols>
    <col min="1" max="1" width="12.109375" customWidth="1"/>
    <col min="2" max="2" width="51.5546875" customWidth="1"/>
  </cols>
  <sheetData>
    <row r="1" spans="1:2" x14ac:dyDescent="0.3">
      <c r="A1" s="127" t="s">
        <v>1197</v>
      </c>
    </row>
    <row r="4" spans="1:2" x14ac:dyDescent="0.3">
      <c r="A4" s="126" t="s">
        <v>1196</v>
      </c>
      <c r="B4" s="126" t="s">
        <v>1195</v>
      </c>
    </row>
    <row r="5" spans="1:2" x14ac:dyDescent="0.3">
      <c r="A5" s="124" t="e">
        <f>COUNTIF([2]FIRM_Status_Freeboard!$K$4:$K$286,"Countywide Flood Study")</f>
        <v>#VALUE!</v>
      </c>
      <c r="B5" s="122" t="s">
        <v>1194</v>
      </c>
    </row>
    <row r="6" spans="1:2" x14ac:dyDescent="0.3">
      <c r="A6" s="124" t="e">
        <f>COUNTIF([2]FIRM_Status_Freeboard!$K$4:$K$286,"2016 Flood Study")</f>
        <v>#VALUE!</v>
      </c>
      <c r="B6" s="122" t="s">
        <v>593</v>
      </c>
    </row>
    <row r="7" spans="1:2" x14ac:dyDescent="0.3">
      <c r="A7" s="124" t="e">
        <f>COUNTIF([2]FIRM_Status_Freeboard!$K$4:$K$286,"2016 Flood Study (P)")</f>
        <v>#VALUE!</v>
      </c>
      <c r="B7" s="122" t="s">
        <v>1193</v>
      </c>
    </row>
    <row r="8" spans="1:2" x14ac:dyDescent="0.3">
      <c r="A8" s="123" t="e">
        <f>SUM(A5:A7)</f>
        <v>#VALUE!</v>
      </c>
      <c r="B8" s="125" t="s">
        <v>1192</v>
      </c>
    </row>
    <row r="9" spans="1:2" x14ac:dyDescent="0.3">
      <c r="A9" s="124"/>
      <c r="B9" s="122"/>
    </row>
    <row r="10" spans="1:2" x14ac:dyDescent="0.3">
      <c r="A10" s="124" t="e">
        <f>COUNTIF([2]FIRM_Status_Freeboard!$K$4:$K$286,"Planned Flood Study")</f>
        <v>#VALUE!</v>
      </c>
      <c r="B10" s="122" t="s">
        <v>1191</v>
      </c>
    </row>
    <row r="11" spans="1:2" x14ac:dyDescent="0.3">
      <c r="A11" s="124" t="e">
        <f>COUNTIF([2]FIRM_Status_Freeboard!$K$4:$K$286,"Planned Flood Study (P)")</f>
        <v>#VALUE!</v>
      </c>
      <c r="B11" s="122" t="s">
        <v>1190</v>
      </c>
    </row>
    <row r="12" spans="1:2" x14ac:dyDescent="0.3">
      <c r="A12" s="123" t="e">
        <f>SUM(A10:A11)</f>
        <v>#VALUE!</v>
      </c>
      <c r="B12" s="125" t="s">
        <v>1189</v>
      </c>
    </row>
    <row r="13" spans="1:2" x14ac:dyDescent="0.3">
      <c r="A13" s="124"/>
      <c r="B13" s="122"/>
    </row>
    <row r="14" spans="1:2" x14ac:dyDescent="0.3">
      <c r="A14" s="123" t="e">
        <f xml:space="preserve"> A8 + A12</f>
        <v>#VALUE!</v>
      </c>
      <c r="B14" s="122" t="s">
        <v>1188</v>
      </c>
    </row>
    <row r="18" spans="1:1" x14ac:dyDescent="0.3">
      <c r="A18" s="121" t="s">
        <v>1187</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FD6B7-DA9A-426F-9134-1F7693137B76}">
  <dimension ref="B1:I45"/>
  <sheetViews>
    <sheetView workbookViewId="0">
      <selection activeCell="M6" sqref="M6"/>
    </sheetView>
  </sheetViews>
  <sheetFormatPr defaultRowHeight="14.4" x14ac:dyDescent="0.3"/>
  <cols>
    <col min="2" max="2" width="12" style="1" bestFit="1" customWidth="1"/>
    <col min="3" max="3" width="12.5546875" style="1" bestFit="1" customWidth="1"/>
    <col min="4" max="9" width="8.88671875" style="1"/>
  </cols>
  <sheetData>
    <row r="1" spans="2:9" ht="15" thickBot="1" x14ac:dyDescent="0.35"/>
    <row r="2" spans="2:9" ht="36.6" thickBot="1" x14ac:dyDescent="0.35">
      <c r="B2" s="172" t="s">
        <v>515</v>
      </c>
      <c r="C2" s="173" t="s">
        <v>26</v>
      </c>
      <c r="D2" s="172" t="s">
        <v>497</v>
      </c>
      <c r="E2" s="174" t="s">
        <v>496</v>
      </c>
      <c r="F2" s="172" t="s">
        <v>495</v>
      </c>
      <c r="G2" s="174" t="s">
        <v>494</v>
      </c>
      <c r="H2" s="175" t="s">
        <v>493</v>
      </c>
      <c r="I2" s="174" t="s">
        <v>492</v>
      </c>
    </row>
    <row r="3" spans="2:9" x14ac:dyDescent="0.3">
      <c r="B3" s="135" t="s">
        <v>448</v>
      </c>
      <c r="C3" s="139" t="s">
        <v>444</v>
      </c>
      <c r="D3" s="183">
        <v>1971.6</v>
      </c>
      <c r="E3" s="140">
        <v>1977</v>
      </c>
      <c r="F3" s="179">
        <v>108052.5</v>
      </c>
      <c r="G3" s="181">
        <v>45000</v>
      </c>
      <c r="H3" s="179">
        <v>56826.1</v>
      </c>
      <c r="I3" s="168">
        <v>42400</v>
      </c>
    </row>
    <row r="4" spans="2:9" x14ac:dyDescent="0.3">
      <c r="B4" s="169" t="s">
        <v>447</v>
      </c>
      <c r="C4" s="176" t="s">
        <v>444</v>
      </c>
      <c r="D4" s="184">
        <v>1976.7</v>
      </c>
      <c r="E4" s="180">
        <v>1977</v>
      </c>
      <c r="F4" s="177">
        <v>183605.7</v>
      </c>
      <c r="G4" s="170">
        <v>76000</v>
      </c>
      <c r="H4" s="177">
        <v>65311.3</v>
      </c>
      <c r="I4" s="170">
        <v>65700</v>
      </c>
    </row>
    <row r="5" spans="2:9" x14ac:dyDescent="0.3">
      <c r="B5" s="187" t="s">
        <v>21</v>
      </c>
      <c r="C5" s="190" t="s">
        <v>444</v>
      </c>
      <c r="D5" s="189">
        <v>1937.2</v>
      </c>
      <c r="E5" s="192">
        <v>1937</v>
      </c>
      <c r="F5" s="191">
        <v>132967.4</v>
      </c>
      <c r="G5" s="188">
        <v>83350</v>
      </c>
      <c r="H5" s="191">
        <v>95937.2</v>
      </c>
      <c r="I5" s="188">
        <v>82700</v>
      </c>
    </row>
    <row r="6" spans="2:9" x14ac:dyDescent="0.3">
      <c r="B6" s="169" t="s">
        <v>445</v>
      </c>
      <c r="C6" s="176" t="s">
        <v>444</v>
      </c>
      <c r="D6" s="184">
        <v>1954.8</v>
      </c>
      <c r="E6" s="180">
        <v>1950</v>
      </c>
      <c r="F6" s="177">
        <v>134987.5</v>
      </c>
      <c r="G6" s="170">
        <v>52300</v>
      </c>
      <c r="H6" s="177">
        <v>61531.3</v>
      </c>
      <c r="I6" s="170">
        <v>48500</v>
      </c>
    </row>
    <row r="7" spans="2:9" x14ac:dyDescent="0.3">
      <c r="B7" s="156"/>
      <c r="C7" s="157" t="s">
        <v>444</v>
      </c>
      <c r="D7" s="185">
        <v>1959.5</v>
      </c>
      <c r="E7" s="158">
        <v>1960</v>
      </c>
      <c r="F7" s="178">
        <v>119517.2</v>
      </c>
      <c r="G7" s="171">
        <v>54500</v>
      </c>
      <c r="H7" s="178">
        <v>74815.8</v>
      </c>
      <c r="I7" s="171">
        <v>62900</v>
      </c>
    </row>
    <row r="8" spans="2:9" x14ac:dyDescent="0.3">
      <c r="B8" s="135" t="s">
        <v>325</v>
      </c>
      <c r="C8" s="136" t="s">
        <v>321</v>
      </c>
      <c r="D8" s="183">
        <v>1977.4</v>
      </c>
      <c r="E8" s="137">
        <v>1979</v>
      </c>
      <c r="F8" s="179">
        <v>47365.7</v>
      </c>
      <c r="G8" s="168">
        <v>25700</v>
      </c>
      <c r="H8" s="179">
        <v>34421.1</v>
      </c>
      <c r="I8" s="168">
        <v>24900</v>
      </c>
    </row>
    <row r="9" spans="2:9" x14ac:dyDescent="0.3">
      <c r="B9" s="169" t="s">
        <v>324</v>
      </c>
      <c r="C9" s="176" t="s">
        <v>321</v>
      </c>
      <c r="D9" s="184">
        <v>1949.6</v>
      </c>
      <c r="E9" s="180">
        <v>1945</v>
      </c>
      <c r="F9" s="177">
        <v>33325.800000000003</v>
      </c>
      <c r="G9" s="170">
        <v>24200</v>
      </c>
      <c r="H9" s="177">
        <v>30357.4</v>
      </c>
      <c r="I9" s="170">
        <v>23750</v>
      </c>
    </row>
    <row r="10" spans="2:9" x14ac:dyDescent="0.3">
      <c r="B10" s="169" t="s">
        <v>323</v>
      </c>
      <c r="C10" s="176" t="s">
        <v>321</v>
      </c>
      <c r="D10" s="184">
        <v>1948.8</v>
      </c>
      <c r="E10" s="180">
        <v>1952</v>
      </c>
      <c r="F10" s="177">
        <v>24189.5</v>
      </c>
      <c r="G10" s="170">
        <v>17800</v>
      </c>
      <c r="H10" s="177">
        <v>20939.7</v>
      </c>
      <c r="I10" s="170">
        <v>16300</v>
      </c>
    </row>
    <row r="11" spans="2:9" x14ac:dyDescent="0.3">
      <c r="B11" s="156"/>
      <c r="C11" s="157" t="s">
        <v>321</v>
      </c>
      <c r="D11" s="185">
        <v>1975.6</v>
      </c>
      <c r="E11" s="158">
        <v>1978</v>
      </c>
      <c r="F11" s="178">
        <v>46396.800000000003</v>
      </c>
      <c r="G11" s="171">
        <v>25416.5</v>
      </c>
      <c r="H11" s="178">
        <v>40398.6</v>
      </c>
      <c r="I11" s="171">
        <v>31550</v>
      </c>
    </row>
    <row r="12" spans="2:9" x14ac:dyDescent="0.3">
      <c r="B12" s="135" t="s">
        <v>320</v>
      </c>
      <c r="C12" s="136" t="s">
        <v>308</v>
      </c>
      <c r="D12" s="183">
        <v>1961.3</v>
      </c>
      <c r="E12" s="137">
        <v>1970</v>
      </c>
      <c r="F12" s="179">
        <v>50415.4</v>
      </c>
      <c r="G12" s="168">
        <v>28600</v>
      </c>
      <c r="H12" s="179">
        <v>35152.6</v>
      </c>
      <c r="I12" s="168">
        <v>27300</v>
      </c>
    </row>
    <row r="13" spans="2:9" x14ac:dyDescent="0.3">
      <c r="B13" s="169" t="s">
        <v>318</v>
      </c>
      <c r="C13" s="176" t="s">
        <v>308</v>
      </c>
      <c r="D13" s="184">
        <v>1978.8</v>
      </c>
      <c r="E13" s="180">
        <v>1986</v>
      </c>
      <c r="F13" s="177">
        <v>793441.4</v>
      </c>
      <c r="G13" s="170">
        <v>34350</v>
      </c>
      <c r="H13" s="177">
        <v>121250.2</v>
      </c>
      <c r="I13" s="170">
        <v>40900</v>
      </c>
    </row>
    <row r="14" spans="2:9" x14ac:dyDescent="0.3">
      <c r="B14" s="169" t="s">
        <v>316</v>
      </c>
      <c r="C14" s="176" t="s">
        <v>308</v>
      </c>
      <c r="D14" s="184">
        <v>1968.4</v>
      </c>
      <c r="E14" s="180">
        <v>1951</v>
      </c>
      <c r="F14" s="177">
        <v>140126.70000000001</v>
      </c>
      <c r="G14" s="170">
        <v>141150</v>
      </c>
      <c r="H14" s="177">
        <v>140126.70000000001</v>
      </c>
      <c r="I14" s="170">
        <v>141150</v>
      </c>
    </row>
    <row r="15" spans="2:9" x14ac:dyDescent="0.3">
      <c r="B15" s="169" t="s">
        <v>314</v>
      </c>
      <c r="C15" s="176" t="s">
        <v>308</v>
      </c>
      <c r="D15" s="184">
        <v>1989.3</v>
      </c>
      <c r="E15" s="180">
        <v>1988</v>
      </c>
      <c r="F15" s="177">
        <v>441106.5</v>
      </c>
      <c r="G15" s="170">
        <v>134350</v>
      </c>
      <c r="H15" s="177">
        <v>163500</v>
      </c>
      <c r="I15" s="170">
        <v>163500</v>
      </c>
    </row>
    <row r="16" spans="2:9" x14ac:dyDescent="0.3">
      <c r="B16" s="169" t="s">
        <v>312</v>
      </c>
      <c r="C16" s="176" t="s">
        <v>308</v>
      </c>
      <c r="D16" s="184">
        <v>1954.6</v>
      </c>
      <c r="E16" s="180">
        <v>1948.5</v>
      </c>
      <c r="F16" s="177">
        <v>66549.100000000006</v>
      </c>
      <c r="G16" s="170">
        <v>51550</v>
      </c>
      <c r="H16" s="177">
        <v>47628.9</v>
      </c>
      <c r="I16" s="170">
        <v>41437.5</v>
      </c>
    </row>
    <row r="17" spans="2:9" x14ac:dyDescent="0.3">
      <c r="B17" s="169" t="s">
        <v>310</v>
      </c>
      <c r="C17" s="176" t="s">
        <v>308</v>
      </c>
      <c r="D17" s="184">
        <v>1944.9</v>
      </c>
      <c r="E17" s="180">
        <v>1931.5</v>
      </c>
      <c r="F17" s="177">
        <v>22161.1</v>
      </c>
      <c r="G17" s="170">
        <v>20500</v>
      </c>
      <c r="H17" s="177">
        <v>23784.6</v>
      </c>
      <c r="I17" s="170">
        <v>20900</v>
      </c>
    </row>
    <row r="18" spans="2:9" x14ac:dyDescent="0.3">
      <c r="B18" s="156"/>
      <c r="C18" s="157" t="s">
        <v>308</v>
      </c>
      <c r="D18" s="185">
        <v>1961.3</v>
      </c>
      <c r="E18" s="158">
        <v>1970</v>
      </c>
      <c r="F18" s="178">
        <v>60706</v>
      </c>
      <c r="G18" s="171">
        <v>29200</v>
      </c>
      <c r="H18" s="178">
        <v>43508.9</v>
      </c>
      <c r="I18" s="171">
        <v>34050</v>
      </c>
    </row>
    <row r="19" spans="2:9" x14ac:dyDescent="0.3">
      <c r="B19" s="135" t="s">
        <v>278</v>
      </c>
      <c r="C19" s="136" t="s">
        <v>267</v>
      </c>
      <c r="D19" s="183">
        <v>1974.7</v>
      </c>
      <c r="E19" s="137">
        <v>1983</v>
      </c>
      <c r="F19" s="179">
        <v>47465.2</v>
      </c>
      <c r="G19" s="168">
        <v>28000</v>
      </c>
      <c r="H19" s="179">
        <v>44984.7</v>
      </c>
      <c r="I19" s="168">
        <v>27600</v>
      </c>
    </row>
    <row r="20" spans="2:9" x14ac:dyDescent="0.3">
      <c r="B20" s="169" t="s">
        <v>277</v>
      </c>
      <c r="C20" s="176" t="s">
        <v>267</v>
      </c>
      <c r="D20" s="184">
        <v>1939.4</v>
      </c>
      <c r="E20" s="180">
        <v>1930</v>
      </c>
      <c r="F20" s="177">
        <v>27957.599999999999</v>
      </c>
      <c r="G20" s="170">
        <v>21900</v>
      </c>
      <c r="H20" s="177">
        <v>23993.1</v>
      </c>
      <c r="I20" s="170">
        <v>20300</v>
      </c>
    </row>
    <row r="21" spans="2:9" x14ac:dyDescent="0.3">
      <c r="B21" s="169" t="s">
        <v>275</v>
      </c>
      <c r="C21" s="176" t="s">
        <v>267</v>
      </c>
      <c r="D21" s="184">
        <v>1965.8</v>
      </c>
      <c r="E21" s="180">
        <v>1978</v>
      </c>
      <c r="F21" s="177">
        <v>42968.9</v>
      </c>
      <c r="G21" s="170">
        <v>29150</v>
      </c>
      <c r="H21" s="177">
        <v>43001.7</v>
      </c>
      <c r="I21" s="170">
        <v>28250</v>
      </c>
    </row>
    <row r="22" spans="2:9" x14ac:dyDescent="0.3">
      <c r="B22" s="169" t="s">
        <v>274</v>
      </c>
      <c r="C22" s="176" t="s">
        <v>267</v>
      </c>
      <c r="D22" s="184">
        <v>1969.5</v>
      </c>
      <c r="E22" s="180">
        <v>1976</v>
      </c>
      <c r="F22" s="177">
        <v>35746.800000000003</v>
      </c>
      <c r="G22" s="170">
        <v>23750</v>
      </c>
      <c r="H22" s="177">
        <v>34938.1</v>
      </c>
      <c r="I22" s="170">
        <v>23500</v>
      </c>
    </row>
    <row r="23" spans="2:9" x14ac:dyDescent="0.3">
      <c r="B23" s="169" t="s">
        <v>272</v>
      </c>
      <c r="C23" s="176" t="s">
        <v>267</v>
      </c>
      <c r="D23" s="184">
        <v>1978.5</v>
      </c>
      <c r="E23" s="180">
        <v>1980</v>
      </c>
      <c r="F23" s="177">
        <v>65079.4</v>
      </c>
      <c r="G23" s="170">
        <v>61300</v>
      </c>
      <c r="H23" s="177">
        <v>63848.7</v>
      </c>
      <c r="I23" s="170">
        <v>60900</v>
      </c>
    </row>
    <row r="24" spans="2:9" x14ac:dyDescent="0.3">
      <c r="B24" s="169" t="s">
        <v>270</v>
      </c>
      <c r="C24" s="176" t="s">
        <v>267</v>
      </c>
      <c r="D24" s="184">
        <v>1963.7</v>
      </c>
      <c r="E24" s="180">
        <v>1967.5</v>
      </c>
      <c r="F24" s="177">
        <v>71179.600000000006</v>
      </c>
      <c r="G24" s="170">
        <v>34800</v>
      </c>
      <c r="H24" s="177">
        <v>40926.400000000001</v>
      </c>
      <c r="I24" s="170">
        <v>31300</v>
      </c>
    </row>
    <row r="25" spans="2:9" x14ac:dyDescent="0.3">
      <c r="B25" s="169" t="s">
        <v>269</v>
      </c>
      <c r="C25" s="176" t="s">
        <v>267</v>
      </c>
      <c r="D25" s="184">
        <v>1953.1</v>
      </c>
      <c r="E25" s="180">
        <v>1950</v>
      </c>
      <c r="F25" s="177">
        <v>27971.4</v>
      </c>
      <c r="G25" s="170">
        <v>22150</v>
      </c>
      <c r="H25" s="177">
        <v>23225.599999999999</v>
      </c>
      <c r="I25" s="170">
        <v>20700</v>
      </c>
    </row>
    <row r="26" spans="2:9" x14ac:dyDescent="0.3">
      <c r="B26" s="156"/>
      <c r="C26" s="157" t="s">
        <v>267</v>
      </c>
      <c r="D26" s="185">
        <v>1969.8</v>
      </c>
      <c r="E26" s="158">
        <v>1978</v>
      </c>
      <c r="F26" s="178">
        <v>45736.5</v>
      </c>
      <c r="G26" s="171">
        <v>28000</v>
      </c>
      <c r="H26" s="178">
        <v>58129.3</v>
      </c>
      <c r="I26" s="171">
        <v>49300</v>
      </c>
    </row>
    <row r="27" spans="2:9" x14ac:dyDescent="0.3">
      <c r="B27" s="135" t="s">
        <v>235</v>
      </c>
      <c r="C27" s="136" t="s">
        <v>223</v>
      </c>
      <c r="D27" s="183">
        <v>1997</v>
      </c>
      <c r="E27" s="137">
        <v>1983</v>
      </c>
      <c r="F27" s="179">
        <v>46279.9</v>
      </c>
      <c r="G27" s="168">
        <v>25000</v>
      </c>
      <c r="H27" s="179">
        <v>29022.3</v>
      </c>
      <c r="I27" s="168">
        <v>23900</v>
      </c>
    </row>
    <row r="28" spans="2:9" x14ac:dyDescent="0.3">
      <c r="B28" s="169" t="s">
        <v>233</v>
      </c>
      <c r="C28" s="176" t="s">
        <v>223</v>
      </c>
      <c r="D28" s="184">
        <v>1971.6</v>
      </c>
      <c r="E28" s="180">
        <v>1977</v>
      </c>
      <c r="F28" s="177">
        <v>55039.5</v>
      </c>
      <c r="G28" s="170">
        <v>20200</v>
      </c>
      <c r="H28" s="177">
        <v>30249.1</v>
      </c>
      <c r="I28" s="170">
        <v>14750</v>
      </c>
    </row>
    <row r="29" spans="2:9" x14ac:dyDescent="0.3">
      <c r="B29" s="169" t="s">
        <v>231</v>
      </c>
      <c r="C29" s="176" t="s">
        <v>223</v>
      </c>
      <c r="D29" s="184">
        <v>1967.5</v>
      </c>
      <c r="E29" s="180">
        <v>1968.5</v>
      </c>
      <c r="F29" s="177">
        <v>85605.3</v>
      </c>
      <c r="G29" s="170">
        <v>31350</v>
      </c>
      <c r="H29" s="177">
        <v>40485</v>
      </c>
      <c r="I29" s="170">
        <v>28000</v>
      </c>
    </row>
    <row r="30" spans="2:9" x14ac:dyDescent="0.3">
      <c r="B30" s="169" t="s">
        <v>229</v>
      </c>
      <c r="C30" s="176" t="s">
        <v>223</v>
      </c>
      <c r="D30" s="184">
        <v>1975.3</v>
      </c>
      <c r="E30" s="180">
        <v>1985</v>
      </c>
      <c r="F30" s="177">
        <v>52909</v>
      </c>
      <c r="G30" s="170">
        <v>36950</v>
      </c>
      <c r="H30" s="177">
        <v>42810.5</v>
      </c>
      <c r="I30" s="170">
        <v>34700</v>
      </c>
    </row>
    <row r="31" spans="2:9" x14ac:dyDescent="0.3">
      <c r="B31" s="169" t="s">
        <v>227</v>
      </c>
      <c r="C31" s="176" t="s">
        <v>223</v>
      </c>
      <c r="D31" s="184">
        <v>1947</v>
      </c>
      <c r="E31" s="180">
        <v>1946</v>
      </c>
      <c r="F31" s="177">
        <v>182682.8</v>
      </c>
      <c r="G31" s="170">
        <v>43600</v>
      </c>
      <c r="H31" s="177">
        <v>41923.300000000003</v>
      </c>
      <c r="I31" s="170">
        <v>38300</v>
      </c>
    </row>
    <row r="32" spans="2:9" x14ac:dyDescent="0.3">
      <c r="B32" s="169" t="s">
        <v>225</v>
      </c>
      <c r="C32" s="176" t="s">
        <v>223</v>
      </c>
      <c r="D32" s="184">
        <v>1975.7</v>
      </c>
      <c r="E32" s="180">
        <v>1987.5</v>
      </c>
      <c r="F32" s="177">
        <v>154893.70000000001</v>
      </c>
      <c r="G32" s="170">
        <v>28000</v>
      </c>
      <c r="H32" s="177">
        <v>31247.8</v>
      </c>
      <c r="I32" s="170">
        <v>21900</v>
      </c>
    </row>
    <row r="33" spans="2:9" x14ac:dyDescent="0.3">
      <c r="B33" s="156"/>
      <c r="C33" s="157" t="s">
        <v>223</v>
      </c>
      <c r="D33" s="185">
        <v>1994.1</v>
      </c>
      <c r="E33" s="158">
        <v>1982</v>
      </c>
      <c r="F33" s="178">
        <v>50451.8</v>
      </c>
      <c r="G33" s="171">
        <v>25700</v>
      </c>
      <c r="H33" s="178">
        <v>37908.9</v>
      </c>
      <c r="I33" s="171">
        <v>29100</v>
      </c>
    </row>
    <row r="34" spans="2:9" x14ac:dyDescent="0.3">
      <c r="B34" s="135" t="s">
        <v>78</v>
      </c>
      <c r="C34" s="136" t="s">
        <v>68</v>
      </c>
      <c r="D34" s="183">
        <v>1972.1</v>
      </c>
      <c r="E34" s="137">
        <v>1977</v>
      </c>
      <c r="F34" s="179">
        <v>73056.800000000003</v>
      </c>
      <c r="G34" s="168">
        <v>32100</v>
      </c>
      <c r="H34" s="179">
        <v>42329.2</v>
      </c>
      <c r="I34" s="168">
        <v>30000</v>
      </c>
    </row>
    <row r="35" spans="2:9" x14ac:dyDescent="0.3">
      <c r="B35" s="187" t="s">
        <v>21</v>
      </c>
      <c r="C35" s="190" t="s">
        <v>68</v>
      </c>
      <c r="D35" s="189">
        <v>1952.8</v>
      </c>
      <c r="E35" s="192">
        <v>1950</v>
      </c>
      <c r="F35" s="191">
        <v>106932.9</v>
      </c>
      <c r="G35" s="188">
        <v>44650</v>
      </c>
      <c r="H35" s="191">
        <v>45892.3</v>
      </c>
      <c r="I35" s="188">
        <v>43600</v>
      </c>
    </row>
    <row r="36" spans="2:9" x14ac:dyDescent="0.3">
      <c r="B36" s="169" t="s">
        <v>75</v>
      </c>
      <c r="C36" s="176" t="s">
        <v>68</v>
      </c>
      <c r="D36" s="184">
        <v>1961</v>
      </c>
      <c r="E36" s="180">
        <v>1967</v>
      </c>
      <c r="F36" s="177">
        <v>283597.7</v>
      </c>
      <c r="G36" s="170">
        <v>32650</v>
      </c>
      <c r="H36" s="177">
        <v>31894.7</v>
      </c>
      <c r="I36" s="170">
        <v>28750</v>
      </c>
    </row>
    <row r="37" spans="2:9" x14ac:dyDescent="0.3">
      <c r="B37" s="169" t="s">
        <v>73</v>
      </c>
      <c r="C37" s="176" t="s">
        <v>68</v>
      </c>
      <c r="D37" s="184">
        <v>1956.6</v>
      </c>
      <c r="E37" s="180">
        <v>1961</v>
      </c>
      <c r="F37" s="177">
        <v>30783.200000000001</v>
      </c>
      <c r="G37" s="170">
        <v>25500</v>
      </c>
      <c r="H37" s="177">
        <v>28699.3</v>
      </c>
      <c r="I37" s="170">
        <v>25300</v>
      </c>
    </row>
    <row r="38" spans="2:9" x14ac:dyDescent="0.3">
      <c r="B38" s="169" t="s">
        <v>72</v>
      </c>
      <c r="C38" s="176" t="s">
        <v>68</v>
      </c>
      <c r="D38" s="184">
        <v>1967.1</v>
      </c>
      <c r="E38" s="180">
        <v>1974</v>
      </c>
      <c r="F38" s="177">
        <v>44861</v>
      </c>
      <c r="G38" s="170">
        <v>22300</v>
      </c>
      <c r="H38" s="177">
        <v>33108.699999999997</v>
      </c>
      <c r="I38" s="170">
        <v>20400</v>
      </c>
    </row>
    <row r="39" spans="2:9" x14ac:dyDescent="0.3">
      <c r="B39" s="169" t="s">
        <v>70</v>
      </c>
      <c r="C39" s="176" t="s">
        <v>68</v>
      </c>
      <c r="D39" s="184">
        <v>1963</v>
      </c>
      <c r="E39" s="180">
        <v>1968</v>
      </c>
      <c r="F39" s="177">
        <v>141545.1</v>
      </c>
      <c r="G39" s="170">
        <v>56200</v>
      </c>
      <c r="H39" s="177">
        <v>64547.5</v>
      </c>
      <c r="I39" s="170">
        <v>51500</v>
      </c>
    </row>
    <row r="40" spans="2:9" ht="15" thickBot="1" x14ac:dyDescent="0.35">
      <c r="B40" s="156"/>
      <c r="C40" s="159" t="s">
        <v>68</v>
      </c>
      <c r="D40" s="185">
        <v>1968.7</v>
      </c>
      <c r="E40" s="160">
        <v>1973</v>
      </c>
      <c r="F40" s="178">
        <v>80400.399999999994</v>
      </c>
      <c r="G40" s="182">
        <v>33000</v>
      </c>
      <c r="H40" s="178">
        <v>52564.7</v>
      </c>
      <c r="I40" s="171">
        <v>44800</v>
      </c>
    </row>
    <row r="41" spans="2:9" ht="15" thickBot="1" x14ac:dyDescent="0.35">
      <c r="B41" s="161" t="s">
        <v>1204</v>
      </c>
      <c r="C41" s="162"/>
      <c r="D41" s="163">
        <v>1959.1</v>
      </c>
      <c r="E41" s="164">
        <v>1960</v>
      </c>
      <c r="F41" s="165">
        <v>91472.7</v>
      </c>
      <c r="G41" s="166">
        <v>36800</v>
      </c>
      <c r="H41" s="167">
        <v>57375.9</v>
      </c>
      <c r="I41" s="166">
        <v>44200</v>
      </c>
    </row>
    <row r="42" spans="2:9" x14ac:dyDescent="0.3">
      <c r="B42" s="186" t="s">
        <v>1206</v>
      </c>
    </row>
    <row r="43" spans="2:9" x14ac:dyDescent="0.3">
      <c r="B43" s="13" t="s">
        <v>21</v>
      </c>
      <c r="C43" s="13" t="s">
        <v>20</v>
      </c>
      <c r="D43" s="10">
        <v>1940.3</v>
      </c>
      <c r="E43" s="10">
        <v>1940</v>
      </c>
      <c r="F43" s="11">
        <v>127706.1</v>
      </c>
      <c r="G43" s="11">
        <v>75000</v>
      </c>
      <c r="H43" s="11">
        <v>80993.3</v>
      </c>
      <c r="I43" s="11">
        <v>69950</v>
      </c>
    </row>
    <row r="44" spans="2:9" x14ac:dyDescent="0.3">
      <c r="B44" s="141" t="s">
        <v>1203</v>
      </c>
    </row>
    <row r="45" spans="2:9" x14ac:dyDescent="0.3">
      <c r="B45" s="141" t="s">
        <v>1205</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C2A0-EDBD-4BD6-946F-842CA5519785}">
  <dimension ref="B1:P42"/>
  <sheetViews>
    <sheetView workbookViewId="0">
      <selection activeCell="O26" sqref="O26"/>
    </sheetView>
  </sheetViews>
  <sheetFormatPr defaultRowHeight="14.4" x14ac:dyDescent="0.3"/>
  <cols>
    <col min="3" max="3" width="12" bestFit="1" customWidth="1"/>
    <col min="4" max="4" width="12.5546875" bestFit="1" customWidth="1"/>
    <col min="5" max="6" width="0" hidden="1" customWidth="1"/>
    <col min="9" max="12" width="0" hidden="1" customWidth="1"/>
    <col min="14" max="14" width="0" hidden="1" customWidth="1"/>
  </cols>
  <sheetData>
    <row r="1" spans="2:16" ht="15" thickBot="1" x14ac:dyDescent="0.35"/>
    <row r="2" spans="2:16" ht="48" x14ac:dyDescent="0.3">
      <c r="B2" s="133" t="s">
        <v>516</v>
      </c>
      <c r="C2" s="142" t="s">
        <v>515</v>
      </c>
      <c r="D2" s="142" t="s">
        <v>26</v>
      </c>
      <c r="E2" s="143" t="s">
        <v>514</v>
      </c>
      <c r="F2" s="143" t="s">
        <v>513</v>
      </c>
      <c r="G2" s="142" t="s">
        <v>512</v>
      </c>
      <c r="H2" s="142" t="s">
        <v>507</v>
      </c>
      <c r="I2" s="144" t="s">
        <v>511</v>
      </c>
      <c r="J2" s="193" t="s">
        <v>510</v>
      </c>
      <c r="K2" s="194" t="s">
        <v>509</v>
      </c>
      <c r="L2" s="193" t="s">
        <v>508</v>
      </c>
      <c r="M2" s="142" t="s">
        <v>506</v>
      </c>
      <c r="N2" s="145" t="s">
        <v>505</v>
      </c>
      <c r="O2" s="142" t="s">
        <v>504</v>
      </c>
      <c r="P2" s="134" t="s">
        <v>503</v>
      </c>
    </row>
    <row r="3" spans="2:16" x14ac:dyDescent="0.3">
      <c r="B3" s="138">
        <v>540016</v>
      </c>
      <c r="C3" s="22" t="s">
        <v>448</v>
      </c>
      <c r="D3" s="22" t="s">
        <v>444</v>
      </c>
      <c r="E3" s="22" t="s">
        <v>29</v>
      </c>
      <c r="F3" s="19">
        <v>2</v>
      </c>
      <c r="G3" s="19" t="s">
        <v>71</v>
      </c>
      <c r="H3" s="19">
        <v>1886</v>
      </c>
      <c r="I3" s="19">
        <v>1171</v>
      </c>
      <c r="J3" s="19">
        <v>51</v>
      </c>
      <c r="K3" s="19">
        <v>654</v>
      </c>
      <c r="L3" s="19">
        <v>10</v>
      </c>
      <c r="M3" s="21">
        <v>0.621</v>
      </c>
      <c r="N3" s="21">
        <v>2.7E-2</v>
      </c>
      <c r="O3" s="21">
        <v>0.34699999999999998</v>
      </c>
      <c r="P3" s="146">
        <v>5.0000000000000001E-3</v>
      </c>
    </row>
    <row r="4" spans="2:16" x14ac:dyDescent="0.3">
      <c r="B4" s="147">
        <v>540017</v>
      </c>
      <c r="C4" s="17" t="s">
        <v>447</v>
      </c>
      <c r="D4" s="17" t="s">
        <v>444</v>
      </c>
      <c r="E4" s="17" t="s">
        <v>2</v>
      </c>
      <c r="F4" s="14">
        <v>2</v>
      </c>
      <c r="G4" s="14" t="s">
        <v>446</v>
      </c>
      <c r="H4" s="14">
        <v>44</v>
      </c>
      <c r="I4" s="14">
        <v>31</v>
      </c>
      <c r="J4" s="14">
        <v>1</v>
      </c>
      <c r="K4" s="14">
        <v>12</v>
      </c>
      <c r="L4" s="14">
        <v>0</v>
      </c>
      <c r="M4" s="16">
        <v>0.70499999999999996</v>
      </c>
      <c r="N4" s="16">
        <v>2.3E-2</v>
      </c>
      <c r="O4" s="16">
        <v>0.27300000000000002</v>
      </c>
      <c r="P4" s="148">
        <v>0</v>
      </c>
    </row>
    <row r="5" spans="2:16" x14ac:dyDescent="0.3">
      <c r="B5" s="195">
        <v>540018</v>
      </c>
      <c r="C5" s="26" t="s">
        <v>21</v>
      </c>
      <c r="D5" s="26" t="s">
        <v>444</v>
      </c>
      <c r="E5" s="26" t="s">
        <v>58</v>
      </c>
      <c r="F5" s="25">
        <v>2</v>
      </c>
      <c r="G5" s="25" t="s">
        <v>76</v>
      </c>
      <c r="H5" s="25">
        <v>916</v>
      </c>
      <c r="I5" s="25">
        <v>894</v>
      </c>
      <c r="J5" s="25">
        <v>5</v>
      </c>
      <c r="K5" s="25">
        <v>17</v>
      </c>
      <c r="L5" s="25">
        <v>0</v>
      </c>
      <c r="M5" s="24">
        <v>0.97599999999999998</v>
      </c>
      <c r="N5" s="24">
        <v>5.0000000000000001E-3</v>
      </c>
      <c r="O5" s="24">
        <v>1.9E-2</v>
      </c>
      <c r="P5" s="196">
        <v>0</v>
      </c>
    </row>
    <row r="6" spans="2:16" x14ac:dyDescent="0.3">
      <c r="B6" s="147">
        <v>540019</v>
      </c>
      <c r="C6" s="17" t="s">
        <v>445</v>
      </c>
      <c r="D6" s="17" t="s">
        <v>444</v>
      </c>
      <c r="E6" s="17" t="s">
        <v>2</v>
      </c>
      <c r="F6" s="14">
        <v>2</v>
      </c>
      <c r="G6" s="14" t="s">
        <v>71</v>
      </c>
      <c r="H6" s="14">
        <v>419</v>
      </c>
      <c r="I6" s="14">
        <v>342</v>
      </c>
      <c r="J6" s="14">
        <v>0</v>
      </c>
      <c r="K6" s="14">
        <v>77</v>
      </c>
      <c r="L6" s="14">
        <v>0</v>
      </c>
      <c r="M6" s="16">
        <v>0.81599999999999995</v>
      </c>
      <c r="N6" s="16">
        <v>0</v>
      </c>
      <c r="O6" s="16">
        <v>0.184</v>
      </c>
      <c r="P6" s="148">
        <v>0</v>
      </c>
    </row>
    <row r="7" spans="2:16" x14ac:dyDescent="0.3">
      <c r="B7" s="149"/>
      <c r="C7" s="130"/>
      <c r="D7" s="130" t="s">
        <v>444</v>
      </c>
      <c r="E7" s="130" t="s">
        <v>26</v>
      </c>
      <c r="F7" s="129">
        <v>2</v>
      </c>
      <c r="G7" s="129"/>
      <c r="H7" s="129">
        <v>3265</v>
      </c>
      <c r="I7" s="129">
        <v>2438</v>
      </c>
      <c r="J7" s="129">
        <v>57</v>
      </c>
      <c r="K7" s="129">
        <v>760</v>
      </c>
      <c r="L7" s="129">
        <v>10</v>
      </c>
      <c r="M7" s="131">
        <v>0.747</v>
      </c>
      <c r="N7" s="131">
        <v>1.7000000000000001E-2</v>
      </c>
      <c r="O7" s="131">
        <v>0.23300000000000001</v>
      </c>
      <c r="P7" s="150">
        <v>3.0000000000000001E-3</v>
      </c>
    </row>
    <row r="8" spans="2:16" x14ac:dyDescent="0.3">
      <c r="B8" s="138">
        <v>540088</v>
      </c>
      <c r="C8" s="22" t="s">
        <v>325</v>
      </c>
      <c r="D8" s="22" t="s">
        <v>321</v>
      </c>
      <c r="E8" s="22" t="s">
        <v>29</v>
      </c>
      <c r="F8" s="19">
        <v>2</v>
      </c>
      <c r="G8" s="19" t="s">
        <v>77</v>
      </c>
      <c r="H8" s="19">
        <v>2564</v>
      </c>
      <c r="I8" s="19">
        <v>1443</v>
      </c>
      <c r="J8" s="19">
        <v>22</v>
      </c>
      <c r="K8" s="19">
        <v>894</v>
      </c>
      <c r="L8" s="19">
        <v>205</v>
      </c>
      <c r="M8" s="21">
        <v>0.56299999999999994</v>
      </c>
      <c r="N8" s="21">
        <v>8.9999999999999993E-3</v>
      </c>
      <c r="O8" s="21">
        <v>0.34899999999999998</v>
      </c>
      <c r="P8" s="146">
        <v>0.08</v>
      </c>
    </row>
    <row r="9" spans="2:16" x14ac:dyDescent="0.3">
      <c r="B9" s="147">
        <v>540089</v>
      </c>
      <c r="C9" s="17" t="s">
        <v>324</v>
      </c>
      <c r="D9" s="17" t="s">
        <v>321</v>
      </c>
      <c r="E9" s="17" t="s">
        <v>2</v>
      </c>
      <c r="F9" s="14">
        <v>2</v>
      </c>
      <c r="G9" s="14" t="s">
        <v>322</v>
      </c>
      <c r="H9" s="14">
        <v>117</v>
      </c>
      <c r="I9" s="14">
        <v>100</v>
      </c>
      <c r="J9" s="14">
        <v>0</v>
      </c>
      <c r="K9" s="14">
        <v>16</v>
      </c>
      <c r="L9" s="14">
        <v>1</v>
      </c>
      <c r="M9" s="16">
        <v>0.85499999999999998</v>
      </c>
      <c r="N9" s="16">
        <v>0</v>
      </c>
      <c r="O9" s="16">
        <v>0.13700000000000001</v>
      </c>
      <c r="P9" s="148">
        <v>8.9999999999999993E-3</v>
      </c>
    </row>
    <row r="10" spans="2:16" x14ac:dyDescent="0.3">
      <c r="B10" s="147">
        <v>540090</v>
      </c>
      <c r="C10" s="17" t="s">
        <v>323</v>
      </c>
      <c r="D10" s="17" t="s">
        <v>321</v>
      </c>
      <c r="E10" s="17" t="s">
        <v>2</v>
      </c>
      <c r="F10" s="14">
        <v>2</v>
      </c>
      <c r="G10" s="14" t="s">
        <v>322</v>
      </c>
      <c r="H10" s="14">
        <v>43</v>
      </c>
      <c r="I10" s="14">
        <v>38</v>
      </c>
      <c r="J10" s="14">
        <v>0</v>
      </c>
      <c r="K10" s="14">
        <v>4</v>
      </c>
      <c r="L10" s="14">
        <v>1</v>
      </c>
      <c r="M10" s="16">
        <v>0.88400000000000001</v>
      </c>
      <c r="N10" s="16">
        <v>0</v>
      </c>
      <c r="O10" s="16">
        <v>9.2999999999999999E-2</v>
      </c>
      <c r="P10" s="148">
        <v>2.3E-2</v>
      </c>
    </row>
    <row r="11" spans="2:16" x14ac:dyDescent="0.3">
      <c r="B11" s="149"/>
      <c r="C11" s="130"/>
      <c r="D11" s="130" t="s">
        <v>321</v>
      </c>
      <c r="E11" s="130" t="s">
        <v>26</v>
      </c>
      <c r="F11" s="129">
        <v>2</v>
      </c>
      <c r="G11" s="129"/>
      <c r="H11" s="129">
        <v>2724</v>
      </c>
      <c r="I11" s="129">
        <v>1581</v>
      </c>
      <c r="J11" s="129">
        <v>22</v>
      </c>
      <c r="K11" s="129">
        <v>914</v>
      </c>
      <c r="L11" s="129">
        <v>207</v>
      </c>
      <c r="M11" s="131">
        <v>0.57999999999999996</v>
      </c>
      <c r="N11" s="131">
        <v>8.0000000000000002E-3</v>
      </c>
      <c r="O11" s="131">
        <v>0.33600000000000002</v>
      </c>
      <c r="P11" s="150">
        <v>7.5999999999999998E-2</v>
      </c>
    </row>
    <row r="12" spans="2:16" x14ac:dyDescent="0.3">
      <c r="B12" s="138">
        <v>545536</v>
      </c>
      <c r="C12" s="22" t="s">
        <v>320</v>
      </c>
      <c r="D12" s="22" t="s">
        <v>308</v>
      </c>
      <c r="E12" s="22" t="s">
        <v>29</v>
      </c>
      <c r="F12" s="19">
        <v>2</v>
      </c>
      <c r="G12" s="19" t="s">
        <v>319</v>
      </c>
      <c r="H12" s="19">
        <v>5247</v>
      </c>
      <c r="I12" s="19">
        <v>2479</v>
      </c>
      <c r="J12" s="19">
        <v>375</v>
      </c>
      <c r="K12" s="19">
        <v>2001</v>
      </c>
      <c r="L12" s="19">
        <v>392</v>
      </c>
      <c r="M12" s="21">
        <v>0.47199999999999998</v>
      </c>
      <c r="N12" s="21">
        <v>7.0999999999999994E-2</v>
      </c>
      <c r="O12" s="21">
        <v>0.38100000000000001</v>
      </c>
      <c r="P12" s="146">
        <v>7.4999999999999997E-2</v>
      </c>
    </row>
    <row r="13" spans="2:16" x14ac:dyDescent="0.3">
      <c r="B13" s="147">
        <v>540092</v>
      </c>
      <c r="C13" s="17" t="s">
        <v>318</v>
      </c>
      <c r="D13" s="17" t="s">
        <v>308</v>
      </c>
      <c r="E13" s="17" t="s">
        <v>2</v>
      </c>
      <c r="F13" s="14">
        <v>2</v>
      </c>
      <c r="G13" s="14" t="s">
        <v>317</v>
      </c>
      <c r="H13" s="14">
        <v>68</v>
      </c>
      <c r="I13" s="14">
        <v>18</v>
      </c>
      <c r="J13" s="14">
        <v>4</v>
      </c>
      <c r="K13" s="14">
        <v>43</v>
      </c>
      <c r="L13" s="14">
        <v>3</v>
      </c>
      <c r="M13" s="16">
        <v>0.26500000000000001</v>
      </c>
      <c r="N13" s="16">
        <v>5.8999999999999997E-2</v>
      </c>
      <c r="O13" s="16">
        <v>0.63200000000000001</v>
      </c>
      <c r="P13" s="148">
        <v>4.3999999999999997E-2</v>
      </c>
    </row>
    <row r="14" spans="2:16" x14ac:dyDescent="0.3">
      <c r="B14" s="147">
        <v>540095</v>
      </c>
      <c r="C14" s="17" t="s">
        <v>316</v>
      </c>
      <c r="D14" s="17" t="s">
        <v>308</v>
      </c>
      <c r="E14" s="17" t="s">
        <v>2</v>
      </c>
      <c r="F14" s="14">
        <v>2</v>
      </c>
      <c r="G14" s="14" t="s">
        <v>315</v>
      </c>
      <c r="H14" s="14">
        <v>30</v>
      </c>
      <c r="I14" s="14">
        <v>17</v>
      </c>
      <c r="J14" s="14">
        <v>0</v>
      </c>
      <c r="K14" s="14">
        <v>13</v>
      </c>
      <c r="L14" s="14">
        <v>0</v>
      </c>
      <c r="M14" s="16">
        <v>0.56699999999999995</v>
      </c>
      <c r="N14" s="16">
        <v>0</v>
      </c>
      <c r="O14" s="16">
        <v>0.433</v>
      </c>
      <c r="P14" s="148">
        <v>0</v>
      </c>
    </row>
    <row r="15" spans="2:16" x14ac:dyDescent="0.3">
      <c r="B15" s="147">
        <v>545535</v>
      </c>
      <c r="C15" s="17" t="s">
        <v>314</v>
      </c>
      <c r="D15" s="17" t="s">
        <v>308</v>
      </c>
      <c r="E15" s="17" t="s">
        <v>2</v>
      </c>
      <c r="F15" s="14">
        <v>2</v>
      </c>
      <c r="G15" s="14" t="s">
        <v>313</v>
      </c>
      <c r="H15" s="14">
        <v>4</v>
      </c>
      <c r="I15" s="14">
        <v>1</v>
      </c>
      <c r="J15" s="14">
        <v>0</v>
      </c>
      <c r="K15" s="14">
        <v>3</v>
      </c>
      <c r="L15" s="14">
        <v>0</v>
      </c>
      <c r="M15" s="16">
        <v>0.25</v>
      </c>
      <c r="N15" s="16">
        <v>0</v>
      </c>
      <c r="O15" s="16">
        <v>0.75</v>
      </c>
      <c r="P15" s="148">
        <v>0</v>
      </c>
    </row>
    <row r="16" spans="2:16" x14ac:dyDescent="0.3">
      <c r="B16" s="147">
        <v>545537</v>
      </c>
      <c r="C16" s="17" t="s">
        <v>312</v>
      </c>
      <c r="D16" s="17" t="s">
        <v>308</v>
      </c>
      <c r="E16" s="17" t="s">
        <v>2</v>
      </c>
      <c r="F16" s="14">
        <v>2</v>
      </c>
      <c r="G16" s="14" t="s">
        <v>311</v>
      </c>
      <c r="H16" s="14">
        <v>164</v>
      </c>
      <c r="I16" s="14">
        <v>113</v>
      </c>
      <c r="J16" s="14">
        <v>5</v>
      </c>
      <c r="K16" s="14">
        <v>40</v>
      </c>
      <c r="L16" s="14">
        <v>6</v>
      </c>
      <c r="M16" s="16">
        <v>0.68899999999999995</v>
      </c>
      <c r="N16" s="16">
        <v>0.03</v>
      </c>
      <c r="O16" s="16">
        <v>0.24399999999999999</v>
      </c>
      <c r="P16" s="148">
        <v>3.6999999999999998E-2</v>
      </c>
    </row>
    <row r="17" spans="2:16" x14ac:dyDescent="0.3">
      <c r="B17" s="147">
        <v>545539</v>
      </c>
      <c r="C17" s="17" t="s">
        <v>310</v>
      </c>
      <c r="D17" s="17" t="s">
        <v>308</v>
      </c>
      <c r="E17" s="17" t="s">
        <v>2</v>
      </c>
      <c r="F17" s="14">
        <v>2</v>
      </c>
      <c r="G17" s="14" t="s">
        <v>309</v>
      </c>
      <c r="H17" s="14">
        <v>18</v>
      </c>
      <c r="I17" s="14">
        <v>15</v>
      </c>
      <c r="J17" s="14">
        <v>0</v>
      </c>
      <c r="K17" s="14">
        <v>3</v>
      </c>
      <c r="L17" s="14">
        <v>0</v>
      </c>
      <c r="M17" s="16">
        <v>0.83299999999999996</v>
      </c>
      <c r="N17" s="16">
        <v>0</v>
      </c>
      <c r="O17" s="16">
        <v>0.16700000000000001</v>
      </c>
      <c r="P17" s="148">
        <v>0</v>
      </c>
    </row>
    <row r="18" spans="2:16" x14ac:dyDescent="0.3">
      <c r="B18" s="149"/>
      <c r="C18" s="130"/>
      <c r="D18" s="130" t="s">
        <v>308</v>
      </c>
      <c r="E18" s="130" t="s">
        <v>26</v>
      </c>
      <c r="F18" s="129">
        <v>2</v>
      </c>
      <c r="G18" s="129"/>
      <c r="H18" s="129">
        <v>5531</v>
      </c>
      <c r="I18" s="129">
        <v>2643</v>
      </c>
      <c r="J18" s="129">
        <v>384</v>
      </c>
      <c r="K18" s="129">
        <v>2103</v>
      </c>
      <c r="L18" s="129">
        <v>401</v>
      </c>
      <c r="M18" s="131">
        <v>0.47799999999999998</v>
      </c>
      <c r="N18" s="131">
        <v>6.9000000000000006E-2</v>
      </c>
      <c r="O18" s="131">
        <v>0.38</v>
      </c>
      <c r="P18" s="150">
        <v>7.2999999999999995E-2</v>
      </c>
    </row>
    <row r="19" spans="2:16" x14ac:dyDescent="0.3">
      <c r="B19" s="138">
        <v>540112</v>
      </c>
      <c r="C19" s="22" t="s">
        <v>278</v>
      </c>
      <c r="D19" s="22" t="s">
        <v>267</v>
      </c>
      <c r="E19" s="22" t="s">
        <v>29</v>
      </c>
      <c r="F19" s="19">
        <v>2</v>
      </c>
      <c r="G19" s="19" t="s">
        <v>205</v>
      </c>
      <c r="H19" s="19">
        <v>878</v>
      </c>
      <c r="I19" s="19">
        <v>338</v>
      </c>
      <c r="J19" s="19">
        <v>3</v>
      </c>
      <c r="K19" s="19">
        <v>397</v>
      </c>
      <c r="L19" s="19">
        <v>140</v>
      </c>
      <c r="M19" s="21">
        <v>0.38500000000000001</v>
      </c>
      <c r="N19" s="21">
        <v>3.0000000000000001E-3</v>
      </c>
      <c r="O19" s="21">
        <v>0.45200000000000001</v>
      </c>
      <c r="P19" s="146">
        <v>0.159</v>
      </c>
    </row>
    <row r="20" spans="2:16" x14ac:dyDescent="0.3">
      <c r="B20" s="147">
        <v>540113</v>
      </c>
      <c r="C20" s="17" t="s">
        <v>277</v>
      </c>
      <c r="D20" s="17" t="s">
        <v>267</v>
      </c>
      <c r="E20" s="17" t="s">
        <v>2</v>
      </c>
      <c r="F20" s="14">
        <v>2</v>
      </c>
      <c r="G20" s="14" t="s">
        <v>276</v>
      </c>
      <c r="H20" s="14">
        <v>33</v>
      </c>
      <c r="I20" s="14">
        <v>25</v>
      </c>
      <c r="J20" s="14">
        <v>0</v>
      </c>
      <c r="K20" s="14">
        <v>8</v>
      </c>
      <c r="L20" s="14">
        <v>0</v>
      </c>
      <c r="M20" s="16">
        <v>0.75800000000000001</v>
      </c>
      <c r="N20" s="16">
        <v>0</v>
      </c>
      <c r="O20" s="16">
        <v>0.24199999999999999</v>
      </c>
      <c r="P20" s="148">
        <v>0</v>
      </c>
    </row>
    <row r="21" spans="2:16" x14ac:dyDescent="0.3">
      <c r="B21" s="147">
        <v>540247</v>
      </c>
      <c r="C21" s="17" t="s">
        <v>275</v>
      </c>
      <c r="D21" s="17" t="s">
        <v>267</v>
      </c>
      <c r="E21" s="17" t="s">
        <v>2</v>
      </c>
      <c r="F21" s="14">
        <v>2</v>
      </c>
      <c r="G21" s="14" t="s">
        <v>273</v>
      </c>
      <c r="H21" s="14">
        <v>210</v>
      </c>
      <c r="I21" s="14">
        <v>85</v>
      </c>
      <c r="J21" s="14">
        <v>0</v>
      </c>
      <c r="K21" s="14">
        <v>95</v>
      </c>
      <c r="L21" s="14">
        <v>30</v>
      </c>
      <c r="M21" s="16">
        <v>0.40500000000000003</v>
      </c>
      <c r="N21" s="16">
        <v>0</v>
      </c>
      <c r="O21" s="16">
        <v>0.45200000000000001</v>
      </c>
      <c r="P21" s="148">
        <v>0.14299999999999999</v>
      </c>
    </row>
    <row r="22" spans="2:16" x14ac:dyDescent="0.3">
      <c r="B22" s="147">
        <v>540248</v>
      </c>
      <c r="C22" s="17" t="s">
        <v>274</v>
      </c>
      <c r="D22" s="17" t="s">
        <v>267</v>
      </c>
      <c r="E22" s="17" t="s">
        <v>2</v>
      </c>
      <c r="F22" s="14">
        <v>2</v>
      </c>
      <c r="G22" s="14" t="s">
        <v>273</v>
      </c>
      <c r="H22" s="14">
        <v>108</v>
      </c>
      <c r="I22" s="14">
        <v>47</v>
      </c>
      <c r="J22" s="14">
        <v>3</v>
      </c>
      <c r="K22" s="14">
        <v>38</v>
      </c>
      <c r="L22" s="14">
        <v>20</v>
      </c>
      <c r="M22" s="16">
        <v>0.435</v>
      </c>
      <c r="N22" s="16">
        <v>2.8000000000000001E-2</v>
      </c>
      <c r="O22" s="16">
        <v>0.35199999999999998</v>
      </c>
      <c r="P22" s="148">
        <v>0.185</v>
      </c>
    </row>
    <row r="23" spans="2:16" x14ac:dyDescent="0.3">
      <c r="B23" s="147">
        <v>540249</v>
      </c>
      <c r="C23" s="17" t="s">
        <v>272</v>
      </c>
      <c r="D23" s="17" t="s">
        <v>267</v>
      </c>
      <c r="E23" s="17" t="s">
        <v>2</v>
      </c>
      <c r="F23" s="14">
        <v>2</v>
      </c>
      <c r="G23" s="14" t="s">
        <v>271</v>
      </c>
      <c r="H23" s="14">
        <v>70</v>
      </c>
      <c r="I23" s="14">
        <v>30</v>
      </c>
      <c r="J23" s="14">
        <v>4</v>
      </c>
      <c r="K23" s="14">
        <v>35</v>
      </c>
      <c r="L23" s="14">
        <v>1</v>
      </c>
      <c r="M23" s="16">
        <v>0.42899999999999999</v>
      </c>
      <c r="N23" s="16">
        <v>5.7000000000000002E-2</v>
      </c>
      <c r="O23" s="16">
        <v>0.5</v>
      </c>
      <c r="P23" s="148">
        <v>1.4E-2</v>
      </c>
    </row>
    <row r="24" spans="2:16" x14ac:dyDescent="0.3">
      <c r="B24" s="147">
        <v>540250</v>
      </c>
      <c r="C24" s="17" t="s">
        <v>270</v>
      </c>
      <c r="D24" s="17" t="s">
        <v>267</v>
      </c>
      <c r="E24" s="17" t="s">
        <v>2</v>
      </c>
      <c r="F24" s="14">
        <v>2</v>
      </c>
      <c r="G24" s="14" t="s">
        <v>268</v>
      </c>
      <c r="H24" s="14">
        <v>69</v>
      </c>
      <c r="I24" s="14">
        <v>37</v>
      </c>
      <c r="J24" s="14">
        <v>0</v>
      </c>
      <c r="K24" s="14">
        <v>27</v>
      </c>
      <c r="L24" s="14">
        <v>5</v>
      </c>
      <c r="M24" s="16">
        <v>0.53600000000000003</v>
      </c>
      <c r="N24" s="16">
        <v>0</v>
      </c>
      <c r="O24" s="16">
        <v>0.39100000000000001</v>
      </c>
      <c r="P24" s="148">
        <v>7.1999999999999995E-2</v>
      </c>
    </row>
    <row r="25" spans="2:16" x14ac:dyDescent="0.3">
      <c r="B25" s="147">
        <v>540251</v>
      </c>
      <c r="C25" s="17" t="s">
        <v>269</v>
      </c>
      <c r="D25" s="17" t="s">
        <v>267</v>
      </c>
      <c r="E25" s="17" t="s">
        <v>2</v>
      </c>
      <c r="F25" s="14">
        <v>2</v>
      </c>
      <c r="G25" s="14" t="s">
        <v>268</v>
      </c>
      <c r="H25" s="14">
        <v>134</v>
      </c>
      <c r="I25" s="14">
        <v>90</v>
      </c>
      <c r="J25" s="14">
        <v>0</v>
      </c>
      <c r="K25" s="14">
        <v>36</v>
      </c>
      <c r="L25" s="14">
        <v>8</v>
      </c>
      <c r="M25" s="16">
        <v>0.67200000000000004</v>
      </c>
      <c r="N25" s="16">
        <v>0</v>
      </c>
      <c r="O25" s="16">
        <v>0.26900000000000002</v>
      </c>
      <c r="P25" s="148">
        <v>0.06</v>
      </c>
    </row>
    <row r="26" spans="2:16" x14ac:dyDescent="0.3">
      <c r="B26" s="149"/>
      <c r="C26" s="130"/>
      <c r="D26" s="130" t="s">
        <v>267</v>
      </c>
      <c r="E26" s="130" t="s">
        <v>26</v>
      </c>
      <c r="F26" s="129">
        <v>2</v>
      </c>
      <c r="G26" s="129"/>
      <c r="H26" s="129">
        <v>1502</v>
      </c>
      <c r="I26" s="129">
        <v>652</v>
      </c>
      <c r="J26" s="129">
        <v>10</v>
      </c>
      <c r="K26" s="129">
        <v>636</v>
      </c>
      <c r="L26" s="129">
        <v>204</v>
      </c>
      <c r="M26" s="131">
        <v>0.434</v>
      </c>
      <c r="N26" s="131">
        <v>7.0000000000000001E-3</v>
      </c>
      <c r="O26" s="131">
        <v>0.42299999999999999</v>
      </c>
      <c r="P26" s="150">
        <v>0.13600000000000001</v>
      </c>
    </row>
    <row r="27" spans="2:16" x14ac:dyDescent="0.3">
      <c r="B27" s="138">
        <v>540133</v>
      </c>
      <c r="C27" s="22" t="s">
        <v>235</v>
      </c>
      <c r="D27" s="22" t="s">
        <v>223</v>
      </c>
      <c r="E27" s="22" t="s">
        <v>29</v>
      </c>
      <c r="F27" s="19">
        <v>2</v>
      </c>
      <c r="G27" s="19" t="s">
        <v>234</v>
      </c>
      <c r="H27" s="19">
        <v>3393</v>
      </c>
      <c r="I27" s="19">
        <v>1110</v>
      </c>
      <c r="J27" s="19">
        <v>299</v>
      </c>
      <c r="K27" s="19">
        <v>1386</v>
      </c>
      <c r="L27" s="19">
        <v>598</v>
      </c>
      <c r="M27" s="21">
        <v>0.32700000000000001</v>
      </c>
      <c r="N27" s="21">
        <v>8.7999999999999995E-2</v>
      </c>
      <c r="O27" s="21">
        <v>0.40799999999999997</v>
      </c>
      <c r="P27" s="146">
        <v>0.17599999999999999</v>
      </c>
    </row>
    <row r="28" spans="2:16" x14ac:dyDescent="0.3">
      <c r="B28" s="147">
        <v>540134</v>
      </c>
      <c r="C28" s="17" t="s">
        <v>233</v>
      </c>
      <c r="D28" s="17" t="s">
        <v>223</v>
      </c>
      <c r="E28" s="17" t="s">
        <v>2</v>
      </c>
      <c r="F28" s="14">
        <v>2</v>
      </c>
      <c r="G28" s="14" t="s">
        <v>232</v>
      </c>
      <c r="H28" s="14">
        <v>131</v>
      </c>
      <c r="I28" s="14">
        <v>51</v>
      </c>
      <c r="J28" s="14">
        <v>6</v>
      </c>
      <c r="K28" s="14">
        <v>61</v>
      </c>
      <c r="L28" s="14">
        <v>13</v>
      </c>
      <c r="M28" s="16">
        <v>0.38900000000000001</v>
      </c>
      <c r="N28" s="16">
        <v>4.5999999999999999E-2</v>
      </c>
      <c r="O28" s="16">
        <v>0.46600000000000003</v>
      </c>
      <c r="P28" s="148">
        <v>9.9000000000000005E-2</v>
      </c>
    </row>
    <row r="29" spans="2:16" x14ac:dyDescent="0.3">
      <c r="B29" s="147">
        <v>540135</v>
      </c>
      <c r="C29" s="17" t="s">
        <v>231</v>
      </c>
      <c r="D29" s="17" t="s">
        <v>223</v>
      </c>
      <c r="E29" s="17" t="s">
        <v>2</v>
      </c>
      <c r="F29" s="14">
        <v>2</v>
      </c>
      <c r="G29" s="14" t="s">
        <v>230</v>
      </c>
      <c r="H29" s="14">
        <v>78</v>
      </c>
      <c r="I29" s="14">
        <v>31</v>
      </c>
      <c r="J29" s="14">
        <v>0</v>
      </c>
      <c r="K29" s="14">
        <v>17</v>
      </c>
      <c r="L29" s="14">
        <v>30</v>
      </c>
      <c r="M29" s="16">
        <v>0.39700000000000002</v>
      </c>
      <c r="N29" s="16">
        <v>0</v>
      </c>
      <c r="O29" s="16">
        <v>0.218</v>
      </c>
      <c r="P29" s="148">
        <v>0.38500000000000001</v>
      </c>
    </row>
    <row r="30" spans="2:16" x14ac:dyDescent="0.3">
      <c r="B30" s="147">
        <v>540136</v>
      </c>
      <c r="C30" s="17" t="s">
        <v>229</v>
      </c>
      <c r="D30" s="17" t="s">
        <v>223</v>
      </c>
      <c r="E30" s="17" t="s">
        <v>2</v>
      </c>
      <c r="F30" s="14">
        <v>2</v>
      </c>
      <c r="G30" s="14" t="s">
        <v>228</v>
      </c>
      <c r="H30" s="14">
        <v>80</v>
      </c>
      <c r="I30" s="14">
        <v>26</v>
      </c>
      <c r="J30" s="14">
        <v>0</v>
      </c>
      <c r="K30" s="14">
        <v>45</v>
      </c>
      <c r="L30" s="14">
        <v>9</v>
      </c>
      <c r="M30" s="16">
        <v>0.32500000000000001</v>
      </c>
      <c r="N30" s="16">
        <v>0</v>
      </c>
      <c r="O30" s="16">
        <v>0.56299999999999994</v>
      </c>
      <c r="P30" s="148">
        <v>0.113</v>
      </c>
    </row>
    <row r="31" spans="2:16" x14ac:dyDescent="0.3">
      <c r="B31" s="147">
        <v>540138</v>
      </c>
      <c r="C31" s="17" t="s">
        <v>227</v>
      </c>
      <c r="D31" s="17" t="s">
        <v>223</v>
      </c>
      <c r="E31" s="17" t="s">
        <v>2</v>
      </c>
      <c r="F31" s="14">
        <v>2</v>
      </c>
      <c r="G31" s="14" t="s">
        <v>226</v>
      </c>
      <c r="H31" s="14">
        <v>40</v>
      </c>
      <c r="I31" s="14">
        <v>32</v>
      </c>
      <c r="J31" s="14">
        <v>0</v>
      </c>
      <c r="K31" s="14">
        <v>4</v>
      </c>
      <c r="L31" s="14">
        <v>4</v>
      </c>
      <c r="M31" s="16">
        <v>0.8</v>
      </c>
      <c r="N31" s="16">
        <v>0</v>
      </c>
      <c r="O31" s="16">
        <v>0.1</v>
      </c>
      <c r="P31" s="148">
        <v>0.1</v>
      </c>
    </row>
    <row r="32" spans="2:16" x14ac:dyDescent="0.3">
      <c r="B32" s="147">
        <v>545538</v>
      </c>
      <c r="C32" s="17" t="s">
        <v>225</v>
      </c>
      <c r="D32" s="17" t="s">
        <v>223</v>
      </c>
      <c r="E32" s="17" t="s">
        <v>2</v>
      </c>
      <c r="F32" s="14">
        <v>2</v>
      </c>
      <c r="G32" s="14" t="s">
        <v>224</v>
      </c>
      <c r="H32" s="14">
        <v>51</v>
      </c>
      <c r="I32" s="14">
        <v>14</v>
      </c>
      <c r="J32" s="14">
        <v>1</v>
      </c>
      <c r="K32" s="14">
        <v>21</v>
      </c>
      <c r="L32" s="14">
        <v>15</v>
      </c>
      <c r="M32" s="16">
        <v>0.27500000000000002</v>
      </c>
      <c r="N32" s="16">
        <v>0.02</v>
      </c>
      <c r="O32" s="16">
        <v>0.41199999999999998</v>
      </c>
      <c r="P32" s="148">
        <v>0.29399999999999998</v>
      </c>
    </row>
    <row r="33" spans="2:16" x14ac:dyDescent="0.3">
      <c r="B33" s="149"/>
      <c r="C33" s="130"/>
      <c r="D33" s="130" t="s">
        <v>223</v>
      </c>
      <c r="E33" s="130" t="s">
        <v>26</v>
      </c>
      <c r="F33" s="129">
        <v>2</v>
      </c>
      <c r="G33" s="129"/>
      <c r="H33" s="129">
        <v>3773</v>
      </c>
      <c r="I33" s="129">
        <v>1264</v>
      </c>
      <c r="J33" s="129">
        <v>306</v>
      </c>
      <c r="K33" s="129">
        <v>1534</v>
      </c>
      <c r="L33" s="129">
        <v>669</v>
      </c>
      <c r="M33" s="131">
        <v>0.33500000000000002</v>
      </c>
      <c r="N33" s="131">
        <v>8.1000000000000003E-2</v>
      </c>
      <c r="O33" s="131">
        <v>0.40699999999999997</v>
      </c>
      <c r="P33" s="150">
        <v>0.17699999999999999</v>
      </c>
    </row>
    <row r="34" spans="2:16" x14ac:dyDescent="0.3">
      <c r="B34" s="138">
        <v>540200</v>
      </c>
      <c r="C34" s="22" t="s">
        <v>78</v>
      </c>
      <c r="D34" s="22" t="s">
        <v>68</v>
      </c>
      <c r="E34" s="22" t="s">
        <v>29</v>
      </c>
      <c r="F34" s="19">
        <v>2</v>
      </c>
      <c r="G34" s="19" t="s">
        <v>77</v>
      </c>
      <c r="H34" s="19">
        <v>2221</v>
      </c>
      <c r="I34" s="19">
        <v>1246</v>
      </c>
      <c r="J34" s="19">
        <v>94</v>
      </c>
      <c r="K34" s="19">
        <v>644</v>
      </c>
      <c r="L34" s="19">
        <v>237</v>
      </c>
      <c r="M34" s="21">
        <v>0.56100000000000005</v>
      </c>
      <c r="N34" s="21">
        <v>4.2000000000000003E-2</v>
      </c>
      <c r="O34" s="21">
        <v>0.28999999999999998</v>
      </c>
      <c r="P34" s="146">
        <v>0.107</v>
      </c>
    </row>
    <row r="35" spans="2:16" x14ac:dyDescent="0.3">
      <c r="B35" s="195">
        <v>540018</v>
      </c>
      <c r="C35" s="26" t="s">
        <v>21</v>
      </c>
      <c r="D35" s="26" t="s">
        <v>68</v>
      </c>
      <c r="E35" s="26" t="s">
        <v>58</v>
      </c>
      <c r="F35" s="25">
        <v>2</v>
      </c>
      <c r="G35" s="25" t="s">
        <v>76</v>
      </c>
      <c r="H35" s="25">
        <v>232</v>
      </c>
      <c r="I35" s="25">
        <v>209</v>
      </c>
      <c r="J35" s="25">
        <v>0</v>
      </c>
      <c r="K35" s="25">
        <v>19</v>
      </c>
      <c r="L35" s="25">
        <v>4</v>
      </c>
      <c r="M35" s="24">
        <v>0.90100000000000002</v>
      </c>
      <c r="N35" s="24">
        <v>0</v>
      </c>
      <c r="O35" s="24">
        <v>8.2000000000000003E-2</v>
      </c>
      <c r="P35" s="196">
        <v>1.7000000000000001E-2</v>
      </c>
    </row>
    <row r="36" spans="2:16" x14ac:dyDescent="0.3">
      <c r="B36" s="147">
        <v>540202</v>
      </c>
      <c r="C36" s="17" t="s">
        <v>75</v>
      </c>
      <c r="D36" s="17" t="s">
        <v>68</v>
      </c>
      <c r="E36" s="17" t="s">
        <v>2</v>
      </c>
      <c r="F36" s="14">
        <v>2</v>
      </c>
      <c r="G36" s="14" t="s">
        <v>74</v>
      </c>
      <c r="H36" s="14">
        <v>82</v>
      </c>
      <c r="I36" s="14">
        <v>52</v>
      </c>
      <c r="J36" s="14">
        <v>0</v>
      </c>
      <c r="K36" s="14">
        <v>24</v>
      </c>
      <c r="L36" s="14">
        <v>6</v>
      </c>
      <c r="M36" s="16">
        <v>0.63400000000000001</v>
      </c>
      <c r="N36" s="16">
        <v>0</v>
      </c>
      <c r="O36" s="16">
        <v>0.29299999999999998</v>
      </c>
      <c r="P36" s="148">
        <v>7.2999999999999995E-2</v>
      </c>
    </row>
    <row r="37" spans="2:16" x14ac:dyDescent="0.3">
      <c r="B37" s="147">
        <v>540221</v>
      </c>
      <c r="C37" s="17" t="s">
        <v>73</v>
      </c>
      <c r="D37" s="17" t="s">
        <v>68</v>
      </c>
      <c r="E37" s="17" t="s">
        <v>2</v>
      </c>
      <c r="F37" s="14">
        <v>2</v>
      </c>
      <c r="G37" s="14" t="s">
        <v>69</v>
      </c>
      <c r="H37" s="14">
        <v>87</v>
      </c>
      <c r="I37" s="14">
        <v>71</v>
      </c>
      <c r="J37" s="14">
        <v>0</v>
      </c>
      <c r="K37" s="14">
        <v>11</v>
      </c>
      <c r="L37" s="14">
        <v>5</v>
      </c>
      <c r="M37" s="16">
        <v>0.81599999999999995</v>
      </c>
      <c r="N37" s="16">
        <v>0</v>
      </c>
      <c r="O37" s="16">
        <v>0.126</v>
      </c>
      <c r="P37" s="148">
        <v>5.7000000000000002E-2</v>
      </c>
    </row>
    <row r="38" spans="2:16" x14ac:dyDescent="0.3">
      <c r="B38" s="147">
        <v>540231</v>
      </c>
      <c r="C38" s="17" t="s">
        <v>72</v>
      </c>
      <c r="D38" s="17" t="s">
        <v>68</v>
      </c>
      <c r="E38" s="17" t="s">
        <v>2</v>
      </c>
      <c r="F38" s="14">
        <v>2</v>
      </c>
      <c r="G38" s="14" t="s">
        <v>71</v>
      </c>
      <c r="H38" s="14">
        <v>201</v>
      </c>
      <c r="I38" s="14">
        <v>132</v>
      </c>
      <c r="J38" s="14">
        <v>0</v>
      </c>
      <c r="K38" s="14">
        <v>63</v>
      </c>
      <c r="L38" s="14">
        <v>6</v>
      </c>
      <c r="M38" s="16">
        <v>0.65700000000000003</v>
      </c>
      <c r="N38" s="16">
        <v>0</v>
      </c>
      <c r="O38" s="16">
        <v>0.313</v>
      </c>
      <c r="P38" s="148">
        <v>0.03</v>
      </c>
    </row>
    <row r="39" spans="2:16" x14ac:dyDescent="0.3">
      <c r="B39" s="147">
        <v>540232</v>
      </c>
      <c r="C39" s="17" t="s">
        <v>70</v>
      </c>
      <c r="D39" s="17" t="s">
        <v>68</v>
      </c>
      <c r="E39" s="17" t="s">
        <v>2</v>
      </c>
      <c r="F39" s="14">
        <v>2</v>
      </c>
      <c r="G39" s="14" t="s">
        <v>69</v>
      </c>
      <c r="H39" s="14">
        <v>81</v>
      </c>
      <c r="I39" s="14">
        <v>65</v>
      </c>
      <c r="J39" s="14">
        <v>0</v>
      </c>
      <c r="K39" s="14">
        <v>8</v>
      </c>
      <c r="L39" s="14">
        <v>8</v>
      </c>
      <c r="M39" s="16">
        <v>0.80200000000000005</v>
      </c>
      <c r="N39" s="16">
        <v>0</v>
      </c>
      <c r="O39" s="16">
        <v>9.9000000000000005E-2</v>
      </c>
      <c r="P39" s="148">
        <v>9.9000000000000005E-2</v>
      </c>
    </row>
    <row r="40" spans="2:16" ht="15" thickBot="1" x14ac:dyDescent="0.35">
      <c r="B40" s="151"/>
      <c r="C40" s="152"/>
      <c r="D40" s="152" t="s">
        <v>68</v>
      </c>
      <c r="E40" s="152" t="s">
        <v>26</v>
      </c>
      <c r="F40" s="153">
        <v>2</v>
      </c>
      <c r="G40" s="153"/>
      <c r="H40" s="153">
        <v>2904</v>
      </c>
      <c r="I40" s="153">
        <v>1775</v>
      </c>
      <c r="J40" s="153">
        <v>94</v>
      </c>
      <c r="K40" s="153">
        <v>769</v>
      </c>
      <c r="L40" s="153">
        <v>266</v>
      </c>
      <c r="M40" s="154">
        <v>0.61099999999999999</v>
      </c>
      <c r="N40" s="154">
        <v>3.2000000000000001E-2</v>
      </c>
      <c r="O40" s="154">
        <v>0.26500000000000001</v>
      </c>
      <c r="P40" s="155">
        <v>9.1999999999999998E-2</v>
      </c>
    </row>
    <row r="41" spans="2:16" x14ac:dyDescent="0.3">
      <c r="B41" s="141" t="s">
        <v>1203</v>
      </c>
    </row>
    <row r="42" spans="2:16" x14ac:dyDescent="0.3">
      <c r="B42" s="141" t="s">
        <v>1205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20210825</vt:lpstr>
      <vt:lpstr>Metadata</vt:lpstr>
      <vt:lpstr>FIRM_Status_Freeboard</vt:lpstr>
      <vt:lpstr>Pre-FIRM &amp; Post-FIRM Div. Line</vt:lpstr>
      <vt:lpstr>Hazus Bldg. Year Built</vt:lpstr>
      <vt:lpstr>Flood Study Status</vt:lpstr>
      <vt:lpstr>R2 Bldg Year </vt:lpstr>
      <vt:lpstr>R2 FIRM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2021-09-15T17:35:28Z</dcterms:created>
  <dcterms:modified xsi:type="dcterms:W3CDTF">2022-02-01T16:47:11Z</dcterms:modified>
</cp:coreProperties>
</file>