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3\"/>
    </mc:Choice>
  </mc:AlternateContent>
  <xr:revisionPtr revIDLastSave="0" documentId="13_ncr:1_{BDA5360E-E3DE-4336-815F-D88505EEF4A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OONE" sheetId="12" r:id="rId1"/>
    <sheet name="BOONE (NON_RES &gt; 500K)" sheetId="18" r:id="rId2"/>
    <sheet name="CLAY" sheetId="13" r:id="rId3"/>
    <sheet name="KANAWHA" sheetId="14" r:id="rId4"/>
    <sheet name="KANAWHA (NON_RES &gt; 10M)" sheetId="16" r:id="rId5"/>
    <sheet name="PUTNAM" sheetId="15" r:id="rId6"/>
    <sheet name="PUTNAM (NON_RES &gt; 500K)" sheetId="17" r:id="rId7"/>
  </sheets>
  <definedNames>
    <definedName name="_xlnm._FilterDatabase" localSheetId="0" hidden="1">BOONE!$A$6:$X$61</definedName>
    <definedName name="_xlnm._FilterDatabase" localSheetId="1" hidden="1">'BOONE (NON_RES &gt; 500K)'!$B$2:$G$32</definedName>
    <definedName name="_xlnm._FilterDatabase" localSheetId="2" hidden="1">CLAY!$A$6:$X$53</definedName>
    <definedName name="_xlnm._FilterDatabase" localSheetId="3" hidden="1">KANAWHA!$A$6:$X$96</definedName>
    <definedName name="_xlnm._FilterDatabase" localSheetId="4" hidden="1">'KANAWHA (NON_RES &gt; 10M)'!$B$2:$G$26</definedName>
    <definedName name="_xlnm._FilterDatabase" localSheetId="5" hidden="1">PUTNAM!$A$6:$X$6</definedName>
    <definedName name="_xlnm._FilterDatabase" localSheetId="6" hidden="1">'PUTNAM (NON_RES &gt; 500K)'!$B$2:$G$29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7" l="1"/>
  <c r="F15" i="15"/>
  <c r="F163" i="14"/>
  <c r="F76" i="14"/>
  <c r="F158" i="14"/>
  <c r="F42" i="14"/>
  <c r="C12" i="16"/>
  <c r="F153" i="14"/>
  <c r="F16" i="14"/>
  <c r="C8" i="16"/>
  <c r="F258" i="14"/>
  <c r="F12" i="14"/>
  <c r="C7" i="16"/>
  <c r="F11" i="14"/>
  <c r="C12" i="18"/>
  <c r="C6" i="18"/>
  <c r="W71" i="12"/>
  <c r="F71" i="12"/>
  <c r="W16" i="12"/>
  <c r="F16" i="12"/>
  <c r="F66" i="12"/>
  <c r="F10" i="12"/>
  <c r="C32" i="18" l="1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1" i="18"/>
  <c r="C10" i="18"/>
  <c r="C9" i="18"/>
  <c r="C8" i="18"/>
  <c r="C7" i="18"/>
  <c r="C5" i="18"/>
  <c r="C4" i="18"/>
  <c r="C3" i="18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0" i="17"/>
  <c r="C9" i="17"/>
  <c r="C8" i="17"/>
  <c r="C7" i="17"/>
  <c r="C6" i="17"/>
  <c r="C5" i="17"/>
  <c r="C4" i="17"/>
  <c r="C3" i="17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1" i="16"/>
  <c r="C10" i="16"/>
  <c r="C9" i="16"/>
  <c r="C6" i="16"/>
  <c r="C5" i="16"/>
  <c r="C4" i="16"/>
  <c r="C3" i="16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4" i="15"/>
  <c r="F13" i="15"/>
  <c r="F12" i="15"/>
  <c r="F11" i="15"/>
  <c r="F10" i="15"/>
  <c r="F9" i="15"/>
  <c r="F8" i="15"/>
  <c r="F7" i="15"/>
  <c r="F288" i="14" l="1"/>
  <c r="F283" i="14"/>
  <c r="F282" i="14"/>
  <c r="F281" i="14"/>
  <c r="F280" i="14"/>
  <c r="F279" i="14"/>
  <c r="F277" i="14"/>
  <c r="F276" i="14"/>
  <c r="F275" i="14"/>
  <c r="F274" i="14"/>
  <c r="F273" i="14"/>
  <c r="F272" i="14"/>
  <c r="F271" i="14"/>
  <c r="F270" i="14"/>
  <c r="F269" i="14"/>
  <c r="F265" i="14"/>
  <c r="F264" i="14"/>
  <c r="F263" i="14"/>
  <c r="F262" i="14"/>
  <c r="F254" i="14"/>
  <c r="F253" i="14"/>
  <c r="F245" i="14"/>
  <c r="F244" i="14"/>
  <c r="F243" i="14"/>
  <c r="F242" i="14"/>
  <c r="F240" i="14"/>
  <c r="F239" i="14"/>
  <c r="F238" i="14"/>
  <c r="F236" i="14"/>
  <c r="F235" i="14"/>
  <c r="F234" i="14"/>
  <c r="F233" i="14"/>
  <c r="F232" i="14"/>
  <c r="F231" i="14"/>
  <c r="F230" i="14"/>
  <c r="F220" i="14"/>
  <c r="F219" i="14"/>
  <c r="F218" i="14"/>
  <c r="F217" i="14"/>
  <c r="F213" i="14"/>
  <c r="F211" i="14"/>
  <c r="F210" i="14"/>
  <c r="F206" i="14"/>
  <c r="F204" i="14"/>
  <c r="F203" i="14"/>
  <c r="F202" i="14"/>
  <c r="F201" i="14"/>
  <c r="F200" i="14"/>
  <c r="F199" i="14"/>
  <c r="F198" i="14"/>
  <c r="F197" i="14"/>
  <c r="F194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47" i="14"/>
  <c r="F146" i="14"/>
  <c r="F145" i="14"/>
  <c r="F141" i="14"/>
  <c r="F140" i="14"/>
  <c r="F134" i="14"/>
  <c r="F133" i="14"/>
  <c r="F132" i="14"/>
  <c r="F131" i="14"/>
  <c r="F130" i="14"/>
  <c r="F129" i="14"/>
  <c r="F128" i="14"/>
  <c r="F127" i="14"/>
  <c r="F126" i="14"/>
  <c r="F125" i="14"/>
  <c r="F119" i="14"/>
  <c r="F124" i="14"/>
  <c r="F123" i="14"/>
  <c r="F96" i="14" l="1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5" i="14"/>
  <c r="F14" i="14"/>
  <c r="F13" i="14"/>
  <c r="F10" i="14"/>
  <c r="F9" i="14"/>
  <c r="F8" i="14"/>
  <c r="F7" i="14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5" i="12"/>
  <c r="W14" i="12"/>
  <c r="W13" i="12"/>
  <c r="W12" i="12"/>
  <c r="W11" i="12"/>
  <c r="W9" i="12"/>
  <c r="W8" i="12"/>
  <c r="W7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5" i="12"/>
  <c r="F14" i="12"/>
  <c r="F13" i="12"/>
  <c r="F12" i="12"/>
  <c r="F11" i="12"/>
  <c r="F9" i="12"/>
  <c r="F8" i="12"/>
  <c r="F7" i="12"/>
</calcChain>
</file>

<file path=xl/sharedStrings.xml><?xml version="1.0" encoding="utf-8"?>
<sst xmlns="http://schemas.openxmlformats.org/spreadsheetml/2006/main" count="9742" uniqueCount="2304">
  <si>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</si>
  <si>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</si>
  <si>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</si>
  <si>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</si>
  <si>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</si>
  <si>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</si>
  <si>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</si>
  <si>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</si>
  <si>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</si>
  <si>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</si>
  <si>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</si>
  <si>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</si>
  <si>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</si>
  <si>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</si>
  <si>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</si>
  <si>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</si>
  <si>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</si>
  <si>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</si>
  <si>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</si>
  <si>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</si>
  <si>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</si>
  <si>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</si>
  <si>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</si>
  <si>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</si>
  <si>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</si>
  <si>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</si>
  <si>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</si>
  <si>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</si>
  <si>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</si>
  <si>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</si>
  <si>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</si>
  <si>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</si>
  <si>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</si>
  <si>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</si>
  <si>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</si>
  <si>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</si>
  <si>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</si>
  <si>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</si>
  <si>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</si>
  <si>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</si>
  <si>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</si>
  <si>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</si>
  <si>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</si>
  <si>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</si>
  <si>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</si>
  <si>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</si>
  <si>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</si>
  <si>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</si>
  <si>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</si>
  <si>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</si>
  <si>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</si>
  <si>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</si>
  <si>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</si>
  <si>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Updated AE</t>
  </si>
  <si>
    <t>X-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</si>
  <si>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</si>
  <si>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</si>
  <si>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</si>
  <si>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</si>
  <si>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</si>
  <si>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</si>
  <si>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</si>
  <si>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</si>
  <si>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</si>
  <si>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</si>
  <si>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</si>
  <si>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</si>
  <si>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</si>
  <si>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</si>
  <si>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</si>
  <si>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COM2</t>
  </si>
  <si>
    <t>GOV2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</si>
  <si>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</si>
  <si>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</si>
  <si>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</si>
  <si>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</si>
  <si>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</si>
  <si>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</si>
  <si>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</si>
  <si>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</si>
  <si>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2008</t>
  </si>
  <si>
    <t>1979</t>
  </si>
  <si>
    <t>1999</t>
  </si>
  <si>
    <t>0</t>
  </si>
  <si>
    <t>1986</t>
  </si>
  <si>
    <t>2011</t>
  </si>
  <si>
    <t>1982</t>
  </si>
  <si>
    <t>1978</t>
  </si>
  <si>
    <t>1980</t>
  </si>
  <si>
    <t>2005</t>
  </si>
  <si>
    <t>2010</t>
  </si>
  <si>
    <t>1964</t>
  </si>
  <si>
    <t>1993</t>
  </si>
  <si>
    <t>2006</t>
  </si>
  <si>
    <t>2002</t>
  </si>
  <si>
    <t>2004</t>
  </si>
  <si>
    <t>1983</t>
  </si>
  <si>
    <t>1985</t>
  </si>
  <si>
    <t>1997</t>
  </si>
  <si>
    <t>X+</t>
  </si>
  <si>
    <t>E-</t>
  </si>
  <si>
    <t>Education</t>
  </si>
  <si>
    <t>Government</t>
  </si>
  <si>
    <t>Religious</t>
  </si>
  <si>
    <t>Industrial</t>
  </si>
  <si>
    <t>1</t>
  </si>
  <si>
    <t>2</t>
  </si>
  <si>
    <t>3</t>
  </si>
  <si>
    <t>2000</t>
  </si>
  <si>
    <t>6000</t>
  </si>
  <si>
    <t>1.0</t>
  </si>
  <si>
    <t>4.0</t>
  </si>
  <si>
    <t>Area (RS Means)</t>
  </si>
  <si>
    <t>9999</t>
  </si>
  <si>
    <t>1984</t>
  </si>
  <si>
    <t>1969</t>
  </si>
  <si>
    <t>2017</t>
  </si>
  <si>
    <t>1990</t>
  </si>
  <si>
    <t>1995</t>
  </si>
  <si>
    <t>2001</t>
  </si>
  <si>
    <t>1950</t>
  </si>
  <si>
    <t>1968</t>
  </si>
  <si>
    <t>1975</t>
  </si>
  <si>
    <t>1967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</si>
  <si>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</si>
  <si>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</si>
  <si>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</si>
  <si>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</si>
  <si>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</si>
  <si>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</si>
  <si>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</si>
  <si>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</si>
  <si>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</si>
  <si>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</si>
  <si>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</si>
  <si>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1973</t>
  </si>
  <si>
    <t>1974</t>
  </si>
  <si>
    <t>1972</t>
  </si>
  <si>
    <t>COM3</t>
  </si>
  <si>
    <t>IND6</t>
  </si>
  <si>
    <t>12000</t>
  </si>
  <si>
    <t>2640</t>
  </si>
  <si>
    <t>Assessment (IAS) Neighbor</t>
  </si>
  <si>
    <t>(Higher than $300,000)</t>
  </si>
  <si>
    <t>Owner Name or Building ID</t>
  </si>
  <si>
    <t>BOONE</t>
  </si>
  <si>
    <t>03-03-0015-0057-0000_701</t>
  </si>
  <si>
    <t>03-03-0012-0001-0000_1</t>
  </si>
  <si>
    <t>03-05-0012-0065-0002_1</t>
  </si>
  <si>
    <t>03-08-0001-0001-0000_14311</t>
  </si>
  <si>
    <t>03-08-0022-0011-0001_103</t>
  </si>
  <si>
    <t>03-06-0011-0040-0000_10008</t>
  </si>
  <si>
    <t>03-03-0003-0063-0000_404</t>
  </si>
  <si>
    <t>03-05-0018-0020-0001_1</t>
  </si>
  <si>
    <t>03-09-0001-0056-0000_37949</t>
  </si>
  <si>
    <t>03-01-018A-0001-0000_338</t>
  </si>
  <si>
    <t>03-02-0001-0001-0000_822</t>
  </si>
  <si>
    <t>03-05-0018-0059-0000_3505</t>
  </si>
  <si>
    <t>03-04-0023-0073-0000_23967</t>
  </si>
  <si>
    <t>03-05-0017-0008-0000_822</t>
  </si>
  <si>
    <t>03-06-008A-0027-0000_7487</t>
  </si>
  <si>
    <t>03-06-0011-0040-0000_9846</t>
  </si>
  <si>
    <t>03-08-0026-0082-0000_15908</t>
  </si>
  <si>
    <t>03-09-0001-0058-0000_38117</t>
  </si>
  <si>
    <t>03-02-0005-0088-0000_300</t>
  </si>
  <si>
    <t>03-05-0012-0054-0008_256</t>
  </si>
  <si>
    <t>03-06-0008-0005-0005_129</t>
  </si>
  <si>
    <t>03-06-0007-0011-0003_179</t>
  </si>
  <si>
    <t>03-04-0023-0073-0000_23894</t>
  </si>
  <si>
    <t>03-05-0023-0033-0001_950</t>
  </si>
  <si>
    <t>03-06-0026-0012-0000_23058</t>
  </si>
  <si>
    <t>03-09-0005-0009-0001_1103</t>
  </si>
  <si>
    <t>03-05-0023-0028-0005_301</t>
  </si>
  <si>
    <t>03-08-0020-0084-0001_9999</t>
  </si>
  <si>
    <t>03-09-0005-0037-0000_1026</t>
  </si>
  <si>
    <t>03-08-0028-0025-0003_3277</t>
  </si>
  <si>
    <t>03-03-0010-0032-0000_700</t>
  </si>
  <si>
    <t>03-06-0008-0005-0000_6742</t>
  </si>
  <si>
    <t>03-03-0005-0042-0000_1</t>
  </si>
  <si>
    <t>03-06-0007-0011-0004_400</t>
  </si>
  <si>
    <t>03-03-0007-0009-0000_467</t>
  </si>
  <si>
    <t>03-06-0011-0038-0000_10392</t>
  </si>
  <si>
    <t>03-01-007A-0056-0000_69</t>
  </si>
  <si>
    <t>03-02-0001-0002-0000_768</t>
  </si>
  <si>
    <t>03-06-0004-0105-0002_881</t>
  </si>
  <si>
    <t>03-03-0007-0010-0001_467</t>
  </si>
  <si>
    <t>03-06-0018-0033-0000_12730</t>
  </si>
  <si>
    <t>03-03-0004-0053-0001_224</t>
  </si>
  <si>
    <t>03-02-0005-0089-0000_328</t>
  </si>
  <si>
    <t>03-05-0034-0002-0000_171</t>
  </si>
  <si>
    <t>03-03-0001-0025-0000_40</t>
  </si>
  <si>
    <t>03-06-0007-0137-0001_105</t>
  </si>
  <si>
    <t>03-06-0007-0012-0000_730</t>
  </si>
  <si>
    <t>03-01-018A-0052-0000_19578</t>
  </si>
  <si>
    <t>03-05-0024-0020-0000_9999</t>
  </si>
  <si>
    <t>03-01-018A-0047-0000_45</t>
  </si>
  <si>
    <t>03-08-026C-0061-0000_620</t>
  </si>
  <si>
    <t>03-06-008A-0064-0001_7512</t>
  </si>
  <si>
    <t>03-02-0005-0012-0000_220</t>
  </si>
  <si>
    <t>Town of Madison</t>
  </si>
  <si>
    <t>Pond Fork</t>
  </si>
  <si>
    <t>03-03-0015-0057-0000</t>
  </si>
  <si>
    <t>701 Madison Ave, Madison, WV, 25130</t>
  </si>
  <si>
    <t>Little Coal River</t>
  </si>
  <si>
    <t>03-03-0012-0001-0000</t>
  </si>
  <si>
    <t>1 Sky Hawk Pl, Madison, WV 25130</t>
  </si>
  <si>
    <t>Boone County</t>
  </si>
  <si>
    <t>03-05-0012-0065-0002</t>
  </si>
  <si>
    <t>1 Lory Pl, Julian, WV, 25529</t>
  </si>
  <si>
    <t xml:space="preserve">Mud River </t>
  </si>
  <si>
    <t>03-08-0001-0001-0000</t>
  </si>
  <si>
    <t>14311 Mud River Rd, Mud River, WV, 25053</t>
  </si>
  <si>
    <t>Trace Fork</t>
  </si>
  <si>
    <t>03-08-0022-0011-0001</t>
  </si>
  <si>
    <t>103 Traders Town Rd, Manila, WV, 25508</t>
  </si>
  <si>
    <t>Big Coal River</t>
  </si>
  <si>
    <t>03-06-0011-0040-0000</t>
  </si>
  <si>
    <t>10008 Coal River Rd, Seth, WV, 25181</t>
  </si>
  <si>
    <t>03-03-0003-0063-0000</t>
  </si>
  <si>
    <t>404 Riverside Dr, Madison, WV, 25130</t>
  </si>
  <si>
    <t>Rock Creek</t>
  </si>
  <si>
    <t>03-05-0018-0020-0001</t>
  </si>
  <si>
    <t>1 Learning Way, Foster, WV, 25081</t>
  </si>
  <si>
    <t>Town of Whitesville</t>
  </si>
  <si>
    <t>03-09-0001-0056-0000</t>
  </si>
  <si>
    <t>37949 Coal River Rd, Whitesville, WV, 25209</t>
  </si>
  <si>
    <t>03-01-018A-0001-0000</t>
  </si>
  <si>
    <t>338 Van High School Rd, Van, WV, 25206</t>
  </si>
  <si>
    <t>Town of Danville</t>
  </si>
  <si>
    <t>03-02-0001-0001-0000</t>
  </si>
  <si>
    <t>822 Lick Creek Rd, Town of Danville, WV, 25053</t>
  </si>
  <si>
    <t>03-05-0018-0059-0000</t>
  </si>
  <si>
    <t>3505 Daniel Boone Pkwy, Foster, WV 25081</t>
  </si>
  <si>
    <t>03-04-0023-0073-0000</t>
  </si>
  <si>
    <t>23967 Daniel Boone Pkwy, Peytona, WV, 25154</t>
  </si>
  <si>
    <t>03-05-0017-0008-0000</t>
  </si>
  <si>
    <t>822 DOH Garage Rd, Danville, WV, 25053</t>
  </si>
  <si>
    <t>Joes Creek</t>
  </si>
  <si>
    <t>03-06-008A-0027-0000</t>
  </si>
  <si>
    <t>7487 Coal River Rd, Comfort, WV 25049</t>
  </si>
  <si>
    <t>9846 Coal River Rd, Seth, WV, 25181</t>
  </si>
  <si>
    <t>Spruce Fork</t>
  </si>
  <si>
    <t>03-08-0026-0082-0000</t>
  </si>
  <si>
    <t xml:space="preserve">15908 SPRUCE RIVER RD, DANVILLE, WV, 25114 </t>
  </si>
  <si>
    <t>03-09-0001-0058-0000</t>
  </si>
  <si>
    <t>38117 Coal River Rd, Town of Whitesville, WV, 25209</t>
  </si>
  <si>
    <t>03-02-0005-0088-0000</t>
  </si>
  <si>
    <t>300 Fourth St, Town of Danville, WV, 25053</t>
  </si>
  <si>
    <t>03-05-0012-0054-0008</t>
  </si>
  <si>
    <t>256 Betsy Ln, Julian, WV, 25529</t>
  </si>
  <si>
    <t>03-06-0008-0005-0005</t>
  </si>
  <si>
    <t>129 Deanna Ave, Comfort, WV, 25049</t>
  </si>
  <si>
    <t>03-06-0007-0011-0003</t>
  </si>
  <si>
    <t>179 John Slack Cir, Racine, WV, 25165</t>
  </si>
  <si>
    <t>Drawdy Creek</t>
  </si>
  <si>
    <t>23894 Daniel Boone Pkwy, Peytona, WV, 25154</t>
  </si>
  <si>
    <t>03-05-0023-0033-0001</t>
  </si>
  <si>
    <t>950 Daniel Boone Pkwy, Rock Creek, WV, 25081</t>
  </si>
  <si>
    <t>03-06-0026-0012-0000</t>
  </si>
  <si>
    <t>23058 Coal River Rd, Orgas, WV, 25148</t>
  </si>
  <si>
    <t>03-09-0005-0009-0001</t>
  </si>
  <si>
    <t>1103 Raleigh St, Whitesville, WV, 25209</t>
  </si>
  <si>
    <t>03-05-0023-0028-0005</t>
  </si>
  <si>
    <t>301 Daniel Boone Pkwy, Rock Creek, WV, 25081</t>
  </si>
  <si>
    <t>03-08-0020-0084-0001</t>
  </si>
  <si>
    <t>9999 Spruce River Rd, Greenview, WV, 25053</t>
  </si>
  <si>
    <t>03-09-0005-0037-0000</t>
  </si>
  <si>
    <t>1026 Raleigh St, Town of Whitesville, WV, 25209</t>
  </si>
  <si>
    <t>Hewett Creek</t>
  </si>
  <si>
    <t>03-08-0028-0025-0003</t>
  </si>
  <si>
    <t>3277 Hewett Creek Rd, Hewett, WV, 25108</t>
  </si>
  <si>
    <t>03-03-0010-0032-0000</t>
  </si>
  <si>
    <t>700 South Main St, City of Madison, WV, 25130</t>
  </si>
  <si>
    <t>03-06-0008-0005-0000</t>
  </si>
  <si>
    <t>6742 Coal River Rd, Comfort, WV, 25049</t>
  </si>
  <si>
    <t>03-03-0005-0042-0000</t>
  </si>
  <si>
    <t xml:space="preserve">1 FIREHOUSE SQ, Madison, WV, 25130 </t>
  </si>
  <si>
    <t>03-06-0007-0011-0004</t>
  </si>
  <si>
    <t xml:space="preserve">400 VOLUNTEER ST, Racine, WV, 25165 </t>
  </si>
  <si>
    <t>03-03-0007-0009-0000</t>
  </si>
  <si>
    <t>467 Main St, City of Madison, WV, 25130</t>
  </si>
  <si>
    <t>03-06-0011-0038-0000</t>
  </si>
  <si>
    <t>10392 Coal River Rd, Seth, WV, 25181</t>
  </si>
  <si>
    <t>03-01-007A-0056-0000</t>
  </si>
  <si>
    <t>69 Smith St, Madison, WV 25130</t>
  </si>
  <si>
    <t>03-02-0001-0002-0000</t>
  </si>
  <si>
    <t>768 Lick Creek Rd, Town of Danville, WV, 25053</t>
  </si>
  <si>
    <t>Toneys Branch</t>
  </si>
  <si>
    <t>03-06-0004-0105-0002</t>
  </si>
  <si>
    <t>881 Toneys Branch Rd, Toneys Branch, WV, 25024</t>
  </si>
  <si>
    <t>03-03-0007-0010-0001</t>
  </si>
  <si>
    <t>03-06-0018-0033-0000</t>
  </si>
  <si>
    <t>12730 Coal River Rd, Seth, WV, 25181</t>
  </si>
  <si>
    <t>03-03-0004-0053-0001</t>
  </si>
  <si>
    <t>224 Riverside Dr, City of Madison, WV, 25130</t>
  </si>
  <si>
    <t>03-02-0005-0089-0000</t>
  </si>
  <si>
    <t>328 Mall Rd, Town of Danville, WV, 25053</t>
  </si>
  <si>
    <t>03-05-0034-0002-0000</t>
  </si>
  <si>
    <t>171 Clyde Ln, Madison, WV, 25130</t>
  </si>
  <si>
    <t>03-03-0001-0025-0000</t>
  </si>
  <si>
    <t>40 Parkview West, City of Madison, WV, 25130</t>
  </si>
  <si>
    <t>03-06-0007-0137-0001</t>
  </si>
  <si>
    <t>105 Covered Bridge Rd, Maxine, WV, 25049</t>
  </si>
  <si>
    <t>03-06-0007-0012-0000</t>
  </si>
  <si>
    <t>730 Coal River Rd, Racine, WV, 25165</t>
  </si>
  <si>
    <t>03-01-018A-0052-0000</t>
  </si>
  <si>
    <t>19578 Pond Fork Rd, Van, WV, 25206</t>
  </si>
  <si>
    <t>03-05-0024-0020-0000</t>
  </si>
  <si>
    <t>9999 BALLARD HOLLOW RD, Rock Creek, WV, 25081</t>
  </si>
  <si>
    <t>03-01-018A-0047-0000</t>
  </si>
  <si>
    <t>45 Sidney St, Van, WV, 25206</t>
  </si>
  <si>
    <t>03-08-026C-0061-0000</t>
  </si>
  <si>
    <t>620 Hewett Creek Rd, Jeffrey, WV, 25114</t>
  </si>
  <si>
    <t>03-06-008A-0064-0001</t>
  </si>
  <si>
    <t>7512 Coal River Rd, Comfort, WV, 25049</t>
  </si>
  <si>
    <t>03-02-0005-0012-0000</t>
  </si>
  <si>
    <t>220 Park Ave, Danville, WV, 25053</t>
  </si>
  <si>
    <t>Advisory A</t>
  </si>
  <si>
    <t>BOONE MEMORIAL HOSPITAL INC</t>
  </si>
  <si>
    <t>BOARD OF EDUCATION OF BOONE CO</t>
  </si>
  <si>
    <t>WEST VIRGINIA ECONOMIC DEVELOPMENT AUTHORITY</t>
  </si>
  <si>
    <t>TURTLE CREEK PROPERTIES LLC</t>
  </si>
  <si>
    <t>BOARD OF EDUCATION OF BOONE COUNTY SHERMAN HIGH</t>
  </si>
  <si>
    <t>BOARD OF EDUCATION OF THE COUNTY OF BOONE</t>
  </si>
  <si>
    <t>BOARD OF EDUCATION OF BOONE CO WHITESVILLE JR</t>
  </si>
  <si>
    <t>BOARD OF EDUCATION OF BOONE CO VAN GRADE &amp; HIGH</t>
  </si>
  <si>
    <t>BOONE COUNTY HOUSING &amp; REDEVELOPMENT AUTHORITY</t>
  </si>
  <si>
    <t>PRICHARD SCHOOL BOARD OF TRUSTEES</t>
  </si>
  <si>
    <t>DANVILLE PUBLIC SERVICE DISTRICT</t>
  </si>
  <si>
    <t>BOARD OF EDUCATION OF BOONE COUNTY  JOES CR GRADE</t>
  </si>
  <si>
    <t>BOARD OF EDUCATION BOONE CO  RAMAGE GRADE</t>
  </si>
  <si>
    <t>WHITESVILLE TOWN OF</t>
  </si>
  <si>
    <t>J &amp; F PROPERTIES LLC</t>
  </si>
  <si>
    <t>WILLIAMS TEDDI G</t>
  </si>
  <si>
    <t>COMFORT PROPERTIES WV LLC</t>
  </si>
  <si>
    <t>BOONE COUNTY COMMISSION</t>
  </si>
  <si>
    <t>DAVIS REVOCABLE TRUST THE</t>
  </si>
  <si>
    <t>SUSTAINABLE SURFACE DEVELOPMENT LAND LLC</t>
  </si>
  <si>
    <t>WHITESVILLE FIRE DEPT</t>
  </si>
  <si>
    <t>MADISON CHURCH OF GOD TRUSTEES</t>
  </si>
  <si>
    <t>FOLLIS KENNETH W &amp; BETTY JO</t>
  </si>
  <si>
    <t>WHITESVILLE FIRST BAPTIST CHURCH</t>
  </si>
  <si>
    <t>COOK WENDLE D</t>
  </si>
  <si>
    <t>L&amp;D INC</t>
  </si>
  <si>
    <t>SECO LEASING &amp; INVESTMENTS LLC</t>
  </si>
  <si>
    <t>MADISON VOLUNTEER FIRE DEPARTMENT INC.</t>
  </si>
  <si>
    <t>RACINE VOLUNTEER FIRE DEPT</t>
  </si>
  <si>
    <t>LINCOLN COUNTY PRIMARY CARE CENTER INC</t>
  </si>
  <si>
    <t>CRAIG JAMES A</t>
  </si>
  <si>
    <t>BOARD OF EDUCATION OF BOONE CO UNEEDA GRADE</t>
  </si>
  <si>
    <t>BUCKEYE COMMUNITY TWENTY EIGHT LP</t>
  </si>
  <si>
    <t>HILL REALTY LLC</t>
  </si>
  <si>
    <t>AMAZING GRACE FELLOWSHIP CHURCH TRUSTEES</t>
  </si>
  <si>
    <t>GOSPEL CENTER TABERNACLE CHURCH</t>
  </si>
  <si>
    <t>COOK JERRY W</t>
  </si>
  <si>
    <t>MILLER SHAWN &amp; HOLLY</t>
  </si>
  <si>
    <t>SNYDER GAIL</t>
  </si>
  <si>
    <t>BUZZARD BRIAN S &amp; KIMBERLY S</t>
  </si>
  <si>
    <t>COUNTY COMMISSION OF BOONE COUNTY THE</t>
  </si>
  <si>
    <t>CHESAPEAKE &amp; POTOMAC TELEPHONE CO  OF W  VA</t>
  </si>
  <si>
    <t>VAN VOLUNTEER FIRE DEPARTMENT</t>
  </si>
  <si>
    <t>SPRUCE RIVER VOLUNTEER FIRE DEPARTMENT INC</t>
  </si>
  <si>
    <t>VIARS GEORGE &amp; BRENDA</t>
  </si>
  <si>
    <t>DANVILLE VOLUNTEER FIRE DEPT   INC</t>
  </si>
  <si>
    <t>S</t>
  </si>
  <si>
    <t>1987</t>
  </si>
  <si>
    <t>2015</t>
  </si>
  <si>
    <t>D</t>
  </si>
  <si>
    <t>1938</t>
  </si>
  <si>
    <t>1992</t>
  </si>
  <si>
    <t>1970</t>
  </si>
  <si>
    <t>1951</t>
  </si>
  <si>
    <t>S-</t>
  </si>
  <si>
    <t>1998</t>
  </si>
  <si>
    <t>1966</t>
  </si>
  <si>
    <t>1988</t>
  </si>
  <si>
    <t>1960</t>
  </si>
  <si>
    <t>1920</t>
  </si>
  <si>
    <t>2014</t>
  </si>
  <si>
    <t>COM6</t>
  </si>
  <si>
    <t>IND4</t>
  </si>
  <si>
    <t>RES4</t>
  </si>
  <si>
    <t>RES3A</t>
  </si>
  <si>
    <t>80264</t>
  </si>
  <si>
    <t>89458</t>
  </si>
  <si>
    <t>44640</t>
  </si>
  <si>
    <t>31250</t>
  </si>
  <si>
    <t>60476</t>
  </si>
  <si>
    <t>60119</t>
  </si>
  <si>
    <t>60398</t>
  </si>
  <si>
    <t>42472</t>
  </si>
  <si>
    <t>32586</t>
  </si>
  <si>
    <t>37574</t>
  </si>
  <si>
    <t>61991</t>
  </si>
  <si>
    <t>47185</t>
  </si>
  <si>
    <t>7756</t>
  </si>
  <si>
    <t>16728</t>
  </si>
  <si>
    <t>30334</t>
  </si>
  <si>
    <t>19104</t>
  </si>
  <si>
    <t>26130</t>
  </si>
  <si>
    <t>7121</t>
  </si>
  <si>
    <t>14920</t>
  </si>
  <si>
    <t>13838</t>
  </si>
  <si>
    <t>13616</t>
  </si>
  <si>
    <t>3000</t>
  </si>
  <si>
    <t>3200</t>
  </si>
  <si>
    <t>10640</t>
  </si>
  <si>
    <t>3800</t>
  </si>
  <si>
    <t>11196</t>
  </si>
  <si>
    <t>12980</t>
  </si>
  <si>
    <t>9288</t>
  </si>
  <si>
    <t>12106</t>
  </si>
  <si>
    <t>16033</t>
  </si>
  <si>
    <t>27116</t>
  </si>
  <si>
    <t>14084</t>
  </si>
  <si>
    <t>9556</t>
  </si>
  <si>
    <t>13310</t>
  </si>
  <si>
    <t>12312</t>
  </si>
  <si>
    <t>23120</t>
  </si>
  <si>
    <t>8498</t>
  </si>
  <si>
    <t>4721</t>
  </si>
  <si>
    <t>12904</t>
  </si>
  <si>
    <t>27208</t>
  </si>
  <si>
    <t>3710</t>
  </si>
  <si>
    <t>6610</t>
  </si>
  <si>
    <t>26224</t>
  </si>
  <si>
    <t>6251</t>
  </si>
  <si>
    <t>9152</t>
  </si>
  <si>
    <t>6860</t>
  </si>
  <si>
    <t>8914</t>
  </si>
  <si>
    <t>1716</t>
  </si>
  <si>
    <t>19662</t>
  </si>
  <si>
    <t>6140</t>
  </si>
  <si>
    <t>14400</t>
  </si>
  <si>
    <t>4139</t>
  </si>
  <si>
    <t>6330</t>
  </si>
  <si>
    <t>Crawlspace</t>
  </si>
  <si>
    <t>3.0</t>
  </si>
  <si>
    <t>Boone County*</t>
  </si>
  <si>
    <t>Danville</t>
  </si>
  <si>
    <t>Madison</t>
  </si>
  <si>
    <t>Whitesville</t>
  </si>
  <si>
    <t>CLAY</t>
  </si>
  <si>
    <t>(Higher than $100,000)</t>
  </si>
  <si>
    <t>08-03-0029-0005-0000_1</t>
  </si>
  <si>
    <t>08-02-0005-0075-0000_246</t>
  </si>
  <si>
    <t>08-03-0004-0049-0000_6450</t>
  </si>
  <si>
    <t>08-02-0005-0066-0000_150</t>
  </si>
  <si>
    <t>08-04-0010-0013-0000_5873</t>
  </si>
  <si>
    <t>08-05-0010-0009-0003_6118</t>
  </si>
  <si>
    <t>08-03-0029-0004-0000_1377</t>
  </si>
  <si>
    <t>08-02-0005-0068-0000_173</t>
  </si>
  <si>
    <t>08-05-0029-0032-0000_17779</t>
  </si>
  <si>
    <t>08-04-0015-0002-0003_5462</t>
  </si>
  <si>
    <t>08-02-0005-0058-0000_117</t>
  </si>
  <si>
    <t>08-05-0020-0069-0000_3955</t>
  </si>
  <si>
    <t>08-05-0013-0015-0000_589</t>
  </si>
  <si>
    <t>08-06-0010-0022-0000_1476</t>
  </si>
  <si>
    <t>08-02-0005-0061-0000_94</t>
  </si>
  <si>
    <t>08-03-0012-0071-0000_1257</t>
  </si>
  <si>
    <t>08-02-0005-0100-0000_546</t>
  </si>
  <si>
    <t>08-04-0023-0031-0000_10514</t>
  </si>
  <si>
    <t>08-02-0005-0069-0000_176</t>
  </si>
  <si>
    <t>08-01-024B-0033-0000_142</t>
  </si>
  <si>
    <t>08-03-0027-0004-0001_9998</t>
  </si>
  <si>
    <t>08-06-0008-0002-0001_106</t>
  </si>
  <si>
    <t>08-06-0005-0093-0000_15610</t>
  </si>
  <si>
    <t>08-03-0017-0026-0001_5837</t>
  </si>
  <si>
    <t>08-02-0004-0004-0000_9</t>
  </si>
  <si>
    <t>08-03-0020-0041-0000_1446</t>
  </si>
  <si>
    <t>08-06-0008-0038-0003_1243</t>
  </si>
  <si>
    <t>08-06-0006-0084-0001_564</t>
  </si>
  <si>
    <t>08-03-0028-0022-0000_1500</t>
  </si>
  <si>
    <t>08-02-0010-0004-0001_14</t>
  </si>
  <si>
    <t>08-05-0014-0008-0000_8054</t>
  </si>
  <si>
    <t>08-05-0018-0022-0004_33</t>
  </si>
  <si>
    <t>08-05-0018-0018-0009_91</t>
  </si>
  <si>
    <t>08-05-0018-0022-0001_598</t>
  </si>
  <si>
    <t>08-06-0005-0052-0000_10097</t>
  </si>
  <si>
    <t>08-02-0010-0003-0000_184</t>
  </si>
  <si>
    <t>08-03-0017-0061-0000_152</t>
  </si>
  <si>
    <t>08-03-0017-0061-0001_95</t>
  </si>
  <si>
    <t>08-03-0013-0047-0001_601</t>
  </si>
  <si>
    <t>08-03-0012-0087-0002_951A</t>
  </si>
  <si>
    <t>08-02-0010-0056-0000_194</t>
  </si>
  <si>
    <t>08-05-0017-0010-0004_9999</t>
  </si>
  <si>
    <t>08-02-0005-0076-0000_264</t>
  </si>
  <si>
    <t>08-03-0014-0050-0000_4086</t>
  </si>
  <si>
    <t>08-03-0020-0009-0006_1648</t>
  </si>
  <si>
    <t>08-05-0022-0050-0000_2526</t>
  </si>
  <si>
    <t>08-06-0005-0053-0011_10001</t>
  </si>
  <si>
    <t>Town of Clay</t>
  </si>
  <si>
    <t>Elk River</t>
  </si>
  <si>
    <t>08-03-0029-0005-0000</t>
  </si>
  <si>
    <t>1 PANTHER DR, Clay, WV, 25043</t>
  </si>
  <si>
    <t>08-02-0005-0075-0000</t>
  </si>
  <si>
    <t>246 MAIN ST, CLAY, WV, 25043</t>
  </si>
  <si>
    <t>Clay County</t>
  </si>
  <si>
    <t>Right Fork Big Sandy Creek</t>
  </si>
  <si>
    <t>08-03-0004-0049-0000</t>
  </si>
  <si>
    <t>6450 WALLBACK RD, VALLEY FORK, WV, 25285</t>
  </si>
  <si>
    <t>08-02-0005-0066-0000</t>
  </si>
  <si>
    <t>150 MAIN ST, CLAY, WV, 25043</t>
  </si>
  <si>
    <t>Big Otter Creek</t>
  </si>
  <si>
    <t>08-04-0010-0013-0000</t>
  </si>
  <si>
    <t>5873 BIG OTTER HWY Industrial, IVYDALE, WV, 25113</t>
  </si>
  <si>
    <t>Middle Creek</t>
  </si>
  <si>
    <t>08-05-0010-0009-0003</t>
  </si>
  <si>
    <t>6118 CLAY HWY, BICKMORE, WV, 25043</t>
  </si>
  <si>
    <t>08-03-0029-0004-0000</t>
  </si>
  <si>
    <t>1377 CLAY HWY, CLAY, WV, 25043</t>
  </si>
  <si>
    <t>08-02-0005-0068-0000</t>
  </si>
  <si>
    <t>173 MAIN ST, CLAY, WV, 25043</t>
  </si>
  <si>
    <t>Open Fork</t>
  </si>
  <si>
    <t>08-05-0029-0032-0000</t>
  </si>
  <si>
    <t>17779 CLAY HWY, BENTREE, WV, 25125</t>
  </si>
  <si>
    <t>08-04-0015-0002-0003</t>
  </si>
  <si>
    <t>5462 BIG OTTER HWY, IVYDALE, WV, 25113</t>
  </si>
  <si>
    <t>08-02-0005-0058-0000</t>
  </si>
  <si>
    <t>117 MAIN ST, CLAY, WV, 25043</t>
  </si>
  <si>
    <t>Adonijah Fork</t>
  </si>
  <si>
    <t>08-05-0020-0069-0000</t>
  </si>
  <si>
    <t>3955 CLAREN RD, LIZEMORES, WV, 25125</t>
  </si>
  <si>
    <t>Sycamore Creek</t>
  </si>
  <si>
    <t>08-05-0013-0015-0000</t>
  </si>
  <si>
    <t>589 BIG SYCAMORE DR, INDORE, WV, 25125</t>
  </si>
  <si>
    <t>08-06-0010-0022-0000</t>
  </si>
  <si>
    <t>1476 ELK RIVER RD, PROCIOUS, WV, 25164</t>
  </si>
  <si>
    <t>08-02-0005-0061-0000</t>
  </si>
  <si>
    <t>94 MAIN ST, CLAY, WV, 25043</t>
  </si>
  <si>
    <t>Summers Fork</t>
  </si>
  <si>
    <t>08-03-0012-0071-0000</t>
  </si>
  <si>
    <t>1257 SUMMERS FORK RD, OVAPA, WV, 25150</t>
  </si>
  <si>
    <t>08-02-0005-0100-0000</t>
  </si>
  <si>
    <t>546 MAIN ST, CLAY, WV, 25043</t>
  </si>
  <si>
    <t>08-04-0023-0031-0000</t>
  </si>
  <si>
    <t>10514 IVYDALE RD, IVYDALE, WV, 25113</t>
  </si>
  <si>
    <t>08-02-0005-0069-0000</t>
  </si>
  <si>
    <t>176 MAIN ST, CLAY, WV, 25043</t>
  </si>
  <si>
    <t>Buffalo Creek</t>
  </si>
  <si>
    <t>08-01-024B-0033-0000</t>
  </si>
  <si>
    <t>142 KANAWHA ST, WIDEN, WV, 25211</t>
  </si>
  <si>
    <t>08-03-0027-0004-0001</t>
  </si>
  <si>
    <t>9998 ELK RIVER RD, PROCIOUS, WV, 25164</t>
  </si>
  <si>
    <t>08-06-0008-0002-0001</t>
  </si>
  <si>
    <t>106 QUEEN SHOALS HLW, CLENDENIN, WV, 25045</t>
  </si>
  <si>
    <t>08-06-0005-0093-0000</t>
  </si>
  <si>
    <t>15610 ELK RIVER RD N, CLENDENIN, WV, 25030</t>
  </si>
  <si>
    <t>Horner Fork</t>
  </si>
  <si>
    <t>08-03-0017-0026-0001</t>
  </si>
  <si>
    <t>5837 PROCIOUS MAYSEL RD, PROCIOUS, WV, 25164</t>
  </si>
  <si>
    <t>08-02-0004-0004-0000</t>
  </si>
  <si>
    <t>9 CLAY HWY, CLAY, WV, 25043</t>
  </si>
  <si>
    <t>08-03-0020-0041-0000</t>
  </si>
  <si>
    <t>1446 IVYDALE RD, IVYDALE, WV, 25043</t>
  </si>
  <si>
    <t>08-06-0008-0038-0003</t>
  </si>
  <si>
    <t>1243 RIVER HAVEN RD, CLENDENIN, WV, 25045</t>
  </si>
  <si>
    <t>08-06-0006-0084-0001</t>
  </si>
  <si>
    <t>564 ELK RIVER RD, PROCIOUS, WV, 25164</t>
  </si>
  <si>
    <t>Camp Creek</t>
  </si>
  <si>
    <t>08-03-0028-0022-0000</t>
  </si>
  <si>
    <t>1500 CLAY HWY Industrial, CLAY, WV, 25043</t>
  </si>
  <si>
    <t>Lower Two Run</t>
  </si>
  <si>
    <t>08-02-0010-0004-0001</t>
  </si>
  <si>
    <t>14 PROCIOUS MAYSEL RD, MAYSEL, WV, 25133</t>
  </si>
  <si>
    <t>Lick Branch</t>
  </si>
  <si>
    <t>08-05-0014-0008-0000</t>
  </si>
  <si>
    <t>8054 CLAY HWY, BICKMORE, WV, 25019</t>
  </si>
  <si>
    <t>08-05-0018-0022-0004</t>
  </si>
  <si>
    <t>33 CEDAR CIR, INDORE, WV, 25111</t>
  </si>
  <si>
    <t>08-05-0018-0018-0009</t>
  </si>
  <si>
    <t>91 LEE WAY, INDORE, WV, 25111</t>
  </si>
  <si>
    <t>08-05-0018-0022-0001</t>
  </si>
  <si>
    <t>598 UPPER SYCAMORE RD, INDORE, WV, 25111</t>
  </si>
  <si>
    <t>08-06-0005-0052-0000</t>
  </si>
  <si>
    <t>10097 PROCIOUS MAYSEL RD, PROCIOUS, WV, 25164</t>
  </si>
  <si>
    <t>08-02-0010-0003-0000</t>
  </si>
  <si>
    <t>184 PROCIOUS MAYSEL RD, MAYSEL, WV, 25133</t>
  </si>
  <si>
    <t>Laurel Creek</t>
  </si>
  <si>
    <t>08-03-0017-0061-0000</t>
  </si>
  <si>
    <t>152 AHART DRIVE, OVAPA, WV, 25133</t>
  </si>
  <si>
    <t>08-03-0017-0061-0001</t>
  </si>
  <si>
    <t>95 AHART DR, Wallback, WV, 25285</t>
  </si>
  <si>
    <t>08-03-0013-0047-0001</t>
  </si>
  <si>
    <t>601 LAUREL CREEK RD, OVAPA, WV, 25133</t>
  </si>
  <si>
    <t>08-03-0012-0087-0002</t>
  </si>
  <si>
    <t>951A LAUREL CREEK RD, OVAPA, WV, 25133</t>
  </si>
  <si>
    <t>08-02-0010-0056-0000</t>
  </si>
  <si>
    <t>194 CENTER ST, CLAY, WV, 25043</t>
  </si>
  <si>
    <t>08-05-0017-0010-0004</t>
  </si>
  <si>
    <t>9999 BIG SYCAMORE DR, INDORE, WV, 25111</t>
  </si>
  <si>
    <t>08-02-0005-0076-0000</t>
  </si>
  <si>
    <t>264 MAIN ST, CLAY, WV, 25043</t>
  </si>
  <si>
    <t>08-03-0014-0050-0000</t>
  </si>
  <si>
    <t>4086 IVYDALE RD, IVYDALE, WV, 25043</t>
  </si>
  <si>
    <t>08-03-0020-0009-0006</t>
  </si>
  <si>
    <t>1648 IVYDALE RD, IVYDALE, WV, 25043</t>
  </si>
  <si>
    <t>08-05-0022-0050-0000</t>
  </si>
  <si>
    <t>2526 UPPER SYCAMORE RD, INDORE, WV, 25019</t>
  </si>
  <si>
    <t>08-06-0005-0053-0011</t>
  </si>
  <si>
    <t>10001 PROCIOUS MAYSEL RD, PROCIOUS, WV, 25164</t>
  </si>
  <si>
    <t>CLAY COUNTY COMMISSION</t>
  </si>
  <si>
    <t>CD DG WALLBACK LLC</t>
  </si>
  <si>
    <t>CLAY INTERIM BANK INC</t>
  </si>
  <si>
    <t>BOGGS CHARLENE M</t>
  </si>
  <si>
    <t>MIDDLE CREEK BAPTIST CHURCH</t>
  </si>
  <si>
    <t>WEC 98D-7LLC</t>
  </si>
  <si>
    <t>IDA BAPT CHURCH</t>
  </si>
  <si>
    <t>BIG OTTER V F D</t>
  </si>
  <si>
    <t>NICHOLS LAND COMPANY</t>
  </si>
  <si>
    <t>LAUREL FORK MISSIONARY BAP CH</t>
  </si>
  <si>
    <t>PEOPLE'S BAPTIST CHURCH</t>
  </si>
  <si>
    <t>DAVID L MEADE 2006 REVOC TR</t>
  </si>
  <si>
    <t>CARROLL KIMBERLY A ETVIR</t>
  </si>
  <si>
    <t>MURPHY L FRANK ETUX</t>
  </si>
  <si>
    <t>WATTSVILLE TRUST</t>
  </si>
  <si>
    <t>WIDEN CHURCH</t>
  </si>
  <si>
    <t>EVANS BERNARD JR ETAL</t>
  </si>
  <si>
    <t>QUEEN SHOALS FULL GOSPEL CH</t>
  </si>
  <si>
    <t>DAVIS THOMAS J JR</t>
  </si>
  <si>
    <t>HORNERS FORK BAPTIST CHURCH</t>
  </si>
  <si>
    <t>NICHOLS JASON C ETUX</t>
  </si>
  <si>
    <t>HOLCOMB JOSHUA R ETAL</t>
  </si>
  <si>
    <t>WOODYARD TIMOTHY L ETUX</t>
  </si>
  <si>
    <t>PIERSON DAVID W JR ETUX</t>
  </si>
  <si>
    <t>GO-MART INC</t>
  </si>
  <si>
    <t>HOUSE BERTICE A JR ETUX</t>
  </si>
  <si>
    <t>BOGGS DAVID E ETUX</t>
  </si>
  <si>
    <t>BOGGS GARY ETUX</t>
  </si>
  <si>
    <t>BOGGS DAVID ETUX</t>
  </si>
  <si>
    <t>WALKER DAVID ETUX</t>
  </si>
  <si>
    <t>CLAY CO COMMISSION</t>
  </si>
  <si>
    <t>SUITE LORI A</t>
  </si>
  <si>
    <t>LANHAM ROBERT L</t>
  </si>
  <si>
    <t>MULLINS JEFFREY W ETAL</t>
  </si>
  <si>
    <t>OSBURN GARIN CLEM ETUX</t>
  </si>
  <si>
    <t>JARRETT ALMA JANE</t>
  </si>
  <si>
    <t>RAMSEY KATHERINE ETAL</t>
  </si>
  <si>
    <t>COMMUNITY BAPT CH</t>
  </si>
  <si>
    <t>SMITH ZOEY LEA ETAL</t>
  </si>
  <si>
    <t>1976</t>
  </si>
  <si>
    <t>2018</t>
  </si>
  <si>
    <t>1949</t>
  </si>
  <si>
    <t>1996</t>
  </si>
  <si>
    <t>IND1</t>
  </si>
  <si>
    <t>151255</t>
  </si>
  <si>
    <t>23328</t>
  </si>
  <si>
    <t>9470</t>
  </si>
  <si>
    <t>8540</t>
  </si>
  <si>
    <t>5160</t>
  </si>
  <si>
    <t>8772</t>
  </si>
  <si>
    <t>14287</t>
  </si>
  <si>
    <t>9240</t>
  </si>
  <si>
    <t>6640</t>
  </si>
  <si>
    <t>7100</t>
  </si>
  <si>
    <t>22920</t>
  </si>
  <si>
    <t>5795</t>
  </si>
  <si>
    <t>3744</t>
  </si>
  <si>
    <t>5618</t>
  </si>
  <si>
    <t>6844</t>
  </si>
  <si>
    <t>3745</t>
  </si>
  <si>
    <t>7080</t>
  </si>
  <si>
    <t>4320</t>
  </si>
  <si>
    <t>15000</t>
  </si>
  <si>
    <t>3490</t>
  </si>
  <si>
    <t>3752</t>
  </si>
  <si>
    <t>6064</t>
  </si>
  <si>
    <t>3030</t>
  </si>
  <si>
    <t>4740</t>
  </si>
  <si>
    <t>8998</t>
  </si>
  <si>
    <t>2736</t>
  </si>
  <si>
    <t>2904</t>
  </si>
  <si>
    <t>2395</t>
  </si>
  <si>
    <t>2800</t>
  </si>
  <si>
    <t>3053</t>
  </si>
  <si>
    <t>3466</t>
  </si>
  <si>
    <t>3240</t>
  </si>
  <si>
    <t>2598</t>
  </si>
  <si>
    <t>2416</t>
  </si>
  <si>
    <t>2112</t>
  </si>
  <si>
    <t>2700</t>
  </si>
  <si>
    <t>3136</t>
  </si>
  <si>
    <t>2637</t>
  </si>
  <si>
    <t>2464</t>
  </si>
  <si>
    <t>1680</t>
  </si>
  <si>
    <t>6643</t>
  </si>
  <si>
    <t>6400</t>
  </si>
  <si>
    <t>2616</t>
  </si>
  <si>
    <t>2304</t>
  </si>
  <si>
    <t>2144</t>
  </si>
  <si>
    <t>KANAWHA</t>
  </si>
  <si>
    <t>(Higher than $2,000,000)</t>
  </si>
  <si>
    <t>20-18-0012-0047-0000_4605</t>
  </si>
  <si>
    <t>20-11-0003-0012-0000_300</t>
  </si>
  <si>
    <t>20-11-0004-0004-0005_3009</t>
  </si>
  <si>
    <t>20-11-0002-0008-0000_200</t>
  </si>
  <si>
    <t>20-13-0018-0091-0001_3415</t>
  </si>
  <si>
    <t>20-11-0009-0065-0000_500</t>
  </si>
  <si>
    <t>20-03-0039-0025-0010_1</t>
  </si>
  <si>
    <t>20-13-0019-0041-0000_3000</t>
  </si>
  <si>
    <t>20-11-0004-0004-0000_300</t>
  </si>
  <si>
    <t>20-10-0089-0002-0000_1900</t>
  </si>
  <si>
    <t>20-12-0028-0073-0000_900A</t>
  </si>
  <si>
    <t>20-13-0001-0008-0000_1700</t>
  </si>
  <si>
    <t>20-11-0004-0004-0003_2049</t>
  </si>
  <si>
    <t>20-13-0020-0057-0000_2300</t>
  </si>
  <si>
    <t>20-13-0019-0043-0001_3100</t>
  </si>
  <si>
    <t>20-27-0003-0065-0000_1300</t>
  </si>
  <si>
    <t>20-13-0019-0043-0002_3200</t>
  </si>
  <si>
    <t>20-15-0023-0078-0000_5090</t>
  </si>
  <si>
    <t>20-04-0004-0123-0000_200</t>
  </si>
  <si>
    <t>20-22-0019-0028-0000_400</t>
  </si>
  <si>
    <t>20-05-0001-0022-0000_130</t>
  </si>
  <si>
    <t>20-26-0010-0035-0000_325</t>
  </si>
  <si>
    <t>20-23-0019-0001-0002_4799</t>
  </si>
  <si>
    <t>20-15-036C-0044-0000_3320</t>
  </si>
  <si>
    <t>20-13-0020-0036-0000_2300E</t>
  </si>
  <si>
    <t>20-18-0003-0124-0000_5100</t>
  </si>
  <si>
    <t>20-11-0009-0017-0000_333</t>
  </si>
  <si>
    <t>20-13-0019-0042-0001_3110</t>
  </si>
  <si>
    <t>20-11-0010-0016-0000_422</t>
  </si>
  <si>
    <t>20-12-0023-0249-0000_100</t>
  </si>
  <si>
    <t>20-11-0018-0099-0002_501</t>
  </si>
  <si>
    <t>20-15-023C-0008-0000_5064</t>
  </si>
  <si>
    <t>20-02-0007-0032-0000_503</t>
  </si>
  <si>
    <t>20-11-0003-0037-0000_301</t>
  </si>
  <si>
    <t>20-22-0022-0001-0000_55</t>
  </si>
  <si>
    <t>20-26-0012-0029-0000_1330</t>
  </si>
  <si>
    <t>20-11-0017-0180-0000_203</t>
  </si>
  <si>
    <t>20-11-0009-0010-0000_9999</t>
  </si>
  <si>
    <t>20-13-0019-0026-0002_3000</t>
  </si>
  <si>
    <t>20-11-0003-0013-0000_111</t>
  </si>
  <si>
    <t>20-11-0005-0005-0000_400</t>
  </si>
  <si>
    <t>20-12-0027-0400-0000_800</t>
  </si>
  <si>
    <t>20-11-0001-0001-0000_100</t>
  </si>
  <si>
    <t>20-29-0004-0345-0000_401</t>
  </si>
  <si>
    <t>20-08-0001-0082-0000_201</t>
  </si>
  <si>
    <t>20-24-0025-0030-0008_1A</t>
  </si>
  <si>
    <t>20-18-0010-0004-0000_701</t>
  </si>
  <si>
    <t>20-13-0002-0006-0000_2300A</t>
  </si>
  <si>
    <t>20-10-0088-0067-0000_304</t>
  </si>
  <si>
    <t>20-26-0010-0223-0000_2401</t>
  </si>
  <si>
    <t>20-13-0020-0038-0000_2300</t>
  </si>
  <si>
    <t>20-17-0003-0117-0004_1455</t>
  </si>
  <si>
    <t>20-11-0013-0024-0000_1033</t>
  </si>
  <si>
    <t>20-12-0028-0073-0000_900</t>
  </si>
  <si>
    <t>20-09-0065-0001-0001_150</t>
  </si>
  <si>
    <t>20-17-0005-0011-0000_2030</t>
  </si>
  <si>
    <t>20-11-0005-0244-0000_500</t>
  </si>
  <si>
    <t>20-20-0005-0084-0000_13620</t>
  </si>
  <si>
    <t>20-15-0023-0055-0001_5096</t>
  </si>
  <si>
    <t>20-03-059A-0109-0000_5118</t>
  </si>
  <si>
    <t>20-13-0004-0151-0000_3601</t>
  </si>
  <si>
    <t>20-11-0002-0008-0000_201</t>
  </si>
  <si>
    <t>20-12-0009-0007-0000_2009</t>
  </si>
  <si>
    <t>20-25-0035-0092-0000_4190</t>
  </si>
  <si>
    <t>20-21-0007-0093-0000_408</t>
  </si>
  <si>
    <t>20-11-0007-0056-0000_501</t>
  </si>
  <si>
    <t>20-11-0002-0027-0000_100</t>
  </si>
  <si>
    <t>20-16-012F-0005-0000_7776</t>
  </si>
  <si>
    <t>20-24-025C-9999-9999_8324</t>
  </si>
  <si>
    <t>20-13-0020-0028-0000_2300</t>
  </si>
  <si>
    <t>20-11-0014-0084-0000_1035</t>
  </si>
  <si>
    <t>20-13-0020-0036-0000_2300</t>
  </si>
  <si>
    <t>20-13-0002-0006-0000_2300B</t>
  </si>
  <si>
    <t>20-23-019H-0101-0000_4001</t>
  </si>
  <si>
    <t>20-13-0002-0006-0000_2300D</t>
  </si>
  <si>
    <t>20-13-0018-0125-0000_3511</t>
  </si>
  <si>
    <t>20-22-0021-0068-0000_600</t>
  </si>
  <si>
    <t>20-13-0020-0036-0000_2300C</t>
  </si>
  <si>
    <t>20-12-0023-0130-0001_1606</t>
  </si>
  <si>
    <t>20-11-0008-0010-0000_170</t>
  </si>
  <si>
    <t>20-10-0089-0003-0008_120</t>
  </si>
  <si>
    <t>20-11-0004-0004-0004_401</t>
  </si>
  <si>
    <t>20-23-011A-0081-0000_559</t>
  </si>
  <si>
    <t>20-17-0003-0117-0000_1433</t>
  </si>
  <si>
    <t>20-12-0025-0321-0000_321</t>
  </si>
  <si>
    <t>City of South Charleston</t>
  </si>
  <si>
    <t>Kanawha River</t>
  </si>
  <si>
    <t>20-18-0012-0047-0000</t>
  </si>
  <si>
    <t>4605 MACCORKLE AVE SW, South Charleston, WV, 25309</t>
  </si>
  <si>
    <t>City of Charleston</t>
  </si>
  <si>
    <t>20-11-0003-0012-0000</t>
  </si>
  <si>
    <t>300 VIRGINIA ST E, Charleston, WV, 25301</t>
  </si>
  <si>
    <t>20-11-0004-0004-0005</t>
  </si>
  <si>
    <t>3009 CHARLESTON TOWN CTR, Charleston, WV, 25387</t>
  </si>
  <si>
    <t>20-11-0002-0008-0000</t>
  </si>
  <si>
    <t>200 CIVIC CENTER DR, Charleston, WV, 25387</t>
  </si>
  <si>
    <t>20-13-0018-0091-0001</t>
  </si>
  <si>
    <t>3415 MACCORKLE AVE SE, Charleston, WV, 25304</t>
  </si>
  <si>
    <t>20-11-0009-0065-0000</t>
  </si>
  <si>
    <t>500 LEE ST E, Charleston, WV, 25301</t>
  </si>
  <si>
    <t>Kanawha County</t>
  </si>
  <si>
    <t>20-03-0039-0025-0010</t>
  </si>
  <si>
    <t>1 WARRIOR WAY, Belle, WV, 25015</t>
  </si>
  <si>
    <t>20-13-0019-0041-0000</t>
  </si>
  <si>
    <t>3000 MACCORKLE AVE SE, Charleston, WV, 25304</t>
  </si>
  <si>
    <t>20-11-0004-0004-0000</t>
  </si>
  <si>
    <t>300 COURT ST, Charleston, WV, 25301</t>
  </si>
  <si>
    <t>20-10-0089-0002-0000</t>
  </si>
  <si>
    <t>1900 PATRICK STREET PLZ, Charleston, WV, 25387</t>
  </si>
  <si>
    <t>20-12-0028-0073-0000</t>
  </si>
  <si>
    <t>900A PENNSYLVANIA AVE, Charleston, WV, 25302</t>
  </si>
  <si>
    <t>20-13-0001-0008-0000</t>
  </si>
  <si>
    <t>1700 MACCORKLE AVE SE, Charleston, WV, 25314</t>
  </si>
  <si>
    <t>20-11-0004-0004-0003</t>
  </si>
  <si>
    <t>2049 CHARLESTON TOWN CTR, Charleston, WV, 25387</t>
  </si>
  <si>
    <t>20-13-0020-0057-0000</t>
  </si>
  <si>
    <t>2300 MACCORKLE AVE SE BLDG 13, Charleston, WV, 25304</t>
  </si>
  <si>
    <t>20-13-0019-0043-0001</t>
  </si>
  <si>
    <t>3100 MACCORKLE AVE SE, Charleston, WV, 25304</t>
  </si>
  <si>
    <t>City of Nitro</t>
  </si>
  <si>
    <t>20-27-0003-0065-0000</t>
  </si>
  <si>
    <t>1300 PARK AVE, Nitro, WV, 25143</t>
  </si>
  <si>
    <t>20-13-0019-0043-0002</t>
  </si>
  <si>
    <t>3200 MACCORKLE AVE SE, Charleston, WV, 25304</t>
  </si>
  <si>
    <t>20-15-0023-0078-0000</t>
  </si>
  <si>
    <t>5090 ELK RIVER RD N, Elkview, WV, 25071</t>
  </si>
  <si>
    <t>Town of Cedar Grove</t>
  </si>
  <si>
    <t>20-04-0004-0123-0000</t>
  </si>
  <si>
    <t>200 JOHN ST, Cedar Grove, WV, 25039</t>
  </si>
  <si>
    <t>20-22-0019-0028-0000</t>
  </si>
  <si>
    <t>400 3RD AVE, South Charleston, WV, 25303</t>
  </si>
  <si>
    <t>Town of East Bank</t>
  </si>
  <si>
    <t>20-05-0001-0022-0000</t>
  </si>
  <si>
    <t>130 BRANNON ST, East Bank, WV, 25067</t>
  </si>
  <si>
    <t>City of Dunbar</t>
  </si>
  <si>
    <t>20-26-0010-0035-0000</t>
  </si>
  <si>
    <t>325 27TH ST, Dunbar, WV, 25064</t>
  </si>
  <si>
    <t>20-23-0019-0001-0002</t>
  </si>
  <si>
    <t>4799 MIDLAND DR, Charleston, WV, 25306</t>
  </si>
  <si>
    <t>20-15-036C-0044-0000</t>
  </si>
  <si>
    <t>3320 PENNSYLVANIA AVE, Charleston, WV, 25302</t>
  </si>
  <si>
    <t>20-13-0020-0036-0000</t>
  </si>
  <si>
    <t>2300E MACCORKLE AVE SE BLDG 7, Charleston, WV, 25304</t>
  </si>
  <si>
    <t>20-18-0003-0124-0000</t>
  </si>
  <si>
    <t>5100 OHIO ST, South Charleston, WV, 25309</t>
  </si>
  <si>
    <t>20-11-0009-0017-0000</t>
  </si>
  <si>
    <t>333 LAIDLEY ST, Charleston, WV, 25301</t>
  </si>
  <si>
    <t>20-13-0019-0042-0001</t>
  </si>
  <si>
    <t>3110 MACCORKLE AVE SE, Charleston, WV, 25304</t>
  </si>
  <si>
    <t>20-11-0010-0016-0000</t>
  </si>
  <si>
    <t>422 DICKINSON ST, Charleston, WV, 25301</t>
  </si>
  <si>
    <t>20-12-0023-0249-0000</t>
  </si>
  <si>
    <t>100 FLORIDA ST, Charleston, WV, 25302</t>
  </si>
  <si>
    <t>20-11-0018-0099-0002</t>
  </si>
  <si>
    <t>501 MORRIS ST, Charleston, WV, 25301</t>
  </si>
  <si>
    <t>20-15-023C-0008-0000</t>
  </si>
  <si>
    <t>5064 ELK RIVER RD S STE 10, Elkview, WV, 25071</t>
  </si>
  <si>
    <t>Town of Clendenin</t>
  </si>
  <si>
    <t>20-02-0007-0032-0000</t>
  </si>
  <si>
    <t>503 MAYWOOD AVE E, Clendenin, WV, 25045</t>
  </si>
  <si>
    <t>20-11-0003-0037-0000</t>
  </si>
  <si>
    <t>301 VIRGINIA ST E, Charleston, WV, 25301</t>
  </si>
  <si>
    <t>20-22-0022-0001-0000</t>
  </si>
  <si>
    <t>55 KANAWHA RIVER, Charleston, WV, 25303</t>
  </si>
  <si>
    <t>20-26-0012-0029-0000</t>
  </si>
  <si>
    <t>1330 MYERS AVE, Dunbar, WV, 25064</t>
  </si>
  <si>
    <t>20-11-0017-0180-0000</t>
  </si>
  <si>
    <t>203 BRADFORD ST, Charleston, WV, 25301</t>
  </si>
  <si>
    <t>20-11-0009-0010-0000</t>
  </si>
  <si>
    <t>9999 WASHINGTON ST E, CHARLESTON, WV, 25301</t>
  </si>
  <si>
    <t>20-13-0019-0026-0002</t>
  </si>
  <si>
    <t>20-11-0003-0013-0000</t>
  </si>
  <si>
    <t>111 COURT ST, Charleston, WV, 25301</t>
  </si>
  <si>
    <t>20-11-0005-0005-0000</t>
  </si>
  <si>
    <t>400 COURT ST, Charleston, WV, 25301</t>
  </si>
  <si>
    <t>20-12-0027-0400-0000</t>
  </si>
  <si>
    <t>800 PENNSYLVANIA AVE, Charleston, WV, 25302</t>
  </si>
  <si>
    <t>20-11-0001-0001-0000</t>
  </si>
  <si>
    <t>100 CIVIC CENTER DR, Charleston, WV, 25301</t>
  </si>
  <si>
    <t>Town of Belle</t>
  </si>
  <si>
    <t>20-29-0004-0345-0000</t>
  </si>
  <si>
    <t>401 E 6TH ST, Belle, WV, 25015</t>
  </si>
  <si>
    <t>Town of Pratt</t>
  </si>
  <si>
    <t>20-08-0001-0082-0000</t>
  </si>
  <si>
    <t>201 PRATT AVE, Pratt, WV, 25162</t>
  </si>
  <si>
    <t>Pocatalico River</t>
  </si>
  <si>
    <t>20-24-0025-0030-0008</t>
  </si>
  <si>
    <t>1A NGK DR, Sissonville, WV, 25320</t>
  </si>
  <si>
    <t>20-18-0010-0004-0000</t>
  </si>
  <si>
    <t>701 JEFFERSON RD, South Charleston, WV, 25309</t>
  </si>
  <si>
    <t>20-13-0002-0006-0000</t>
  </si>
  <si>
    <t>2300A MACCORKLE AVE SE BLDG 3, Charleston, WV, 25304</t>
  </si>
  <si>
    <t>20-10-0088-0067-0000</t>
  </si>
  <si>
    <t>304 29TH ST W, Charleston, WV, 25387</t>
  </si>
  <si>
    <t>20-26-0010-0223-0000</t>
  </si>
  <si>
    <t>2401 MYERS AVE, Dunbar, WV, 25064</t>
  </si>
  <si>
    <t>20-13-0020-0038-0000</t>
  </si>
  <si>
    <t>2300 MACCORKLE AVE SE BLDG 1, Charleston, WV, 25304</t>
  </si>
  <si>
    <t>City of Saint Albans</t>
  </si>
  <si>
    <t>20-17-0003-0117-0004</t>
  </si>
  <si>
    <t>1455 MACCORKLE AVE, Saint Albans, WV, 25177</t>
  </si>
  <si>
    <t>20-11-0013-0024-0000</t>
  </si>
  <si>
    <t>1033 VIRGINIA ST E, Charleston, WV, 25301</t>
  </si>
  <si>
    <t>900 PENNSYLVANIA AVE, Charleston, WV, 25302</t>
  </si>
  <si>
    <t>20-09-0065-0001-0001</t>
  </si>
  <si>
    <t>150 57TH ST SE, Charleston, WV, 25304</t>
  </si>
  <si>
    <t>20-17-0005-0011-0000</t>
  </si>
  <si>
    <t>2030 HARRISON AVE, Saint Albans, WV, 25177</t>
  </si>
  <si>
    <t>20-11-0005-0244-0000</t>
  </si>
  <si>
    <t>500 DONNALLY ST, Charleston, WV, 25301</t>
  </si>
  <si>
    <t>Town of Chesapeake</t>
  </si>
  <si>
    <t>20-20-0005-0084-0000</t>
  </si>
  <si>
    <t>13620 MACCORKLE AVE SE, CHESAPEAKE, WV, 25315</t>
  </si>
  <si>
    <t>20-15-0023-0055-0001</t>
  </si>
  <si>
    <t>5096 ELK RIVER RD N, Elkview, WV, 25071</t>
  </si>
  <si>
    <t>Cabin Creek</t>
  </si>
  <si>
    <t>20-03-059A-0109-0000</t>
  </si>
  <si>
    <t>5118 CABIN CREEK RD, Miami, WV, 25075</t>
  </si>
  <si>
    <t>20-13-0004-0151-0000</t>
  </si>
  <si>
    <t>3601 STAUNTON AVE SE, Charleston, WV, 25304</t>
  </si>
  <si>
    <t>201 CIVIC CENTER DR, Charleston, WV, 25387</t>
  </si>
  <si>
    <t>20-12-0009-0007-0000</t>
  </si>
  <si>
    <t>2009 7TH AVE, Charleston, WV, 25387</t>
  </si>
  <si>
    <t>Tyler Creek</t>
  </si>
  <si>
    <t>20-25-0035-0092-0000</t>
  </si>
  <si>
    <t>4190 WASHINGTON ST W, Charleston, WV, 25313</t>
  </si>
  <si>
    <t>Town of Marmet</t>
  </si>
  <si>
    <t>20-21-0007-0093-0000</t>
  </si>
  <si>
    <t>408 94TH ST, Marmet, WV, 25315</t>
  </si>
  <si>
    <t>20-11-0007-0056-0000</t>
  </si>
  <si>
    <t>501 VIRGINIA ST E, Charleston, WV, 25301</t>
  </si>
  <si>
    <t>20-11-0002-0027-0000</t>
  </si>
  <si>
    <t>100 QUARRIER ST, Charleston, WV, 25387</t>
  </si>
  <si>
    <t>Coal River</t>
  </si>
  <si>
    <t>20-16-012F-0005-0000</t>
  </si>
  <si>
    <t>7776 COAL RIVER RD, Tornado, WV, 25202</t>
  </si>
  <si>
    <t>20-24-025C-9999-9999</t>
  </si>
  <si>
    <t>8324 SISSONVILLE DR, Sissonville, WV, 25320</t>
  </si>
  <si>
    <t>20-13-0020-0028-0000</t>
  </si>
  <si>
    <t>2300 MACCORKLE AVE SE BLDG 9, Charleston, WV, 25304</t>
  </si>
  <si>
    <t>20-11-0014-0084-0000</t>
  </si>
  <si>
    <t>1035 QUARRIER ST, Charleston, WV, 25301</t>
  </si>
  <si>
    <t>2300 MACCORKLE AVE SE BLDG 11, Charleston, WV, 25304</t>
  </si>
  <si>
    <t>2300B MACCORKLE AVE SE BLDG 5, Charleston, WV, 25304</t>
  </si>
  <si>
    <t>20-23-019H-0101-0000</t>
  </si>
  <si>
    <t>4001 SALINES DR, Charleston, WV, 25306</t>
  </si>
  <si>
    <t>2300D MACCORKLE AVE SE BLDG 4, Charleston, WV, 25304</t>
  </si>
  <si>
    <t>20-13-0018-0125-0000</t>
  </si>
  <si>
    <t>3511 VENABLE AVE SE, Charleston, WV, 25304</t>
  </si>
  <si>
    <t>20-22-0021-0068-0000</t>
  </si>
  <si>
    <t>600 2ND AVE, South Charleston, WV, 25303</t>
  </si>
  <si>
    <t>2300C MACCORKLE AVE SE BLDG 12, Charleston, WV, 25304</t>
  </si>
  <si>
    <t>20-12-0023-0130-0001</t>
  </si>
  <si>
    <t>1606 KANAWHA BLVD W, Charleston, WV, 25387</t>
  </si>
  <si>
    <t>20-11-0008-0010-0000</t>
  </si>
  <si>
    <t>170 COURT ST, Charleston, WV, 25387</t>
  </si>
  <si>
    <t>20-10-0089-0003-0008</t>
  </si>
  <si>
    <t>120 HILLS PLZ, Charleston, WV, 25387</t>
  </si>
  <si>
    <t>20-11-0004-0004-0004</t>
  </si>
  <si>
    <t>401 LEE ST E, Charleston, WV, 25301</t>
  </si>
  <si>
    <t>Campbells Creek</t>
  </si>
  <si>
    <t>20-23-011A-0081-0000</t>
  </si>
  <si>
    <t>559 BIG BOTTOM HOLLOW RD, Tad, WV, 25201</t>
  </si>
  <si>
    <t>20-17-0003-0117-0000</t>
  </si>
  <si>
    <t>1433 MACCORKLE AVE, Saint Albans, WV, 25177</t>
  </si>
  <si>
    <t>20-12-0025-0321-0000</t>
  </si>
  <si>
    <t>321 VIRGINIA ST W, Charleston, WV, 25302</t>
  </si>
  <si>
    <t>SOUTH CHARLESTON CITY OF</t>
  </si>
  <si>
    <t>UNITED STATES OF AMERICA</t>
  </si>
  <si>
    <t>US BANK NATIONAL ASSOCIATION</t>
  </si>
  <si>
    <t>CHARLESTON CITY OF</t>
  </si>
  <si>
    <t>CHARLESTON AREA MEDICAL CENTER FOUNDATION INC</t>
  </si>
  <si>
    <t>B33 LAIDLEY TOWER LLC</t>
  </si>
  <si>
    <t>CHARLESTON AREA MEDICAL CENTER INC</t>
  </si>
  <si>
    <t>TUCSON CHARLESTON LLC</t>
  </si>
  <si>
    <t>BUFFALO PFE LLC</t>
  </si>
  <si>
    <t>WEST VA BUILDING COMM</t>
  </si>
  <si>
    <t>WEST VIRGINIA STATE LOTTERY COMMISSION</t>
  </si>
  <si>
    <t>LARRY HADDAD ASSOCIATES LLC</t>
  </si>
  <si>
    <t>WEST VA EMPLOYERS MUTUAL INS CO</t>
  </si>
  <si>
    <t>MORRIS HARVEY COLLEGE</t>
  </si>
  <si>
    <t>CHARLESTON AREA MED CENTER INC</t>
  </si>
  <si>
    <t>CHARLESTON HOSPITAL INC</t>
  </si>
  <si>
    <t>WEST VIRGINIA UNIVERSITY BOARD OF GOVERNORS</t>
  </si>
  <si>
    <t>KANAWHA COUNTY BUILDING COMMISSION</t>
  </si>
  <si>
    <t>UNION CARBIDE CORP</t>
  </si>
  <si>
    <t>KANAWHA COUNTY BUILDING COMM</t>
  </si>
  <si>
    <t>BROWN B B JR &amp; JAMES F 3RD TR</t>
  </si>
  <si>
    <t>JARRELL WILLIAM P &amp; ELIZABETH A</t>
  </si>
  <si>
    <t>APPALACHIAN POWER COMPANY</t>
  </si>
  <si>
    <t>ST ALBANS CENTER II LLC</t>
  </si>
  <si>
    <t>HODGES JOSEPH BISHOP</t>
  </si>
  <si>
    <t>MAIER SARAH &amp; PAULINE SCHOLARSHIP FOUNDATION INC</t>
  </si>
  <si>
    <t>MOSES PROPERTIES INC</t>
  </si>
  <si>
    <t>KANAWHA COUNTY BOARD OF ED</t>
  </si>
  <si>
    <t>KAN CO BOARD OF EDUCATION THE</t>
  </si>
  <si>
    <t>BURDETTE REALTY IMPROVEMENT INC</t>
  </si>
  <si>
    <t>CRICKARD MASON ETAL</t>
  </si>
  <si>
    <t>MOST REV MICHAEL J BRANFIELD BISHOP ROMAN CATHOLIC DIOCESE</t>
  </si>
  <si>
    <t>CHARLESTON HOSPITALITY CORP</t>
  </si>
  <si>
    <t>CHARLESTON BUILDING COMMISSION</t>
  </si>
  <si>
    <t>REALCO LIMITED LIABILITY CO</t>
  </si>
  <si>
    <t>WHITE PROPERTIES</t>
  </si>
  <si>
    <t>J C PENNEY PROPERTIES INC</t>
  </si>
  <si>
    <t>MOSES T L LAND LLC</t>
  </si>
  <si>
    <t>GIRL SCOUTS OF BLACK DIAMOND COUNCIL INC</t>
  </si>
  <si>
    <t>1955</t>
  </si>
  <si>
    <t>1959</t>
  </si>
  <si>
    <t>1930</t>
  </si>
  <si>
    <t>E+</t>
  </si>
  <si>
    <t>1932</t>
  </si>
  <si>
    <t>1945</t>
  </si>
  <si>
    <t>1965</t>
  </si>
  <si>
    <t>2013</t>
  </si>
  <si>
    <t>5</t>
  </si>
  <si>
    <t>7</t>
  </si>
  <si>
    <t>6</t>
  </si>
  <si>
    <t>18</t>
  </si>
  <si>
    <t>9</t>
  </si>
  <si>
    <t>EDU2</t>
  </si>
  <si>
    <t>12</t>
  </si>
  <si>
    <t>4</t>
  </si>
  <si>
    <t>1150897</t>
  </si>
  <si>
    <t>391348</t>
  </si>
  <si>
    <t>759823</t>
  </si>
  <si>
    <t>321124</t>
  </si>
  <si>
    <t>127143</t>
  </si>
  <si>
    <t>237204</t>
  </si>
  <si>
    <t>186426</t>
  </si>
  <si>
    <t>64000</t>
  </si>
  <si>
    <t>206719</t>
  </si>
  <si>
    <t>82343</t>
  </si>
  <si>
    <t>145254</t>
  </si>
  <si>
    <t>519612</t>
  </si>
  <si>
    <t>112863</t>
  </si>
  <si>
    <t>59250</t>
  </si>
  <si>
    <t>149700</t>
  </si>
  <si>
    <t>72812</t>
  </si>
  <si>
    <t>250000</t>
  </si>
  <si>
    <t>102102</t>
  </si>
  <si>
    <t>68443</t>
  </si>
  <si>
    <t>109400</t>
  </si>
  <si>
    <t>92800</t>
  </si>
  <si>
    <t>84498</t>
  </si>
  <si>
    <t>82700</t>
  </si>
  <si>
    <t>78700</t>
  </si>
  <si>
    <t>40550</t>
  </si>
  <si>
    <t>72018</t>
  </si>
  <si>
    <t>132830</t>
  </si>
  <si>
    <t>38380</t>
  </si>
  <si>
    <t>53892</t>
  </si>
  <si>
    <t>68615</t>
  </si>
  <si>
    <t>150000</t>
  </si>
  <si>
    <t>56500</t>
  </si>
  <si>
    <t>18000</t>
  </si>
  <si>
    <t>68849</t>
  </si>
  <si>
    <t>220414</t>
  </si>
  <si>
    <t>26198</t>
  </si>
  <si>
    <t>38971</t>
  </si>
  <si>
    <t>19226</t>
  </si>
  <si>
    <t>5765</t>
  </si>
  <si>
    <t>210000</t>
  </si>
  <si>
    <t>37182</t>
  </si>
  <si>
    <t>100000</t>
  </si>
  <si>
    <t>20604</t>
  </si>
  <si>
    <t>14640</t>
  </si>
  <si>
    <t>18240</t>
  </si>
  <si>
    <t>99984</t>
  </si>
  <si>
    <t>15875</t>
  </si>
  <si>
    <t>19000</t>
  </si>
  <si>
    <t>65336</t>
  </si>
  <si>
    <t>18063</t>
  </si>
  <si>
    <t>18510</t>
  </si>
  <si>
    <t>125781</t>
  </si>
  <si>
    <t>80000</t>
  </si>
  <si>
    <t>157984</t>
  </si>
  <si>
    <t>291068</t>
  </si>
  <si>
    <t>21338</t>
  </si>
  <si>
    <t>20510</t>
  </si>
  <si>
    <t>30000</t>
  </si>
  <si>
    <t>45000</t>
  </si>
  <si>
    <t>14495</t>
  </si>
  <si>
    <t>25122</t>
  </si>
  <si>
    <t>213900</t>
  </si>
  <si>
    <t>20500</t>
  </si>
  <si>
    <t>52736</t>
  </si>
  <si>
    <t>18903</t>
  </si>
  <si>
    <t>153125</t>
  </si>
  <si>
    <t>50860</t>
  </si>
  <si>
    <t>8550</t>
  </si>
  <si>
    <t>23700</t>
  </si>
  <si>
    <t>12680</t>
  </si>
  <si>
    <t>38608</t>
  </si>
  <si>
    <t>12580</t>
  </si>
  <si>
    <t>31991</t>
  </si>
  <si>
    <t>16075</t>
  </si>
  <si>
    <t>12150</t>
  </si>
  <si>
    <t>16900</t>
  </si>
  <si>
    <t>30878</t>
  </si>
  <si>
    <t>11900</t>
  </si>
  <si>
    <t>16750</t>
  </si>
  <si>
    <t>33688</t>
  </si>
  <si>
    <t>80948</t>
  </si>
  <si>
    <t>122185</t>
  </si>
  <si>
    <t>16484</t>
  </si>
  <si>
    <t>36330</t>
  </si>
  <si>
    <t>19889</t>
  </si>
  <si>
    <t>Clendenin</t>
  </si>
  <si>
    <t>(Higher than $200,000)</t>
  </si>
  <si>
    <t>20-02-0011-0085-0002_7554</t>
  </si>
  <si>
    <t>20-02-0007-0004-0000_9999</t>
  </si>
  <si>
    <t>20-02-0007-0007-0000_121</t>
  </si>
  <si>
    <t>20-02-0006-0008-0000_500</t>
  </si>
  <si>
    <t>20-02-0002-0013-0000_107</t>
  </si>
  <si>
    <t>20-02-0007-0004-0003_107</t>
  </si>
  <si>
    <t>20-02-0002-0081-0000_8699</t>
  </si>
  <si>
    <t>20-02-0006-0076-0000_106</t>
  </si>
  <si>
    <t>20-02-0002-0082-0000_8673</t>
  </si>
  <si>
    <t>20-02-0011-0051-0000_7954</t>
  </si>
  <si>
    <t>20-02-0007-0019-0000_301</t>
  </si>
  <si>
    <t>20-02-0007-0033-0000_533</t>
  </si>
  <si>
    <t>20-02-0007-0109-0001_502</t>
  </si>
  <si>
    <t>20-02-0006-0087-0000_1</t>
  </si>
  <si>
    <t>20-02-0007-0034-0000_101</t>
  </si>
  <si>
    <t>20-02-0011-0085-0002</t>
  </si>
  <si>
    <t>7554 ELK RIVER RD N, Clendenin, WV, 25045</t>
  </si>
  <si>
    <t>20-02-0007-0004-0000</t>
  </si>
  <si>
    <t>9999 KOONTZ AVE, Clendenin, WV, 25045</t>
  </si>
  <si>
    <t>20-02-0007-0007-0000</t>
  </si>
  <si>
    <t>121 KOONTZ AVE, Clendenin, WV, 25045</t>
  </si>
  <si>
    <t>20-02-0006-0008-0000</t>
  </si>
  <si>
    <t>500 VIRGINIA AVE, Clendenin, WV, 25045</t>
  </si>
  <si>
    <t>Big Sandy Creek</t>
  </si>
  <si>
    <t>20-02-0002-0013-0000</t>
  </si>
  <si>
    <t>107 BEECH ST, Clendenin, WV, 25045</t>
  </si>
  <si>
    <t>20-02-0007-0004-0003</t>
  </si>
  <si>
    <t>107 KOONTZ AVE APT 301, Clendenin, WV, 25045</t>
  </si>
  <si>
    <t>20-02-0002-0081-0000</t>
  </si>
  <si>
    <t>8699 ELK RIVER RD N, Clendenin, WV, 25045</t>
  </si>
  <si>
    <t>20-02-0006-0076-0000</t>
  </si>
  <si>
    <t>106 MAYWOOD AVE W, Clendenin, WV, 25045</t>
  </si>
  <si>
    <t>20-02-0002-0082-0000</t>
  </si>
  <si>
    <t>8673 ELK RIVER RD N, Clendenin, WV, 25045</t>
  </si>
  <si>
    <t>20-02-0011-0051-0000</t>
  </si>
  <si>
    <t>7954 ELK RIVER RD N, Clendenin, WV, 25045</t>
  </si>
  <si>
    <t>20-02-0007-0019-0000</t>
  </si>
  <si>
    <t>301 KOONTZ AVE, Clendenin, WV, 25045</t>
  </si>
  <si>
    <t>20-02-0007-0033-0000</t>
  </si>
  <si>
    <t>533 MAYWOOD AVE E, Clendenin, WV, 25045</t>
  </si>
  <si>
    <t>Mill Hollow</t>
  </si>
  <si>
    <t>20-02-0007-0109-0001</t>
  </si>
  <si>
    <t>502 KANAWHA AVE E, Clendenin, WV, 25045</t>
  </si>
  <si>
    <t>20-02-0006-0087-0000</t>
  </si>
  <si>
    <t>1 CARDINAL ST, Clendenin, WV, 25045</t>
  </si>
  <si>
    <t>20-02-0007-0034-0000</t>
  </si>
  <si>
    <t>101 1ST ST, Clendenin, WV, 25045</t>
  </si>
  <si>
    <t>CLENDENIN CHURCH OF THE NAZARENE</t>
  </si>
  <si>
    <t>25045 A NEW CLENDENIN INC</t>
  </si>
  <si>
    <t>FIRST METH CHURCH</t>
  </si>
  <si>
    <t>CLENDENIN BAPTIST CHURCH</t>
  </si>
  <si>
    <t>C &amp; P TELEPHONE CO OF WEST VA</t>
  </si>
  <si>
    <t>CLENDENIN SCHOOL LP</t>
  </si>
  <si>
    <t>BAKER J C &amp; SON INC</t>
  </si>
  <si>
    <t>GARRETT ROGER L</t>
  </si>
  <si>
    <t>ADVENT CHRISTIAN CH</t>
  </si>
  <si>
    <t>O V SMITH &amp; SONS OF BIG CHIMNEY</t>
  </si>
  <si>
    <t>MATICS ANTHONY R &amp; ANNE R</t>
  </si>
  <si>
    <t>LUCAS TONY E &amp; LYNETTE S</t>
  </si>
  <si>
    <t>KANAWHA COUNTY PUBLIC LIBARY</t>
  </si>
  <si>
    <t>CLENDENIN TOWN OF</t>
  </si>
  <si>
    <t>1913</t>
  </si>
  <si>
    <t>1916</t>
  </si>
  <si>
    <t>10200</t>
  </si>
  <si>
    <t>16480</t>
  </si>
  <si>
    <t>6390</t>
  </si>
  <si>
    <t>41471</t>
  </si>
  <si>
    <t>6732</t>
  </si>
  <si>
    <t>8539</t>
  </si>
  <si>
    <t>3110</t>
  </si>
  <si>
    <t>23333</t>
  </si>
  <si>
    <t>4856</t>
  </si>
  <si>
    <t>4200</t>
  </si>
  <si>
    <t>3416</t>
  </si>
  <si>
    <t>2806</t>
  </si>
  <si>
    <t>7800</t>
  </si>
  <si>
    <t>20-26-0013-0008-0000_981</t>
  </si>
  <si>
    <t>20-26-0015-0002-0001_1004</t>
  </si>
  <si>
    <t>20-26-0020-0001-0000_2800</t>
  </si>
  <si>
    <t>20-26-0011-0242-0000_1400</t>
  </si>
  <si>
    <t>20-26-0020-0031-0000_2605</t>
  </si>
  <si>
    <t>20-26-0019-0073-0000_4005</t>
  </si>
  <si>
    <t>20-26-0011-0238-0001_1419</t>
  </si>
  <si>
    <t>20-26-0009-0261-0000_300</t>
  </si>
  <si>
    <t>20-26-0012-0022-0000_9999</t>
  </si>
  <si>
    <t>20-26-0011-0238-0000_1415</t>
  </si>
  <si>
    <t>20-26-0008-0297-0000_1223</t>
  </si>
  <si>
    <t>20-26-0004-0097-0000_105</t>
  </si>
  <si>
    <t>20-26-0013-0008-0000_1</t>
  </si>
  <si>
    <t>20-26-0012-0007-0001_1313</t>
  </si>
  <si>
    <t>20-26-0020-0046-0000_499</t>
  </si>
  <si>
    <t>20-26-0009-0261-0000_100</t>
  </si>
  <si>
    <t>20-26-0020-0042-0000_402</t>
  </si>
  <si>
    <t>20-26-0012-0003-0000_1325</t>
  </si>
  <si>
    <t>20-26-0014-0066-0000_209</t>
  </si>
  <si>
    <t>20-26-0008-0293-0000_400</t>
  </si>
  <si>
    <t>20-26-0011-0269-0000_323</t>
  </si>
  <si>
    <t>20-26-0019-0072-0000_4007</t>
  </si>
  <si>
    <t>20-26-0020-0008-0000_2700</t>
  </si>
  <si>
    <t>20-26-0012-0028-0000_1334</t>
  </si>
  <si>
    <t>20-26-0004-0097-0000_101</t>
  </si>
  <si>
    <t>20-26-0015-0134-0000_2019</t>
  </si>
  <si>
    <t>20-26-0008-0243-0000_1334</t>
  </si>
  <si>
    <t>20-26-0013-0008-0000</t>
  </si>
  <si>
    <t>981 DUNBAR VILLAGE PLZ, Dunbar, WV, 25064</t>
  </si>
  <si>
    <t>Aarons Creek</t>
  </si>
  <si>
    <t>20-26-0015-0002-0001</t>
  </si>
  <si>
    <t>1004 LOWER MIDWAY DR, Dunbar, WV, 25064</t>
  </si>
  <si>
    <t>20-26-0020-0001-0000</t>
  </si>
  <si>
    <t>2800 CHARLES AVE, Dunbar, WV, 25064</t>
  </si>
  <si>
    <t>20-26-0011-0242-0000</t>
  </si>
  <si>
    <t>1400 OHIO AVE, Dunbar, WV, 25064</t>
  </si>
  <si>
    <t>20-26-0020-0031-0000</t>
  </si>
  <si>
    <t>2605 CHARLES AVE, Dunbar, WV, 25064</t>
  </si>
  <si>
    <t>20-26-0019-0073-0000</t>
  </si>
  <si>
    <t>4005 WASHINGTON ST W, Charleston, WV, 25313</t>
  </si>
  <si>
    <t>20-26-0011-0238-0001</t>
  </si>
  <si>
    <t>1419 DUNBAR AVE, Dunbar, WV, 25064</t>
  </si>
  <si>
    <t>20-26-0009-0261-0000</t>
  </si>
  <si>
    <t>300 ROXALANA BUSINESS PARK, Dunbar, WV, 25064</t>
  </si>
  <si>
    <t>20-26-0012-0022-0000</t>
  </si>
  <si>
    <t>9999 OHIO AVE, Dunbar, WV, 25064</t>
  </si>
  <si>
    <t>20-26-0011-0238-0000</t>
  </si>
  <si>
    <t>1415 DUNBAR AVE, Dunbar, WV, 25064</t>
  </si>
  <si>
    <t>20-26-0008-0297-0000</t>
  </si>
  <si>
    <t>1223 CHARLES AVE, Dunbar, WV, 25064</t>
  </si>
  <si>
    <t>20-26-0004-0097-0000</t>
  </si>
  <si>
    <t>105 ROXALANA BUSINESS PARK, Dunbar, WV, 25064</t>
  </si>
  <si>
    <t>1 KRUZERS ALY, Dunbar, WV, 25064</t>
  </si>
  <si>
    <t>20-26-0012-0007-0001</t>
  </si>
  <si>
    <t>1313 DUNBAR AVE, Dunbar, WV, 25064</t>
  </si>
  <si>
    <t>20-26-0020-0046-0000</t>
  </si>
  <si>
    <t>499 28TH ST, Dunbar, WV, 25064</t>
  </si>
  <si>
    <t>100 ROXALANA BUSINESS PARK, Dunbar, WV, 25064</t>
  </si>
  <si>
    <t>20-26-0020-0042-0000</t>
  </si>
  <si>
    <t>402 28TH ST, Dunbar, WV, 25064</t>
  </si>
  <si>
    <t>20-26-0012-0003-0000</t>
  </si>
  <si>
    <t>1325 DUNBAR AVE, Dunbar, WV, 25064</t>
  </si>
  <si>
    <t>20-26-0014-0066-0000</t>
  </si>
  <si>
    <t>209 KANAWHA AVE, Dunbar, WV, 25064</t>
  </si>
  <si>
    <t>20-26-0008-0293-0000</t>
  </si>
  <si>
    <t>400 16TH ST, Dunbar, WV, 25064</t>
  </si>
  <si>
    <t>20-26-0011-0269-0000</t>
  </si>
  <si>
    <t>323 15TH ST, Dunbar, WV, 25064</t>
  </si>
  <si>
    <t>20-26-0019-0072-0000</t>
  </si>
  <si>
    <t>4007 WASHINGTON ST W, Charleston, WV, 25313</t>
  </si>
  <si>
    <t>20-26-0020-0008-0000</t>
  </si>
  <si>
    <t>2700 CHARLES AVE, Dunbar, WV, 25064</t>
  </si>
  <si>
    <t>20-26-0012-0028-0000</t>
  </si>
  <si>
    <t>1334 OHIO AVE, Dunbar, WV, 25064</t>
  </si>
  <si>
    <t>101 ROXALANA BUSINESS PARK, Dunbar, WV, 25064</t>
  </si>
  <si>
    <t>20-26-0015-0134-0000</t>
  </si>
  <si>
    <t>2019 ROXALANA RD, Dunbar, WV, 25064</t>
  </si>
  <si>
    <t>20-26-0008-0243-0000</t>
  </si>
  <si>
    <t>1334 LIGHTNER AVE, Dunbar, WV, 25064</t>
  </si>
  <si>
    <t>Dunbar</t>
  </si>
  <si>
    <t>ZRAJ DUNBAR LLC</t>
  </si>
  <si>
    <t>DUNBAR CITY OF</t>
  </si>
  <si>
    <t>STEWART PLAZA LIMITED LIABILITY COMPANY</t>
  </si>
  <si>
    <t>SMAIDI WALID A</t>
  </si>
  <si>
    <t>BANNING JOHN WAYNE &amp; PATRICIA K</t>
  </si>
  <si>
    <t>CARMAL INC</t>
  </si>
  <si>
    <t>MILLS HOLDING LLC</t>
  </si>
  <si>
    <t>DUNBAR MOLARD LLC</t>
  </si>
  <si>
    <t>TWELVE-O-SIX VIRGINIA INC</t>
  </si>
  <si>
    <t>MALLORY STEPHEN A &amp; DONNA C</t>
  </si>
  <si>
    <t>D &amp; A LAND COMPANY LLC</t>
  </si>
  <si>
    <t>DYNASTY DEVELOPMENT LLC</t>
  </si>
  <si>
    <t>VELOX EXPRESS INC</t>
  </si>
  <si>
    <t>HIGGINS OWEN S II</t>
  </si>
  <si>
    <t>WOOD CHRISTOPHER A &amp; LISA D</t>
  </si>
  <si>
    <t>GMC REAL ESTATE LLC</t>
  </si>
  <si>
    <t>DUNBAR CHURCH OF CHRIST</t>
  </si>
  <si>
    <t>MEADOR LEONARD R &amp; DIANE R</t>
  </si>
  <si>
    <t>WEST VA STATE BLDG COMM</t>
  </si>
  <si>
    <t>SHALHOUP NICHOLAS JR</t>
  </si>
  <si>
    <t>MONTGOMERY THOMAS L JR</t>
  </si>
  <si>
    <t>CHURCH OF NAZARENE</t>
  </si>
  <si>
    <t>1948</t>
  </si>
  <si>
    <t>1900</t>
  </si>
  <si>
    <t>56732</t>
  </si>
  <si>
    <t>14738</t>
  </si>
  <si>
    <t>19400</t>
  </si>
  <si>
    <t>11156</t>
  </si>
  <si>
    <t>6644</t>
  </si>
  <si>
    <t>21713</t>
  </si>
  <si>
    <t>17836</t>
  </si>
  <si>
    <t>11955</t>
  </si>
  <si>
    <t>8720</t>
  </si>
  <si>
    <t>6191</t>
  </si>
  <si>
    <t>4112</t>
  </si>
  <si>
    <t>4900</t>
  </si>
  <si>
    <t>15936</t>
  </si>
  <si>
    <t>7940</t>
  </si>
  <si>
    <t>8250</t>
  </si>
  <si>
    <t>9225</t>
  </si>
  <si>
    <t>2439</t>
  </si>
  <si>
    <t>22984</t>
  </si>
  <si>
    <t>4750</t>
  </si>
  <si>
    <t>7482</t>
  </si>
  <si>
    <t>19500</t>
  </si>
  <si>
    <t>5175</t>
  </si>
  <si>
    <t>3488</t>
  </si>
  <si>
    <t>8913</t>
  </si>
  <si>
    <t>(Higher than $1,000,000)</t>
  </si>
  <si>
    <t>20-25-022T-0080-0000_5088</t>
  </si>
  <si>
    <t>20-15-0040-0002-0000_1982B</t>
  </si>
  <si>
    <t>20-15-0023-0077-0000_5120</t>
  </si>
  <si>
    <t>20-25-0035-0056-0000_4277</t>
  </si>
  <si>
    <t>20-15-0045-0030-0000_405</t>
  </si>
  <si>
    <t>20-03-0058-0001-0000_4262</t>
  </si>
  <si>
    <t>20-15-0040-0002-0000_1982</t>
  </si>
  <si>
    <t>20-23-032A-0075-0000_2100</t>
  </si>
  <si>
    <t>20-15-037D-0004-0000_4788</t>
  </si>
  <si>
    <t>20-16-008E-0040-0001_6500</t>
  </si>
  <si>
    <t>20-15-0029-0011-0000_4998</t>
  </si>
  <si>
    <t>20-15-0039-0124-0000_9999</t>
  </si>
  <si>
    <t>20-10-0071-0107-0000_2829</t>
  </si>
  <si>
    <t>20-16-008A-0057-0001_2910</t>
  </si>
  <si>
    <t>20-28-0024-0001-0000_137</t>
  </si>
  <si>
    <t>20-15-0053-0005-0000_1201</t>
  </si>
  <si>
    <t>20-16-010B-0046-0000_5803</t>
  </si>
  <si>
    <t>20-03-038F-0035-0000_205</t>
  </si>
  <si>
    <t>20-15-037A-0041-0000_4506</t>
  </si>
  <si>
    <t>20-16-0002-0020-0000_485</t>
  </si>
  <si>
    <t>20-15-037D-0001-0000_4710</t>
  </si>
  <si>
    <t>20-28-0024-0001-0000_123</t>
  </si>
  <si>
    <t>Rocky Fork</t>
  </si>
  <si>
    <t>20-25-022T-0080-0000</t>
  </si>
  <si>
    <t>5088 WASHINGTON ST W, Cross Lanes, WV, 25313</t>
  </si>
  <si>
    <t>Blue Creek</t>
  </si>
  <si>
    <t>20-15-0040-0002-0000</t>
  </si>
  <si>
    <t>1982B COCO RD, Elkview, WV, 25071</t>
  </si>
  <si>
    <t>20-15-0023-0077-0000</t>
  </si>
  <si>
    <t>5120 ELK RIVER RD N, Elkview, WV, 25071</t>
  </si>
  <si>
    <t>20-25-0035-0056-0000</t>
  </si>
  <si>
    <t>4277 WASHINGTON ST W, Charleston, WV, 25313</t>
  </si>
  <si>
    <t>Mill Creek</t>
  </si>
  <si>
    <t>20-15-0045-0030-0000</t>
  </si>
  <si>
    <t>405 WISE ACRES DR, Charleston, WV, 25311</t>
  </si>
  <si>
    <t>Coal Fork</t>
  </si>
  <si>
    <t>20-03-0058-0001-0000</t>
  </si>
  <si>
    <t>4262 COAL FORK RD, Eskdale, WV, 25075</t>
  </si>
  <si>
    <t>1982 COCO RD, Elkview, WV, 25071</t>
  </si>
  <si>
    <t>20-23-032A-0075-0000</t>
  </si>
  <si>
    <t>2100 E DUPONT AVE, Belle, WV, 25015</t>
  </si>
  <si>
    <t>20-15-037D-0004-0000</t>
  </si>
  <si>
    <t>4788 CHIMNEY DR, Charleston, WV, 25302</t>
  </si>
  <si>
    <t>20-16-008E-0040-0001</t>
  </si>
  <si>
    <t>6500 MACCORKLE AVE SW, Saint Albans, WV, 25177</t>
  </si>
  <si>
    <t>20-15-0029-0011-0000</t>
  </si>
  <si>
    <t>4998 ELK RIVER RD S UNIT J, Elkview, WV, 25071</t>
  </si>
  <si>
    <t>20-15-0039-0124-0000</t>
  </si>
  <si>
    <t>9999 COCO RD, Elkview, WV, 25071</t>
  </si>
  <si>
    <t>20-10-0071-0107-0000</t>
  </si>
  <si>
    <t>2829 KANAWHA BLVD E, Charleston, WV, 25311</t>
  </si>
  <si>
    <t>Two and Three Quarter Mile Creek</t>
  </si>
  <si>
    <t>20-16-008A-0057-0001</t>
  </si>
  <si>
    <t>2910 KANAWHA TER, Saint Albans, WV, 25177</t>
  </si>
  <si>
    <t>20-28-0024-0001-0000</t>
  </si>
  <si>
    <t>137 Fork Creek Rd North, Alum Creek, WV, 25003</t>
  </si>
  <si>
    <t>Elk Twomile Creek</t>
  </si>
  <si>
    <t>20-15-0053-0005-0000</t>
  </si>
  <si>
    <t>1201 GREENBRIER ST, Charleston, WV, 25311</t>
  </si>
  <si>
    <t>20-16-010B-0046-0000</t>
  </si>
  <si>
    <t>5803 MACCORKLE AVE SW, Saint Albans, WV, 25177</t>
  </si>
  <si>
    <t>20-03-038F-0035-0000</t>
  </si>
  <si>
    <t>205 APPALACHIAN ST, Cabin Creek, WV, 25035</t>
  </si>
  <si>
    <t>Coopers Creek</t>
  </si>
  <si>
    <t>20-15-037A-0041-0000</t>
  </si>
  <si>
    <t>4506 PENNSYLVANIA AVE, Charleston, WV, 25302</t>
  </si>
  <si>
    <t>20-16-0002-0020-0000</t>
  </si>
  <si>
    <t>485 INDUSTRIAL RD, Saint Albans, WV, 25177</t>
  </si>
  <si>
    <t>20-15-037D-0001-0000</t>
  </si>
  <si>
    <t>4710 CHIMNEY DR STE H, Charleston, WV, 25302</t>
  </si>
  <si>
    <t>123 LONG SHOAL BRANCH RD, Alum Creek, WV, 25003</t>
  </si>
  <si>
    <t>Kanawha County*</t>
  </si>
  <si>
    <t>ROBINSON EDWARD L &amp; MARY J</t>
  </si>
  <si>
    <t>MILL CREEK LANDING LIMITED PARTNERSHIP</t>
  </si>
  <si>
    <t>SHONK LAND CO LLC</t>
  </si>
  <si>
    <t>HREHC LLC</t>
  </si>
  <si>
    <t>O V SMITH &amp; SONS OF BIG CHIMNEY INC</t>
  </si>
  <si>
    <t>GPH ST ALBANS LLC</t>
  </si>
  <si>
    <t>O V SMITH &amp; SONS OF BIG CHIMENY INC</t>
  </si>
  <si>
    <t>COLUMBIA GAS TRANSMISSION CORP COLUMBIA PIPELINE GROUP</t>
  </si>
  <si>
    <t>WEST VA DEPT OF HWYS</t>
  </si>
  <si>
    <t>MARANTHA FELLOWSHIP CHURCH OF GOD</t>
  </si>
  <si>
    <t>PENN VIRGINIA COAL COMPANY</t>
  </si>
  <si>
    <t>1201 GREENBRIER LLC</t>
  </si>
  <si>
    <t>R N S PROPERTIES LLC</t>
  </si>
  <si>
    <t>CHELYAN LIMITED PARTNERSHIP</t>
  </si>
  <si>
    <t>SMITH O V &amp; SONS INC</t>
  </si>
  <si>
    <t>E</t>
  </si>
  <si>
    <t>RES6</t>
  </si>
  <si>
    <t>30910</t>
  </si>
  <si>
    <t>8432</t>
  </si>
  <si>
    <t>35000</t>
  </si>
  <si>
    <t>17800</t>
  </si>
  <si>
    <t>45589</t>
  </si>
  <si>
    <t>7880</t>
  </si>
  <si>
    <t>7555</t>
  </si>
  <si>
    <t>11126</t>
  </si>
  <si>
    <t>81158</t>
  </si>
  <si>
    <t>30982</t>
  </si>
  <si>
    <t>60340</t>
  </si>
  <si>
    <t>6378</t>
  </si>
  <si>
    <t>17465</t>
  </si>
  <si>
    <t>22900</t>
  </si>
  <si>
    <t>5851</t>
  </si>
  <si>
    <t>18832</t>
  </si>
  <si>
    <t>14620</t>
  </si>
  <si>
    <t>35826</t>
  </si>
  <si>
    <t>32724</t>
  </si>
  <si>
    <t>17759</t>
  </si>
  <si>
    <t>23839</t>
  </si>
  <si>
    <t>5246</t>
  </si>
  <si>
    <t>20-27-0028-0024-0000_800</t>
  </si>
  <si>
    <t>20-27-0010-0140-0000_401</t>
  </si>
  <si>
    <t>20-27-0027-0103-0000_210</t>
  </si>
  <si>
    <t>20-27-0009-0001-0000_119</t>
  </si>
  <si>
    <t>20-27-0013-0096-0000_415</t>
  </si>
  <si>
    <t>20-27-0013-0091-0000_300</t>
  </si>
  <si>
    <t>20-27-0010-0191-0000_402</t>
  </si>
  <si>
    <t>20-27-0019-0020-0000_306</t>
  </si>
  <si>
    <t>20-27-0019-0020-0000_201</t>
  </si>
  <si>
    <t>20-27-0012-0041-0000_1101</t>
  </si>
  <si>
    <t>20-27-0009-9999-9999_140</t>
  </si>
  <si>
    <t>20-27-0014-0021-0000_1400</t>
  </si>
  <si>
    <t>20-27-0028-0093-0000_603</t>
  </si>
  <si>
    <t>20-27-0027-0062-0000_211</t>
  </si>
  <si>
    <t>20-27-0006-0060-0005_126</t>
  </si>
  <si>
    <t>20-27-0009-0001-0001_306</t>
  </si>
  <si>
    <t>20-27-0009-0101-0000_16</t>
  </si>
  <si>
    <t>20-25-0021-0037-0000_408</t>
  </si>
  <si>
    <t>20-27-0011-0079-0000_709</t>
  </si>
  <si>
    <t>20-27-0011-0123-0000_808</t>
  </si>
  <si>
    <t>20-27-0009-0001-0000_119B</t>
  </si>
  <si>
    <t>20-27-0027-0094-0002_110</t>
  </si>
  <si>
    <t>20-27-0010-0220-0000_207</t>
  </si>
  <si>
    <t>20-27-0014-0014-0000_1334</t>
  </si>
  <si>
    <t>20-27-0012-0022-0000_5</t>
  </si>
  <si>
    <t>20-27-0014-0020-0000_1346</t>
  </si>
  <si>
    <t>20-27-0010-0226-0000_401</t>
  </si>
  <si>
    <t>20-27-0028-0024-0000</t>
  </si>
  <si>
    <t>800 1ST AVE S, Nitro, WV, 25143</t>
  </si>
  <si>
    <t>20-27-0010-0140-0000</t>
  </si>
  <si>
    <t>401 ELM ST, Nitro, WV, 25143</t>
  </si>
  <si>
    <t>20-27-0027-0103-0000</t>
  </si>
  <si>
    <t>210 KANAWHA AVE S, Nitro, WV, 25143</t>
  </si>
  <si>
    <t>20-27-0009-0001-0000</t>
  </si>
  <si>
    <t>119 LOCK AVE, Nitro, WV, 25143</t>
  </si>
  <si>
    <t>20-27-0013-0096-0000</t>
  </si>
  <si>
    <t>415 1ST AVE S, Nitro, WV, 25143</t>
  </si>
  <si>
    <t>20-27-0013-0091-0000</t>
  </si>
  <si>
    <t>300 1ST AVE S, Nitro, WV, 25143</t>
  </si>
  <si>
    <t>20-27-0010-0191-0000</t>
  </si>
  <si>
    <t>402 MAIN AVE, Nitro, WV, 25143</t>
  </si>
  <si>
    <t>Armour Creek</t>
  </si>
  <si>
    <t>20-27-0019-0020-0000</t>
  </si>
  <si>
    <t>306 CROSSROADS VILLAGE DR, Nitro, WV, 25143</t>
  </si>
  <si>
    <t>201 CROSSROADS VILLAGE DR, Nitro, WV, 25143</t>
  </si>
  <si>
    <t>20-27-0012-0041-0000</t>
  </si>
  <si>
    <t>1101 MAIN AVE APT 7, Nitro, WV, 25143</t>
  </si>
  <si>
    <t>20-27-0009-9999-9999</t>
  </si>
  <si>
    <t>140 MAIN AVE APT 1, Nitro, WV, 25143</t>
  </si>
  <si>
    <t>20-27-0014-0021-0000</t>
  </si>
  <si>
    <t>1400 SATTES CIR, Nitro, WV, 25143</t>
  </si>
  <si>
    <t>20-27-0028-0093-0000</t>
  </si>
  <si>
    <t>603 KANAWHA AVE S, Nitro, WV, 25143</t>
  </si>
  <si>
    <t>20-27-0027-0062-0000</t>
  </si>
  <si>
    <t>211 MICHIGAN AVE, Nitro, WV, 25143</t>
  </si>
  <si>
    <t>20-27-0006-0060-0005</t>
  </si>
  <si>
    <t>126 LOCK AVE, Nitro, WV, 25143</t>
  </si>
  <si>
    <t>20-27-0009-0001-0001</t>
  </si>
  <si>
    <t>306 BROADWAY AVE, Nitro, WV, 25143</t>
  </si>
  <si>
    <t>20-27-0009-0101-0000</t>
  </si>
  <si>
    <t>16 LAYNE AVE, Nitro, WV, 25143</t>
  </si>
  <si>
    <t>Blakes Creek</t>
  </si>
  <si>
    <t>20-25-0021-0037-0000</t>
  </si>
  <si>
    <t>408 BLAKE RD, Nitro, WV, 25143</t>
  </si>
  <si>
    <t>20-27-0011-0079-0000</t>
  </si>
  <si>
    <t>709 DUPONT AVE, Nitro, WV, 25143</t>
  </si>
  <si>
    <t>20-27-0011-0123-0000</t>
  </si>
  <si>
    <t>808 MAIN AVE, Nitro, WV, 25143</t>
  </si>
  <si>
    <t>119B LOCK AVE, Nitro, WV, 25143</t>
  </si>
  <si>
    <t>20-27-0027-0094-0002</t>
  </si>
  <si>
    <t>110 RIVER VISTA DR, Nitro, WV, 25143</t>
  </si>
  <si>
    <t>20-27-0010-0220-0000</t>
  </si>
  <si>
    <t>207 MAIN AVE, Nitro, WV, 25143</t>
  </si>
  <si>
    <t>20-27-0014-0014-0000</t>
  </si>
  <si>
    <t>1334 VALENTINE CIR, Nitro, WV, 25143</t>
  </si>
  <si>
    <t>20-27-0012-0022-0000</t>
  </si>
  <si>
    <t>5 MARTINS CT, Nitro, WV, 25143</t>
  </si>
  <si>
    <t>20-27-0014-0020-0000</t>
  </si>
  <si>
    <t>1346 VALENTINE CIR, Nitro, WV, 25143</t>
  </si>
  <si>
    <t>20-27-0010-0226-0000</t>
  </si>
  <si>
    <t>401 MAIN AVE APT 14, Nitro, WV, 25143</t>
  </si>
  <si>
    <t>SATTES PROPERTIES LLC</t>
  </si>
  <si>
    <t>EAST NITRO UNITED BAPTIST CHURCH</t>
  </si>
  <si>
    <t>MCINTYRE JEFFREY &amp; SHONA</t>
  </si>
  <si>
    <t>MCINTYRE GROUP REAL ESTATE &amp; DEVELOPMENT LLC</t>
  </si>
  <si>
    <t>COMMERCIAL PROPERTIES ASSOCIATES LLP</t>
  </si>
  <si>
    <t>A PX ASSOCIATES</t>
  </si>
  <si>
    <t>BRIDGE OF FAITH FELLOWSHIP INC</t>
  </si>
  <si>
    <t>CROSSROADS VILLAGE APARTMENTS LLC</t>
  </si>
  <si>
    <t>BRASSEUR MILDRED</t>
  </si>
  <si>
    <t>NITRO CHURCH OF THE NAZARENE</t>
  </si>
  <si>
    <t>WARNER DAVID C &amp; SHERI</t>
  </si>
  <si>
    <t>RIVER VALLEY HOLDINGS LLC</t>
  </si>
  <si>
    <t>JONES KATHY L</t>
  </si>
  <si>
    <t>BRANNON LARRY T &amp; REBA R</t>
  </si>
  <si>
    <t>RUECKERT TIMOTHY J &amp; KELI L</t>
  </si>
  <si>
    <t>SLATER JEFFREY K</t>
  </si>
  <si>
    <t>ROBERTS GWENDOLYN ADEAN &amp; BRYAN</t>
  </si>
  <si>
    <t>NEASE RICHARD A &amp; LORINDA</t>
  </si>
  <si>
    <t>HELM EDWARD &amp; NORA T</t>
  </si>
  <si>
    <t>DAWSON LARRY W</t>
  </si>
  <si>
    <t>VANCE LENDA C &amp; JAMES L</t>
  </si>
  <si>
    <t>REED JACK &amp; SHEILA</t>
  </si>
  <si>
    <t>DAUGHERTY RICHARD A &amp; NANCY R</t>
  </si>
  <si>
    <t>MITCHELL MILLARD R &amp; EMMA P</t>
  </si>
  <si>
    <t>1963</t>
  </si>
  <si>
    <t>1957</t>
  </si>
  <si>
    <t>1958</t>
  </si>
  <si>
    <t>63100</t>
  </si>
  <si>
    <t>8000</t>
  </si>
  <si>
    <t>4050</t>
  </si>
  <si>
    <t>18042</t>
  </si>
  <si>
    <t>24608</t>
  </si>
  <si>
    <t>10109</t>
  </si>
  <si>
    <t>7920</t>
  </si>
  <si>
    <t>7020</t>
  </si>
  <si>
    <t>10578</t>
  </si>
  <si>
    <t>6700</t>
  </si>
  <si>
    <t>5200</t>
  </si>
  <si>
    <t>2449</t>
  </si>
  <si>
    <t>5796</t>
  </si>
  <si>
    <t>3122</t>
  </si>
  <si>
    <t>2647</t>
  </si>
  <si>
    <t>6664</t>
  </si>
  <si>
    <t>3464</t>
  </si>
  <si>
    <t>4912</t>
  </si>
  <si>
    <t>11288</t>
  </si>
  <si>
    <t>9114</t>
  </si>
  <si>
    <t>2036</t>
  </si>
  <si>
    <t>6027</t>
  </si>
  <si>
    <t>2056</t>
  </si>
  <si>
    <t>2556</t>
  </si>
  <si>
    <t>7900</t>
  </si>
  <si>
    <t>Nitro**</t>
  </si>
  <si>
    <t>20-18-0010-0006-0000_725</t>
  </si>
  <si>
    <t>20-22-0005-0121-0000_149</t>
  </si>
  <si>
    <t>20-18-0003-0047-0000_5100</t>
  </si>
  <si>
    <t>20-22-0018-0005-0000_315</t>
  </si>
  <si>
    <t>20-18-0003-0141-0000_502</t>
  </si>
  <si>
    <t>20-25-0036-0024-0000_70</t>
  </si>
  <si>
    <t>20-18-0003-0024-0000_5310</t>
  </si>
  <si>
    <t>20-18-0001-0029-0000_5621</t>
  </si>
  <si>
    <t>20-22-0017-0021-0000_235</t>
  </si>
  <si>
    <t>20-18-0001-0041-0000_5725</t>
  </si>
  <si>
    <t>20-18-0005-0021-0000_9999</t>
  </si>
  <si>
    <t>20-18-0002-0004-0000_5523</t>
  </si>
  <si>
    <t>20-18-0003-0236-0000_5322</t>
  </si>
  <si>
    <t>20-18-0001-0036-0000_5715</t>
  </si>
  <si>
    <t>20-18-0003-0232-0000_5321</t>
  </si>
  <si>
    <t>20-22-0021-0055-0000_736</t>
  </si>
  <si>
    <t>20-22-0002-0001-0004_18</t>
  </si>
  <si>
    <t>20-18-0003-0230-0000_5315</t>
  </si>
  <si>
    <t>20-18-0002-0129-0000_5405</t>
  </si>
  <si>
    <t>20-22-0010-0024-0000_325</t>
  </si>
  <si>
    <t>20-18-0005-0079-0000_5028</t>
  </si>
  <si>
    <t>20-18-0001-0011-0000_5612</t>
  </si>
  <si>
    <t>20-18-0003-0075-0000_5303</t>
  </si>
  <si>
    <t>20-22-0002-0001-0000_19</t>
  </si>
  <si>
    <t>20-18-0003-0225-0000_5303</t>
  </si>
  <si>
    <t>20-18-0010-0006-0000</t>
  </si>
  <si>
    <t>725 JEFFERSON RD, South Charleston, WV, 25309</t>
  </si>
  <si>
    <t>20-22-0005-0121-0000</t>
  </si>
  <si>
    <t>149 7TH AVE, South Charleston, WV, 25303</t>
  </si>
  <si>
    <t>20-18-0003-0047-0000</t>
  </si>
  <si>
    <t>5100 MACCORKLE AVE SW, South Charleston, WV, 25309</t>
  </si>
  <si>
    <t>20-22-0018-0005-0000</t>
  </si>
  <si>
    <t>315 4TH AVE, South Charleston, WV, 25303</t>
  </si>
  <si>
    <t>20-18-0003-0141-0000</t>
  </si>
  <si>
    <t>502 ROCK LAKE DR, South Charleston, WV, 25309</t>
  </si>
  <si>
    <t>20-25-0036-0024-0000</t>
  </si>
  <si>
    <t>70 DUNBAR AVE, South Charleston, WV, 25309</t>
  </si>
  <si>
    <t>20-18-0003-0024-0000</t>
  </si>
  <si>
    <t>5310 MACCORKLE AVE SW, South Charleston, WV, 25309</t>
  </si>
  <si>
    <t>20-18-0001-0029-0000</t>
  </si>
  <si>
    <t>5621 MACCORKLE AVE SW, South Charleston, WV, 25309</t>
  </si>
  <si>
    <t>20-22-0017-0021-0000</t>
  </si>
  <si>
    <t>235 4TH AVE, South Charleston, WV, 25303</t>
  </si>
  <si>
    <t>20-18-0001-0041-0000</t>
  </si>
  <si>
    <t>5725 KANAWHA TPKE, South Charleston, WV, 25309</t>
  </si>
  <si>
    <t>20-18-0005-0021-0000</t>
  </si>
  <si>
    <t>9999 MACCORKLE AVE SW, South Charleston, WV, 25309</t>
  </si>
  <si>
    <t>20-18-0002-0004-0000</t>
  </si>
  <si>
    <t>5523 MACCORKLE AVE SW, South Charleston, WV, 25309</t>
  </si>
  <si>
    <t>20-18-0003-0236-0000</t>
  </si>
  <si>
    <t>5322 INDIANA ST APT 3, South Charleston, WV, 25309</t>
  </si>
  <si>
    <t>20-18-0001-0036-0000</t>
  </si>
  <si>
    <t>5715 MACCORKLE AVE SW, South Charleston, WV, 25309</t>
  </si>
  <si>
    <t>20-18-0003-0232-0000</t>
  </si>
  <si>
    <t>5321 OHIO ST APT 7, South Charleston, WV, 25309</t>
  </si>
  <si>
    <t>20-22-0021-0055-0000</t>
  </si>
  <si>
    <t>736 2ND AVE, South Charleston, WV, 25303</t>
  </si>
  <si>
    <t>20-22-0002-0001-0004</t>
  </si>
  <si>
    <t>18 RIVER WALK MALL, Charleston, WV, 25303</t>
  </si>
  <si>
    <t>20-18-0003-0230-0000</t>
  </si>
  <si>
    <t>5315 OHIO ST APT 3, South Charleston, WV, 25309</t>
  </si>
  <si>
    <t>20-18-0002-0129-0000</t>
  </si>
  <si>
    <t>5405 1/2 OHIO ST, South Charleston, WV, 25309</t>
  </si>
  <si>
    <t>20-22-0010-0024-0000</t>
  </si>
  <si>
    <t>325 6TH AVE, South Charleston, WV, 25303</t>
  </si>
  <si>
    <t>20-18-0005-0079-0000</t>
  </si>
  <si>
    <t>5028 KENTUCKY ST BLDG 1, South Charleston, WV, 25309</t>
  </si>
  <si>
    <t>20-18-0001-0011-0000</t>
  </si>
  <si>
    <t>5612 MACCORKLE AVE SW, South Charleston, WV, 25309</t>
  </si>
  <si>
    <t>20-18-0003-0075-0000</t>
  </si>
  <si>
    <t>5303 MACCORKLE AVE SW, South Charleston, WV, 25309</t>
  </si>
  <si>
    <t>20-22-0002-0001-0000</t>
  </si>
  <si>
    <t>19 RIVER WALK MALL, Charleston, WV, 25303</t>
  </si>
  <si>
    <t>20-18-0003-0225-0000</t>
  </si>
  <si>
    <t>5303 OHIO ST, South Charleston, WV, 25309</t>
  </si>
  <si>
    <t>South Charleston</t>
  </si>
  <si>
    <t>WEST VA PUBLIC LAND CORP</t>
  </si>
  <si>
    <t>CAPITOL CITY BAPTIST CHURCH</t>
  </si>
  <si>
    <t>RAINES MOTOR INC</t>
  </si>
  <si>
    <t>SOUTH CHARLESTON MUNICIPAL BUILDING COMMISSION</t>
  </si>
  <si>
    <t>DAVID HAKMYONG RHEE &amp; PATRICIA S RHEE REVOCABLE</t>
  </si>
  <si>
    <t>SHAMBLIN STONE INC</t>
  </si>
  <si>
    <t>MAC AND CHASE PROPERTIES LLC</t>
  </si>
  <si>
    <t>PANUCCI DONALD L &amp; SHIRLEY G</t>
  </si>
  <si>
    <t>SO CHARLESTON CITY OF</t>
  </si>
  <si>
    <t>AHERN &amp; ASSOCIATES INC</t>
  </si>
  <si>
    <t>BIRCH PROPERTIES LLC</t>
  </si>
  <si>
    <t>L C R LLC</t>
  </si>
  <si>
    <t>STRICKLEN PROPERTIES LLC</t>
  </si>
  <si>
    <t>AA JET INC</t>
  </si>
  <si>
    <t>KANAWHA VALLEY SELF STORAGE LLC</t>
  </si>
  <si>
    <t>SCALISE ROBERT A &amp; MALENA</t>
  </si>
  <si>
    <t>BETHEL BAP CH OF SPG HILL</t>
  </si>
  <si>
    <t>LESTER RACHEL A &amp; JAMES C ALLRED</t>
  </si>
  <si>
    <t>SPEEDWAY LLC</t>
  </si>
  <si>
    <t>BAI RIVERWALK LP</t>
  </si>
  <si>
    <t>CHURCH OF GOD SPG HILL</t>
  </si>
  <si>
    <t>1942</t>
  </si>
  <si>
    <t>1989</t>
  </si>
  <si>
    <t>1940</t>
  </si>
  <si>
    <t>40000</t>
  </si>
  <si>
    <t>5452</t>
  </si>
  <si>
    <t>20412</t>
  </si>
  <si>
    <t>9594</t>
  </si>
  <si>
    <t>52822</t>
  </si>
  <si>
    <t>11000</t>
  </si>
  <si>
    <t>23061</t>
  </si>
  <si>
    <t>8084</t>
  </si>
  <si>
    <t>20436</t>
  </si>
  <si>
    <t>18900</t>
  </si>
  <si>
    <t>11330</t>
  </si>
  <si>
    <t>13431</t>
  </si>
  <si>
    <t>37615</t>
  </si>
  <si>
    <t>13320</t>
  </si>
  <si>
    <t>21600</t>
  </si>
  <si>
    <t>2712</t>
  </si>
  <si>
    <t>8880</t>
  </si>
  <si>
    <t>10164</t>
  </si>
  <si>
    <t>5544</t>
  </si>
  <si>
    <t>2924</t>
  </si>
  <si>
    <t>12304</t>
  </si>
  <si>
    <t>3834</t>
  </si>
  <si>
    <t>4000</t>
  </si>
  <si>
    <t>20-17-0013-0144-0000_525</t>
  </si>
  <si>
    <t>20-17-0004-0171-0000_9999</t>
  </si>
  <si>
    <t>20-17-0005-0235-0000_222</t>
  </si>
  <si>
    <t>20-17-0002-0208-0000_51</t>
  </si>
  <si>
    <t>20-17-0010-0393-0001_2402A</t>
  </si>
  <si>
    <t>20-17-0003-0117-0009_1479</t>
  </si>
  <si>
    <t>20-17-0010-0393-0001_2402</t>
  </si>
  <si>
    <t>20-17-0003-0117-0004_1481</t>
  </si>
  <si>
    <t>20-17-0003-0117-0008_1477</t>
  </si>
  <si>
    <t>20-17-0006-0017-0000_2355</t>
  </si>
  <si>
    <t>20-17-0007-0146-0000_111</t>
  </si>
  <si>
    <t>20-17-0004-0001-0000_1499</t>
  </si>
  <si>
    <t>20-17-0010-0393-0000_2400</t>
  </si>
  <si>
    <t>20-17-0004-0080-0000_220</t>
  </si>
  <si>
    <t>20-17-0005-0121-0000_2031</t>
  </si>
  <si>
    <t>20-17-0002-0160-0000_422</t>
  </si>
  <si>
    <t>20-17-0004-0035-0000_221</t>
  </si>
  <si>
    <t>20-17-0004-0035-0000_213</t>
  </si>
  <si>
    <t>20-17-0004-0080-0000_214</t>
  </si>
  <si>
    <t>20-17-0006-0014-0000_2333</t>
  </si>
  <si>
    <t>20-17-0002-0175-0001_2</t>
  </si>
  <si>
    <t>20-17-0004-0176-0001_1721</t>
  </si>
  <si>
    <t>20-17-0010-0305-0000_600</t>
  </si>
  <si>
    <t>20-17-0006-0073-0000_17</t>
  </si>
  <si>
    <t>20-17-0030-0027-0001_970</t>
  </si>
  <si>
    <t>20-17-0002-0092-0000_9999</t>
  </si>
  <si>
    <t>20-17-0008-0143-0000_206</t>
  </si>
  <si>
    <t>20-17-0013-0144-0000</t>
  </si>
  <si>
    <t>525 HOLLEY ST, Saint Albans, WV, 25177</t>
  </si>
  <si>
    <t>20-17-0004-0171-0000</t>
  </si>
  <si>
    <t>9999 MACCORKLE AVE, Saint Albans, WV, 25177</t>
  </si>
  <si>
    <t>20-17-0005-0235-0000</t>
  </si>
  <si>
    <t>222 HUDSON ST, Saint Albans, WV, 25177</t>
  </si>
  <si>
    <t>20-17-0002-0208-0000</t>
  </si>
  <si>
    <t>51 6TH AVE, Saint Albans, WV, 25177</t>
  </si>
  <si>
    <t>Tributary2 To Two and Three Quarter Mile Trib No.5</t>
  </si>
  <si>
    <t>20-17-0010-0393-0001</t>
  </si>
  <si>
    <t>2402 KANAWHA TER APT 200, Saint Albans, WV, 25177</t>
  </si>
  <si>
    <t>20-17-0003-0117-0009</t>
  </si>
  <si>
    <t>1479 MACCORKLE AVE, Saint Albans, WV, 25177</t>
  </si>
  <si>
    <t>2402 KANAWHA TER APT 106, Saint Albans, WV, 25177</t>
  </si>
  <si>
    <t>1481 MACCORKLE AVE, Saint Albans, WV, 25177</t>
  </si>
  <si>
    <t>20-17-0003-0117-0008</t>
  </si>
  <si>
    <t>1477 MACCORKLE AVE, Saint Albans, WV, 25177</t>
  </si>
  <si>
    <t>20-17-0006-0017-0000</t>
  </si>
  <si>
    <t>2355 MACCORKLE AVE, Saint Albans, WV, 25177</t>
  </si>
  <si>
    <t>20-17-0007-0146-0000</t>
  </si>
  <si>
    <t>111 PFAFF ST, Saint Albans, WV, 25177</t>
  </si>
  <si>
    <t>20-17-0004-0001-0000</t>
  </si>
  <si>
    <t>1499 MACCORKLE AVE, Saint Albans, WV, 25177</t>
  </si>
  <si>
    <t>Two and Three Quater Mile Tributary No.5</t>
  </si>
  <si>
    <t>20-17-0010-0393-0000</t>
  </si>
  <si>
    <t>2400 KANAWHA TER, Saint Albans, WV, 25177</t>
  </si>
  <si>
    <t>20-17-0004-0080-0000</t>
  </si>
  <si>
    <t>220 CODY ST, Saint Albans, WV, 25177</t>
  </si>
  <si>
    <t>20-17-0005-0121-0000</t>
  </si>
  <si>
    <t>2031 HARRISON AVE, Saint Albans, WV, 25177</t>
  </si>
  <si>
    <t>20-17-0002-0160-0000</t>
  </si>
  <si>
    <t>422 B ST, Saint Albans, WV, 25177</t>
  </si>
  <si>
    <t>20-17-0004-0035-0000</t>
  </si>
  <si>
    <t>221 CODY ST, Saint Albans, WV, 25177</t>
  </si>
  <si>
    <t>213 CODY ST, Saint Albans, WV, 25177</t>
  </si>
  <si>
    <t>214 CODY ST, Saint Albans, WV, 25177</t>
  </si>
  <si>
    <t>20-17-0006-0014-0000</t>
  </si>
  <si>
    <t>2333 MACCORKLE AVE, Saint Albans, WV, 25177</t>
  </si>
  <si>
    <t>20-17-0002-0175-0001</t>
  </si>
  <si>
    <t>2 6TH AVE, Saint Albans, WV, 25177</t>
  </si>
  <si>
    <t>20-17-0004-0176-0001</t>
  </si>
  <si>
    <t>1721 MACCORKLE AVE, Saint Albans, WV, 25177</t>
  </si>
  <si>
    <t>20-17-0010-0305-0000</t>
  </si>
  <si>
    <t>600 WALNUT ST UNIT D, Saint Albans, WV, 25177</t>
  </si>
  <si>
    <t>20-17-0006-0073-0000</t>
  </si>
  <si>
    <t>17 MYERS ST, Saint Albans, WV, 25177</t>
  </si>
  <si>
    <t>20-17-0030-0027-0001</t>
  </si>
  <si>
    <t>970 LEXINGTON DR, Saint Albans, WV, 25177</t>
  </si>
  <si>
    <t>20-17-0002-0092-0000</t>
  </si>
  <si>
    <t>20-17-0008-0143-0000</t>
  </si>
  <si>
    <t>206 RICHMOND ST, Saint Albans, WV, 25177</t>
  </si>
  <si>
    <t>St. Albans</t>
  </si>
  <si>
    <t>SWINT J J RT REV</t>
  </si>
  <si>
    <t>GRACE BAPTIST TEMPLE</t>
  </si>
  <si>
    <t>SPALTED INVESTMENTS LLC</t>
  </si>
  <si>
    <t>ST ALBANS BUILDING COMM</t>
  </si>
  <si>
    <t>ROYAL DEVELOPMENT SA LLC</t>
  </si>
  <si>
    <t>WEST VIRGINIA FEDERAL CREDIT UNION</t>
  </si>
  <si>
    <t>PARKWAY SUPERMARKET INC</t>
  </si>
  <si>
    <t>ST ALBANS CITY OF</t>
  </si>
  <si>
    <t>ROYAL SPORTS PERFORMANCE INC</t>
  </si>
  <si>
    <t>ST ALBANS CITY OF HOUSING AUTHORITY</t>
  </si>
  <si>
    <t>TRINITY BAPTIST CHURCH TRUSTEES</t>
  </si>
  <si>
    <t>GATEWAY CHURCH OF CHRIST</t>
  </si>
  <si>
    <t>SGK PROPERTIES LLC</t>
  </si>
  <si>
    <t>SAMPLES ANGELA</t>
  </si>
  <si>
    <t>CRAIGO REAL ESTATE CORP</t>
  </si>
  <si>
    <t>GOFF JOHN F &amp; RUTH M TRUST</t>
  </si>
  <si>
    <t>HAMILTON HAROLD S T O D</t>
  </si>
  <si>
    <t>SMITH RONNIE A &amp; BRENDA S</t>
  </si>
  <si>
    <t>MOSES SC PROPERTIES LLC</t>
  </si>
  <si>
    <t>MCWHORTER JAMES L &amp; DORCAS J</t>
  </si>
  <si>
    <t>36000</t>
  </si>
  <si>
    <t>9360</t>
  </si>
  <si>
    <t>2952</t>
  </si>
  <si>
    <t>8736</t>
  </si>
  <si>
    <t>4236</t>
  </si>
  <si>
    <t>5355</t>
  </si>
  <si>
    <t>96617</t>
  </si>
  <si>
    <t>3080</t>
  </si>
  <si>
    <t>49713</t>
  </si>
  <si>
    <t>8500</t>
  </si>
  <si>
    <t>29618</t>
  </si>
  <si>
    <t>9016</t>
  </si>
  <si>
    <t>6080</t>
  </si>
  <si>
    <t>6144</t>
  </si>
  <si>
    <t>8504</t>
  </si>
  <si>
    <t>14000</t>
  </si>
  <si>
    <t>10819</t>
  </si>
  <si>
    <t>5000</t>
  </si>
  <si>
    <t>6600</t>
  </si>
  <si>
    <t>3220</t>
  </si>
  <si>
    <t>15512</t>
  </si>
  <si>
    <t>3496</t>
  </si>
  <si>
    <t>PUTNAM</t>
  </si>
  <si>
    <t>40-08-0216-0046-0000_327</t>
  </si>
  <si>
    <t>40-10-0235-0088-0001_2122</t>
  </si>
  <si>
    <t>40-10-0235-0088-0002_2070</t>
  </si>
  <si>
    <t>40-10-0235-0088-0003_2030</t>
  </si>
  <si>
    <t>40-10-0235-0088-0005_1850</t>
  </si>
  <si>
    <t>40-11-0222-0025-0002_3520</t>
  </si>
  <si>
    <t>40-08-0225-0166-0009_97</t>
  </si>
  <si>
    <t>Putnam County</t>
  </si>
  <si>
    <t>40-08-0216-0046-0000</t>
  </si>
  <si>
    <t>327 GLASS ADDITION RD, POCA, WV, 25159</t>
  </si>
  <si>
    <t>Little Hurricane Creek</t>
  </si>
  <si>
    <t>Crooked Creek</t>
  </si>
  <si>
    <t>40-10-0235-0088-0001</t>
  </si>
  <si>
    <t>2122 WINFIELD RD, ST ALBANS, WV, 25177</t>
  </si>
  <si>
    <t>40-10-0235-0088-0002</t>
  </si>
  <si>
    <t>2070 WINFIELD RD, ST ALBANS, WV, 25177</t>
  </si>
  <si>
    <t>40-10-0235-0088-0003</t>
  </si>
  <si>
    <t>2030 WINFIELD RD, ST ALBANS, WV, 25177</t>
  </si>
  <si>
    <t>40-10-0235-0088-0005</t>
  </si>
  <si>
    <t>1850 WINFIELD RD, ST ALBANS, WV, 25177</t>
  </si>
  <si>
    <t>Unnamed Tributary 1 to Mill Creek</t>
  </si>
  <si>
    <t>40-11-0222-0025-0002</t>
  </si>
  <si>
    <t>3520 TEAYS VALLEY RD, HURRICANE, WV, 25526</t>
  </si>
  <si>
    <t>40-08-0225-0166-0009</t>
  </si>
  <si>
    <t>97 INDEPENDENT AVE, NITRO, WV, 25143</t>
  </si>
  <si>
    <t>Sleepy Creek</t>
  </si>
  <si>
    <t>Town of Buffalo</t>
  </si>
  <si>
    <t>BOARD OF EDUCATION OF THE COUNTY OF PUTNAM</t>
  </si>
  <si>
    <t>BOARD OF EDUCATION COUNTY OF PUTNAM</t>
  </si>
  <si>
    <t>PUTNAM COUNTY BOARD OF EDUCATION</t>
  </si>
  <si>
    <t>FLSMIDTH USA INC</t>
  </si>
  <si>
    <t>BOARD OF EDUCATION OF PUTNAM COUNTY</t>
  </si>
  <si>
    <t>PUTNAM CO DEV AUTHORITY INC</t>
  </si>
  <si>
    <t>PUTNAM COUNTY DEVELOPMENT AUTHORITY</t>
  </si>
  <si>
    <t>WEST VIRGINIA STATE OF ALCOHOL BEVERAGE CONTROL ADMIN</t>
  </si>
  <si>
    <t>SCOTT DEPOT AID II PROPCO LLC</t>
  </si>
  <si>
    <t>VOSSLOH TRACK MATERIAL INC</t>
  </si>
  <si>
    <t>CEBRIDGE ACQUISITION LLC</t>
  </si>
  <si>
    <t>WEST VIRGINIA STEEL CORP</t>
  </si>
  <si>
    <t>WINFIELD CHURCH OF THE NAZARENE</t>
  </si>
  <si>
    <t>ROBERT T MEEKS &amp; MELISSA D MEEKS LLC</t>
  </si>
  <si>
    <t>TOWN OF POCA</t>
  </si>
  <si>
    <t>COCA COLA BOTTLING COMPANY OF WEST VIRGINIA INC</t>
  </si>
  <si>
    <t>CITATION INVESTMENTS INC</t>
  </si>
  <si>
    <t>LOFTIS ROBERT W</t>
  </si>
  <si>
    <t>NITRO ELECTRIC COMPANY INC</t>
  </si>
  <si>
    <t>CLERIETTA II LLC</t>
  </si>
  <si>
    <t>SCARY CREEK CHURCH OF GOD TRUSTEES OF</t>
  </si>
  <si>
    <t>TOWN OF BUFFALO</t>
  </si>
  <si>
    <t>SURFACE PHILIP D</t>
  </si>
  <si>
    <t>TMM ENTERPRISES LLC</t>
  </si>
  <si>
    <t>PILOT TRAVEL CENTERS LLC</t>
  </si>
  <si>
    <t>JEFFERDS JOSEPH CROSBY III ET AL</t>
  </si>
  <si>
    <t>CLINE LORETTA GAIL</t>
  </si>
  <si>
    <t>ARTHUR L KING DYNASTY TRUST</t>
  </si>
  <si>
    <t>COX DAVID KYLE ET AL</t>
  </si>
  <si>
    <t>BUFFALO TOWN OF</t>
  </si>
  <si>
    <t>MATHENY FAMILY LP</t>
  </si>
  <si>
    <t>GARNES JORDAN DREW &amp; JENNIFER LYNN</t>
  </si>
  <si>
    <t>SCHWANS HOME SERVICE INC</t>
  </si>
  <si>
    <t>BURKE LISA</t>
  </si>
  <si>
    <t>SAMPLES PATSY M ET CON</t>
  </si>
  <si>
    <t>ATKINS &amp; OGLE LAW OFFICES LC</t>
  </si>
  <si>
    <t>CUNNINGHAM G ROBERT ET UX</t>
  </si>
  <si>
    <t>DOUGLAS MARK LEE ET UX</t>
  </si>
  <si>
    <t>DAVIS MICHAEL E ET UX</t>
  </si>
  <si>
    <t>BURDETTE SCOTT C ET UX</t>
  </si>
  <si>
    <t>THORNTON TIMMY W ET UX</t>
  </si>
  <si>
    <t>GIBSON WILLIAM J ET UX</t>
  </si>
  <si>
    <t>JOHNSTON PAUL F &amp; KIMBERLY S</t>
  </si>
  <si>
    <t>MOULDER NANCY L</t>
  </si>
  <si>
    <t>W JACK DAVIS COMPANY</t>
  </si>
  <si>
    <t>HIGGINBOTHAM FAMILY REAL EST IRREVOCABLE TRUST</t>
  </si>
  <si>
    <t>BROWN TOMMY L &amp; CONNIE J</t>
  </si>
  <si>
    <t>FISHER JAMES B ET UX</t>
  </si>
  <si>
    <t>FREEDOM PROMISE MINISTRIES</t>
  </si>
  <si>
    <t>CAPERTON RUTH SCOTT</t>
  </si>
  <si>
    <t>RAYNES JOSHUA W &amp; BETSY J</t>
  </si>
  <si>
    <t>GOLDSBERRY WAYNE E &amp; CRYSTAL A</t>
  </si>
  <si>
    <t>HUSSON FAMILY LP</t>
  </si>
  <si>
    <t>CAMPBELL TODD A ET UX</t>
  </si>
  <si>
    <t>LOWTHER CHADRICK</t>
  </si>
  <si>
    <t>YOUNGS RENTALS LLC</t>
  </si>
  <si>
    <t>SAHLEY REALTY COMPANY</t>
  </si>
  <si>
    <t>KARASTURY BARBARA M</t>
  </si>
  <si>
    <t>CONNER MATTHEW E ET AL</t>
  </si>
  <si>
    <t>CHAMBERS KENNON T &amp; MEREDITH A</t>
  </si>
  <si>
    <t>RYAN SHAUN &amp; TRACI</t>
  </si>
  <si>
    <t>GARLOW PHILIP &amp; JULIE C</t>
  </si>
  <si>
    <t>ATKINS PAUL S ET UX</t>
  </si>
  <si>
    <t>JUSTICE JILL M</t>
  </si>
  <si>
    <t>WEST VIRGINIA DEPARTMENT OF HIGHWAYS</t>
  </si>
  <si>
    <t>WILSON STEPHEN E</t>
  </si>
  <si>
    <t>MASSIE GORDON L ET UX</t>
  </si>
  <si>
    <t>DUTY THEODORE M ET UX</t>
  </si>
  <si>
    <t>SIGMAN WILSON C &amp; GEORGINA LEA</t>
  </si>
  <si>
    <t>GRITT JAMES L ET UX</t>
  </si>
  <si>
    <t>HAYSLETT WALTER T</t>
  </si>
  <si>
    <t>GOLDSBERRY KEVIN &amp; MICHELLE</t>
  </si>
  <si>
    <t>JENNINGS JEFFREY M ET UX</t>
  </si>
  <si>
    <t>KAHN JAN ISABELLE</t>
  </si>
  <si>
    <t>ANDERSON RONALD R</t>
  </si>
  <si>
    <t>COMER STEVEN E ET AL</t>
  </si>
  <si>
    <t>BUFFALO CHURCH OF GOD</t>
  </si>
  <si>
    <t>SIAS WINFRED RAY ET UX</t>
  </si>
  <si>
    <t>DOUGLAS MARTIN KENT ET UX</t>
  </si>
  <si>
    <t>JEFFRIES ROBERT A ET UX</t>
  </si>
  <si>
    <t>BRAGG JEREMIAH W</t>
  </si>
  <si>
    <t>WINFIELD CHURCH OF CHRIST</t>
  </si>
  <si>
    <t>AIRGAS MID AMERICA INC</t>
  </si>
  <si>
    <t>BURKS PHILIP ROSS</t>
  </si>
  <si>
    <t>ADDAIR MICHAEL PAUL &amp; CARLA MICHELLE</t>
  </si>
  <si>
    <t>RUMER MARC A &amp; MELANIE G</t>
  </si>
  <si>
    <t>FINCHAM KERMIT E JR</t>
  </si>
  <si>
    <t>2019</t>
  </si>
  <si>
    <t>IND3</t>
  </si>
  <si>
    <t>117964</t>
  </si>
  <si>
    <t>98237</t>
  </si>
  <si>
    <t>88195</t>
  </si>
  <si>
    <t>82798</t>
  </si>
  <si>
    <t>114948</t>
  </si>
  <si>
    <t>23379</t>
  </si>
  <si>
    <t>102744</t>
  </si>
  <si>
    <t>58790</t>
  </si>
  <si>
    <t>155173</t>
  </si>
  <si>
    <t>35592</t>
  </si>
  <si>
    <t>121384</t>
  </si>
  <si>
    <t>16652</t>
  </si>
  <si>
    <t>58800</t>
  </si>
  <si>
    <t>25210</t>
  </si>
  <si>
    <t>28000</t>
  </si>
  <si>
    <t>8640</t>
  </si>
  <si>
    <t>42306</t>
  </si>
  <si>
    <t>8410</t>
  </si>
  <si>
    <t>7561</t>
  </si>
  <si>
    <t>21138</t>
  </si>
  <si>
    <t>25560</t>
  </si>
  <si>
    <t>16860</t>
  </si>
  <si>
    <t>14644</t>
  </si>
  <si>
    <t>6099</t>
  </si>
  <si>
    <t>26503</t>
  </si>
  <si>
    <t>7400</t>
  </si>
  <si>
    <t>27240</t>
  </si>
  <si>
    <t>11125</t>
  </si>
  <si>
    <t>14820</t>
  </si>
  <si>
    <t>4615</t>
  </si>
  <si>
    <t>1065</t>
  </si>
  <si>
    <t>27205</t>
  </si>
  <si>
    <t>33880</t>
  </si>
  <si>
    <t>4273</t>
  </si>
  <si>
    <t>9333</t>
  </si>
  <si>
    <t>30188</t>
  </si>
  <si>
    <t>3992</t>
  </si>
  <si>
    <t>3832</t>
  </si>
  <si>
    <t>5208</t>
  </si>
  <si>
    <t>4916</t>
  </si>
  <si>
    <t>5143</t>
  </si>
  <si>
    <t>4758</t>
  </si>
  <si>
    <t>14460</t>
  </si>
  <si>
    <t>3296</t>
  </si>
  <si>
    <t>4636</t>
  </si>
  <si>
    <t>4203</t>
  </si>
  <si>
    <t>24035</t>
  </si>
  <si>
    <t>4586</t>
  </si>
  <si>
    <t>3956</t>
  </si>
  <si>
    <t>4784</t>
  </si>
  <si>
    <t>5394</t>
  </si>
  <si>
    <t>4360</t>
  </si>
  <si>
    <t>3814</t>
  </si>
  <si>
    <t>7230</t>
  </si>
  <si>
    <t>3510</t>
  </si>
  <si>
    <t>3657</t>
  </si>
  <si>
    <t>3246</t>
  </si>
  <si>
    <t>8360</t>
  </si>
  <si>
    <t>23138</t>
  </si>
  <si>
    <t>3025</t>
  </si>
  <si>
    <t>3962</t>
  </si>
  <si>
    <t>3311</t>
  </si>
  <si>
    <t>3180</t>
  </si>
  <si>
    <t>4392</t>
  </si>
  <si>
    <t>6242</t>
  </si>
  <si>
    <t>3326</t>
  </si>
  <si>
    <t>7310</t>
  </si>
  <si>
    <t>9124</t>
  </si>
  <si>
    <t>14722</t>
  </si>
  <si>
    <t>3176</t>
  </si>
  <si>
    <t>3564</t>
  </si>
  <si>
    <t>53407</t>
  </si>
  <si>
    <t>5520</t>
  </si>
  <si>
    <t>3247</t>
  </si>
  <si>
    <t>3303</t>
  </si>
  <si>
    <t>4677</t>
  </si>
  <si>
    <t>2743</t>
  </si>
  <si>
    <t>4550</t>
  </si>
  <si>
    <t>3902</t>
  </si>
  <si>
    <t>3565</t>
  </si>
  <si>
    <t>2840</t>
  </si>
  <si>
    <t>3580</t>
  </si>
  <si>
    <t>7799</t>
  </si>
  <si>
    <t>11960</t>
  </si>
  <si>
    <t>3256</t>
  </si>
  <si>
    <t>2940</t>
  </si>
  <si>
    <t>3085</t>
  </si>
  <si>
    <t>2949</t>
  </si>
  <si>
    <t>40-13-0004-0023-0000_11268</t>
  </si>
  <si>
    <t>40-03-0009-0002-0000_19005</t>
  </si>
  <si>
    <t>40-09-0008-0005-0000_1</t>
  </si>
  <si>
    <t>40-05-0008-0002-0000_110</t>
  </si>
  <si>
    <t>40-05-0008-0002-0000_110A</t>
  </si>
  <si>
    <t>40-11-0162-0032-0004_17706</t>
  </si>
  <si>
    <t>40-03-0004-0018-0000_19366</t>
  </si>
  <si>
    <t>40-11-0162-0031-0003_1</t>
  </si>
  <si>
    <t>40-12-0173-0015-0002_207</t>
  </si>
  <si>
    <t>40-10-0224-0057-0003_5</t>
  </si>
  <si>
    <t>40-08-0196-0041-0000_64</t>
  </si>
  <si>
    <t>40-10-0223-0038-0003_4939</t>
  </si>
  <si>
    <t>40-13-0004-0014-0007_10822</t>
  </si>
  <si>
    <t>40-09-0009-0013-0000_2461</t>
  </si>
  <si>
    <t>40-10-224C-0040-0000_90</t>
  </si>
  <si>
    <t>40-10-223E-0042-0000_115</t>
  </si>
  <si>
    <t>40-08-226B-0043-0002_4300</t>
  </si>
  <si>
    <t>40-11-0162-0031-0004_9999</t>
  </si>
  <si>
    <t>40-10-0234-0016-0006_2673</t>
  </si>
  <si>
    <t>40-03-0009-0003-0000_102</t>
  </si>
  <si>
    <t>40-13-0008-0002-0000_10258</t>
  </si>
  <si>
    <t>40-08-195B-0001-0000_172</t>
  </si>
  <si>
    <t>40-08-226B-0045-0000_4304</t>
  </si>
  <si>
    <t>40-10-0195-0031-0000_83</t>
  </si>
  <si>
    <t>40-08-0216-0054-0000_407</t>
  </si>
  <si>
    <t>40-13-0005-0043-0000_14</t>
  </si>
  <si>
    <t>40-02-0122-0016-0001_20943</t>
  </si>
  <si>
    <t>40-07-0003-0061-0000_4125</t>
  </si>
  <si>
    <t>40-08-0216-0046-0000_327B</t>
  </si>
  <si>
    <t>40-10-0203-0019-0006_247</t>
  </si>
  <si>
    <t>40-11-0162-0032-0001_230</t>
  </si>
  <si>
    <t>40-08-226B-0043-0000_227</t>
  </si>
  <si>
    <t>40-13-0001-0204-0000_9999</t>
  </si>
  <si>
    <t>40-04-0271-0003-0000_3033</t>
  </si>
  <si>
    <t>40-02-0152-0013-0021_9999</t>
  </si>
  <si>
    <t>40-13-0004-0014-0005_10780</t>
  </si>
  <si>
    <t>40-08-0227-0007-0007_240</t>
  </si>
  <si>
    <t>40-08-227A-0020-0000_202</t>
  </si>
  <si>
    <t>40-10-0184-0025-0017_13541</t>
  </si>
  <si>
    <t>40-02-162E-0019-0000_313</t>
  </si>
  <si>
    <t>40-11-0210-0018-0005_2861</t>
  </si>
  <si>
    <t>40-02-162E-0002-0000_373</t>
  </si>
  <si>
    <t>40-10-233B-0004-0000_164</t>
  </si>
  <si>
    <t>40-09-0004-0001-0001_93</t>
  </si>
  <si>
    <t>40-13-0008-0040-0000_114</t>
  </si>
  <si>
    <t>40-10-223C-0054-0000_206</t>
  </si>
  <si>
    <t>40-11-0151-0009-0011_9999</t>
  </si>
  <si>
    <t>40-02-0152-0013-0016_91</t>
  </si>
  <si>
    <t>40-02-162E-0036-0000_274</t>
  </si>
  <si>
    <t>40-02-162E-0018-0000_632</t>
  </si>
  <si>
    <t>40-10-0223-0042-0004_5011</t>
  </si>
  <si>
    <t>40-13-0008-0002-0001_10424</t>
  </si>
  <si>
    <t>40-13-0008-0025-0000_125</t>
  </si>
  <si>
    <t>40-11-0162-0050-0015_11235</t>
  </si>
  <si>
    <t>40-07-0003-0045-0000_4111</t>
  </si>
  <si>
    <t>40-10-0224-0057-0002_6420</t>
  </si>
  <si>
    <t>40-02-162E-0007-0000_293</t>
  </si>
  <si>
    <t>40-13-0008-0037-0000_119</t>
  </si>
  <si>
    <t>40-13-0004-0014-0012_10872</t>
  </si>
  <si>
    <t>40-02-162E-0013-0000_233</t>
  </si>
  <si>
    <t>40-08-0227-0005-0001_2409</t>
  </si>
  <si>
    <t>40-02-0152-0013-0013_92</t>
  </si>
  <si>
    <t>40-08-0227-0007-0010_176</t>
  </si>
  <si>
    <t>40-10-0225-0148-0000_2910</t>
  </si>
  <si>
    <t>40-08-0227-0005-0003_2457</t>
  </si>
  <si>
    <t>40-07-0002-0188-0000_3942</t>
  </si>
  <si>
    <t>40-02-0152-0013-0019_16942</t>
  </si>
  <si>
    <t>40-13-0004-0014-0010_14</t>
  </si>
  <si>
    <t>40-12-0174-0105-0000_107</t>
  </si>
  <si>
    <t>40-02-0162-0036-0000_9999</t>
  </si>
  <si>
    <t>40-11-0162-0032-0003_9999</t>
  </si>
  <si>
    <t>40-02-162E-0011-0000_372</t>
  </si>
  <si>
    <t>40-08-0217-0059-0003_2235</t>
  </si>
  <si>
    <t>40-08-0217-0065-0001_4271</t>
  </si>
  <si>
    <t>40-10-224D-0038-0001_108</t>
  </si>
  <si>
    <t>40-03-0003-0166-0000_20674</t>
  </si>
  <si>
    <t>40-13-0008-0027-0000_106</t>
  </si>
  <si>
    <t>40-08-0227-0007-0008_230</t>
  </si>
  <si>
    <t>40-02-162E-0039-0000_308</t>
  </si>
  <si>
    <t>40-13-0008-0038-0000_115</t>
  </si>
  <si>
    <t>40-13-0004-0022-0001_10690</t>
  </si>
  <si>
    <t>40-08-0196-0025-0000_236</t>
  </si>
  <si>
    <t>40-11-0161-0001-0002_1933</t>
  </si>
  <si>
    <t>40-04-0281-0008-0004_4693</t>
  </si>
  <si>
    <t>40-10-223U-0057-0000_513</t>
  </si>
  <si>
    <t>40-13-0001-0018-0000_184</t>
  </si>
  <si>
    <t>Town of Winfield</t>
  </si>
  <si>
    <t>40-13-0004-0023-0000</t>
  </si>
  <si>
    <t>11268 WINFIELD RD, WINFIELD, WV, 25213</t>
  </si>
  <si>
    <t>40-03-0009-0002-0000</t>
  </si>
  <si>
    <t>19005 BUFFALO RD, BUFFALO, WV, 25033</t>
  </si>
  <si>
    <t>Town of Poca</t>
  </si>
  <si>
    <t>40-09-0008-0005-0000</t>
  </si>
  <si>
    <t>1 DOT WAY, POCA, WV, 25159</t>
  </si>
  <si>
    <t>Town of Eleanor</t>
  </si>
  <si>
    <t>40-05-0008-0002-0000</t>
  </si>
  <si>
    <t>110 ARMY NAVY DR W, ELEANOR, WV, 25070</t>
  </si>
  <si>
    <t>110A ARMY NAVY DR W, ELEANOR, WV, 25070</t>
  </si>
  <si>
    <t>40-11-0162-0032-0004</t>
  </si>
  <si>
    <t>17706 WINFIELD RD, WINFIELD, WV, 25213</t>
  </si>
  <si>
    <t>40-03-0004-0018-0000</t>
  </si>
  <si>
    <t>19366 BUFFALO RD, BUFFALO, WV, 25033</t>
  </si>
  <si>
    <t>40-11-0162-0031-0003</t>
  </si>
  <si>
    <t>1 TASTY BLEND WAY, FRAZIERS BOTTOM, WV, 25082</t>
  </si>
  <si>
    <t>40-12-0173-0015-0002</t>
  </si>
  <si>
    <t>207 ELEANOR INDUSTRIAL PARK DR, ELEANOR, WV, 25070</t>
  </si>
  <si>
    <t>40-10-0224-0057-0003</t>
  </si>
  <si>
    <t>5 ROLLING MEADOWS RD, SCOTT DEPOT, WV, 25560</t>
  </si>
  <si>
    <t>40-08-0196-0041-0000</t>
  </si>
  <si>
    <t>64 RIVERVIEW DR, POCA, WV, 25159</t>
  </si>
  <si>
    <t>Poplar Fork</t>
  </si>
  <si>
    <t>40-10-0223-0038-0003</t>
  </si>
  <si>
    <t>4939 TEAYS VALLEY RD, SCOTT DEPOT, WV, 25560</t>
  </si>
  <si>
    <t>40-13-0004-0014-0007</t>
  </si>
  <si>
    <t>10822 WINFIELD RD, WINFIELD, WV, 25213</t>
  </si>
  <si>
    <t>40-09-0009-0013-0000</t>
  </si>
  <si>
    <t>2461 CHARLESTON RD, POCA, WV, 25159</t>
  </si>
  <si>
    <t>40-10-224C-0040-0000</t>
  </si>
  <si>
    <t>90 LINCOLN ST, SCOTT DEPOT, WV, 25560</t>
  </si>
  <si>
    <t>40-10-223E-0042-0000</t>
  </si>
  <si>
    <t>115 BROOKSIDE DR, SCOTT DEPOT, WV, 25560</t>
  </si>
  <si>
    <t>40-08-226B-0043-0002</t>
  </si>
  <si>
    <t>4300 1ST AVE, NITRO, WV, 25143</t>
  </si>
  <si>
    <t>40-11-0162-0031-0004</t>
  </si>
  <si>
    <t>9999 WALTON DR, WINFIELD, WV, 25213</t>
  </si>
  <si>
    <t>Scary Creek</t>
  </si>
  <si>
    <t>40-10-0234-0016-0006</t>
  </si>
  <si>
    <t>2673 SCARY CREEK RD, SCOTT DEPOT, WV, 25560</t>
  </si>
  <si>
    <t>40-03-0009-0003-0000</t>
  </si>
  <si>
    <t>102 WRIGHTS LN, BUFFALO, WV, 25033</t>
  </si>
  <si>
    <t>40-13-0008-0002-0000</t>
  </si>
  <si>
    <t>10258 WINFIELD RD, WINFIELD, WV, 25213</t>
  </si>
  <si>
    <t>40-08-195B-0001-0000</t>
  </si>
  <si>
    <t>172 BLACK BETSY BOTTOM RD, BANCROFT, WV, 25011</t>
  </si>
  <si>
    <t>40-08-226B-0045-0000</t>
  </si>
  <si>
    <t>4304 1ST AVE, NITRO, WV, 25143</t>
  </si>
  <si>
    <t>40-10-0195-0031-0000</t>
  </si>
  <si>
    <t>83 GARAGE LN, WINFIELD, WV, 25213</t>
  </si>
  <si>
    <t>40-08-0216-0054-0000</t>
  </si>
  <si>
    <t>407 JACOBSON DR, POCA, WV, 25159</t>
  </si>
  <si>
    <t>40-13-0005-0043-0000</t>
  </si>
  <si>
    <t>14 WATERS EDGE RD, WINFIELD, WV, 25213</t>
  </si>
  <si>
    <t>40-02-0122-0016-0001</t>
  </si>
  <si>
    <t>20943 BUFFALO RD, BUFFALO, WV, 25033</t>
  </si>
  <si>
    <t>40-07-0003-0061-0000</t>
  </si>
  <si>
    <t>4125 1ST AVE, NITRO, WV, 25143</t>
  </si>
  <si>
    <t>327B GLASS ADDITION RD, POCA, WV, 25159</t>
  </si>
  <si>
    <t>Long Branch</t>
  </si>
  <si>
    <t>40-10-0203-0019-0006</t>
  </si>
  <si>
    <t>247 LONGVIEW DR, WINFIELD, WV, 25213</t>
  </si>
  <si>
    <t>40-11-0162-0032-0001</t>
  </si>
  <si>
    <t>230 TASTY BLEND WAY, FRAZIERS BOTTOM, WV, 25082</t>
  </si>
  <si>
    <t>40-08-226B-0043-0000</t>
  </si>
  <si>
    <t>227 APPALACHIAN WAY, NITRO, WV, 25143</t>
  </si>
  <si>
    <t>40-13-0001-0204-0000</t>
  </si>
  <si>
    <t>9999 WODDBEND CV, WINFIELD, WV, 25213</t>
  </si>
  <si>
    <t>40-04-0271-0003-0000</t>
  </si>
  <si>
    <t>3033 SR 34 S, HURRICANE, WV, 25526</t>
  </si>
  <si>
    <t>40-02-0152-0013-0021</t>
  </si>
  <si>
    <t>9999 LOCK 9 RD, BUFFALO, WV, 25033</t>
  </si>
  <si>
    <t>40-13-0004-0014-0005</t>
  </si>
  <si>
    <t>10780 WINFIELD RD, WINFIELD, WV, 25213</t>
  </si>
  <si>
    <t>40-08-0227-0007-0007</t>
  </si>
  <si>
    <t>240 HELEN AVE, POCA, WV, 25159</t>
  </si>
  <si>
    <t>40-08-227A-0020-0000</t>
  </si>
  <si>
    <t>202 POPLAR POINT ESTATES RD, POCA, WV, 25159</t>
  </si>
  <si>
    <t>40-10-0184-0025-0017</t>
  </si>
  <si>
    <t>13541 WINFIELD RD, WINFIELD, WV, 25213</t>
  </si>
  <si>
    <t>40-02-162E-0019-0000</t>
  </si>
  <si>
    <t>313 RUMER STATION RD, RED HOUSE, WV, 25168</t>
  </si>
  <si>
    <t>40-11-0210-0018-0005</t>
  </si>
  <si>
    <t>2861 HURRICANE CREEK RD, HURRICANE, WV, 25526</t>
  </si>
  <si>
    <t>40-02-162E-0002-0000</t>
  </si>
  <si>
    <t>373 RUMER STATION RD, RED HOUSE, WV, 25168</t>
  </si>
  <si>
    <t>40-10-233B-0004-0000</t>
  </si>
  <si>
    <t>164 FLETCHER RD, SCOTT DEPOT, WV, 25560</t>
  </si>
  <si>
    <t>40-09-0004-0001-0001</t>
  </si>
  <si>
    <t>93 RICHARD DR, POCA, WV, 25159</t>
  </si>
  <si>
    <t>40-13-0008-0040-0000</t>
  </si>
  <si>
    <t>114 WATERSIDE CIR, WINFIELD, WV, 25213</t>
  </si>
  <si>
    <t>40-10-223C-0054-0000</t>
  </si>
  <si>
    <t>206 BEECHWOOD ESTS, SCOTT DEPOT, WV, 25560</t>
  </si>
  <si>
    <t>40-11-0151-0009-0011</t>
  </si>
  <si>
    <t>9999 WINFIELD RD, FRAZIERS BOTTOM, WV, 25082</t>
  </si>
  <si>
    <t>40-02-0152-0013-0016</t>
  </si>
  <si>
    <t>91 RIVER VISTA DR, BUFFALO, WV, 25033</t>
  </si>
  <si>
    <t>40-02-162E-0036-0000</t>
  </si>
  <si>
    <t>274 RUMER STATION RD, RED HOUSE, WV, 25168</t>
  </si>
  <si>
    <t>40-02-162E-0018-0000</t>
  </si>
  <si>
    <t>632 RUMER STATION RD, RED HOUSE, WV, 25168</t>
  </si>
  <si>
    <t>40-10-0223-0042-0004</t>
  </si>
  <si>
    <t>5011 TEAYS VALLEY RD, SCOTT DEPOT, WV, 25560</t>
  </si>
  <si>
    <t>40-13-0008-0002-0001</t>
  </si>
  <si>
    <t>10424 WINFIELD RD, WINFIELD, WV, 25213</t>
  </si>
  <si>
    <t>40-13-0008-0025-0000</t>
  </si>
  <si>
    <t>125 WATERSIDE CIR, WINFIELD, WV, 25213</t>
  </si>
  <si>
    <t>Five and Twenty Mile Creek</t>
  </si>
  <si>
    <t>40-11-0162-0050-0015</t>
  </si>
  <si>
    <t>11235 HURRICANE CREEK RD, WINFIELD, WV, 25213</t>
  </si>
  <si>
    <t>40-07-0003-0045-0000</t>
  </si>
  <si>
    <t>4111 1ST AVE, NITRO, WV, 25143</t>
  </si>
  <si>
    <t>40-10-0224-0057-0002</t>
  </si>
  <si>
    <t>6420 TEAYS VALLEY RD, SCOTT DEPOT, WV, 25560</t>
  </si>
  <si>
    <t>40-02-162E-0007-0000</t>
  </si>
  <si>
    <t>293 RUMER STATION RD, RED HOUSE, WV, 25168</t>
  </si>
  <si>
    <t>40-13-0008-0037-0000</t>
  </si>
  <si>
    <t>119 WATERSIDE CIR, WINFIELD, WV, 25213</t>
  </si>
  <si>
    <t>40-13-0004-0014-0012</t>
  </si>
  <si>
    <t>10872 WINFIELD RD, WINFIELD, WV, 25213</t>
  </si>
  <si>
    <t>40-02-162E-0013-0000</t>
  </si>
  <si>
    <t>233 RUMER STATION RD, RED HOUSE, WV, 25168</t>
  </si>
  <si>
    <t>40-08-0227-0005-0001</t>
  </si>
  <si>
    <t>2409 DAIRY RD, POCA, WV, 25159</t>
  </si>
  <si>
    <t>40-02-0152-0013-0013</t>
  </si>
  <si>
    <t>92 RIVER VISTA DR, BUFFALO, WV, 25033</t>
  </si>
  <si>
    <t>40-08-0227-0007-0010</t>
  </si>
  <si>
    <t>176 HELEN AVE, POCA, WV, 25159</t>
  </si>
  <si>
    <t>40-10-0225-0148-0000</t>
  </si>
  <si>
    <t>2910 WINFIELD RD, ST ALBANS, WV, 25177</t>
  </si>
  <si>
    <t>40-08-0227-0005-0003</t>
  </si>
  <si>
    <t>2457 DAIRY RD, POCA, WV, 25159</t>
  </si>
  <si>
    <t>40-07-0002-0188-0000</t>
  </si>
  <si>
    <t>3942 39TH ST E, NITRO, WV, 25143</t>
  </si>
  <si>
    <t>40-02-0152-0013-0019</t>
  </si>
  <si>
    <t>16942 CHARLESTON RD, BUFFALO, WV, 25033</t>
  </si>
  <si>
    <t>40-13-0004-0014-0010</t>
  </si>
  <si>
    <t>14 BAYBERRY LN, WINFIELD, WV, 25213</t>
  </si>
  <si>
    <t>40-12-0174-0105-0000</t>
  </si>
  <si>
    <t>107 OLD FERRY LANDING RD, RED HOUSE, WV, 25168</t>
  </si>
  <si>
    <t>40-02-0162-0036-0000</t>
  </si>
  <si>
    <t>9999 CHARLESTON RD, RED HOUSE, WV, 25168</t>
  </si>
  <si>
    <t>40-11-0162-0032-0003</t>
  </si>
  <si>
    <t>9999 TASTY BLEND WAY, FRAZIERS BOTTOM, WV, 25082</t>
  </si>
  <si>
    <t>40-02-162E-0011-0000</t>
  </si>
  <si>
    <t>372 RUMER STATION RD, RED HOUSE, WV, 25168</t>
  </si>
  <si>
    <t>40-08-0217-0059-0003</t>
  </si>
  <si>
    <t>2235 DAIRY RD, POCA, WV, 25159</t>
  </si>
  <si>
    <t>40-08-0217-0065-0001</t>
  </si>
  <si>
    <t>4271 POCA RIVER RD S, POCA, WV, 25159</t>
  </si>
  <si>
    <t>40-10-224D-0038-0001</t>
  </si>
  <si>
    <t>108 SCOTT ACRES, SCOTT DEPOT, WV, 25560</t>
  </si>
  <si>
    <t>40-03-0003-0166-0000</t>
  </si>
  <si>
    <t>20674 BUFFALO RD, BUFFALO, WV, 25033</t>
  </si>
  <si>
    <t>40-13-0008-0027-0000</t>
  </si>
  <si>
    <t>106 WATERSIDE CIR, WINFIELD, WV, 25213</t>
  </si>
  <si>
    <t>40-08-0227-0007-0008</t>
  </si>
  <si>
    <t>230 HELEN AVE, POCA, WV, 25159</t>
  </si>
  <si>
    <t>40-02-162E-0039-0000</t>
  </si>
  <si>
    <t>308 RUMER STATION RD, RED HOUSE, WV, 25168</t>
  </si>
  <si>
    <t>40-13-0008-0038-0000</t>
  </si>
  <si>
    <t>115 WATERSIDE CIR, WINFIELD, WV, 25213</t>
  </si>
  <si>
    <t>40-13-0004-0022-0001</t>
  </si>
  <si>
    <t>10690 WINFIELD RD, WINFIELD, WV, 25213</t>
  </si>
  <si>
    <t>40-08-0196-0025-0000</t>
  </si>
  <si>
    <t>236 AIRGAS LANE, POCA, WV, 25159</t>
  </si>
  <si>
    <t>Barnett Branch</t>
  </si>
  <si>
    <t>40-11-0161-0001-0002</t>
  </si>
  <si>
    <t>1933 STAVES BRANCH RD, FRAZIERS BOTTOM, WV, 25082</t>
  </si>
  <si>
    <t>Clymer Creek</t>
  </si>
  <si>
    <t>40-04-0281-0008-0004</t>
  </si>
  <si>
    <t>4693 CLYMERS CREEK RD, HURRICANE, WV, 25526</t>
  </si>
  <si>
    <t>40-10-223U-0057-0000</t>
  </si>
  <si>
    <t>513 FRAZIER WAY, SCOTT DEPOT, WV, 25560</t>
  </si>
  <si>
    <t>40-13-0001-0018-0000</t>
  </si>
  <si>
    <t>184 FERRY ST, WINFIELD, WV, 25213</t>
  </si>
  <si>
    <t>(Higher than $10,000,000)</t>
  </si>
  <si>
    <t>Charleston</t>
  </si>
  <si>
    <t>Cedar Grove</t>
  </si>
  <si>
    <t>East Bank</t>
  </si>
  <si>
    <t>(Higher than $500,000)</t>
  </si>
  <si>
    <t>Putnam County*</t>
  </si>
  <si>
    <t>Buffalo</t>
  </si>
  <si>
    <t>Eleanor</t>
  </si>
  <si>
    <t>Poca</t>
  </si>
  <si>
    <t>Winfield</t>
  </si>
  <si>
    <t>03-01-0038-0002-0002_112</t>
  </si>
  <si>
    <t>03-01-0038-0002-0002</t>
  </si>
  <si>
    <t>112 Cow Creek Rd, Cow Creek, WV, 25208</t>
  </si>
  <si>
    <t>BOONE COUNTY PUBLIC SERVICE DISTRICT</t>
  </si>
  <si>
    <t>03-01-0040-0003-0000_9999</t>
  </si>
  <si>
    <t>Matts Creek</t>
  </si>
  <si>
    <t>03-01-0040-0003-0000</t>
  </si>
  <si>
    <t>BERWIND CORP</t>
  </si>
  <si>
    <t>New utility changes applied manually on 12/1/2021</t>
  </si>
  <si>
    <t>20-17-0004-0001-0000_1</t>
  </si>
  <si>
    <t>1 JACKSON SQ, SAINT ALBANS, WV, 25177</t>
  </si>
  <si>
    <t>Saint Albans</t>
  </si>
  <si>
    <t>20-15-0037-0063-0001_100</t>
  </si>
  <si>
    <t>20-15-0037-0063-0001</t>
  </si>
  <si>
    <t>100 BREAM DR, ELKVIEW, WV, 25071</t>
  </si>
  <si>
    <t>INDIAN CREEK VILLAGE INC</t>
  </si>
  <si>
    <t>20-29-0002-0006-0001_315</t>
  </si>
  <si>
    <t>20-29-0002-0006-0001</t>
  </si>
  <si>
    <t>315 W DUPONT AVE, BELLE, WV, 25015</t>
  </si>
  <si>
    <t>BELLE TOWN OF</t>
  </si>
  <si>
    <t>20-24-0030-0140-0000_1279</t>
  </si>
  <si>
    <t>20-24-0030-0140-0000</t>
  </si>
  <si>
    <t>SISSONVILLE PUBLIC; SERVICE DIST</t>
  </si>
  <si>
    <t>1279 SISSON TER, SISSONVILLE, WV, 25320</t>
  </si>
  <si>
    <t>40-12-0175-0034-0001_418</t>
  </si>
  <si>
    <t>40-12-0175-0034-0001</t>
  </si>
  <si>
    <t>418 EMMA LN, HOMETOWN, WV, 25109</t>
  </si>
  <si>
    <t>EAST KANAWHA PUBLIC SERVICE DISTRICT</t>
  </si>
  <si>
    <t>9999 MATTS CREEK RD, LINDYTOWN, WV, 25204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</si>
</sst>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1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right"/>
    </xf>
    <xf numFmtId="164" fontId="1" fillId="0" borderId="0" xfId="2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/>
    </xf>
    <xf numFmtId="0" fontId="11" fillId="0" borderId="1" xfId="0" applyFont="1" applyFill="1" applyBorder="1"/>
    <xf numFmtId="0" fontId="10" fillId="3" borderId="1" xfId="0" applyFont="1" applyFill="1" applyBorder="1"/>
    <xf numFmtId="164" fontId="11" fillId="4" borderId="1" xfId="2" applyNumberFormat="1" applyFont="1" applyFill="1" applyBorder="1"/>
    <xf numFmtId="0" fontId="10" fillId="0" borderId="0" xfId="0" applyFont="1"/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047A-6787-4047-AA41-AB7432FF7C16}">
  <dimension ref="A1:X128"/>
  <sheetViews>
    <sheetView tabSelected="1" zoomScale="90" zoomScaleNormal="90" workbookViewId="0">
      <pane ySplit="6" topLeftCell="A7" activePane="bottomLeft" state="frozen"/>
      <selection pane="bottomLeft" activeCell="D4" sqref="D4"/>
    </sheetView>
  </sheetViews>
  <sheetFormatPr defaultRowHeight="15" x14ac:dyDescent="0.25"/>
  <cols>
    <col min="1" max="1" width="37" bestFit="1" customWidth="1"/>
    <col min="2" max="2" width="22.85546875" bestFit="1" customWidth="1"/>
    <col min="4" max="4" width="9.140625" customWidth="1"/>
    <col min="5" max="5" width="48.140625" bestFit="1" customWidth="1"/>
    <col min="7" max="7" width="12.28515625" customWidth="1"/>
    <col min="8" max="8" width="10.7109375" customWidth="1"/>
    <col min="10" max="10" width="9.140625" style="7"/>
    <col min="13" max="13" width="10.7109375" customWidth="1"/>
    <col min="14" max="14" width="11.42578125" customWidth="1"/>
    <col min="15" max="15" width="9.140625" style="7"/>
    <col min="17" max="17" width="11.28515625" customWidth="1"/>
    <col min="19" max="19" width="22.5703125" bestFit="1" customWidth="1"/>
    <col min="24" max="24" width="10.5703125" bestFit="1" customWidth="1"/>
  </cols>
  <sheetData>
    <row r="1" spans="1:24" ht="14.25" customHeight="1" x14ac:dyDescent="0.25">
      <c r="A1" s="4" t="s">
        <v>72</v>
      </c>
      <c r="B1" s="4"/>
      <c r="C1" s="4"/>
      <c r="D1" s="4"/>
      <c r="F1" s="18" t="s">
        <v>73</v>
      </c>
      <c r="G1" s="7"/>
      <c r="H1" s="7"/>
      <c r="K1" s="7"/>
      <c r="L1" s="7"/>
      <c r="N1" s="6" t="s">
        <v>74</v>
      </c>
      <c r="P1" s="7"/>
      <c r="R1" s="7"/>
      <c r="S1" s="8" t="s">
        <v>75</v>
      </c>
      <c r="U1" s="9"/>
      <c r="V1" s="9"/>
      <c r="W1" s="10"/>
      <c r="X1" s="11"/>
    </row>
    <row r="2" spans="1:24" x14ac:dyDescent="0.25">
      <c r="A2" s="12">
        <v>44630</v>
      </c>
      <c r="B2" s="13" t="s">
        <v>76</v>
      </c>
      <c r="F2" s="7"/>
      <c r="G2" s="7"/>
      <c r="H2" s="7"/>
      <c r="K2" s="7"/>
      <c r="L2" s="7"/>
      <c r="N2" s="14" t="s">
        <v>42</v>
      </c>
      <c r="P2" s="7"/>
      <c r="R2" s="7"/>
      <c r="S2" s="8"/>
      <c r="U2" s="9"/>
      <c r="V2" s="9"/>
      <c r="W2" s="10"/>
      <c r="X2" s="11"/>
    </row>
    <row r="3" spans="1:24" x14ac:dyDescent="0.25">
      <c r="A3" t="s">
        <v>78</v>
      </c>
      <c r="B3" t="s">
        <v>2283</v>
      </c>
      <c r="F3" s="7"/>
      <c r="G3" s="7"/>
      <c r="H3" s="7"/>
      <c r="J3" s="17" t="s">
        <v>77</v>
      </c>
      <c r="K3" s="7"/>
      <c r="L3" s="7"/>
      <c r="M3" s="15" t="s">
        <v>77</v>
      </c>
      <c r="N3" s="6"/>
      <c r="P3" s="7"/>
      <c r="Q3" s="15" t="s">
        <v>77</v>
      </c>
      <c r="R3" s="16"/>
      <c r="S3" s="8"/>
      <c r="U3" s="9"/>
      <c r="V3" s="9"/>
      <c r="W3" s="10"/>
      <c r="X3" s="11"/>
    </row>
    <row r="4" spans="1:24" x14ac:dyDescent="0.25">
      <c r="F4" s="7"/>
      <c r="G4" s="7"/>
      <c r="H4" s="7"/>
      <c r="K4" s="7"/>
      <c r="L4" s="7"/>
      <c r="N4" s="6"/>
      <c r="P4" s="7"/>
      <c r="R4" s="7"/>
      <c r="S4" s="8"/>
      <c r="U4" s="9"/>
      <c r="V4" s="9"/>
      <c r="W4" s="10"/>
      <c r="X4" s="11"/>
    </row>
    <row r="5" spans="1:24" x14ac:dyDescent="0.25">
      <c r="A5" s="1" t="s">
        <v>145</v>
      </c>
      <c r="F5" s="7"/>
      <c r="G5" s="7"/>
      <c r="H5" s="7"/>
      <c r="K5" s="7"/>
      <c r="L5" s="7"/>
      <c r="P5" s="7"/>
      <c r="R5" s="7"/>
      <c r="S5" s="36" t="s">
        <v>143</v>
      </c>
      <c r="U5" s="7"/>
      <c r="V5" s="7"/>
      <c r="W5" s="10"/>
      <c r="X5" s="11"/>
    </row>
    <row r="6" spans="1:24" ht="45" x14ac:dyDescent="0.25">
      <c r="A6" s="24" t="s">
        <v>0</v>
      </c>
      <c r="B6" s="19" t="s">
        <v>1</v>
      </c>
      <c r="C6" s="19" t="s">
        <v>2</v>
      </c>
      <c r="D6" s="25" t="s">
        <v>3</v>
      </c>
      <c r="E6" s="25" t="s">
        <v>4</v>
      </c>
      <c r="F6" s="19" t="s">
        <v>5</v>
      </c>
      <c r="G6" s="19" t="s">
        <v>6</v>
      </c>
      <c r="H6" s="24" t="s">
        <v>7</v>
      </c>
      <c r="I6" s="19" t="s">
        <v>8</v>
      </c>
      <c r="J6" s="24" t="s">
        <v>9</v>
      </c>
      <c r="K6" s="25" t="s">
        <v>10</v>
      </c>
      <c r="L6" s="19" t="s">
        <v>11</v>
      </c>
      <c r="M6" s="25" t="s">
        <v>12</v>
      </c>
      <c r="N6" s="20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1" t="s">
        <v>18</v>
      </c>
      <c r="T6" s="19" t="s">
        <v>19</v>
      </c>
      <c r="U6" s="28" t="s">
        <v>20</v>
      </c>
      <c r="V6" s="28" t="s">
        <v>21</v>
      </c>
      <c r="W6" s="29" t="s">
        <v>22</v>
      </c>
      <c r="X6" s="22" t="s">
        <v>23</v>
      </c>
    </row>
    <row r="7" spans="1:24" x14ac:dyDescent="0.25">
      <c r="A7" s="47" t="s">
        <v>146</v>
      </c>
      <c r="B7" s="30" t="s">
        <v>199</v>
      </c>
      <c r="C7" s="30" t="s">
        <v>200</v>
      </c>
      <c r="D7" s="30" t="s">
        <v>201</v>
      </c>
      <c r="E7" s="30" t="s">
        <v>202</v>
      </c>
      <c r="F7" s="23" t="str">
        <f>HYPERLINK("https://mapwv.gov/flood/map/?wkid=102100&amp;x=-9106681.385832403&amp;y=4586173.983192135&amp;l=13&amp;v=2","FT")</f>
        <v>FT</v>
      </c>
      <c r="G7" s="31" t="s">
        <v>32</v>
      </c>
      <c r="H7" s="31" t="s">
        <v>25</v>
      </c>
      <c r="I7" s="30" t="s">
        <v>318</v>
      </c>
      <c r="J7" s="31" t="s">
        <v>26</v>
      </c>
      <c r="K7" s="31" t="s">
        <v>129</v>
      </c>
      <c r="L7" s="31" t="s">
        <v>364</v>
      </c>
      <c r="M7" s="30" t="s">
        <v>379</v>
      </c>
      <c r="N7" s="2" t="s">
        <v>35</v>
      </c>
      <c r="O7" s="31" t="s">
        <v>106</v>
      </c>
      <c r="P7" s="27" t="s">
        <v>383</v>
      </c>
      <c r="Q7" s="31" t="s">
        <v>30</v>
      </c>
      <c r="R7" s="31" t="s">
        <v>110</v>
      </c>
      <c r="S7" s="32">
        <v>23908100</v>
      </c>
      <c r="T7" s="30" t="s">
        <v>44</v>
      </c>
      <c r="U7" s="33">
        <v>1.7814331000000001</v>
      </c>
      <c r="V7" s="33">
        <v>0.78143310546875</v>
      </c>
      <c r="W7" s="34">
        <f>V7/100</f>
        <v>7.8143310546875001E-3</v>
      </c>
      <c r="X7" s="35">
        <v>0</v>
      </c>
    </row>
    <row r="8" spans="1:24" x14ac:dyDescent="0.25">
      <c r="A8" s="47" t="s">
        <v>147</v>
      </c>
      <c r="B8" s="30" t="s">
        <v>199</v>
      </c>
      <c r="C8" s="30" t="s">
        <v>203</v>
      </c>
      <c r="D8" s="30" t="s">
        <v>204</v>
      </c>
      <c r="E8" s="30" t="s">
        <v>205</v>
      </c>
      <c r="F8" s="23" t="str">
        <f>HYPERLINK("https://mapwv.gov/flood/map/?wkid=102100&amp;x=-9109236.70058724&amp;y=4589699.382133497&amp;l=13&amp;v=2","FT")</f>
        <v>FT</v>
      </c>
      <c r="G8" s="31" t="s">
        <v>32</v>
      </c>
      <c r="H8" s="31" t="s">
        <v>25</v>
      </c>
      <c r="I8" s="30" t="s">
        <v>319</v>
      </c>
      <c r="J8" s="31" t="s">
        <v>39</v>
      </c>
      <c r="K8" s="31" t="s">
        <v>365</v>
      </c>
      <c r="L8" s="31"/>
      <c r="M8" s="30" t="s">
        <v>68</v>
      </c>
      <c r="N8" s="2" t="s">
        <v>101</v>
      </c>
      <c r="O8" s="31" t="s">
        <v>105</v>
      </c>
      <c r="P8" s="27" t="s">
        <v>384</v>
      </c>
      <c r="Q8" s="31" t="s">
        <v>30</v>
      </c>
      <c r="R8" s="31" t="s">
        <v>110</v>
      </c>
      <c r="S8" s="32">
        <v>4998290</v>
      </c>
      <c r="T8" s="30" t="s">
        <v>31</v>
      </c>
      <c r="U8" s="33">
        <v>0</v>
      </c>
      <c r="V8" s="33">
        <v>-1</v>
      </c>
      <c r="W8" s="34">
        <f t="shared" ref="W8:W61" si="0">V8/100</f>
        <v>-0.01</v>
      </c>
      <c r="X8" s="35">
        <v>0</v>
      </c>
    </row>
    <row r="9" spans="1:24" x14ac:dyDescent="0.25">
      <c r="A9" s="47" t="s">
        <v>148</v>
      </c>
      <c r="B9" s="30" t="s">
        <v>206</v>
      </c>
      <c r="C9" s="30" t="s">
        <v>203</v>
      </c>
      <c r="D9" s="30" t="s">
        <v>207</v>
      </c>
      <c r="E9" s="30" t="s">
        <v>208</v>
      </c>
      <c r="F9" s="23" t="str">
        <f>HYPERLINK("https://mapwv.gov/flood/map/?wkid=102100&amp;x=-9110145.89484725&amp;y=4598884.937955119&amp;l=13&amp;v=2","FT")</f>
        <v>FT</v>
      </c>
      <c r="G9" s="31" t="s">
        <v>32</v>
      </c>
      <c r="H9" s="31" t="s">
        <v>25</v>
      </c>
      <c r="I9" s="30" t="s">
        <v>320</v>
      </c>
      <c r="J9" s="31" t="s">
        <v>36</v>
      </c>
      <c r="K9" s="31" t="s">
        <v>83</v>
      </c>
      <c r="L9" s="31"/>
      <c r="M9" s="30" t="s">
        <v>28</v>
      </c>
      <c r="N9" s="2" t="s">
        <v>102</v>
      </c>
      <c r="O9" s="31" t="s">
        <v>105</v>
      </c>
      <c r="P9" s="27" t="s">
        <v>385</v>
      </c>
      <c r="Q9" s="31" t="s">
        <v>30</v>
      </c>
      <c r="R9" s="31" t="s">
        <v>110</v>
      </c>
      <c r="S9" s="32">
        <v>4527900</v>
      </c>
      <c r="T9" s="30" t="s">
        <v>44</v>
      </c>
      <c r="U9" s="33">
        <v>3.0459594999999999</v>
      </c>
      <c r="V9" s="33">
        <v>2.04595947265625</v>
      </c>
      <c r="W9" s="34">
        <f t="shared" si="0"/>
        <v>2.0459594726562499E-2</v>
      </c>
      <c r="X9" s="35">
        <v>372636.99481201102</v>
      </c>
    </row>
    <row r="10" spans="1:24" x14ac:dyDescent="0.25">
      <c r="A10" s="47" t="s">
        <v>2275</v>
      </c>
      <c r="B10" s="30" t="s">
        <v>206</v>
      </c>
      <c r="C10" s="30" t="s">
        <v>200</v>
      </c>
      <c r="D10" s="30" t="s">
        <v>2276</v>
      </c>
      <c r="E10" s="30" t="s">
        <v>2277</v>
      </c>
      <c r="F10" s="23" t="str">
        <f>HYPERLINK("https://mapwv.gov/flood/map/?wkid=102100&amp;x=-9091877.422975384&amp;y=4563989.568729703&amp;l=13&amp;v=2","FT")</f>
        <v>FT</v>
      </c>
      <c r="G10" s="31" t="s">
        <v>32</v>
      </c>
      <c r="H10" s="31" t="s">
        <v>25</v>
      </c>
      <c r="I10" s="30" t="s">
        <v>2278</v>
      </c>
      <c r="J10" s="31" t="s">
        <v>26</v>
      </c>
      <c r="K10" s="31">
        <v>9999</v>
      </c>
      <c r="L10" s="31"/>
      <c r="M10" s="30" t="s">
        <v>28</v>
      </c>
      <c r="N10" s="2" t="s">
        <v>102</v>
      </c>
      <c r="O10" s="31" t="s">
        <v>105</v>
      </c>
      <c r="P10" s="53">
        <v>2300</v>
      </c>
      <c r="Q10" s="31" t="s">
        <v>30</v>
      </c>
      <c r="R10" s="31" t="s">
        <v>110</v>
      </c>
      <c r="S10" s="32">
        <v>4300000</v>
      </c>
      <c r="T10" s="30" t="s">
        <v>29</v>
      </c>
      <c r="U10" s="33">
        <v>0</v>
      </c>
      <c r="V10" s="33">
        <v>-1</v>
      </c>
      <c r="W10" s="34">
        <v>0</v>
      </c>
      <c r="X10" s="35">
        <v>0</v>
      </c>
    </row>
    <row r="11" spans="1:24" x14ac:dyDescent="0.25">
      <c r="A11" s="47" t="s">
        <v>149</v>
      </c>
      <c r="B11" s="30" t="s">
        <v>206</v>
      </c>
      <c r="C11" s="30" t="s">
        <v>209</v>
      </c>
      <c r="D11" s="30" t="s">
        <v>210</v>
      </c>
      <c r="E11" s="30" t="s">
        <v>211</v>
      </c>
      <c r="F11" s="23" t="str">
        <f>HYPERLINK("https://mapwv.gov/flood/map/?wkid=102100&amp;x=-9123769.4726894&amp;y=4590643.994969571&amp;l=13&amp;v=2","FT")</f>
        <v>FT</v>
      </c>
      <c r="G11" s="31" t="s">
        <v>38</v>
      </c>
      <c r="H11" s="31" t="s">
        <v>25</v>
      </c>
      <c r="I11" s="30" t="s">
        <v>320</v>
      </c>
      <c r="J11" s="31" t="s">
        <v>36</v>
      </c>
      <c r="K11" s="31" t="s">
        <v>83</v>
      </c>
      <c r="L11" s="31"/>
      <c r="M11" s="30" t="s">
        <v>380</v>
      </c>
      <c r="N11" s="2" t="s">
        <v>104</v>
      </c>
      <c r="O11" s="31" t="s">
        <v>105</v>
      </c>
      <c r="P11" s="27" t="s">
        <v>386</v>
      </c>
      <c r="Q11" s="31" t="s">
        <v>30</v>
      </c>
      <c r="R11" s="31" t="s">
        <v>110</v>
      </c>
      <c r="S11" s="32">
        <v>3618906</v>
      </c>
      <c r="T11" s="30" t="s">
        <v>112</v>
      </c>
      <c r="U11" s="33">
        <v>0</v>
      </c>
      <c r="V11" s="33">
        <v>-1</v>
      </c>
      <c r="W11" s="34">
        <f t="shared" si="0"/>
        <v>-0.01</v>
      </c>
      <c r="X11" s="35">
        <v>0</v>
      </c>
    </row>
    <row r="12" spans="1:24" x14ac:dyDescent="0.25">
      <c r="A12" s="47" t="s">
        <v>150</v>
      </c>
      <c r="B12" s="30" t="s">
        <v>206</v>
      </c>
      <c r="C12" s="30" t="s">
        <v>212</v>
      </c>
      <c r="D12" s="30" t="s">
        <v>213</v>
      </c>
      <c r="E12" s="30" t="s">
        <v>214</v>
      </c>
      <c r="F12" s="23" t="str">
        <f>HYPERLINK("https://mapwv.gov/flood/map/?wkid=102100&amp;x=-9125025.466125056&amp;y=4577680.154962457&amp;l=13&amp;v=2","FT")</f>
        <v>FT</v>
      </c>
      <c r="G12" s="31" t="s">
        <v>38</v>
      </c>
      <c r="H12" s="31" t="s">
        <v>25</v>
      </c>
      <c r="I12" s="30" t="s">
        <v>321</v>
      </c>
      <c r="J12" s="31" t="s">
        <v>26</v>
      </c>
      <c r="K12" s="31" t="s">
        <v>366</v>
      </c>
      <c r="L12" s="31" t="s">
        <v>367</v>
      </c>
      <c r="M12" s="30" t="s">
        <v>48</v>
      </c>
      <c r="N12" s="2" t="s">
        <v>35</v>
      </c>
      <c r="O12" s="31" t="s">
        <v>105</v>
      </c>
      <c r="P12" s="27" t="s">
        <v>387</v>
      </c>
      <c r="Q12" s="31" t="s">
        <v>30</v>
      </c>
      <c r="R12" s="31" t="s">
        <v>110</v>
      </c>
      <c r="S12" s="32">
        <v>3323900</v>
      </c>
      <c r="T12" s="30" t="s">
        <v>44</v>
      </c>
      <c r="U12" s="33">
        <v>0</v>
      </c>
      <c r="V12" s="33">
        <v>-1</v>
      </c>
      <c r="W12" s="34">
        <f t="shared" si="0"/>
        <v>-0.01</v>
      </c>
      <c r="X12" s="35">
        <v>0</v>
      </c>
    </row>
    <row r="13" spans="1:24" x14ac:dyDescent="0.25">
      <c r="A13" s="47" t="s">
        <v>151</v>
      </c>
      <c r="B13" s="30" t="s">
        <v>206</v>
      </c>
      <c r="C13" s="30" t="s">
        <v>215</v>
      </c>
      <c r="D13" s="30" t="s">
        <v>216</v>
      </c>
      <c r="E13" s="30" t="s">
        <v>217</v>
      </c>
      <c r="F13" s="23" t="str">
        <f>HYPERLINK("https://mapwv.gov/flood/map/?wkid=102100&amp;x=-9086086.299644895&amp;y=4595629.679448266&amp;l=13&amp;v=2","FT")</f>
        <v>FT</v>
      </c>
      <c r="G13" s="31" t="s">
        <v>32</v>
      </c>
      <c r="H13" s="31" t="s">
        <v>25</v>
      </c>
      <c r="I13" s="30" t="s">
        <v>322</v>
      </c>
      <c r="J13" s="31" t="s">
        <v>39</v>
      </c>
      <c r="K13" s="31" t="s">
        <v>126</v>
      </c>
      <c r="L13" s="31"/>
      <c r="M13" s="30" t="s">
        <v>68</v>
      </c>
      <c r="N13" s="2" t="s">
        <v>101</v>
      </c>
      <c r="O13" s="31" t="s">
        <v>105</v>
      </c>
      <c r="P13" s="27" t="s">
        <v>388</v>
      </c>
      <c r="Q13" s="31" t="s">
        <v>30</v>
      </c>
      <c r="R13" s="31" t="s">
        <v>110</v>
      </c>
      <c r="S13" s="32">
        <v>2928440</v>
      </c>
      <c r="T13" s="30" t="s">
        <v>31</v>
      </c>
      <c r="U13" s="33">
        <v>1.5780029</v>
      </c>
      <c r="V13" s="33">
        <v>0.5780029296875</v>
      </c>
      <c r="W13" s="34">
        <f t="shared" si="0"/>
        <v>5.7800292968750002E-3</v>
      </c>
      <c r="X13" s="35">
        <v>84632.344970703096</v>
      </c>
    </row>
    <row r="14" spans="1:24" x14ac:dyDescent="0.25">
      <c r="A14" s="47" t="s">
        <v>152</v>
      </c>
      <c r="B14" s="30" t="s">
        <v>199</v>
      </c>
      <c r="C14" s="30" t="s">
        <v>203</v>
      </c>
      <c r="D14" s="30" t="s">
        <v>218</v>
      </c>
      <c r="E14" s="30" t="s">
        <v>219</v>
      </c>
      <c r="F14" s="23" t="str">
        <f>HYPERLINK("https://mapwv.gov/flood/map/?wkid=102100&amp;x=-9109013.022772165&amp;y=4589668.053235925&amp;l=13&amp;v=2","FT")</f>
        <v>FT</v>
      </c>
      <c r="G14" s="31" t="s">
        <v>32</v>
      </c>
      <c r="H14" s="31" t="s">
        <v>25</v>
      </c>
      <c r="I14" s="30" t="s">
        <v>319</v>
      </c>
      <c r="J14" s="31" t="s">
        <v>39</v>
      </c>
      <c r="K14" s="31" t="s">
        <v>122</v>
      </c>
      <c r="L14" s="31"/>
      <c r="M14" s="30" t="s">
        <v>68</v>
      </c>
      <c r="N14" s="2" t="s">
        <v>101</v>
      </c>
      <c r="O14" s="31" t="s">
        <v>105</v>
      </c>
      <c r="P14" s="27" t="s">
        <v>389</v>
      </c>
      <c r="Q14" s="31" t="s">
        <v>30</v>
      </c>
      <c r="R14" s="31" t="s">
        <v>110</v>
      </c>
      <c r="S14" s="32">
        <v>2901390</v>
      </c>
      <c r="T14" s="30" t="s">
        <v>31</v>
      </c>
      <c r="U14" s="33">
        <v>2.255188</v>
      </c>
      <c r="V14" s="33">
        <v>1.25518798828125</v>
      </c>
      <c r="W14" s="34">
        <f t="shared" si="0"/>
        <v>1.25518798828125E-2</v>
      </c>
      <c r="X14" s="35">
        <v>159877.497546386</v>
      </c>
    </row>
    <row r="15" spans="1:24" x14ac:dyDescent="0.25">
      <c r="A15" s="47" t="s">
        <v>153</v>
      </c>
      <c r="B15" s="30" t="s">
        <v>206</v>
      </c>
      <c r="C15" s="30" t="s">
        <v>220</v>
      </c>
      <c r="D15" s="30" t="s">
        <v>221</v>
      </c>
      <c r="E15" s="30" t="s">
        <v>222</v>
      </c>
      <c r="F15" s="23" t="str">
        <f>HYPERLINK("https://mapwv.gov/flood/map/?wkid=102100&amp;x=-9108820.12913775&amp;y=4594075.019965972&amp;l=13&amp;v=2","FT")</f>
        <v>FT</v>
      </c>
      <c r="G15" s="31" t="s">
        <v>38</v>
      </c>
      <c r="H15" s="31" t="s">
        <v>25</v>
      </c>
      <c r="I15" s="30" t="s">
        <v>323</v>
      </c>
      <c r="J15" s="31" t="s">
        <v>26</v>
      </c>
      <c r="K15" s="31" t="s">
        <v>82</v>
      </c>
      <c r="L15" s="31"/>
      <c r="M15" s="30" t="s">
        <v>68</v>
      </c>
      <c r="N15" s="2" t="s">
        <v>101</v>
      </c>
      <c r="O15" s="31" t="s">
        <v>105</v>
      </c>
      <c r="P15" s="27" t="s">
        <v>390</v>
      </c>
      <c r="Q15" s="31" t="s">
        <v>30</v>
      </c>
      <c r="R15" s="31" t="s">
        <v>110</v>
      </c>
      <c r="S15" s="32">
        <v>2688920</v>
      </c>
      <c r="T15" s="30" t="s">
        <v>31</v>
      </c>
      <c r="U15" s="33">
        <v>0</v>
      </c>
      <c r="V15" s="33">
        <v>-1</v>
      </c>
      <c r="W15" s="34">
        <f t="shared" si="0"/>
        <v>-0.01</v>
      </c>
      <c r="X15" s="35">
        <v>0</v>
      </c>
    </row>
    <row r="16" spans="1:24" x14ac:dyDescent="0.25">
      <c r="A16" s="47" t="s">
        <v>2279</v>
      </c>
      <c r="B16" s="30" t="s">
        <v>206</v>
      </c>
      <c r="C16" s="30" t="s">
        <v>2280</v>
      </c>
      <c r="D16" s="30" t="s">
        <v>2281</v>
      </c>
      <c r="E16" s="30" t="s">
        <v>2303</v>
      </c>
      <c r="F16" s="23" t="str">
        <f>HYPERLINK("https://mapwv.gov/flood/map/?wkid=102100&amp;x=-9083201&amp;y=4565382&amp;l=12&amp;v=2","FT")</f>
        <v>FT</v>
      </c>
      <c r="G16" s="31" t="s">
        <v>317</v>
      </c>
      <c r="H16" s="31" t="s">
        <v>25</v>
      </c>
      <c r="I16" s="30" t="s">
        <v>2282</v>
      </c>
      <c r="J16" s="31" t="s">
        <v>36</v>
      </c>
      <c r="K16" s="31">
        <v>0</v>
      </c>
      <c r="L16" s="31"/>
      <c r="M16" s="30" t="s">
        <v>28</v>
      </c>
      <c r="N16" s="2" t="s">
        <v>102</v>
      </c>
      <c r="O16" s="31">
        <v>1</v>
      </c>
      <c r="P16" s="53">
        <v>8100</v>
      </c>
      <c r="Q16" s="31" t="s">
        <v>30</v>
      </c>
      <c r="R16" s="31" t="s">
        <v>110</v>
      </c>
      <c r="S16" s="32">
        <v>2500000</v>
      </c>
      <c r="T16" s="30" t="s">
        <v>29</v>
      </c>
      <c r="U16" s="33">
        <v>0</v>
      </c>
      <c r="V16" s="33"/>
      <c r="W16" s="34">
        <f t="shared" si="0"/>
        <v>0</v>
      </c>
      <c r="X16" s="35">
        <v>0</v>
      </c>
    </row>
    <row r="17" spans="1:24" x14ac:dyDescent="0.25">
      <c r="A17" s="47" t="s">
        <v>154</v>
      </c>
      <c r="B17" s="30" t="s">
        <v>223</v>
      </c>
      <c r="C17" s="30" t="s">
        <v>215</v>
      </c>
      <c r="D17" s="30" t="s">
        <v>224</v>
      </c>
      <c r="E17" s="30" t="s">
        <v>225</v>
      </c>
      <c r="F17" s="23" t="str">
        <f>HYPERLINK("https://mapwv.gov/flood/map/?wkid=102100&amp;x=-9076504.090979218&amp;y=4576900.727457747&amp;l=13&amp;v=2","FT")</f>
        <v>FT</v>
      </c>
      <c r="G17" s="31" t="s">
        <v>32</v>
      </c>
      <c r="H17" s="31" t="s">
        <v>25</v>
      </c>
      <c r="I17" s="30" t="s">
        <v>324</v>
      </c>
      <c r="J17" s="31" t="s">
        <v>39</v>
      </c>
      <c r="K17" s="31" t="s">
        <v>368</v>
      </c>
      <c r="L17" s="31"/>
      <c r="M17" s="30" t="s">
        <v>68</v>
      </c>
      <c r="N17" s="2" t="s">
        <v>101</v>
      </c>
      <c r="O17" s="31" t="s">
        <v>105</v>
      </c>
      <c r="P17" s="27" t="s">
        <v>391</v>
      </c>
      <c r="Q17" s="31" t="s">
        <v>30</v>
      </c>
      <c r="R17" s="31" t="s">
        <v>110</v>
      </c>
      <c r="S17" s="32">
        <v>1998440</v>
      </c>
      <c r="T17" s="30" t="s">
        <v>31</v>
      </c>
      <c r="U17" s="33">
        <v>1.6161498999999999</v>
      </c>
      <c r="V17" s="33">
        <v>0.61614990234375</v>
      </c>
      <c r="W17" s="34">
        <f t="shared" si="0"/>
        <v>6.1614990234375002E-3</v>
      </c>
      <c r="X17" s="35">
        <v>61566.9305419921</v>
      </c>
    </row>
    <row r="18" spans="1:24" x14ac:dyDescent="0.25">
      <c r="A18" s="47" t="s">
        <v>155</v>
      </c>
      <c r="B18" s="30" t="s">
        <v>206</v>
      </c>
      <c r="C18" s="30" t="s">
        <v>200</v>
      </c>
      <c r="D18" s="30" t="s">
        <v>226</v>
      </c>
      <c r="E18" s="30" t="s">
        <v>227</v>
      </c>
      <c r="F18" s="23" t="str">
        <f>HYPERLINK("https://mapwv.gov/flood/map/?wkid=102100&amp;x=-9096308.304504802&amp;y=4575449.49048036&amp;l=13&amp;v=2","FT")</f>
        <v>FT</v>
      </c>
      <c r="G18" s="31" t="s">
        <v>32</v>
      </c>
      <c r="H18" s="31" t="s">
        <v>65</v>
      </c>
      <c r="I18" s="30" t="s">
        <v>325</v>
      </c>
      <c r="J18" s="31" t="s">
        <v>26</v>
      </c>
      <c r="K18" s="31" t="s">
        <v>369</v>
      </c>
      <c r="L18" s="31"/>
      <c r="M18" s="30" t="s">
        <v>68</v>
      </c>
      <c r="N18" s="2" t="s">
        <v>101</v>
      </c>
      <c r="O18" s="31" t="s">
        <v>106</v>
      </c>
      <c r="P18" s="27" t="s">
        <v>392</v>
      </c>
      <c r="Q18" s="31" t="s">
        <v>30</v>
      </c>
      <c r="R18" s="31" t="s">
        <v>110</v>
      </c>
      <c r="S18" s="32">
        <v>1878640</v>
      </c>
      <c r="T18" s="30" t="s">
        <v>31</v>
      </c>
      <c r="U18" s="33">
        <v>5.8651733000000004</v>
      </c>
      <c r="V18" s="33">
        <v>4.86517333984375</v>
      </c>
      <c r="W18" s="34">
        <f t="shared" si="0"/>
        <v>4.8651733398437501E-2</v>
      </c>
      <c r="X18" s="35">
        <v>185331.09243163999</v>
      </c>
    </row>
    <row r="19" spans="1:24" x14ac:dyDescent="0.25">
      <c r="A19" s="47" t="s">
        <v>156</v>
      </c>
      <c r="B19" s="30" t="s">
        <v>228</v>
      </c>
      <c r="C19" s="30" t="s">
        <v>203</v>
      </c>
      <c r="D19" s="30" t="s">
        <v>229</v>
      </c>
      <c r="E19" s="30" t="s">
        <v>230</v>
      </c>
      <c r="F19" s="23" t="str">
        <f>HYPERLINK("https://mapwv.gov/flood/map/?wkid=102100&amp;x=-9110576.452477558&amp;y=4591569.149689254&amp;l=13&amp;v=2","FT")</f>
        <v>FT</v>
      </c>
      <c r="G19" s="31" t="s">
        <v>32</v>
      </c>
      <c r="H19" s="31" t="s">
        <v>65</v>
      </c>
      <c r="I19" s="30" t="s">
        <v>326</v>
      </c>
      <c r="J19" s="31" t="s">
        <v>26</v>
      </c>
      <c r="K19" s="31" t="s">
        <v>95</v>
      </c>
      <c r="L19" s="31" t="s">
        <v>57</v>
      </c>
      <c r="M19" s="30" t="s">
        <v>58</v>
      </c>
      <c r="N19" s="2" t="s">
        <v>42</v>
      </c>
      <c r="O19" s="31" t="s">
        <v>107</v>
      </c>
      <c r="P19" s="27" t="s">
        <v>393</v>
      </c>
      <c r="Q19" s="31" t="s">
        <v>30</v>
      </c>
      <c r="R19" s="31" t="s">
        <v>110</v>
      </c>
      <c r="S19" s="32">
        <v>1856300</v>
      </c>
      <c r="T19" s="30" t="s">
        <v>44</v>
      </c>
      <c r="U19" s="33">
        <v>0.15716553</v>
      </c>
      <c r="V19" s="33">
        <v>-0.84283447265625</v>
      </c>
      <c r="W19" s="34">
        <f t="shared" si="0"/>
        <v>-8.4283447265625002E-3</v>
      </c>
      <c r="X19" s="35">
        <v>43761.955261230403</v>
      </c>
    </row>
    <row r="20" spans="1:24" x14ac:dyDescent="0.25">
      <c r="A20" s="47" t="s">
        <v>157</v>
      </c>
      <c r="B20" s="30" t="s">
        <v>206</v>
      </c>
      <c r="C20" s="30" t="s">
        <v>220</v>
      </c>
      <c r="D20" s="30" t="s">
        <v>231</v>
      </c>
      <c r="E20" s="30" t="s">
        <v>232</v>
      </c>
      <c r="F20" s="23" t="str">
        <f>HYPERLINK("https://mapwv.gov/flood/map/?wkid=102100&amp;x=-9106922.43048992&amp;y=4594067.41260284&amp;l=13&amp;v=2","FT")</f>
        <v>FT</v>
      </c>
      <c r="G20" s="31" t="s">
        <v>38</v>
      </c>
      <c r="H20" s="31" t="s">
        <v>25</v>
      </c>
      <c r="I20" s="30" t="s">
        <v>67</v>
      </c>
      <c r="J20" s="31" t="s">
        <v>26</v>
      </c>
      <c r="K20" s="31" t="s">
        <v>82</v>
      </c>
      <c r="L20" s="31"/>
      <c r="M20" s="30" t="s">
        <v>68</v>
      </c>
      <c r="N20" s="2" t="s">
        <v>101</v>
      </c>
      <c r="O20" s="31" t="s">
        <v>105</v>
      </c>
      <c r="P20" s="27" t="s">
        <v>394</v>
      </c>
      <c r="Q20" s="31" t="s">
        <v>30</v>
      </c>
      <c r="R20" s="31" t="s">
        <v>110</v>
      </c>
      <c r="S20" s="32">
        <v>1837250</v>
      </c>
      <c r="T20" s="30" t="s">
        <v>31</v>
      </c>
      <c r="U20" s="33">
        <v>0</v>
      </c>
      <c r="V20" s="33">
        <v>-1</v>
      </c>
      <c r="W20" s="34">
        <f t="shared" si="0"/>
        <v>-0.01</v>
      </c>
      <c r="X20" s="35">
        <v>0</v>
      </c>
    </row>
    <row r="21" spans="1:24" x14ac:dyDescent="0.25">
      <c r="A21" s="47" t="s">
        <v>158</v>
      </c>
      <c r="B21" s="30" t="s">
        <v>206</v>
      </c>
      <c r="C21" s="30" t="s">
        <v>215</v>
      </c>
      <c r="D21" s="30" t="s">
        <v>233</v>
      </c>
      <c r="E21" s="30" t="s">
        <v>234</v>
      </c>
      <c r="F21" s="23" t="str">
        <f>HYPERLINK("https://mapwv.gov/flood/map/?wkid=102100&amp;x=-9092663.046700682&amp;y=4598856.474542013&amp;l=13&amp;v=2","FT")</f>
        <v>FT</v>
      </c>
      <c r="G21" s="31" t="s">
        <v>32</v>
      </c>
      <c r="H21" s="31" t="s">
        <v>25</v>
      </c>
      <c r="I21" s="30" t="s">
        <v>327</v>
      </c>
      <c r="J21" s="31" t="s">
        <v>36</v>
      </c>
      <c r="K21" s="31" t="s">
        <v>83</v>
      </c>
      <c r="L21" s="31"/>
      <c r="M21" s="30" t="s">
        <v>66</v>
      </c>
      <c r="N21" s="2" t="s">
        <v>103</v>
      </c>
      <c r="O21" s="31" t="s">
        <v>105</v>
      </c>
      <c r="P21" s="27" t="s">
        <v>395</v>
      </c>
      <c r="Q21" s="31" t="s">
        <v>30</v>
      </c>
      <c r="R21" s="31" t="s">
        <v>110</v>
      </c>
      <c r="S21" s="32">
        <v>1516743</v>
      </c>
      <c r="T21" s="30" t="s">
        <v>112</v>
      </c>
      <c r="U21" s="33">
        <v>4.3678590000000002</v>
      </c>
      <c r="V21" s="33">
        <v>3.36785888671875</v>
      </c>
      <c r="W21" s="34">
        <f t="shared" si="0"/>
        <v>3.3678588867187498E-2</v>
      </c>
      <c r="X21" s="35">
        <v>172421.20391418401</v>
      </c>
    </row>
    <row r="22" spans="1:24" x14ac:dyDescent="0.25">
      <c r="A22" s="47" t="s">
        <v>159</v>
      </c>
      <c r="B22" s="30" t="s">
        <v>206</v>
      </c>
      <c r="C22" s="30" t="s">
        <v>203</v>
      </c>
      <c r="D22" s="30" t="s">
        <v>235</v>
      </c>
      <c r="E22" s="30" t="s">
        <v>236</v>
      </c>
      <c r="F22" s="23" t="str">
        <f>HYPERLINK("https://mapwv.gov/flood/map/?wkid=102100&amp;x=-9111085.243108284&amp;y=4593961.401839376&amp;l=13&amp;v=2","FT")</f>
        <v>FT</v>
      </c>
      <c r="G22" s="31" t="s">
        <v>32</v>
      </c>
      <c r="H22" s="31" t="s">
        <v>65</v>
      </c>
      <c r="I22" s="30" t="s">
        <v>328</v>
      </c>
      <c r="J22" s="31" t="s">
        <v>36</v>
      </c>
      <c r="K22" s="31" t="s">
        <v>83</v>
      </c>
      <c r="L22" s="31"/>
      <c r="M22" s="30" t="s">
        <v>28</v>
      </c>
      <c r="N22" s="2" t="s">
        <v>102</v>
      </c>
      <c r="O22" s="31" t="s">
        <v>105</v>
      </c>
      <c r="P22" s="27" t="s">
        <v>396</v>
      </c>
      <c r="Q22" s="31" t="s">
        <v>30</v>
      </c>
      <c r="R22" s="31" t="s">
        <v>110</v>
      </c>
      <c r="S22" s="32">
        <v>1500000</v>
      </c>
      <c r="T22" s="30" t="s">
        <v>44</v>
      </c>
      <c r="U22" s="33">
        <v>3.3768310000000001</v>
      </c>
      <c r="V22" s="33">
        <v>2.3768310546875</v>
      </c>
      <c r="W22" s="34">
        <f t="shared" si="0"/>
        <v>2.3768310546875001E-2</v>
      </c>
      <c r="X22" s="35">
        <v>148262.32910156201</v>
      </c>
    </row>
    <row r="23" spans="1:24" x14ac:dyDescent="0.25">
      <c r="A23" s="47" t="s">
        <v>160</v>
      </c>
      <c r="B23" s="30" t="s">
        <v>206</v>
      </c>
      <c r="C23" s="30" t="s">
        <v>237</v>
      </c>
      <c r="D23" s="30" t="s">
        <v>238</v>
      </c>
      <c r="E23" s="30" t="s">
        <v>239</v>
      </c>
      <c r="F23" s="23" t="str">
        <f>HYPERLINK("https://mapwv.gov/flood/map/?wkid=102100&amp;x=-9085307.839328833&amp;y=4597850.959614401&amp;l=13&amp;v=2","FT")</f>
        <v>FT</v>
      </c>
      <c r="G23" s="31" t="s">
        <v>53</v>
      </c>
      <c r="H23" s="31" t="s">
        <v>25</v>
      </c>
      <c r="I23" s="30" t="s">
        <v>329</v>
      </c>
      <c r="J23" s="31" t="s">
        <v>39</v>
      </c>
      <c r="K23" s="31" t="s">
        <v>370</v>
      </c>
      <c r="L23" s="31"/>
      <c r="M23" s="30" t="s">
        <v>68</v>
      </c>
      <c r="N23" s="2" t="s">
        <v>101</v>
      </c>
      <c r="O23" s="31" t="s">
        <v>105</v>
      </c>
      <c r="P23" s="27" t="s">
        <v>397</v>
      </c>
      <c r="Q23" s="31" t="s">
        <v>30</v>
      </c>
      <c r="R23" s="31" t="s">
        <v>110</v>
      </c>
      <c r="S23" s="32">
        <v>1489060</v>
      </c>
      <c r="T23" s="30" t="s">
        <v>31</v>
      </c>
      <c r="U23" s="33">
        <v>0.4260254</v>
      </c>
      <c r="V23" s="33">
        <v>-0.573974609375</v>
      </c>
      <c r="W23" s="34">
        <f t="shared" si="0"/>
        <v>-5.7397460937500004E-3</v>
      </c>
      <c r="X23" s="35">
        <v>0</v>
      </c>
    </row>
    <row r="24" spans="1:24" x14ac:dyDescent="0.25">
      <c r="A24" s="47" t="s">
        <v>161</v>
      </c>
      <c r="B24" s="30" t="s">
        <v>206</v>
      </c>
      <c r="C24" s="30" t="s">
        <v>215</v>
      </c>
      <c r="D24" s="30" t="s">
        <v>216</v>
      </c>
      <c r="E24" s="30" t="s">
        <v>240</v>
      </c>
      <c r="F24" s="23" t="str">
        <f>HYPERLINK("https://mapwv.gov/flood/map/?wkid=102100&amp;x=-9086050.98576283&amp;y=4595698.405572098&amp;l=13&amp;v=2","FT")</f>
        <v>FT</v>
      </c>
      <c r="G24" s="31" t="s">
        <v>32</v>
      </c>
      <c r="H24" s="31" t="s">
        <v>25</v>
      </c>
      <c r="I24" s="30" t="s">
        <v>322</v>
      </c>
      <c r="J24" s="31" t="s">
        <v>39</v>
      </c>
      <c r="K24" s="31" t="s">
        <v>81</v>
      </c>
      <c r="L24" s="31"/>
      <c r="M24" s="30" t="s">
        <v>68</v>
      </c>
      <c r="N24" s="2" t="s">
        <v>101</v>
      </c>
      <c r="O24" s="31" t="s">
        <v>105</v>
      </c>
      <c r="P24" s="27" t="s">
        <v>398</v>
      </c>
      <c r="Q24" s="31" t="s">
        <v>30</v>
      </c>
      <c r="R24" s="31" t="s">
        <v>110</v>
      </c>
      <c r="S24" s="32">
        <v>1257370</v>
      </c>
      <c r="T24" s="30" t="s">
        <v>31</v>
      </c>
      <c r="U24" s="33">
        <v>0.89129639999999999</v>
      </c>
      <c r="V24" s="33">
        <v>-0.10870361328125</v>
      </c>
      <c r="W24" s="34">
        <f t="shared" si="0"/>
        <v>-1.0870361328124999E-3</v>
      </c>
      <c r="X24" s="35">
        <v>0</v>
      </c>
    </row>
    <row r="25" spans="1:24" x14ac:dyDescent="0.25">
      <c r="A25" s="47" t="s">
        <v>162</v>
      </c>
      <c r="B25" s="30" t="s">
        <v>206</v>
      </c>
      <c r="C25" s="30" t="s">
        <v>241</v>
      </c>
      <c r="D25" s="30" t="s">
        <v>242</v>
      </c>
      <c r="E25" s="30" t="s">
        <v>243</v>
      </c>
      <c r="F25" s="23" t="str">
        <f>HYPERLINK("https://mapwv.gov/flood/map/?wkid=102100&amp;x=-9108497.752679156&amp;y=4576990.723588105&amp;l=13&amp;v=2","FT")</f>
        <v>FT</v>
      </c>
      <c r="G25" s="31" t="s">
        <v>32</v>
      </c>
      <c r="H25" s="31" t="s">
        <v>65</v>
      </c>
      <c r="I25" s="30" t="s">
        <v>330</v>
      </c>
      <c r="J25" s="31" t="s">
        <v>39</v>
      </c>
      <c r="K25" s="31" t="s">
        <v>371</v>
      </c>
      <c r="L25" s="31"/>
      <c r="M25" s="30" t="s">
        <v>68</v>
      </c>
      <c r="N25" s="2" t="s">
        <v>101</v>
      </c>
      <c r="O25" s="31" t="s">
        <v>105</v>
      </c>
      <c r="P25" s="27" t="s">
        <v>399</v>
      </c>
      <c r="Q25" s="31" t="s">
        <v>30</v>
      </c>
      <c r="R25" s="31" t="s">
        <v>110</v>
      </c>
      <c r="S25" s="32">
        <v>1224740</v>
      </c>
      <c r="T25" s="30" t="s">
        <v>31</v>
      </c>
      <c r="U25" s="33">
        <v>6.0255736999999998</v>
      </c>
      <c r="V25" s="33">
        <v>5.02557373046875</v>
      </c>
      <c r="W25" s="34">
        <f t="shared" si="0"/>
        <v>5.0255737304687499E-2</v>
      </c>
      <c r="X25" s="35">
        <v>122787.211706542</v>
      </c>
    </row>
    <row r="26" spans="1:24" x14ac:dyDescent="0.25">
      <c r="A26" s="47" t="s">
        <v>163</v>
      </c>
      <c r="B26" s="30" t="s">
        <v>223</v>
      </c>
      <c r="C26" s="30" t="s">
        <v>215</v>
      </c>
      <c r="D26" s="30" t="s">
        <v>244</v>
      </c>
      <c r="E26" s="30" t="s">
        <v>245</v>
      </c>
      <c r="F26" s="23" t="str">
        <f>HYPERLINK("https://mapwv.gov/flood/map/?wkid=102100&amp;x=-9076422.921259314&amp;y=4576737.769561267&amp;l=13&amp;v=2","FT")</f>
        <v>FT</v>
      </c>
      <c r="G26" s="31" t="s">
        <v>32</v>
      </c>
      <c r="H26" s="31" t="s">
        <v>25</v>
      </c>
      <c r="I26" s="30" t="s">
        <v>331</v>
      </c>
      <c r="J26" s="31" t="s">
        <v>36</v>
      </c>
      <c r="K26" s="31" t="s">
        <v>83</v>
      </c>
      <c r="L26" s="31"/>
      <c r="M26" s="30" t="s">
        <v>68</v>
      </c>
      <c r="N26" s="2" t="s">
        <v>101</v>
      </c>
      <c r="O26" s="31" t="s">
        <v>105</v>
      </c>
      <c r="P26" s="27" t="s">
        <v>400</v>
      </c>
      <c r="Q26" s="31" t="s">
        <v>30</v>
      </c>
      <c r="R26" s="31" t="s">
        <v>110</v>
      </c>
      <c r="S26" s="32">
        <v>1175900</v>
      </c>
      <c r="T26" s="30" t="s">
        <v>44</v>
      </c>
      <c r="U26" s="33">
        <v>0</v>
      </c>
      <c r="V26" s="33">
        <v>-1</v>
      </c>
      <c r="W26" s="34">
        <f t="shared" si="0"/>
        <v>-0.01</v>
      </c>
      <c r="X26" s="35">
        <v>0</v>
      </c>
    </row>
    <row r="27" spans="1:24" x14ac:dyDescent="0.25">
      <c r="A27" s="47" t="s">
        <v>164</v>
      </c>
      <c r="B27" s="30" t="s">
        <v>228</v>
      </c>
      <c r="C27" s="30" t="s">
        <v>203</v>
      </c>
      <c r="D27" s="30" t="s">
        <v>246</v>
      </c>
      <c r="E27" s="30" t="s">
        <v>247</v>
      </c>
      <c r="F27" s="23" t="str">
        <f>HYPERLINK("https://mapwv.gov/flood/map/?wkid=102100&amp;x=-9109623.120039446&amp;y=4590601.115913088&amp;l=13&amp;v=2","FT")</f>
        <v>FT</v>
      </c>
      <c r="G27" s="31" t="s">
        <v>32</v>
      </c>
      <c r="H27" s="31" t="s">
        <v>25</v>
      </c>
      <c r="I27" s="30" t="s">
        <v>332</v>
      </c>
      <c r="J27" s="31" t="s">
        <v>26</v>
      </c>
      <c r="K27" s="31" t="s">
        <v>133</v>
      </c>
      <c r="L27" s="31" t="s">
        <v>27</v>
      </c>
      <c r="M27" s="30" t="s">
        <v>55</v>
      </c>
      <c r="N27" s="2" t="s">
        <v>35</v>
      </c>
      <c r="O27" s="31" t="s">
        <v>106</v>
      </c>
      <c r="P27" s="27" t="s">
        <v>401</v>
      </c>
      <c r="Q27" s="31" t="s">
        <v>30</v>
      </c>
      <c r="R27" s="31" t="s">
        <v>110</v>
      </c>
      <c r="S27" s="32">
        <v>1082200</v>
      </c>
      <c r="T27" s="30" t="s">
        <v>44</v>
      </c>
      <c r="U27" s="33">
        <v>1</v>
      </c>
      <c r="V27" s="33">
        <v>0</v>
      </c>
      <c r="W27" s="34">
        <f t="shared" si="0"/>
        <v>0</v>
      </c>
      <c r="X27" s="35">
        <v>21644</v>
      </c>
    </row>
    <row r="28" spans="1:24" x14ac:dyDescent="0.25">
      <c r="A28" s="47" t="s">
        <v>165</v>
      </c>
      <c r="B28" s="30" t="s">
        <v>206</v>
      </c>
      <c r="C28" s="30" t="s">
        <v>203</v>
      </c>
      <c r="D28" s="30" t="s">
        <v>248</v>
      </c>
      <c r="E28" s="30" t="s">
        <v>249</v>
      </c>
      <c r="F28" s="23" t="str">
        <f>HYPERLINK("https://mapwv.gov/flood/map/?wkid=102100&amp;x=-9109848.619152708&amp;y=4598202.392601126&amp;l=13&amp;v=2","FT")</f>
        <v>FT</v>
      </c>
      <c r="G28" s="31" t="s">
        <v>32</v>
      </c>
      <c r="H28" s="31" t="s">
        <v>25</v>
      </c>
      <c r="I28" s="30" t="s">
        <v>333</v>
      </c>
      <c r="J28" s="31" t="s">
        <v>26</v>
      </c>
      <c r="K28" s="31" t="s">
        <v>108</v>
      </c>
      <c r="L28" s="31" t="s">
        <v>54</v>
      </c>
      <c r="M28" s="30" t="s">
        <v>41</v>
      </c>
      <c r="N28" s="2" t="s">
        <v>42</v>
      </c>
      <c r="O28" s="31" t="s">
        <v>106</v>
      </c>
      <c r="P28" s="27" t="s">
        <v>402</v>
      </c>
      <c r="Q28" s="31" t="s">
        <v>43</v>
      </c>
      <c r="R28" s="31" t="s">
        <v>111</v>
      </c>
      <c r="S28" s="32">
        <v>942000</v>
      </c>
      <c r="T28" s="30" t="s">
        <v>44</v>
      </c>
      <c r="U28" s="33">
        <v>1</v>
      </c>
      <c r="V28" s="33">
        <v>-3</v>
      </c>
      <c r="W28" s="34">
        <f t="shared" si="0"/>
        <v>-0.03</v>
      </c>
      <c r="X28" s="35">
        <v>37680</v>
      </c>
    </row>
    <row r="29" spans="1:24" x14ac:dyDescent="0.25">
      <c r="A29" s="47" t="s">
        <v>166</v>
      </c>
      <c r="B29" s="30" t="s">
        <v>206</v>
      </c>
      <c r="C29" s="30" t="s">
        <v>215</v>
      </c>
      <c r="D29" s="30" t="s">
        <v>250</v>
      </c>
      <c r="E29" s="30" t="s">
        <v>251</v>
      </c>
      <c r="F29" s="23" t="str">
        <f>HYPERLINK("https://mapwv.gov/flood/map/?wkid=102100&amp;x=-9085673.346858097&amp;y=4598355.648407996&amp;l=13&amp;v=2","FT")</f>
        <v>FT</v>
      </c>
      <c r="G29" s="31" t="s">
        <v>32</v>
      </c>
      <c r="H29" s="31" t="s">
        <v>65</v>
      </c>
      <c r="I29" s="30" t="s">
        <v>334</v>
      </c>
      <c r="J29" s="31" t="s">
        <v>26</v>
      </c>
      <c r="K29" s="31" t="s">
        <v>90</v>
      </c>
      <c r="L29" s="31" t="s">
        <v>372</v>
      </c>
      <c r="M29" s="30" t="s">
        <v>381</v>
      </c>
      <c r="N29" s="2" t="s">
        <v>42</v>
      </c>
      <c r="O29" s="31" t="s">
        <v>106</v>
      </c>
      <c r="P29" s="27" t="s">
        <v>403</v>
      </c>
      <c r="Q29" s="31" t="s">
        <v>30</v>
      </c>
      <c r="R29" s="31" t="s">
        <v>110</v>
      </c>
      <c r="S29" s="32">
        <v>874200</v>
      </c>
      <c r="T29" s="30" t="s">
        <v>44</v>
      </c>
      <c r="U29" s="33">
        <v>1</v>
      </c>
      <c r="V29" s="33">
        <v>0</v>
      </c>
      <c r="W29" s="34">
        <f t="shared" si="0"/>
        <v>0</v>
      </c>
      <c r="X29" s="35">
        <v>0</v>
      </c>
    </row>
    <row r="30" spans="1:24" x14ac:dyDescent="0.25">
      <c r="A30" s="47" t="s">
        <v>167</v>
      </c>
      <c r="B30" s="30" t="s">
        <v>206</v>
      </c>
      <c r="C30" s="30" t="s">
        <v>215</v>
      </c>
      <c r="D30" s="30" t="s">
        <v>252</v>
      </c>
      <c r="E30" s="30" t="s">
        <v>253</v>
      </c>
      <c r="F30" s="23" t="str">
        <f>HYPERLINK("https://mapwv.gov/flood/map/?wkid=102100&amp;x=-9088938.673689172&amp;y=4598942.005134583&amp;l=13&amp;v=2","FT")</f>
        <v>FT</v>
      </c>
      <c r="G30" s="31" t="s">
        <v>53</v>
      </c>
      <c r="H30" s="31" t="s">
        <v>25</v>
      </c>
      <c r="I30" s="30" t="s">
        <v>335</v>
      </c>
      <c r="J30" s="31" t="s">
        <v>26</v>
      </c>
      <c r="K30" s="31" t="s">
        <v>129</v>
      </c>
      <c r="L30" s="31" t="s">
        <v>27</v>
      </c>
      <c r="M30" s="30" t="s">
        <v>52</v>
      </c>
      <c r="N30" s="2" t="s">
        <v>35</v>
      </c>
      <c r="O30" s="31" t="s">
        <v>105</v>
      </c>
      <c r="P30" s="27" t="s">
        <v>404</v>
      </c>
      <c r="Q30" s="31" t="s">
        <v>30</v>
      </c>
      <c r="R30" s="31" t="s">
        <v>110</v>
      </c>
      <c r="S30" s="32">
        <v>853800</v>
      </c>
      <c r="T30" s="30" t="s">
        <v>44</v>
      </c>
      <c r="U30" s="33">
        <v>0.86529540000000005</v>
      </c>
      <c r="V30" s="33">
        <v>-0.13470458984375</v>
      </c>
      <c r="W30" s="34">
        <f t="shared" si="0"/>
        <v>-1.3470458984375E-3</v>
      </c>
      <c r="X30" s="35">
        <v>7387.8922119140598</v>
      </c>
    </row>
    <row r="31" spans="1:24" x14ac:dyDescent="0.25">
      <c r="A31" s="47" t="s">
        <v>168</v>
      </c>
      <c r="B31" s="30" t="s">
        <v>206</v>
      </c>
      <c r="C31" s="30" t="s">
        <v>254</v>
      </c>
      <c r="D31" s="30" t="s">
        <v>233</v>
      </c>
      <c r="E31" s="30" t="s">
        <v>255</v>
      </c>
      <c r="F31" s="23" t="str">
        <f>HYPERLINK("https://mapwv.gov/flood/map/?wkid=102100&amp;x=-9092755.108142206&amp;y=4598669.763720764&amp;l=13&amp;v=2","FT")</f>
        <v>FT</v>
      </c>
      <c r="G31" s="31" t="s">
        <v>38</v>
      </c>
      <c r="H31" s="31" t="s">
        <v>25</v>
      </c>
      <c r="I31" s="30" t="s">
        <v>327</v>
      </c>
      <c r="J31" s="31" t="s">
        <v>36</v>
      </c>
      <c r="K31" s="31" t="s">
        <v>83</v>
      </c>
      <c r="L31" s="31"/>
      <c r="M31" s="30" t="s">
        <v>66</v>
      </c>
      <c r="N31" s="2" t="s">
        <v>103</v>
      </c>
      <c r="O31" s="31" t="s">
        <v>105</v>
      </c>
      <c r="P31" s="27" t="s">
        <v>405</v>
      </c>
      <c r="Q31" s="31" t="s">
        <v>30</v>
      </c>
      <c r="R31" s="31" t="s">
        <v>110</v>
      </c>
      <c r="S31" s="32">
        <v>762674</v>
      </c>
      <c r="T31" s="30" t="s">
        <v>112</v>
      </c>
      <c r="U31" s="33">
        <v>0</v>
      </c>
      <c r="V31" s="33">
        <v>-1</v>
      </c>
      <c r="W31" s="34">
        <f t="shared" si="0"/>
        <v>-0.01</v>
      </c>
      <c r="X31" s="35">
        <v>0</v>
      </c>
    </row>
    <row r="32" spans="1:24" x14ac:dyDescent="0.25">
      <c r="A32" s="47" t="s">
        <v>169</v>
      </c>
      <c r="B32" s="30" t="s">
        <v>206</v>
      </c>
      <c r="C32" s="30" t="s">
        <v>220</v>
      </c>
      <c r="D32" s="30" t="s">
        <v>256</v>
      </c>
      <c r="E32" s="30" t="s">
        <v>257</v>
      </c>
      <c r="F32" s="23" t="str">
        <f>HYPERLINK("https://mapwv.gov/flood/map/?wkid=102100&amp;x=-9109272.306794284&amp;y=4593530.149864047&amp;l=13&amp;v=2","FT")</f>
        <v>FT</v>
      </c>
      <c r="G32" s="31" t="s">
        <v>317</v>
      </c>
      <c r="H32" s="31" t="s">
        <v>25</v>
      </c>
      <c r="I32" s="30" t="s">
        <v>336</v>
      </c>
      <c r="J32" s="31" t="s">
        <v>26</v>
      </c>
      <c r="K32" s="31" t="s">
        <v>116</v>
      </c>
      <c r="L32" s="31" t="s">
        <v>38</v>
      </c>
      <c r="M32" s="30" t="s">
        <v>48</v>
      </c>
      <c r="N32" s="2" t="s">
        <v>35</v>
      </c>
      <c r="O32" s="31" t="s">
        <v>105</v>
      </c>
      <c r="P32" s="27" t="s">
        <v>406</v>
      </c>
      <c r="Q32" s="31" t="s">
        <v>30</v>
      </c>
      <c r="R32" s="31" t="s">
        <v>110</v>
      </c>
      <c r="S32" s="32">
        <v>755000</v>
      </c>
      <c r="T32" s="30" t="s">
        <v>44</v>
      </c>
      <c r="U32" s="33">
        <v>3.8530272999999999</v>
      </c>
      <c r="V32" s="33">
        <v>2.85302734375</v>
      </c>
      <c r="W32" s="34">
        <f t="shared" si="0"/>
        <v>2.85302734375E-2</v>
      </c>
      <c r="X32" s="35">
        <v>118580.712890625</v>
      </c>
    </row>
    <row r="33" spans="1:24" x14ac:dyDescent="0.25">
      <c r="A33" s="47" t="s">
        <v>170</v>
      </c>
      <c r="B33" s="30" t="s">
        <v>206</v>
      </c>
      <c r="C33" s="30" t="s">
        <v>215</v>
      </c>
      <c r="D33" s="30" t="s">
        <v>258</v>
      </c>
      <c r="E33" s="30" t="s">
        <v>259</v>
      </c>
      <c r="F33" s="23" t="str">
        <f>HYPERLINK("https://mapwv.gov/flood/map/?wkid=102100&amp;x=-9080594.179910079&amp;y=4588420.9707450485&amp;l=13&amp;v=2","FT")</f>
        <v>FT</v>
      </c>
      <c r="G33" s="31" t="s">
        <v>32</v>
      </c>
      <c r="H33" s="31" t="s">
        <v>25</v>
      </c>
      <c r="I33" s="30" t="s">
        <v>337</v>
      </c>
      <c r="J33" s="31" t="s">
        <v>36</v>
      </c>
      <c r="K33" s="31" t="s">
        <v>83</v>
      </c>
      <c r="L33" s="31"/>
      <c r="M33" s="30" t="s">
        <v>66</v>
      </c>
      <c r="N33" s="2" t="s">
        <v>103</v>
      </c>
      <c r="O33" s="31" t="s">
        <v>105</v>
      </c>
      <c r="P33" s="27" t="s">
        <v>407</v>
      </c>
      <c r="Q33" s="31" t="s">
        <v>30</v>
      </c>
      <c r="R33" s="31" t="s">
        <v>110</v>
      </c>
      <c r="S33" s="32">
        <v>743118</v>
      </c>
      <c r="T33" s="30" t="s">
        <v>112</v>
      </c>
      <c r="U33" s="33">
        <v>3.0042114</v>
      </c>
      <c r="V33" s="33">
        <v>2.00421142578125</v>
      </c>
      <c r="W33" s="34">
        <f t="shared" si="0"/>
        <v>2.00421142578125E-2</v>
      </c>
      <c r="X33" s="35">
        <v>81742.98</v>
      </c>
    </row>
    <row r="34" spans="1:24" x14ac:dyDescent="0.25">
      <c r="A34" s="47" t="s">
        <v>171</v>
      </c>
      <c r="B34" s="30" t="s">
        <v>223</v>
      </c>
      <c r="C34" s="30" t="s">
        <v>215</v>
      </c>
      <c r="D34" s="30" t="s">
        <v>260</v>
      </c>
      <c r="E34" s="30" t="s">
        <v>261</v>
      </c>
      <c r="F34" s="23" t="str">
        <f>HYPERLINK("https://mapwv.gov/flood/map/?wkid=102100&amp;x=-9075553.93448618&amp;y=4575678.013281906&amp;l=13&amp;v=2","FT")</f>
        <v>FT</v>
      </c>
      <c r="G34" s="31" t="s">
        <v>32</v>
      </c>
      <c r="H34" s="31" t="s">
        <v>25</v>
      </c>
      <c r="I34" s="30" t="s">
        <v>338</v>
      </c>
      <c r="J34" s="31" t="s">
        <v>26</v>
      </c>
      <c r="K34" s="31" t="s">
        <v>373</v>
      </c>
      <c r="L34" s="31"/>
      <c r="M34" s="30" t="s">
        <v>71</v>
      </c>
      <c r="N34" s="2" t="s">
        <v>102</v>
      </c>
      <c r="O34" s="31" t="s">
        <v>105</v>
      </c>
      <c r="P34" s="27" t="s">
        <v>408</v>
      </c>
      <c r="Q34" s="31" t="s">
        <v>30</v>
      </c>
      <c r="R34" s="31" t="s">
        <v>110</v>
      </c>
      <c r="S34" s="32">
        <v>714580</v>
      </c>
      <c r="T34" s="30" t="s">
        <v>31</v>
      </c>
      <c r="U34" s="33">
        <v>0</v>
      </c>
      <c r="V34" s="33">
        <v>-1</v>
      </c>
      <c r="W34" s="34">
        <f t="shared" si="0"/>
        <v>-0.01</v>
      </c>
      <c r="X34" s="35">
        <v>0</v>
      </c>
    </row>
    <row r="35" spans="1:24" x14ac:dyDescent="0.25">
      <c r="A35" s="47" t="s">
        <v>172</v>
      </c>
      <c r="B35" s="30" t="s">
        <v>206</v>
      </c>
      <c r="C35" s="30" t="s">
        <v>220</v>
      </c>
      <c r="D35" s="30" t="s">
        <v>262</v>
      </c>
      <c r="E35" s="30" t="s">
        <v>263</v>
      </c>
      <c r="F35" s="23" t="str">
        <f>HYPERLINK("https://mapwv.gov/flood/map/?wkid=102100&amp;x=-9109881.1517173&amp;y=4593506.971528022&amp;l=13&amp;v=2","FT")</f>
        <v>FT</v>
      </c>
      <c r="G35" s="31" t="s">
        <v>38</v>
      </c>
      <c r="H35" s="31" t="s">
        <v>25</v>
      </c>
      <c r="I35" s="30" t="s">
        <v>339</v>
      </c>
      <c r="J35" s="31" t="s">
        <v>36</v>
      </c>
      <c r="K35" s="31" t="s">
        <v>83</v>
      </c>
      <c r="L35" s="31"/>
      <c r="M35" s="30" t="s">
        <v>66</v>
      </c>
      <c r="N35" s="2" t="s">
        <v>103</v>
      </c>
      <c r="O35" s="31" t="s">
        <v>105</v>
      </c>
      <c r="P35" s="27" t="s">
        <v>409</v>
      </c>
      <c r="Q35" s="31" t="s">
        <v>30</v>
      </c>
      <c r="R35" s="31" t="s">
        <v>110</v>
      </c>
      <c r="S35" s="32">
        <v>666100</v>
      </c>
      <c r="T35" s="30" t="s">
        <v>44</v>
      </c>
      <c r="U35" s="33">
        <v>0</v>
      </c>
      <c r="V35" s="33">
        <v>-1</v>
      </c>
      <c r="W35" s="34">
        <f t="shared" si="0"/>
        <v>-0.01</v>
      </c>
      <c r="X35" s="35">
        <v>0</v>
      </c>
    </row>
    <row r="36" spans="1:24" x14ac:dyDescent="0.25">
      <c r="A36" s="47" t="s">
        <v>173</v>
      </c>
      <c r="B36" s="30" t="s">
        <v>206</v>
      </c>
      <c r="C36" s="30" t="s">
        <v>241</v>
      </c>
      <c r="D36" s="30" t="s">
        <v>264</v>
      </c>
      <c r="E36" s="30" t="s">
        <v>265</v>
      </c>
      <c r="F36" s="23" t="str">
        <f>HYPERLINK("https://mapwv.gov/flood/map/?wkid=102100&amp;x=-9107532.0696775&amp;y=4578670.43156749&amp;l=13&amp;v=2","FT")</f>
        <v>FT</v>
      </c>
      <c r="G36" s="31" t="s">
        <v>32</v>
      </c>
      <c r="H36" s="31" t="s">
        <v>25</v>
      </c>
      <c r="I36" s="30" t="s">
        <v>340</v>
      </c>
      <c r="J36" s="31" t="s">
        <v>26</v>
      </c>
      <c r="K36" s="31" t="s">
        <v>116</v>
      </c>
      <c r="L36" s="31" t="s">
        <v>38</v>
      </c>
      <c r="M36" s="30" t="s">
        <v>48</v>
      </c>
      <c r="N36" s="2" t="s">
        <v>35</v>
      </c>
      <c r="O36" s="31" t="s">
        <v>105</v>
      </c>
      <c r="P36" s="27" t="s">
        <v>410</v>
      </c>
      <c r="Q36" s="31" t="s">
        <v>30</v>
      </c>
      <c r="R36" s="31" t="s">
        <v>110</v>
      </c>
      <c r="S36" s="32">
        <v>633900</v>
      </c>
      <c r="T36" s="30" t="s">
        <v>44</v>
      </c>
      <c r="U36" s="33">
        <v>0.75177000000000005</v>
      </c>
      <c r="V36" s="33">
        <v>-0.24822998046875</v>
      </c>
      <c r="W36" s="34">
        <f t="shared" si="0"/>
        <v>-2.4822998046875001E-3</v>
      </c>
      <c r="X36" s="35">
        <v>4765.4701538085901</v>
      </c>
    </row>
    <row r="37" spans="1:24" x14ac:dyDescent="0.25">
      <c r="A37" s="47" t="s">
        <v>174</v>
      </c>
      <c r="B37" s="30" t="s">
        <v>223</v>
      </c>
      <c r="C37" s="30" t="s">
        <v>215</v>
      </c>
      <c r="D37" s="30" t="s">
        <v>266</v>
      </c>
      <c r="E37" s="30" t="s">
        <v>267</v>
      </c>
      <c r="F37" s="23" t="str">
        <f>HYPERLINK("https://mapwv.gov/flood/map/?wkid=102100&amp;x=-9075596.63486174&amp;y=4575750.438808526&amp;l=13&amp;v=2","FT")</f>
        <v>FT</v>
      </c>
      <c r="G37" s="31" t="s">
        <v>32</v>
      </c>
      <c r="H37" s="31" t="s">
        <v>25</v>
      </c>
      <c r="I37" s="30" t="s">
        <v>341</v>
      </c>
      <c r="J37" s="31" t="s">
        <v>39</v>
      </c>
      <c r="K37" s="31" t="s">
        <v>374</v>
      </c>
      <c r="L37" s="31" t="s">
        <v>27</v>
      </c>
      <c r="M37" s="30" t="s">
        <v>66</v>
      </c>
      <c r="N37" s="2" t="s">
        <v>103</v>
      </c>
      <c r="O37" s="31" t="s">
        <v>105</v>
      </c>
      <c r="P37" s="27" t="s">
        <v>411</v>
      </c>
      <c r="Q37" s="31" t="s">
        <v>30</v>
      </c>
      <c r="R37" s="31" t="s">
        <v>110</v>
      </c>
      <c r="S37" s="32">
        <v>593450</v>
      </c>
      <c r="T37" s="30" t="s">
        <v>31</v>
      </c>
      <c r="U37" s="33">
        <v>0</v>
      </c>
      <c r="V37" s="33">
        <v>-1</v>
      </c>
      <c r="W37" s="34">
        <f t="shared" si="0"/>
        <v>-0.01</v>
      </c>
      <c r="X37" s="35">
        <v>0</v>
      </c>
    </row>
    <row r="38" spans="1:24" x14ac:dyDescent="0.25">
      <c r="A38" s="47" t="s">
        <v>175</v>
      </c>
      <c r="B38" s="30" t="s">
        <v>206</v>
      </c>
      <c r="C38" s="30" t="s">
        <v>268</v>
      </c>
      <c r="D38" s="30" t="s">
        <v>269</v>
      </c>
      <c r="E38" s="30" t="s">
        <v>270</v>
      </c>
      <c r="F38" s="23" t="str">
        <f>HYPERLINK("https://mapwv.gov/flood/map/?wkid=102100&amp;x=-9111212.601845266&amp;y=4574379.12794138&amp;l=13&amp;v=2","FT")</f>
        <v>FT</v>
      </c>
      <c r="G38" s="31" t="s">
        <v>38</v>
      </c>
      <c r="H38" s="31" t="s">
        <v>25</v>
      </c>
      <c r="I38" s="30" t="s">
        <v>342</v>
      </c>
      <c r="J38" s="31" t="s">
        <v>39</v>
      </c>
      <c r="K38" s="31" t="s">
        <v>375</v>
      </c>
      <c r="L38" s="31"/>
      <c r="M38" s="30" t="s">
        <v>56</v>
      </c>
      <c r="N38" s="2" t="s">
        <v>35</v>
      </c>
      <c r="O38" s="31" t="s">
        <v>105</v>
      </c>
      <c r="P38" s="27" t="s">
        <v>412</v>
      </c>
      <c r="Q38" s="31" t="s">
        <v>30</v>
      </c>
      <c r="R38" s="31" t="s">
        <v>110</v>
      </c>
      <c r="S38" s="32">
        <v>574880</v>
      </c>
      <c r="T38" s="30" t="s">
        <v>31</v>
      </c>
      <c r="U38" s="33">
        <v>0</v>
      </c>
      <c r="V38" s="33">
        <v>-1</v>
      </c>
      <c r="W38" s="34">
        <f t="shared" si="0"/>
        <v>-0.01</v>
      </c>
      <c r="X38" s="35">
        <v>0</v>
      </c>
    </row>
    <row r="39" spans="1:24" x14ac:dyDescent="0.25">
      <c r="A39" s="47" t="s">
        <v>176</v>
      </c>
      <c r="B39" s="30" t="s">
        <v>199</v>
      </c>
      <c r="C39" s="30" t="s">
        <v>241</v>
      </c>
      <c r="D39" s="30" t="s">
        <v>271</v>
      </c>
      <c r="E39" s="30" t="s">
        <v>272</v>
      </c>
      <c r="F39" s="23" t="str">
        <f>HYPERLINK("https://mapwv.gov/flood/map/?wkid=102100&amp;x=-9108619.14903289&amp;y=4587423.257610649&amp;l=13&amp;v=2","FT")</f>
        <v>FT</v>
      </c>
      <c r="G39" s="31" t="s">
        <v>32</v>
      </c>
      <c r="H39" s="31" t="s">
        <v>25</v>
      </c>
      <c r="I39" s="30" t="s">
        <v>343</v>
      </c>
      <c r="J39" s="31" t="s">
        <v>39</v>
      </c>
      <c r="K39" s="31" t="s">
        <v>117</v>
      </c>
      <c r="L39" s="31" t="s">
        <v>27</v>
      </c>
      <c r="M39" s="30" t="s">
        <v>48</v>
      </c>
      <c r="N39" s="2" t="s">
        <v>35</v>
      </c>
      <c r="O39" s="31" t="s">
        <v>105</v>
      </c>
      <c r="P39" s="27" t="s">
        <v>413</v>
      </c>
      <c r="Q39" s="31" t="s">
        <v>30</v>
      </c>
      <c r="R39" s="31" t="s">
        <v>110</v>
      </c>
      <c r="S39" s="32">
        <v>550500</v>
      </c>
      <c r="T39" s="30" t="s">
        <v>31</v>
      </c>
      <c r="U39" s="33">
        <v>0</v>
      </c>
      <c r="V39" s="33">
        <v>-1</v>
      </c>
      <c r="W39" s="34">
        <f t="shared" si="0"/>
        <v>-0.01</v>
      </c>
      <c r="X39" s="35">
        <v>0</v>
      </c>
    </row>
    <row r="40" spans="1:24" x14ac:dyDescent="0.25">
      <c r="A40" s="47" t="s">
        <v>177</v>
      </c>
      <c r="B40" s="30" t="s">
        <v>206</v>
      </c>
      <c r="C40" s="30" t="s">
        <v>215</v>
      </c>
      <c r="D40" s="30" t="s">
        <v>273</v>
      </c>
      <c r="E40" s="30" t="s">
        <v>274</v>
      </c>
      <c r="F40" s="23" t="str">
        <f>HYPERLINK("https://mapwv.gov/flood/map/?wkid=102100&amp;x=-9085733.512259888&amp;y=4598525.4884080505&amp;l=13&amp;v=2","FT")</f>
        <v>FT</v>
      </c>
      <c r="G40" s="31" t="s">
        <v>32</v>
      </c>
      <c r="H40" s="31" t="s">
        <v>25</v>
      </c>
      <c r="I40" s="30" t="s">
        <v>344</v>
      </c>
      <c r="J40" s="31" t="s">
        <v>26</v>
      </c>
      <c r="K40" s="31" t="s">
        <v>93</v>
      </c>
      <c r="L40" s="31" t="s">
        <v>367</v>
      </c>
      <c r="M40" s="30" t="s">
        <v>138</v>
      </c>
      <c r="N40" s="2" t="s">
        <v>35</v>
      </c>
      <c r="O40" s="31" t="s">
        <v>105</v>
      </c>
      <c r="P40" s="27" t="s">
        <v>414</v>
      </c>
      <c r="Q40" s="31" t="s">
        <v>30</v>
      </c>
      <c r="R40" s="31" t="s">
        <v>110</v>
      </c>
      <c r="S40" s="32">
        <v>477300</v>
      </c>
      <c r="T40" s="30" t="s">
        <v>44</v>
      </c>
      <c r="U40" s="33">
        <v>0</v>
      </c>
      <c r="V40" s="33">
        <v>-1</v>
      </c>
      <c r="W40" s="34">
        <f t="shared" si="0"/>
        <v>-0.01</v>
      </c>
      <c r="X40" s="35">
        <v>0</v>
      </c>
    </row>
    <row r="41" spans="1:24" x14ac:dyDescent="0.25">
      <c r="A41" s="47" t="s">
        <v>178</v>
      </c>
      <c r="B41" s="30" t="s">
        <v>199</v>
      </c>
      <c r="C41" s="30" t="s">
        <v>203</v>
      </c>
      <c r="D41" s="30" t="s">
        <v>275</v>
      </c>
      <c r="E41" s="30" t="s">
        <v>276</v>
      </c>
      <c r="F41" s="23" t="str">
        <f>HYPERLINK("https://mapwv.gov/flood/map/?wkid=102100&amp;x=-9108164.520455131&amp;y=4588883.027733804&amp;l=13&amp;v=2","FT")</f>
        <v>FT</v>
      </c>
      <c r="G41" s="31" t="s">
        <v>32</v>
      </c>
      <c r="H41" s="31" t="s">
        <v>25</v>
      </c>
      <c r="I41" s="30" t="s">
        <v>345</v>
      </c>
      <c r="J41" s="31" t="s">
        <v>26</v>
      </c>
      <c r="K41" s="31" t="s">
        <v>94</v>
      </c>
      <c r="L41" s="31"/>
      <c r="M41" s="30" t="s">
        <v>71</v>
      </c>
      <c r="N41" s="2" t="s">
        <v>102</v>
      </c>
      <c r="O41" s="31" t="s">
        <v>105</v>
      </c>
      <c r="P41" s="27" t="s">
        <v>415</v>
      </c>
      <c r="Q41" s="31" t="s">
        <v>30</v>
      </c>
      <c r="R41" s="31" t="s">
        <v>110</v>
      </c>
      <c r="S41" s="32">
        <v>463800</v>
      </c>
      <c r="T41" s="30" t="s">
        <v>44</v>
      </c>
      <c r="U41" s="33">
        <v>1.586914E-2</v>
      </c>
      <c r="V41" s="33">
        <v>-0.984130859375</v>
      </c>
      <c r="W41" s="34">
        <f t="shared" si="0"/>
        <v>-9.8413085937500006E-3</v>
      </c>
      <c r="X41" s="35">
        <v>0</v>
      </c>
    </row>
    <row r="42" spans="1:24" x14ac:dyDescent="0.25">
      <c r="A42" s="47" t="s">
        <v>179</v>
      </c>
      <c r="B42" s="30" t="s">
        <v>206</v>
      </c>
      <c r="C42" s="30" t="s">
        <v>215</v>
      </c>
      <c r="D42" s="30" t="s">
        <v>277</v>
      </c>
      <c r="E42" s="30" t="s">
        <v>278</v>
      </c>
      <c r="F42" s="23" t="str">
        <f>HYPERLINK("https://mapwv.gov/flood/map/?wkid=102100&amp;x=-9089043.089367785&amp;y=4598896.256312479&amp;l=13&amp;v=2","FT")</f>
        <v>FT</v>
      </c>
      <c r="G42" s="31" t="s">
        <v>32</v>
      </c>
      <c r="H42" s="31" t="s">
        <v>25</v>
      </c>
      <c r="I42" s="30" t="s">
        <v>346</v>
      </c>
      <c r="J42" s="31" t="s">
        <v>26</v>
      </c>
      <c r="K42" s="31" t="s">
        <v>373</v>
      </c>
      <c r="L42" s="31"/>
      <c r="M42" s="30" t="s">
        <v>71</v>
      </c>
      <c r="N42" s="2" t="s">
        <v>102</v>
      </c>
      <c r="O42" s="31" t="s">
        <v>105</v>
      </c>
      <c r="P42" s="27" t="s">
        <v>416</v>
      </c>
      <c r="Q42" s="31" t="s">
        <v>30</v>
      </c>
      <c r="R42" s="31" t="s">
        <v>110</v>
      </c>
      <c r="S42" s="32">
        <v>459800</v>
      </c>
      <c r="T42" s="30" t="s">
        <v>44</v>
      </c>
      <c r="U42" s="33">
        <v>0.84185790000000005</v>
      </c>
      <c r="V42" s="33">
        <v>-0.15814208984375</v>
      </c>
      <c r="W42" s="34">
        <f t="shared" si="0"/>
        <v>-1.5814208984375E-3</v>
      </c>
      <c r="X42" s="35">
        <v>0</v>
      </c>
    </row>
    <row r="43" spans="1:24" x14ac:dyDescent="0.25">
      <c r="A43" s="47" t="s">
        <v>180</v>
      </c>
      <c r="B43" s="30" t="s">
        <v>199</v>
      </c>
      <c r="C43" s="30" t="s">
        <v>203</v>
      </c>
      <c r="D43" s="30" t="s">
        <v>279</v>
      </c>
      <c r="E43" s="30" t="s">
        <v>280</v>
      </c>
      <c r="F43" s="23" t="str">
        <f>HYPERLINK("https://mapwv.gov/flood/map/?wkid=102100&amp;x=-9108540.763636086&amp;y=4588218.811387072&amp;l=13&amp;v=2","FT")</f>
        <v>FT</v>
      </c>
      <c r="G43" s="31" t="s">
        <v>32</v>
      </c>
      <c r="H43" s="31" t="s">
        <v>25</v>
      </c>
      <c r="I43" s="30" t="s">
        <v>347</v>
      </c>
      <c r="J43" s="31" t="s">
        <v>39</v>
      </c>
      <c r="K43" s="31" t="s">
        <v>121</v>
      </c>
      <c r="L43" s="31" t="s">
        <v>27</v>
      </c>
      <c r="M43" s="30" t="s">
        <v>55</v>
      </c>
      <c r="N43" s="2" t="s">
        <v>35</v>
      </c>
      <c r="O43" s="31" t="s">
        <v>105</v>
      </c>
      <c r="P43" s="27" t="s">
        <v>417</v>
      </c>
      <c r="Q43" s="31" t="s">
        <v>43</v>
      </c>
      <c r="R43" s="31" t="s">
        <v>111</v>
      </c>
      <c r="S43" s="32">
        <v>450300</v>
      </c>
      <c r="T43" s="30" t="s">
        <v>44</v>
      </c>
      <c r="U43" s="33">
        <v>0</v>
      </c>
      <c r="V43" s="33">
        <v>-4</v>
      </c>
      <c r="W43" s="34">
        <f t="shared" si="0"/>
        <v>-0.04</v>
      </c>
      <c r="X43" s="35">
        <v>0</v>
      </c>
    </row>
    <row r="44" spans="1:24" x14ac:dyDescent="0.25">
      <c r="A44" s="47" t="s">
        <v>181</v>
      </c>
      <c r="B44" s="30" t="s">
        <v>206</v>
      </c>
      <c r="C44" s="30" t="s">
        <v>215</v>
      </c>
      <c r="D44" s="30" t="s">
        <v>281</v>
      </c>
      <c r="E44" s="30" t="s">
        <v>282</v>
      </c>
      <c r="F44" s="23" t="str">
        <f>HYPERLINK("https://mapwv.gov/flood/map/?wkid=102100&amp;x=-9086176.09673666&amp;y=4595224.066859921&amp;l=13&amp;v=2","FT")</f>
        <v>FT</v>
      </c>
      <c r="G44" s="31" t="s">
        <v>32</v>
      </c>
      <c r="H44" s="31" t="s">
        <v>25</v>
      </c>
      <c r="I44" s="30" t="s">
        <v>348</v>
      </c>
      <c r="J44" s="31" t="s">
        <v>26</v>
      </c>
      <c r="K44" s="31" t="s">
        <v>85</v>
      </c>
      <c r="L44" s="31" t="s">
        <v>367</v>
      </c>
      <c r="M44" s="30" t="s">
        <v>48</v>
      </c>
      <c r="N44" s="2" t="s">
        <v>35</v>
      </c>
      <c r="O44" s="31" t="s">
        <v>105</v>
      </c>
      <c r="P44" s="27" t="s">
        <v>418</v>
      </c>
      <c r="Q44" s="31" t="s">
        <v>43</v>
      </c>
      <c r="R44" s="31" t="s">
        <v>111</v>
      </c>
      <c r="S44" s="32">
        <v>446300</v>
      </c>
      <c r="T44" s="30" t="s">
        <v>44</v>
      </c>
      <c r="U44" s="33">
        <v>4.9874879999999999</v>
      </c>
      <c r="V44" s="33">
        <v>0.98748779296875</v>
      </c>
      <c r="W44" s="34">
        <f t="shared" si="0"/>
        <v>9.8748779296874995E-3</v>
      </c>
      <c r="X44" s="35">
        <v>39720.264160156199</v>
      </c>
    </row>
    <row r="45" spans="1:24" x14ac:dyDescent="0.25">
      <c r="A45" s="47" t="s">
        <v>182</v>
      </c>
      <c r="B45" s="30" t="s">
        <v>206</v>
      </c>
      <c r="C45" s="30" t="s">
        <v>200</v>
      </c>
      <c r="D45" s="30" t="s">
        <v>283</v>
      </c>
      <c r="E45" s="30" t="s">
        <v>284</v>
      </c>
      <c r="F45" s="23" t="str">
        <f>HYPERLINK("https://mapwv.gov/flood/map/?wkid=102100&amp;x=-9103732.11885807&amp;y=4584217.412859052&amp;l=13&amp;v=2","FT")</f>
        <v>FT</v>
      </c>
      <c r="G45" s="31" t="s">
        <v>32</v>
      </c>
      <c r="H45" s="31" t="s">
        <v>25</v>
      </c>
      <c r="I45" s="30" t="s">
        <v>349</v>
      </c>
      <c r="J45" s="31" t="s">
        <v>39</v>
      </c>
      <c r="K45" s="31" t="s">
        <v>376</v>
      </c>
      <c r="L45" s="31"/>
      <c r="M45" s="30" t="s">
        <v>28</v>
      </c>
      <c r="N45" s="2" t="s">
        <v>102</v>
      </c>
      <c r="O45" s="31" t="s">
        <v>105</v>
      </c>
      <c r="P45" s="27" t="s">
        <v>419</v>
      </c>
      <c r="Q45" s="31" t="s">
        <v>30</v>
      </c>
      <c r="R45" s="31" t="s">
        <v>110</v>
      </c>
      <c r="S45" s="32">
        <v>428300</v>
      </c>
      <c r="T45" s="30" t="s">
        <v>31</v>
      </c>
      <c r="U45" s="33">
        <v>1.6540526999999999E-2</v>
      </c>
      <c r="V45" s="33">
        <v>-0.98345947265625</v>
      </c>
      <c r="W45" s="34">
        <f t="shared" si="0"/>
        <v>-9.8345947265624997E-3</v>
      </c>
      <c r="X45" s="35">
        <v>0</v>
      </c>
    </row>
    <row r="46" spans="1:24" x14ac:dyDescent="0.25">
      <c r="A46" s="47" t="s">
        <v>183</v>
      </c>
      <c r="B46" s="30" t="s">
        <v>228</v>
      </c>
      <c r="C46" s="30" t="s">
        <v>203</v>
      </c>
      <c r="D46" s="30" t="s">
        <v>285</v>
      </c>
      <c r="E46" s="30" t="s">
        <v>286</v>
      </c>
      <c r="F46" s="23" t="str">
        <f>HYPERLINK("https://mapwv.gov/flood/map/?wkid=102100&amp;x=-9110509.720895607&amp;y=4591485.688984724&amp;l=13&amp;v=2","FT")</f>
        <v>FT</v>
      </c>
      <c r="G46" s="31" t="s">
        <v>32</v>
      </c>
      <c r="H46" s="31" t="s">
        <v>65</v>
      </c>
      <c r="I46" s="30" t="s">
        <v>335</v>
      </c>
      <c r="J46" s="31" t="s">
        <v>26</v>
      </c>
      <c r="K46" s="31" t="s">
        <v>108</v>
      </c>
      <c r="L46" s="31" t="s">
        <v>27</v>
      </c>
      <c r="M46" s="30" t="s">
        <v>52</v>
      </c>
      <c r="N46" s="2" t="s">
        <v>35</v>
      </c>
      <c r="O46" s="31" t="s">
        <v>105</v>
      </c>
      <c r="P46" s="27" t="s">
        <v>420</v>
      </c>
      <c r="Q46" s="31" t="s">
        <v>30</v>
      </c>
      <c r="R46" s="31" t="s">
        <v>110</v>
      </c>
      <c r="S46" s="32">
        <v>427000</v>
      </c>
      <c r="T46" s="30" t="s">
        <v>44</v>
      </c>
      <c r="U46" s="33">
        <v>5.3341675000000004</v>
      </c>
      <c r="V46" s="33">
        <v>4.33416748046875</v>
      </c>
      <c r="W46" s="34">
        <f t="shared" si="0"/>
        <v>4.3341674804687501E-2</v>
      </c>
      <c r="X46" s="35">
        <v>62633.790283203103</v>
      </c>
    </row>
    <row r="47" spans="1:24" x14ac:dyDescent="0.25">
      <c r="A47" s="47" t="s">
        <v>184</v>
      </c>
      <c r="B47" s="30" t="s">
        <v>206</v>
      </c>
      <c r="C47" s="30" t="s">
        <v>287</v>
      </c>
      <c r="D47" s="30" t="s">
        <v>288</v>
      </c>
      <c r="E47" s="30" t="s">
        <v>289</v>
      </c>
      <c r="F47" s="23" t="str">
        <f>HYPERLINK("https://mapwv.gov/flood/map/?wkid=102100&amp;x=-9086770.992882196&amp;y=4600196.810955246&amp;l=13&amp;v=2","FT")</f>
        <v>FT</v>
      </c>
      <c r="G47" s="31" t="s">
        <v>317</v>
      </c>
      <c r="H47" s="31" t="s">
        <v>25</v>
      </c>
      <c r="I47" s="30" t="s">
        <v>350</v>
      </c>
      <c r="J47" s="31" t="s">
        <v>26</v>
      </c>
      <c r="K47" s="31" t="s">
        <v>90</v>
      </c>
      <c r="L47" s="31" t="s">
        <v>50</v>
      </c>
      <c r="M47" s="30" t="s">
        <v>58</v>
      </c>
      <c r="N47" s="2" t="s">
        <v>42</v>
      </c>
      <c r="O47" s="31" t="s">
        <v>106</v>
      </c>
      <c r="P47" s="27" t="s">
        <v>421</v>
      </c>
      <c r="Q47" s="31" t="s">
        <v>30</v>
      </c>
      <c r="R47" s="31" t="s">
        <v>110</v>
      </c>
      <c r="S47" s="32">
        <v>425400</v>
      </c>
      <c r="T47" s="30" t="s">
        <v>31</v>
      </c>
      <c r="U47" s="33">
        <v>0.46618651999999999</v>
      </c>
      <c r="V47" s="33">
        <v>-0.5338134765625</v>
      </c>
      <c r="W47" s="34">
        <f t="shared" si="0"/>
        <v>-5.3381347656249996E-3</v>
      </c>
      <c r="X47" s="35">
        <v>29747.362060546799</v>
      </c>
    </row>
    <row r="48" spans="1:24" x14ac:dyDescent="0.25">
      <c r="A48" s="47" t="s">
        <v>185</v>
      </c>
      <c r="B48" s="30" t="s">
        <v>199</v>
      </c>
      <c r="C48" s="30" t="s">
        <v>203</v>
      </c>
      <c r="D48" s="30" t="s">
        <v>290</v>
      </c>
      <c r="E48" s="30" t="s">
        <v>280</v>
      </c>
      <c r="F48" s="23" t="str">
        <f>HYPERLINK("https://mapwv.gov/flood/map/?wkid=102100&amp;x=-9108534.345733484&amp;y=4588256.327796577&amp;l=13&amp;v=2","FT")</f>
        <v>FT</v>
      </c>
      <c r="G48" s="31" t="s">
        <v>32</v>
      </c>
      <c r="H48" s="31" t="s">
        <v>25</v>
      </c>
      <c r="I48" s="30" t="s">
        <v>351</v>
      </c>
      <c r="J48" s="31" t="s">
        <v>39</v>
      </c>
      <c r="K48" s="31" t="s">
        <v>377</v>
      </c>
      <c r="L48" s="31" t="s">
        <v>27</v>
      </c>
      <c r="M48" s="30" t="s">
        <v>48</v>
      </c>
      <c r="N48" s="2" t="s">
        <v>35</v>
      </c>
      <c r="O48" s="31" t="s">
        <v>107</v>
      </c>
      <c r="P48" s="27" t="s">
        <v>422</v>
      </c>
      <c r="Q48" s="31" t="s">
        <v>43</v>
      </c>
      <c r="R48" s="31" t="s">
        <v>111</v>
      </c>
      <c r="S48" s="32">
        <v>423500</v>
      </c>
      <c r="T48" s="30" t="s">
        <v>44</v>
      </c>
      <c r="U48" s="33">
        <v>0</v>
      </c>
      <c r="V48" s="33">
        <v>-4</v>
      </c>
      <c r="W48" s="34">
        <f t="shared" si="0"/>
        <v>-0.04</v>
      </c>
      <c r="X48" s="35">
        <v>0</v>
      </c>
    </row>
    <row r="49" spans="1:24" x14ac:dyDescent="0.25">
      <c r="A49" s="47" t="s">
        <v>186</v>
      </c>
      <c r="B49" s="30" t="s">
        <v>206</v>
      </c>
      <c r="C49" s="30" t="s">
        <v>215</v>
      </c>
      <c r="D49" s="30" t="s">
        <v>291</v>
      </c>
      <c r="E49" s="30" t="s">
        <v>292</v>
      </c>
      <c r="F49" s="23" t="str">
        <f>HYPERLINK("https://mapwv.gov/flood/map/?wkid=102100&amp;x=-9085146.229143005&amp;y=4593299.529630245&amp;l=13&amp;v=2","FT")</f>
        <v>FT</v>
      </c>
      <c r="G49" s="31" t="s">
        <v>32</v>
      </c>
      <c r="H49" s="31" t="s">
        <v>25</v>
      </c>
      <c r="I49" s="30" t="s">
        <v>352</v>
      </c>
      <c r="J49" s="31" t="s">
        <v>36</v>
      </c>
      <c r="K49" s="31" t="s">
        <v>83</v>
      </c>
      <c r="L49" s="31"/>
      <c r="M49" s="30" t="s">
        <v>66</v>
      </c>
      <c r="N49" s="2" t="s">
        <v>103</v>
      </c>
      <c r="O49" s="31" t="s">
        <v>105</v>
      </c>
      <c r="P49" s="27" t="s">
        <v>423</v>
      </c>
      <c r="Q49" s="31" t="s">
        <v>30</v>
      </c>
      <c r="R49" s="31" t="s">
        <v>110</v>
      </c>
      <c r="S49" s="32">
        <v>404800</v>
      </c>
      <c r="T49" s="30" t="s">
        <v>44</v>
      </c>
      <c r="U49" s="33">
        <v>0</v>
      </c>
      <c r="V49" s="33">
        <v>-1</v>
      </c>
      <c r="W49" s="34">
        <f t="shared" si="0"/>
        <v>-0.01</v>
      </c>
      <c r="X49" s="35">
        <v>0</v>
      </c>
    </row>
    <row r="50" spans="1:24" x14ac:dyDescent="0.25">
      <c r="A50" s="47" t="s">
        <v>187</v>
      </c>
      <c r="B50" s="30" t="s">
        <v>199</v>
      </c>
      <c r="C50" s="30" t="s">
        <v>203</v>
      </c>
      <c r="D50" s="30" t="s">
        <v>293</v>
      </c>
      <c r="E50" s="30" t="s">
        <v>294</v>
      </c>
      <c r="F50" s="23" t="str">
        <f>HYPERLINK("https://mapwv.gov/flood/map/?wkid=102100&amp;x=-9108601.938371701&amp;y=4589572.549836811&amp;l=13&amp;v=2","FT")</f>
        <v>FT</v>
      </c>
      <c r="G50" s="31" t="s">
        <v>32</v>
      </c>
      <c r="H50" s="31" t="s">
        <v>25</v>
      </c>
      <c r="I50" s="30" t="s">
        <v>353</v>
      </c>
      <c r="J50" s="31" t="s">
        <v>36</v>
      </c>
      <c r="K50" s="31" t="s">
        <v>83</v>
      </c>
      <c r="L50" s="31"/>
      <c r="M50" s="30" t="s">
        <v>66</v>
      </c>
      <c r="N50" s="2" t="s">
        <v>103</v>
      </c>
      <c r="O50" s="31" t="s">
        <v>105</v>
      </c>
      <c r="P50" s="27" t="s">
        <v>424</v>
      </c>
      <c r="Q50" s="31" t="s">
        <v>30</v>
      </c>
      <c r="R50" s="31" t="s">
        <v>110</v>
      </c>
      <c r="S50" s="32">
        <v>374400</v>
      </c>
      <c r="T50" s="30" t="s">
        <v>44</v>
      </c>
      <c r="U50" s="33">
        <v>1.3690796000000001</v>
      </c>
      <c r="V50" s="33">
        <v>0.36907958984375</v>
      </c>
      <c r="W50" s="34">
        <f t="shared" si="0"/>
        <v>3.6907958984374999E-3</v>
      </c>
      <c r="X50" s="35">
        <v>13818.33984375</v>
      </c>
    </row>
    <row r="51" spans="1:24" x14ac:dyDescent="0.25">
      <c r="A51" s="47" t="s">
        <v>188</v>
      </c>
      <c r="B51" s="30" t="s">
        <v>228</v>
      </c>
      <c r="C51" s="30" t="s">
        <v>203</v>
      </c>
      <c r="D51" s="30" t="s">
        <v>295</v>
      </c>
      <c r="E51" s="30" t="s">
        <v>296</v>
      </c>
      <c r="F51" s="23" t="str">
        <f>HYPERLINK("https://mapwv.gov/flood/map/?wkid=102100&amp;x=-9109310.532014994&amp;y=4590209.092300828&amp;l=13&amp;v=2","FT")</f>
        <v>FT</v>
      </c>
      <c r="G51" s="31" t="s">
        <v>32</v>
      </c>
      <c r="H51" s="31" t="s">
        <v>25</v>
      </c>
      <c r="I51" s="30" t="s">
        <v>354</v>
      </c>
      <c r="J51" s="31" t="s">
        <v>39</v>
      </c>
      <c r="K51" s="31" t="s">
        <v>96</v>
      </c>
      <c r="L51" s="31" t="s">
        <v>367</v>
      </c>
      <c r="M51" s="30" t="s">
        <v>48</v>
      </c>
      <c r="N51" s="2" t="s">
        <v>35</v>
      </c>
      <c r="O51" s="31" t="s">
        <v>105</v>
      </c>
      <c r="P51" s="27" t="s">
        <v>425</v>
      </c>
      <c r="Q51" s="31" t="s">
        <v>30</v>
      </c>
      <c r="R51" s="31" t="s">
        <v>110</v>
      </c>
      <c r="S51" s="32">
        <v>361400</v>
      </c>
      <c r="T51" s="30" t="s">
        <v>31</v>
      </c>
      <c r="U51" s="33">
        <v>1.7091675</v>
      </c>
      <c r="V51" s="33">
        <v>0.70916748046875</v>
      </c>
      <c r="W51" s="34">
        <f t="shared" si="0"/>
        <v>7.0916748046874999E-3</v>
      </c>
      <c r="X51" s="35">
        <v>24117.450195312402</v>
      </c>
    </row>
    <row r="52" spans="1:24" x14ac:dyDescent="0.25">
      <c r="A52" s="47" t="s">
        <v>189</v>
      </c>
      <c r="B52" s="30" t="s">
        <v>206</v>
      </c>
      <c r="C52" s="30" t="s">
        <v>200</v>
      </c>
      <c r="D52" s="30" t="s">
        <v>297</v>
      </c>
      <c r="E52" s="30" t="s">
        <v>298</v>
      </c>
      <c r="F52" s="23" t="str">
        <f>HYPERLINK("https://mapwv.gov/flood/map/?wkid=102100&amp;x=-9107560.376776857&amp;y=4587083.15345396&amp;l=13&amp;v=2","FT")</f>
        <v>FT</v>
      </c>
      <c r="G52" s="31" t="s">
        <v>32</v>
      </c>
      <c r="H52" s="31" t="s">
        <v>65</v>
      </c>
      <c r="I52" s="30" t="s">
        <v>355</v>
      </c>
      <c r="J52" s="31" t="s">
        <v>26</v>
      </c>
      <c r="K52" s="31" t="s">
        <v>89</v>
      </c>
      <c r="L52" s="31" t="s">
        <v>49</v>
      </c>
      <c r="M52" s="30" t="s">
        <v>41</v>
      </c>
      <c r="N52" s="2" t="s">
        <v>42</v>
      </c>
      <c r="O52" s="31" t="s">
        <v>106</v>
      </c>
      <c r="P52" s="27" t="s">
        <v>426</v>
      </c>
      <c r="Q52" s="31" t="s">
        <v>436</v>
      </c>
      <c r="R52" s="31" t="s">
        <v>111</v>
      </c>
      <c r="S52" s="32">
        <v>359300</v>
      </c>
      <c r="T52" s="30" t="s">
        <v>44</v>
      </c>
      <c r="U52" s="33">
        <v>1</v>
      </c>
      <c r="V52" s="33">
        <v>-3</v>
      </c>
      <c r="W52" s="34">
        <f t="shared" si="0"/>
        <v>-0.03</v>
      </c>
      <c r="X52" s="35">
        <v>0</v>
      </c>
    </row>
    <row r="53" spans="1:24" x14ac:dyDescent="0.25">
      <c r="A53" s="47" t="s">
        <v>190</v>
      </c>
      <c r="B53" s="30" t="s">
        <v>199</v>
      </c>
      <c r="C53" s="30" t="s">
        <v>203</v>
      </c>
      <c r="D53" s="30" t="s">
        <v>299</v>
      </c>
      <c r="E53" s="30" t="s">
        <v>300</v>
      </c>
      <c r="F53" s="23" t="str">
        <f>HYPERLINK("https://mapwv.gov/flood/map/?wkid=102100&amp;x=-9109100.41847987&amp;y=4589929.958142561&amp;l=13&amp;v=2","FT")</f>
        <v>FT</v>
      </c>
      <c r="G53" s="31" t="s">
        <v>32</v>
      </c>
      <c r="H53" s="31" t="s">
        <v>65</v>
      </c>
      <c r="I53" s="30" t="s">
        <v>356</v>
      </c>
      <c r="J53" s="31" t="s">
        <v>39</v>
      </c>
      <c r="K53" s="31" t="s">
        <v>97</v>
      </c>
      <c r="L53" s="31" t="s">
        <v>37</v>
      </c>
      <c r="M53" s="30" t="s">
        <v>382</v>
      </c>
      <c r="N53" s="2" t="s">
        <v>42</v>
      </c>
      <c r="O53" s="31" t="s">
        <v>106</v>
      </c>
      <c r="P53" s="27" t="s">
        <v>427</v>
      </c>
      <c r="Q53" s="31" t="s">
        <v>436</v>
      </c>
      <c r="R53" s="31" t="s">
        <v>437</v>
      </c>
      <c r="S53" s="32">
        <v>345000</v>
      </c>
      <c r="T53" s="30" t="s">
        <v>31</v>
      </c>
      <c r="U53" s="33">
        <v>5.4635619999999996</v>
      </c>
      <c r="V53" s="33">
        <v>2.46356201171875</v>
      </c>
      <c r="W53" s="34">
        <f t="shared" si="0"/>
        <v>2.46356201171875E-2</v>
      </c>
      <c r="X53" s="35">
        <v>91047.866821289004</v>
      </c>
    </row>
    <row r="54" spans="1:24" x14ac:dyDescent="0.25">
      <c r="A54" s="47" t="s">
        <v>191</v>
      </c>
      <c r="B54" s="30" t="s">
        <v>206</v>
      </c>
      <c r="C54" s="30" t="s">
        <v>215</v>
      </c>
      <c r="D54" s="30" t="s">
        <v>301</v>
      </c>
      <c r="E54" s="30" t="s">
        <v>302</v>
      </c>
      <c r="F54" s="23" t="str">
        <f>HYPERLINK("https://mapwv.gov/flood/map/?wkid=102100&amp;x=-9085972.932877347&amp;y=4598379.036041768&amp;l=13&amp;v=2","FT")</f>
        <v>FT</v>
      </c>
      <c r="G54" s="31" t="s">
        <v>32</v>
      </c>
      <c r="H54" s="31" t="s">
        <v>25</v>
      </c>
      <c r="I54" s="30" t="s">
        <v>357</v>
      </c>
      <c r="J54" s="31" t="s">
        <v>26</v>
      </c>
      <c r="K54" s="31" t="s">
        <v>130</v>
      </c>
      <c r="L54" s="31" t="s">
        <v>38</v>
      </c>
      <c r="M54" s="30" t="s">
        <v>41</v>
      </c>
      <c r="N54" s="2" t="s">
        <v>42</v>
      </c>
      <c r="O54" s="31" t="s">
        <v>105</v>
      </c>
      <c r="P54" s="27" t="s">
        <v>428</v>
      </c>
      <c r="Q54" s="31" t="s">
        <v>43</v>
      </c>
      <c r="R54" s="31" t="s">
        <v>111</v>
      </c>
      <c r="S54" s="32">
        <v>343700</v>
      </c>
      <c r="T54" s="30" t="s">
        <v>44</v>
      </c>
      <c r="U54" s="33">
        <v>9.7449340000000007</v>
      </c>
      <c r="V54" s="33">
        <v>5.74493408203125</v>
      </c>
      <c r="W54" s="34">
        <f t="shared" si="0"/>
        <v>5.74493408203125E-2</v>
      </c>
      <c r="X54" s="35">
        <v>218145.030639648</v>
      </c>
    </row>
    <row r="55" spans="1:24" x14ac:dyDescent="0.25">
      <c r="A55" s="47" t="s">
        <v>192</v>
      </c>
      <c r="B55" s="30" t="s">
        <v>206</v>
      </c>
      <c r="C55" s="30" t="s">
        <v>215</v>
      </c>
      <c r="D55" s="30" t="s">
        <v>303</v>
      </c>
      <c r="E55" s="30" t="s">
        <v>304</v>
      </c>
      <c r="F55" s="23" t="str">
        <f>HYPERLINK("https://mapwv.gov/flood/map/?wkid=102100&amp;x=-9089716.250239799&amp;y=4599072.076988349&amp;l=13&amp;v=2","FT")</f>
        <v>FT</v>
      </c>
      <c r="G55" s="31" t="s">
        <v>53</v>
      </c>
      <c r="H55" s="31" t="s">
        <v>25</v>
      </c>
      <c r="I55" s="30" t="s">
        <v>358</v>
      </c>
      <c r="J55" s="31" t="s">
        <v>39</v>
      </c>
      <c r="K55" s="31" t="s">
        <v>86</v>
      </c>
      <c r="L55" s="31"/>
      <c r="M55" s="30" t="s">
        <v>71</v>
      </c>
      <c r="N55" s="2" t="s">
        <v>102</v>
      </c>
      <c r="O55" s="31" t="s">
        <v>105</v>
      </c>
      <c r="P55" s="27" t="s">
        <v>429</v>
      </c>
      <c r="Q55" s="31" t="s">
        <v>30</v>
      </c>
      <c r="R55" s="31" t="s">
        <v>110</v>
      </c>
      <c r="S55" s="32">
        <v>343200</v>
      </c>
      <c r="T55" s="30" t="s">
        <v>44</v>
      </c>
      <c r="U55" s="33">
        <v>0</v>
      </c>
      <c r="V55" s="33">
        <v>-1</v>
      </c>
      <c r="W55" s="34">
        <f t="shared" si="0"/>
        <v>-0.01</v>
      </c>
      <c r="X55" s="35">
        <v>0</v>
      </c>
    </row>
    <row r="56" spans="1:24" x14ac:dyDescent="0.25">
      <c r="A56" s="47" t="s">
        <v>193</v>
      </c>
      <c r="B56" s="30" t="s">
        <v>206</v>
      </c>
      <c r="C56" s="30" t="s">
        <v>200</v>
      </c>
      <c r="D56" s="30" t="s">
        <v>305</v>
      </c>
      <c r="E56" s="30" t="s">
        <v>306</v>
      </c>
      <c r="F56" s="23" t="str">
        <f>HYPERLINK("https://mapwv.gov/flood/map/?wkid=102100&amp;x=-9096033.811568573&amp;y=4575179.941371047&amp;l=13&amp;v=2","FT")</f>
        <v>FT</v>
      </c>
      <c r="G56" s="31" t="s">
        <v>53</v>
      </c>
      <c r="H56" s="31" t="s">
        <v>25</v>
      </c>
      <c r="I56" s="30" t="s">
        <v>359</v>
      </c>
      <c r="J56" s="31" t="s">
        <v>36</v>
      </c>
      <c r="K56" s="31" t="s">
        <v>83</v>
      </c>
      <c r="L56" s="31"/>
      <c r="M56" s="30" t="s">
        <v>52</v>
      </c>
      <c r="N56" s="2" t="s">
        <v>35</v>
      </c>
      <c r="O56" s="31" t="s">
        <v>105</v>
      </c>
      <c r="P56" s="27" t="s">
        <v>430</v>
      </c>
      <c r="Q56" s="31" t="s">
        <v>30</v>
      </c>
      <c r="R56" s="31" t="s">
        <v>110</v>
      </c>
      <c r="S56" s="32">
        <v>328077</v>
      </c>
      <c r="T56" s="30" t="s">
        <v>112</v>
      </c>
      <c r="U56" s="33">
        <v>2.1123656999999998</v>
      </c>
      <c r="V56" s="33">
        <v>1.11236572265625</v>
      </c>
      <c r="W56" s="34">
        <f t="shared" si="0"/>
        <v>1.11236572265625E-2</v>
      </c>
      <c r="X56" s="35">
        <v>30264.222183837799</v>
      </c>
    </row>
    <row r="57" spans="1:24" x14ac:dyDescent="0.25">
      <c r="A57" s="47" t="s">
        <v>194</v>
      </c>
      <c r="B57" s="30" t="s">
        <v>206</v>
      </c>
      <c r="C57" s="30" t="s">
        <v>220</v>
      </c>
      <c r="D57" s="30" t="s">
        <v>307</v>
      </c>
      <c r="E57" s="30" t="s">
        <v>308</v>
      </c>
      <c r="F57" s="23" t="str">
        <f>HYPERLINK("https://mapwv.gov/flood/map/?wkid=102100&amp;x=-9105224.488768386&amp;y=4593549.990092449&amp;l=13&amp;v=2","FT")</f>
        <v>FT</v>
      </c>
      <c r="G57" s="31" t="s">
        <v>38</v>
      </c>
      <c r="H57" s="31" t="s">
        <v>25</v>
      </c>
      <c r="I57" s="30" t="s">
        <v>67</v>
      </c>
      <c r="J57" s="31" t="s">
        <v>39</v>
      </c>
      <c r="K57" s="31" t="s">
        <v>88</v>
      </c>
      <c r="L57" s="31" t="s">
        <v>367</v>
      </c>
      <c r="M57" s="30" t="s">
        <v>70</v>
      </c>
      <c r="N57" s="2" t="s">
        <v>35</v>
      </c>
      <c r="O57" s="31" t="s">
        <v>106</v>
      </c>
      <c r="P57" s="27" t="s">
        <v>431</v>
      </c>
      <c r="Q57" s="31" t="s">
        <v>30</v>
      </c>
      <c r="R57" s="31" t="s">
        <v>110</v>
      </c>
      <c r="S57" s="32">
        <v>316000</v>
      </c>
      <c r="T57" s="30" t="s">
        <v>44</v>
      </c>
      <c r="U57" s="33">
        <v>0.43420409999999998</v>
      </c>
      <c r="V57" s="33">
        <v>-0.5657958984375</v>
      </c>
      <c r="W57" s="34">
        <f t="shared" si="0"/>
        <v>-5.6579589843750002E-3</v>
      </c>
      <c r="X57" s="35">
        <v>0</v>
      </c>
    </row>
    <row r="58" spans="1:24" x14ac:dyDescent="0.25">
      <c r="A58" s="47" t="s">
        <v>195</v>
      </c>
      <c r="B58" s="30" t="s">
        <v>206</v>
      </c>
      <c r="C58" s="30" t="s">
        <v>200</v>
      </c>
      <c r="D58" s="30" t="s">
        <v>309</v>
      </c>
      <c r="E58" s="30" t="s">
        <v>310</v>
      </c>
      <c r="F58" s="23" t="str">
        <f>HYPERLINK("https://mapwv.gov/flood/map/?wkid=102100&amp;x=-9095930.952025121&amp;y=4575270.593873455&amp;l=13&amp;v=2","FT")</f>
        <v>FT</v>
      </c>
      <c r="G58" s="31" t="s">
        <v>32</v>
      </c>
      <c r="H58" s="31" t="s">
        <v>25</v>
      </c>
      <c r="I58" s="30" t="s">
        <v>360</v>
      </c>
      <c r="J58" s="31" t="s">
        <v>26</v>
      </c>
      <c r="K58" s="31" t="s">
        <v>95</v>
      </c>
      <c r="L58" s="31"/>
      <c r="M58" s="30" t="s">
        <v>71</v>
      </c>
      <c r="N58" s="2" t="s">
        <v>102</v>
      </c>
      <c r="O58" s="31" t="s">
        <v>105</v>
      </c>
      <c r="P58" s="27" t="s">
        <v>432</v>
      </c>
      <c r="Q58" s="31" t="s">
        <v>30</v>
      </c>
      <c r="R58" s="31" t="s">
        <v>110</v>
      </c>
      <c r="S58" s="32">
        <v>310800</v>
      </c>
      <c r="T58" s="30" t="s">
        <v>44</v>
      </c>
      <c r="U58" s="33">
        <v>1.5736694</v>
      </c>
      <c r="V58" s="33">
        <v>0.57366943359375</v>
      </c>
      <c r="W58" s="34">
        <f t="shared" si="0"/>
        <v>5.7366943359374997E-3</v>
      </c>
      <c r="X58" s="35">
        <v>12480.7521972656</v>
      </c>
    </row>
    <row r="59" spans="1:24" x14ac:dyDescent="0.25">
      <c r="A59" s="47" t="s">
        <v>196</v>
      </c>
      <c r="B59" s="30" t="s">
        <v>206</v>
      </c>
      <c r="C59" s="30" t="s">
        <v>268</v>
      </c>
      <c r="D59" s="30" t="s">
        <v>311</v>
      </c>
      <c r="E59" s="30" t="s">
        <v>312</v>
      </c>
      <c r="F59" s="23" t="str">
        <f>HYPERLINK("https://mapwv.gov/flood/map/?wkid=102100&amp;x=-9108950.989095362&amp;y=4575392.293879995&amp;l=13&amp;v=2","FT")</f>
        <v>FT</v>
      </c>
      <c r="G59" s="31" t="s">
        <v>53</v>
      </c>
      <c r="H59" s="31" t="s">
        <v>25</v>
      </c>
      <c r="I59" s="30" t="s">
        <v>361</v>
      </c>
      <c r="J59" s="31" t="s">
        <v>26</v>
      </c>
      <c r="K59" s="31" t="s">
        <v>378</v>
      </c>
      <c r="L59" s="31"/>
      <c r="M59" s="30" t="s">
        <v>71</v>
      </c>
      <c r="N59" s="2" t="s">
        <v>102</v>
      </c>
      <c r="O59" s="31" t="s">
        <v>106</v>
      </c>
      <c r="P59" s="27" t="s">
        <v>433</v>
      </c>
      <c r="Q59" s="31" t="s">
        <v>30</v>
      </c>
      <c r="R59" s="31" t="s">
        <v>110</v>
      </c>
      <c r="S59" s="32">
        <v>307500</v>
      </c>
      <c r="T59" s="30" t="s">
        <v>44</v>
      </c>
      <c r="U59" s="33">
        <v>1.3372192000000001</v>
      </c>
      <c r="V59" s="33">
        <v>0.33721923828125</v>
      </c>
      <c r="W59" s="34">
        <f t="shared" si="0"/>
        <v>3.3721923828125E-3</v>
      </c>
      <c r="X59" s="35">
        <v>7258.6441040038999</v>
      </c>
    </row>
    <row r="60" spans="1:24" x14ac:dyDescent="0.25">
      <c r="A60" s="47" t="s">
        <v>197</v>
      </c>
      <c r="B60" s="30" t="s">
        <v>206</v>
      </c>
      <c r="C60" s="30" t="s">
        <v>215</v>
      </c>
      <c r="D60" s="30" t="s">
        <v>313</v>
      </c>
      <c r="E60" s="30" t="s">
        <v>314</v>
      </c>
      <c r="F60" s="23" t="str">
        <f>HYPERLINK("https://mapwv.gov/flood/map/?wkid=102100&amp;x=-9085495.01470364&amp;y=4597850.514539368&amp;l=13&amp;v=2","FT")</f>
        <v>FT</v>
      </c>
      <c r="G60" s="31" t="s">
        <v>32</v>
      </c>
      <c r="H60" s="31" t="s">
        <v>25</v>
      </c>
      <c r="I60" s="30" t="s">
        <v>362</v>
      </c>
      <c r="J60" s="31" t="s">
        <v>26</v>
      </c>
      <c r="K60" s="31" t="s">
        <v>93</v>
      </c>
      <c r="L60" s="31" t="s">
        <v>51</v>
      </c>
      <c r="M60" s="30" t="s">
        <v>41</v>
      </c>
      <c r="N60" s="2" t="s">
        <v>42</v>
      </c>
      <c r="O60" s="31" t="s">
        <v>105</v>
      </c>
      <c r="P60" s="27" t="s">
        <v>434</v>
      </c>
      <c r="Q60" s="31" t="s">
        <v>436</v>
      </c>
      <c r="R60" s="31" t="s">
        <v>111</v>
      </c>
      <c r="S60" s="32">
        <v>307000</v>
      </c>
      <c r="T60" s="30" t="s">
        <v>44</v>
      </c>
      <c r="U60" s="33">
        <v>0.39794921999999999</v>
      </c>
      <c r="V60" s="33">
        <v>-3.60205078125</v>
      </c>
      <c r="W60" s="34">
        <f t="shared" si="0"/>
        <v>-3.6020507812499998E-2</v>
      </c>
      <c r="X60" s="35">
        <v>0</v>
      </c>
    </row>
    <row r="61" spans="1:24" x14ac:dyDescent="0.25">
      <c r="A61" s="47" t="s">
        <v>198</v>
      </c>
      <c r="B61" s="30" t="s">
        <v>228</v>
      </c>
      <c r="C61" s="30" t="s">
        <v>203</v>
      </c>
      <c r="D61" s="30" t="s">
        <v>315</v>
      </c>
      <c r="E61" s="30" t="s">
        <v>316</v>
      </c>
      <c r="F61" s="23" t="str">
        <f>HYPERLINK("https://mapwv.gov/flood/map/?wkid=102100&amp;x=-9109837.476405641&amp;y=4590536.540351338&amp;l=13&amp;v=2","FT")</f>
        <v>FT</v>
      </c>
      <c r="G61" s="31" t="s">
        <v>32</v>
      </c>
      <c r="H61" s="31" t="s">
        <v>65</v>
      </c>
      <c r="I61" s="30" t="s">
        <v>363</v>
      </c>
      <c r="J61" s="31" t="s">
        <v>26</v>
      </c>
      <c r="K61" s="31" t="s">
        <v>119</v>
      </c>
      <c r="L61" s="31"/>
      <c r="M61" s="30" t="s">
        <v>71</v>
      </c>
      <c r="N61" s="2" t="s">
        <v>102</v>
      </c>
      <c r="O61" s="31" t="s">
        <v>105</v>
      </c>
      <c r="P61" s="27" t="s">
        <v>435</v>
      </c>
      <c r="Q61" s="31" t="s">
        <v>30</v>
      </c>
      <c r="R61" s="31" t="s">
        <v>110</v>
      </c>
      <c r="S61" s="32">
        <v>305660</v>
      </c>
      <c r="T61" s="30" t="s">
        <v>31</v>
      </c>
      <c r="U61" s="33">
        <v>0.36322019999999999</v>
      </c>
      <c r="V61" s="33">
        <v>-0.63677978515625</v>
      </c>
      <c r="W61" s="34">
        <f t="shared" si="0"/>
        <v>-6.3677978515624999E-3</v>
      </c>
      <c r="X61" s="35">
        <v>0</v>
      </c>
    </row>
    <row r="63" spans="1:24" x14ac:dyDescent="0.25">
      <c r="A63" s="3" t="s">
        <v>59</v>
      </c>
      <c r="B63" s="3" t="s">
        <v>1</v>
      </c>
      <c r="C63" s="3" t="s">
        <v>60</v>
      </c>
      <c r="D63" s="3" t="s">
        <v>61</v>
      </c>
      <c r="E63" s="3" t="s">
        <v>62</v>
      </c>
    </row>
    <row r="64" spans="1:24" x14ac:dyDescent="0.25">
      <c r="A64" s="3">
        <v>540007</v>
      </c>
      <c r="B64" s="1" t="s">
        <v>438</v>
      </c>
      <c r="C64" s="3" t="s">
        <v>145</v>
      </c>
      <c r="D64" s="1" t="s">
        <v>64</v>
      </c>
      <c r="E64" s="3">
        <v>3</v>
      </c>
      <c r="S64" s="36" t="s">
        <v>143</v>
      </c>
    </row>
    <row r="65" spans="1:24" x14ac:dyDescent="0.25">
      <c r="A65" s="47" t="s">
        <v>148</v>
      </c>
      <c r="B65" s="30" t="s">
        <v>206</v>
      </c>
      <c r="C65" s="30" t="s">
        <v>203</v>
      </c>
      <c r="D65" s="30" t="s">
        <v>207</v>
      </c>
      <c r="E65" s="30" t="s">
        <v>208</v>
      </c>
      <c r="F65" s="23" t="s">
        <v>24</v>
      </c>
      <c r="G65" s="31" t="s">
        <v>32</v>
      </c>
      <c r="H65" s="31" t="s">
        <v>25</v>
      </c>
      <c r="I65" s="30" t="s">
        <v>320</v>
      </c>
      <c r="J65" s="31" t="s">
        <v>36</v>
      </c>
      <c r="K65" s="31" t="s">
        <v>83</v>
      </c>
      <c r="L65" s="31"/>
      <c r="M65" s="30" t="s">
        <v>28</v>
      </c>
      <c r="N65" s="2" t="s">
        <v>102</v>
      </c>
      <c r="O65" s="31" t="s">
        <v>105</v>
      </c>
      <c r="P65" s="27" t="s">
        <v>385</v>
      </c>
      <c r="Q65" s="31" t="s">
        <v>30</v>
      </c>
      <c r="R65" s="31" t="s">
        <v>110</v>
      </c>
      <c r="S65" s="32">
        <v>4527900</v>
      </c>
      <c r="T65" s="30" t="s">
        <v>44</v>
      </c>
      <c r="U65" s="33">
        <v>3.0459594999999999</v>
      </c>
      <c r="V65" s="33">
        <v>2.04595947265625</v>
      </c>
      <c r="W65" s="34">
        <v>2.0459594726562499E-2</v>
      </c>
      <c r="X65" s="35">
        <v>372636.99481201102</v>
      </c>
    </row>
    <row r="66" spans="1:24" x14ac:dyDescent="0.25">
      <c r="A66" s="47" t="s">
        <v>2275</v>
      </c>
      <c r="B66" s="30" t="s">
        <v>206</v>
      </c>
      <c r="C66" s="30" t="s">
        <v>200</v>
      </c>
      <c r="D66" s="30" t="s">
        <v>2276</v>
      </c>
      <c r="E66" s="30" t="s">
        <v>2277</v>
      </c>
      <c r="F66" s="23" t="str">
        <f>HYPERLINK("https://mapwv.gov/flood/map/?wkid=102100&amp;x=-9091877.422975384&amp;y=4563989.568729703&amp;l=13&amp;v=2","FT")</f>
        <v>FT</v>
      </c>
      <c r="G66" s="31" t="s">
        <v>32</v>
      </c>
      <c r="H66" s="31" t="s">
        <v>25</v>
      </c>
      <c r="I66" s="30" t="s">
        <v>2278</v>
      </c>
      <c r="J66" s="31" t="s">
        <v>26</v>
      </c>
      <c r="K66" s="31">
        <v>9999</v>
      </c>
      <c r="L66" s="31"/>
      <c r="M66" s="30" t="s">
        <v>28</v>
      </c>
      <c r="N66" s="2" t="s">
        <v>102</v>
      </c>
      <c r="O66" s="31" t="s">
        <v>105</v>
      </c>
      <c r="P66" s="53">
        <v>2300</v>
      </c>
      <c r="Q66" s="31" t="s">
        <v>30</v>
      </c>
      <c r="R66" s="31" t="s">
        <v>110</v>
      </c>
      <c r="S66" s="32">
        <v>4300000</v>
      </c>
      <c r="T66" s="30" t="s">
        <v>29</v>
      </c>
      <c r="U66" s="33">
        <v>0</v>
      </c>
      <c r="V66" s="33">
        <v>-1</v>
      </c>
      <c r="W66" s="34">
        <v>0</v>
      </c>
      <c r="X66" s="35">
        <v>0</v>
      </c>
    </row>
    <row r="67" spans="1:24" x14ac:dyDescent="0.25">
      <c r="A67" s="47" t="s">
        <v>149</v>
      </c>
      <c r="B67" s="30" t="s">
        <v>206</v>
      </c>
      <c r="C67" s="30" t="s">
        <v>209</v>
      </c>
      <c r="D67" s="30" t="s">
        <v>210</v>
      </c>
      <c r="E67" s="30" t="s">
        <v>211</v>
      </c>
      <c r="F67" s="23" t="s">
        <v>24</v>
      </c>
      <c r="G67" s="31" t="s">
        <v>38</v>
      </c>
      <c r="H67" s="31" t="s">
        <v>25</v>
      </c>
      <c r="I67" s="30" t="s">
        <v>320</v>
      </c>
      <c r="J67" s="31" t="s">
        <v>36</v>
      </c>
      <c r="K67" s="31" t="s">
        <v>83</v>
      </c>
      <c r="L67" s="31"/>
      <c r="M67" s="30" t="s">
        <v>380</v>
      </c>
      <c r="N67" s="2" t="s">
        <v>104</v>
      </c>
      <c r="O67" s="31" t="s">
        <v>105</v>
      </c>
      <c r="P67" s="27" t="s">
        <v>386</v>
      </c>
      <c r="Q67" s="31" t="s">
        <v>30</v>
      </c>
      <c r="R67" s="31" t="s">
        <v>110</v>
      </c>
      <c r="S67" s="32">
        <v>3618906</v>
      </c>
      <c r="T67" s="30" t="s">
        <v>112</v>
      </c>
      <c r="U67" s="33">
        <v>0</v>
      </c>
      <c r="V67" s="33">
        <v>-1</v>
      </c>
      <c r="W67" s="34">
        <v>-0.01</v>
      </c>
      <c r="X67" s="35">
        <v>0</v>
      </c>
    </row>
    <row r="68" spans="1:24" x14ac:dyDescent="0.25">
      <c r="A68" s="47" t="s">
        <v>150</v>
      </c>
      <c r="B68" s="30" t="s">
        <v>206</v>
      </c>
      <c r="C68" s="30" t="s">
        <v>212</v>
      </c>
      <c r="D68" s="30" t="s">
        <v>213</v>
      </c>
      <c r="E68" s="30" t="s">
        <v>214</v>
      </c>
      <c r="F68" s="23" t="s">
        <v>24</v>
      </c>
      <c r="G68" s="31" t="s">
        <v>38</v>
      </c>
      <c r="H68" s="31" t="s">
        <v>25</v>
      </c>
      <c r="I68" s="30" t="s">
        <v>321</v>
      </c>
      <c r="J68" s="31" t="s">
        <v>26</v>
      </c>
      <c r="K68" s="31" t="s">
        <v>366</v>
      </c>
      <c r="L68" s="31" t="s">
        <v>367</v>
      </c>
      <c r="M68" s="30" t="s">
        <v>48</v>
      </c>
      <c r="N68" s="2" t="s">
        <v>35</v>
      </c>
      <c r="O68" s="31" t="s">
        <v>105</v>
      </c>
      <c r="P68" s="27" t="s">
        <v>387</v>
      </c>
      <c r="Q68" s="31" t="s">
        <v>30</v>
      </c>
      <c r="R68" s="31" t="s">
        <v>110</v>
      </c>
      <c r="S68" s="32">
        <v>3323900</v>
      </c>
      <c r="T68" s="30" t="s">
        <v>44</v>
      </c>
      <c r="U68" s="33">
        <v>0</v>
      </c>
      <c r="V68" s="33">
        <v>-1</v>
      </c>
      <c r="W68" s="34">
        <v>-0.01</v>
      </c>
      <c r="X68" s="35">
        <v>0</v>
      </c>
    </row>
    <row r="69" spans="1:24" x14ac:dyDescent="0.25">
      <c r="A69" s="47" t="s">
        <v>151</v>
      </c>
      <c r="B69" s="30" t="s">
        <v>206</v>
      </c>
      <c r="C69" s="30" t="s">
        <v>215</v>
      </c>
      <c r="D69" s="30" t="s">
        <v>216</v>
      </c>
      <c r="E69" s="30" t="s">
        <v>217</v>
      </c>
      <c r="F69" s="23" t="s">
        <v>24</v>
      </c>
      <c r="G69" s="31" t="s">
        <v>32</v>
      </c>
      <c r="H69" s="31" t="s">
        <v>25</v>
      </c>
      <c r="I69" s="30" t="s">
        <v>322</v>
      </c>
      <c r="J69" s="31" t="s">
        <v>39</v>
      </c>
      <c r="K69" s="31" t="s">
        <v>126</v>
      </c>
      <c r="L69" s="31"/>
      <c r="M69" s="30" t="s">
        <v>68</v>
      </c>
      <c r="N69" s="2" t="s">
        <v>101</v>
      </c>
      <c r="O69" s="31" t="s">
        <v>105</v>
      </c>
      <c r="P69" s="27" t="s">
        <v>388</v>
      </c>
      <c r="Q69" s="31" t="s">
        <v>30</v>
      </c>
      <c r="R69" s="31" t="s">
        <v>110</v>
      </c>
      <c r="S69" s="32">
        <v>2928440</v>
      </c>
      <c r="T69" s="30" t="s">
        <v>31</v>
      </c>
      <c r="U69" s="33">
        <v>1.5780029</v>
      </c>
      <c r="V69" s="33">
        <v>0.5780029296875</v>
      </c>
      <c r="W69" s="34">
        <v>5.7800292968750002E-3</v>
      </c>
      <c r="X69" s="35">
        <v>84632.344970703096</v>
      </c>
    </row>
    <row r="70" spans="1:24" x14ac:dyDescent="0.25">
      <c r="A70" s="47" t="s">
        <v>153</v>
      </c>
      <c r="B70" s="30" t="s">
        <v>206</v>
      </c>
      <c r="C70" s="30" t="s">
        <v>220</v>
      </c>
      <c r="D70" s="30" t="s">
        <v>221</v>
      </c>
      <c r="E70" s="30" t="s">
        <v>222</v>
      </c>
      <c r="F70" s="23" t="s">
        <v>24</v>
      </c>
      <c r="G70" s="31" t="s">
        <v>38</v>
      </c>
      <c r="H70" s="31" t="s">
        <v>25</v>
      </c>
      <c r="I70" s="30" t="s">
        <v>323</v>
      </c>
      <c r="J70" s="31" t="s">
        <v>26</v>
      </c>
      <c r="K70" s="31" t="s">
        <v>82</v>
      </c>
      <c r="L70" s="31"/>
      <c r="M70" s="30" t="s">
        <v>68</v>
      </c>
      <c r="N70" s="2" t="s">
        <v>101</v>
      </c>
      <c r="O70" s="31" t="s">
        <v>105</v>
      </c>
      <c r="P70" s="27" t="s">
        <v>390</v>
      </c>
      <c r="Q70" s="31" t="s">
        <v>30</v>
      </c>
      <c r="R70" s="31" t="s">
        <v>110</v>
      </c>
      <c r="S70" s="32">
        <v>2688920</v>
      </c>
      <c r="T70" s="30" t="s">
        <v>31</v>
      </c>
      <c r="U70" s="33">
        <v>0</v>
      </c>
      <c r="V70" s="33">
        <v>-1</v>
      </c>
      <c r="W70" s="34">
        <v>-0.01</v>
      </c>
      <c r="X70" s="35">
        <v>0</v>
      </c>
    </row>
    <row r="71" spans="1:24" x14ac:dyDescent="0.25">
      <c r="A71" s="47" t="s">
        <v>2279</v>
      </c>
      <c r="B71" s="30" t="s">
        <v>206</v>
      </c>
      <c r="C71" s="30" t="s">
        <v>2280</v>
      </c>
      <c r="D71" s="30" t="s">
        <v>2281</v>
      </c>
      <c r="E71" s="30" t="s">
        <v>2303</v>
      </c>
      <c r="F71" s="23" t="str">
        <f>HYPERLINK("https://mapwv.gov/flood/map/?wkid=102100&amp;x=-9083201&amp;y=4565382&amp;l=12&amp;v=2","FT")</f>
        <v>FT</v>
      </c>
      <c r="G71" s="31" t="s">
        <v>317</v>
      </c>
      <c r="H71" s="31" t="s">
        <v>25</v>
      </c>
      <c r="I71" s="30" t="s">
        <v>2282</v>
      </c>
      <c r="J71" s="31" t="s">
        <v>36</v>
      </c>
      <c r="K71" s="31">
        <v>0</v>
      </c>
      <c r="L71" s="31"/>
      <c r="M71" s="30" t="s">
        <v>28</v>
      </c>
      <c r="N71" s="2" t="s">
        <v>102</v>
      </c>
      <c r="O71" s="31">
        <v>1</v>
      </c>
      <c r="P71" s="53">
        <v>8100</v>
      </c>
      <c r="Q71" s="31" t="s">
        <v>30</v>
      </c>
      <c r="R71" s="31" t="s">
        <v>110</v>
      </c>
      <c r="S71" s="32">
        <v>2500000</v>
      </c>
      <c r="T71" s="30" t="s">
        <v>29</v>
      </c>
      <c r="U71" s="33">
        <v>0</v>
      </c>
      <c r="V71" s="33"/>
      <c r="W71" s="34">
        <f t="shared" ref="W71" si="1">V71/100</f>
        <v>0</v>
      </c>
      <c r="X71" s="35">
        <v>0</v>
      </c>
    </row>
    <row r="72" spans="1:24" x14ac:dyDescent="0.25">
      <c r="A72" s="47" t="s">
        <v>155</v>
      </c>
      <c r="B72" s="30" t="s">
        <v>206</v>
      </c>
      <c r="C72" s="30" t="s">
        <v>200</v>
      </c>
      <c r="D72" s="30" t="s">
        <v>226</v>
      </c>
      <c r="E72" s="30" t="s">
        <v>227</v>
      </c>
      <c r="F72" s="23" t="s">
        <v>24</v>
      </c>
      <c r="G72" s="31" t="s">
        <v>32</v>
      </c>
      <c r="H72" s="31" t="s">
        <v>65</v>
      </c>
      <c r="I72" s="30" t="s">
        <v>325</v>
      </c>
      <c r="J72" s="31" t="s">
        <v>26</v>
      </c>
      <c r="K72" s="31" t="s">
        <v>369</v>
      </c>
      <c r="L72" s="31"/>
      <c r="M72" s="30" t="s">
        <v>68</v>
      </c>
      <c r="N72" s="2" t="s">
        <v>101</v>
      </c>
      <c r="O72" s="31" t="s">
        <v>106</v>
      </c>
      <c r="P72" s="27" t="s">
        <v>392</v>
      </c>
      <c r="Q72" s="31" t="s">
        <v>30</v>
      </c>
      <c r="R72" s="31" t="s">
        <v>110</v>
      </c>
      <c r="S72" s="32">
        <v>1878640</v>
      </c>
      <c r="T72" s="30" t="s">
        <v>31</v>
      </c>
      <c r="U72" s="33">
        <v>5.8651733000000004</v>
      </c>
      <c r="V72" s="33">
        <v>4.86517333984375</v>
      </c>
      <c r="W72" s="34">
        <v>4.8651733398437501E-2</v>
      </c>
      <c r="X72" s="35">
        <v>185331.09243163999</v>
      </c>
    </row>
    <row r="73" spans="1:24" x14ac:dyDescent="0.25">
      <c r="A73" s="47" t="s">
        <v>157</v>
      </c>
      <c r="B73" s="30" t="s">
        <v>206</v>
      </c>
      <c r="C73" s="30" t="s">
        <v>220</v>
      </c>
      <c r="D73" s="30" t="s">
        <v>231</v>
      </c>
      <c r="E73" s="30" t="s">
        <v>232</v>
      </c>
      <c r="F73" s="23" t="s">
        <v>24</v>
      </c>
      <c r="G73" s="31" t="s">
        <v>38</v>
      </c>
      <c r="H73" s="31" t="s">
        <v>25</v>
      </c>
      <c r="I73" s="30" t="s">
        <v>67</v>
      </c>
      <c r="J73" s="31" t="s">
        <v>26</v>
      </c>
      <c r="K73" s="31" t="s">
        <v>82</v>
      </c>
      <c r="L73" s="31"/>
      <c r="M73" s="30" t="s">
        <v>68</v>
      </c>
      <c r="N73" s="2" t="s">
        <v>101</v>
      </c>
      <c r="O73" s="31" t="s">
        <v>105</v>
      </c>
      <c r="P73" s="27" t="s">
        <v>394</v>
      </c>
      <c r="Q73" s="31" t="s">
        <v>30</v>
      </c>
      <c r="R73" s="31" t="s">
        <v>110</v>
      </c>
      <c r="S73" s="32">
        <v>1837250</v>
      </c>
      <c r="T73" s="30" t="s">
        <v>31</v>
      </c>
      <c r="U73" s="33">
        <v>0</v>
      </c>
      <c r="V73" s="33">
        <v>-1</v>
      </c>
      <c r="W73" s="34">
        <v>-0.01</v>
      </c>
      <c r="X73" s="35">
        <v>0</v>
      </c>
    </row>
    <row r="74" spans="1:24" x14ac:dyDescent="0.25">
      <c r="A74" s="47" t="s">
        <v>158</v>
      </c>
      <c r="B74" s="30" t="s">
        <v>206</v>
      </c>
      <c r="C74" s="30" t="s">
        <v>215</v>
      </c>
      <c r="D74" s="30" t="s">
        <v>233</v>
      </c>
      <c r="E74" s="30" t="s">
        <v>234</v>
      </c>
      <c r="F74" s="23" t="s">
        <v>24</v>
      </c>
      <c r="G74" s="31" t="s">
        <v>32</v>
      </c>
      <c r="H74" s="31" t="s">
        <v>25</v>
      </c>
      <c r="I74" s="30" t="s">
        <v>327</v>
      </c>
      <c r="J74" s="31" t="s">
        <v>36</v>
      </c>
      <c r="K74" s="31" t="s">
        <v>83</v>
      </c>
      <c r="L74" s="31"/>
      <c r="M74" s="30" t="s">
        <v>66</v>
      </c>
      <c r="N74" s="2" t="s">
        <v>103</v>
      </c>
      <c r="O74" s="31" t="s">
        <v>105</v>
      </c>
      <c r="P74" s="27" t="s">
        <v>395</v>
      </c>
      <c r="Q74" s="31" t="s">
        <v>30</v>
      </c>
      <c r="R74" s="31" t="s">
        <v>110</v>
      </c>
      <c r="S74" s="32">
        <v>1516743</v>
      </c>
      <c r="T74" s="30" t="s">
        <v>112</v>
      </c>
      <c r="U74" s="33">
        <v>4.3678590000000002</v>
      </c>
      <c r="V74" s="33">
        <v>3.36785888671875</v>
      </c>
      <c r="W74" s="34">
        <v>3.3678588867187498E-2</v>
      </c>
      <c r="X74" s="35">
        <v>172421.20391418401</v>
      </c>
    </row>
    <row r="75" spans="1:24" x14ac:dyDescent="0.25">
      <c r="A75" s="47" t="s">
        <v>159</v>
      </c>
      <c r="B75" s="30" t="s">
        <v>206</v>
      </c>
      <c r="C75" s="30" t="s">
        <v>203</v>
      </c>
      <c r="D75" s="30" t="s">
        <v>235</v>
      </c>
      <c r="E75" s="30" t="s">
        <v>236</v>
      </c>
      <c r="F75" s="23" t="s">
        <v>24</v>
      </c>
      <c r="G75" s="31" t="s">
        <v>32</v>
      </c>
      <c r="H75" s="31" t="s">
        <v>65</v>
      </c>
      <c r="I75" s="30" t="s">
        <v>328</v>
      </c>
      <c r="J75" s="31" t="s">
        <v>36</v>
      </c>
      <c r="K75" s="31" t="s">
        <v>83</v>
      </c>
      <c r="L75" s="31"/>
      <c r="M75" s="30" t="s">
        <v>28</v>
      </c>
      <c r="N75" s="2" t="s">
        <v>102</v>
      </c>
      <c r="O75" s="31" t="s">
        <v>105</v>
      </c>
      <c r="P75" s="27" t="s">
        <v>396</v>
      </c>
      <c r="Q75" s="31" t="s">
        <v>30</v>
      </c>
      <c r="R75" s="31" t="s">
        <v>110</v>
      </c>
      <c r="S75" s="32">
        <v>1500000</v>
      </c>
      <c r="T75" s="30" t="s">
        <v>44</v>
      </c>
      <c r="U75" s="33">
        <v>3.3768310000000001</v>
      </c>
      <c r="V75" s="33">
        <v>2.3768310546875</v>
      </c>
      <c r="W75" s="34">
        <v>2.3768310546875001E-2</v>
      </c>
      <c r="X75" s="35">
        <v>148262.32910156201</v>
      </c>
    </row>
    <row r="76" spans="1:24" x14ac:dyDescent="0.25">
      <c r="A76" s="47" t="s">
        <v>160</v>
      </c>
      <c r="B76" s="30" t="s">
        <v>206</v>
      </c>
      <c r="C76" s="30" t="s">
        <v>237</v>
      </c>
      <c r="D76" s="30" t="s">
        <v>238</v>
      </c>
      <c r="E76" s="30" t="s">
        <v>239</v>
      </c>
      <c r="F76" s="23" t="s">
        <v>24</v>
      </c>
      <c r="G76" s="31" t="s">
        <v>53</v>
      </c>
      <c r="H76" s="31" t="s">
        <v>25</v>
      </c>
      <c r="I76" s="30" t="s">
        <v>329</v>
      </c>
      <c r="J76" s="31" t="s">
        <v>39</v>
      </c>
      <c r="K76" s="31" t="s">
        <v>370</v>
      </c>
      <c r="L76" s="31"/>
      <c r="M76" s="30" t="s">
        <v>68</v>
      </c>
      <c r="N76" s="2" t="s">
        <v>101</v>
      </c>
      <c r="O76" s="31" t="s">
        <v>105</v>
      </c>
      <c r="P76" s="27" t="s">
        <v>397</v>
      </c>
      <c r="Q76" s="31" t="s">
        <v>30</v>
      </c>
      <c r="R76" s="31" t="s">
        <v>110</v>
      </c>
      <c r="S76" s="32">
        <v>1489060</v>
      </c>
      <c r="T76" s="30" t="s">
        <v>31</v>
      </c>
      <c r="U76" s="33">
        <v>0.4260254</v>
      </c>
      <c r="V76" s="33">
        <v>-0.573974609375</v>
      </c>
      <c r="W76" s="34">
        <v>-5.7397460937500004E-3</v>
      </c>
      <c r="X76" s="35">
        <v>0</v>
      </c>
    </row>
    <row r="77" spans="1:24" x14ac:dyDescent="0.25">
      <c r="A77" s="47" t="s">
        <v>161</v>
      </c>
      <c r="B77" s="30" t="s">
        <v>206</v>
      </c>
      <c r="C77" s="30" t="s">
        <v>215</v>
      </c>
      <c r="D77" s="30" t="s">
        <v>216</v>
      </c>
      <c r="E77" s="30" t="s">
        <v>240</v>
      </c>
      <c r="F77" s="23" t="s">
        <v>24</v>
      </c>
      <c r="G77" s="31" t="s">
        <v>32</v>
      </c>
      <c r="H77" s="31" t="s">
        <v>25</v>
      </c>
      <c r="I77" s="30" t="s">
        <v>322</v>
      </c>
      <c r="J77" s="31" t="s">
        <v>39</v>
      </c>
      <c r="K77" s="31" t="s">
        <v>81</v>
      </c>
      <c r="L77" s="31"/>
      <c r="M77" s="30" t="s">
        <v>68</v>
      </c>
      <c r="N77" s="2" t="s">
        <v>101</v>
      </c>
      <c r="O77" s="31" t="s">
        <v>105</v>
      </c>
      <c r="P77" s="27" t="s">
        <v>398</v>
      </c>
      <c r="Q77" s="31" t="s">
        <v>30</v>
      </c>
      <c r="R77" s="31" t="s">
        <v>110</v>
      </c>
      <c r="S77" s="32">
        <v>1257370</v>
      </c>
      <c r="T77" s="30" t="s">
        <v>31</v>
      </c>
      <c r="U77" s="33">
        <v>0.89129639999999999</v>
      </c>
      <c r="V77" s="33">
        <v>-0.10870361328125</v>
      </c>
      <c r="W77" s="34">
        <v>-1.0870361328124999E-3</v>
      </c>
      <c r="X77" s="35">
        <v>0</v>
      </c>
    </row>
    <row r="78" spans="1:24" x14ac:dyDescent="0.25">
      <c r="A78" s="47" t="s">
        <v>162</v>
      </c>
      <c r="B78" s="30" t="s">
        <v>206</v>
      </c>
      <c r="C78" s="30" t="s">
        <v>241</v>
      </c>
      <c r="D78" s="30" t="s">
        <v>242</v>
      </c>
      <c r="E78" s="30" t="s">
        <v>243</v>
      </c>
      <c r="F78" s="23" t="s">
        <v>24</v>
      </c>
      <c r="G78" s="31" t="s">
        <v>32</v>
      </c>
      <c r="H78" s="31" t="s">
        <v>65</v>
      </c>
      <c r="I78" s="30" t="s">
        <v>330</v>
      </c>
      <c r="J78" s="31" t="s">
        <v>39</v>
      </c>
      <c r="K78" s="31" t="s">
        <v>371</v>
      </c>
      <c r="L78" s="31"/>
      <c r="M78" s="30" t="s">
        <v>68</v>
      </c>
      <c r="N78" s="2" t="s">
        <v>101</v>
      </c>
      <c r="O78" s="31" t="s">
        <v>105</v>
      </c>
      <c r="P78" s="27" t="s">
        <v>399</v>
      </c>
      <c r="Q78" s="31" t="s">
        <v>30</v>
      </c>
      <c r="R78" s="31" t="s">
        <v>110</v>
      </c>
      <c r="S78" s="32">
        <v>1224740</v>
      </c>
      <c r="T78" s="30" t="s">
        <v>31</v>
      </c>
      <c r="U78" s="33">
        <v>6.0255736999999998</v>
      </c>
      <c r="V78" s="33">
        <v>5.02557373046875</v>
      </c>
      <c r="W78" s="34">
        <v>5.0255737304687499E-2</v>
      </c>
      <c r="X78" s="35">
        <v>122787.211706542</v>
      </c>
    </row>
    <row r="79" spans="1:24" x14ac:dyDescent="0.25">
      <c r="A79" s="47" t="s">
        <v>165</v>
      </c>
      <c r="B79" s="30" t="s">
        <v>206</v>
      </c>
      <c r="C79" s="30" t="s">
        <v>203</v>
      </c>
      <c r="D79" s="30" t="s">
        <v>248</v>
      </c>
      <c r="E79" s="30" t="s">
        <v>249</v>
      </c>
      <c r="F79" s="23" t="s">
        <v>24</v>
      </c>
      <c r="G79" s="31" t="s">
        <v>32</v>
      </c>
      <c r="H79" s="31" t="s">
        <v>25</v>
      </c>
      <c r="I79" s="30" t="s">
        <v>333</v>
      </c>
      <c r="J79" s="31" t="s">
        <v>26</v>
      </c>
      <c r="K79" s="31" t="s">
        <v>108</v>
      </c>
      <c r="L79" s="31" t="s">
        <v>54</v>
      </c>
      <c r="M79" s="30" t="s">
        <v>41</v>
      </c>
      <c r="N79" s="2" t="s">
        <v>42</v>
      </c>
      <c r="O79" s="31" t="s">
        <v>106</v>
      </c>
      <c r="P79" s="27" t="s">
        <v>402</v>
      </c>
      <c r="Q79" s="31" t="s">
        <v>43</v>
      </c>
      <c r="R79" s="31" t="s">
        <v>111</v>
      </c>
      <c r="S79" s="32">
        <v>942000</v>
      </c>
      <c r="T79" s="30" t="s">
        <v>44</v>
      </c>
      <c r="U79" s="33">
        <v>1</v>
      </c>
      <c r="V79" s="33">
        <v>-3</v>
      </c>
      <c r="W79" s="34">
        <v>-0.03</v>
      </c>
      <c r="X79" s="35">
        <v>37680</v>
      </c>
    </row>
    <row r="80" spans="1:24" x14ac:dyDescent="0.25">
      <c r="A80" s="47" t="s">
        <v>166</v>
      </c>
      <c r="B80" s="30" t="s">
        <v>206</v>
      </c>
      <c r="C80" s="30" t="s">
        <v>215</v>
      </c>
      <c r="D80" s="30" t="s">
        <v>250</v>
      </c>
      <c r="E80" s="30" t="s">
        <v>251</v>
      </c>
      <c r="F80" s="23" t="s">
        <v>24</v>
      </c>
      <c r="G80" s="31" t="s">
        <v>32</v>
      </c>
      <c r="H80" s="31" t="s">
        <v>65</v>
      </c>
      <c r="I80" s="30" t="s">
        <v>334</v>
      </c>
      <c r="J80" s="31" t="s">
        <v>26</v>
      </c>
      <c r="K80" s="31" t="s">
        <v>90</v>
      </c>
      <c r="L80" s="31" t="s">
        <v>372</v>
      </c>
      <c r="M80" s="30" t="s">
        <v>381</v>
      </c>
      <c r="N80" s="2" t="s">
        <v>42</v>
      </c>
      <c r="O80" s="31" t="s">
        <v>106</v>
      </c>
      <c r="P80" s="27" t="s">
        <v>403</v>
      </c>
      <c r="Q80" s="31" t="s">
        <v>30</v>
      </c>
      <c r="R80" s="31" t="s">
        <v>110</v>
      </c>
      <c r="S80" s="32">
        <v>874200</v>
      </c>
      <c r="T80" s="30" t="s">
        <v>44</v>
      </c>
      <c r="U80" s="33">
        <v>1</v>
      </c>
      <c r="V80" s="33">
        <v>0</v>
      </c>
      <c r="W80" s="34">
        <v>0</v>
      </c>
      <c r="X80" s="35">
        <v>0</v>
      </c>
    </row>
    <row r="81" spans="1:24" x14ac:dyDescent="0.25">
      <c r="A81" s="47" t="s">
        <v>167</v>
      </c>
      <c r="B81" s="30" t="s">
        <v>206</v>
      </c>
      <c r="C81" s="30" t="s">
        <v>215</v>
      </c>
      <c r="D81" s="30" t="s">
        <v>252</v>
      </c>
      <c r="E81" s="30" t="s">
        <v>253</v>
      </c>
      <c r="F81" s="23" t="s">
        <v>24</v>
      </c>
      <c r="G81" s="31" t="s">
        <v>53</v>
      </c>
      <c r="H81" s="31" t="s">
        <v>25</v>
      </c>
      <c r="I81" s="30" t="s">
        <v>335</v>
      </c>
      <c r="J81" s="31" t="s">
        <v>26</v>
      </c>
      <c r="K81" s="31" t="s">
        <v>129</v>
      </c>
      <c r="L81" s="31" t="s">
        <v>27</v>
      </c>
      <c r="M81" s="30" t="s">
        <v>52</v>
      </c>
      <c r="N81" s="2" t="s">
        <v>35</v>
      </c>
      <c r="O81" s="31" t="s">
        <v>105</v>
      </c>
      <c r="P81" s="27" t="s">
        <v>404</v>
      </c>
      <c r="Q81" s="31" t="s">
        <v>30</v>
      </c>
      <c r="R81" s="31" t="s">
        <v>110</v>
      </c>
      <c r="S81" s="32">
        <v>853800</v>
      </c>
      <c r="T81" s="30" t="s">
        <v>44</v>
      </c>
      <c r="U81" s="33">
        <v>0.86529540000000005</v>
      </c>
      <c r="V81" s="33">
        <v>-0.13470458984375</v>
      </c>
      <c r="W81" s="34">
        <v>-1.3470458984375E-3</v>
      </c>
      <c r="X81" s="35">
        <v>7387.8922119140598</v>
      </c>
    </row>
    <row r="82" spans="1:24" x14ac:dyDescent="0.25">
      <c r="A82" s="47" t="s">
        <v>168</v>
      </c>
      <c r="B82" s="30" t="s">
        <v>206</v>
      </c>
      <c r="C82" s="30" t="s">
        <v>254</v>
      </c>
      <c r="D82" s="30" t="s">
        <v>233</v>
      </c>
      <c r="E82" s="30" t="s">
        <v>255</v>
      </c>
      <c r="F82" s="23" t="s">
        <v>24</v>
      </c>
      <c r="G82" s="31" t="s">
        <v>38</v>
      </c>
      <c r="H82" s="31" t="s">
        <v>25</v>
      </c>
      <c r="I82" s="30" t="s">
        <v>327</v>
      </c>
      <c r="J82" s="31" t="s">
        <v>36</v>
      </c>
      <c r="K82" s="31" t="s">
        <v>83</v>
      </c>
      <c r="L82" s="31"/>
      <c r="M82" s="30" t="s">
        <v>66</v>
      </c>
      <c r="N82" s="2" t="s">
        <v>103</v>
      </c>
      <c r="O82" s="31" t="s">
        <v>105</v>
      </c>
      <c r="P82" s="27" t="s">
        <v>405</v>
      </c>
      <c r="Q82" s="31" t="s">
        <v>30</v>
      </c>
      <c r="R82" s="31" t="s">
        <v>110</v>
      </c>
      <c r="S82" s="32">
        <v>762674</v>
      </c>
      <c r="T82" s="30" t="s">
        <v>112</v>
      </c>
      <c r="U82" s="33">
        <v>0</v>
      </c>
      <c r="V82" s="33">
        <v>-1</v>
      </c>
      <c r="W82" s="34">
        <v>-0.01</v>
      </c>
      <c r="X82" s="35">
        <v>0</v>
      </c>
    </row>
    <row r="83" spans="1:24" x14ac:dyDescent="0.25">
      <c r="A83" s="47" t="s">
        <v>169</v>
      </c>
      <c r="B83" s="30" t="s">
        <v>206</v>
      </c>
      <c r="C83" s="30" t="s">
        <v>220</v>
      </c>
      <c r="D83" s="30" t="s">
        <v>256</v>
      </c>
      <c r="E83" s="30" t="s">
        <v>257</v>
      </c>
      <c r="F83" s="23" t="s">
        <v>24</v>
      </c>
      <c r="G83" s="31" t="s">
        <v>317</v>
      </c>
      <c r="H83" s="31" t="s">
        <v>25</v>
      </c>
      <c r="I83" s="30" t="s">
        <v>336</v>
      </c>
      <c r="J83" s="31" t="s">
        <v>26</v>
      </c>
      <c r="K83" s="31" t="s">
        <v>116</v>
      </c>
      <c r="L83" s="31" t="s">
        <v>38</v>
      </c>
      <c r="M83" s="30" t="s">
        <v>48</v>
      </c>
      <c r="N83" s="2" t="s">
        <v>35</v>
      </c>
      <c r="O83" s="31" t="s">
        <v>105</v>
      </c>
      <c r="P83" s="27" t="s">
        <v>406</v>
      </c>
      <c r="Q83" s="31" t="s">
        <v>30</v>
      </c>
      <c r="R83" s="31" t="s">
        <v>110</v>
      </c>
      <c r="S83" s="32">
        <v>755000</v>
      </c>
      <c r="T83" s="30" t="s">
        <v>44</v>
      </c>
      <c r="U83" s="33">
        <v>3.8530272999999999</v>
      </c>
      <c r="V83" s="33">
        <v>2.85302734375</v>
      </c>
      <c r="W83" s="34">
        <v>2.85302734375E-2</v>
      </c>
      <c r="X83" s="35">
        <v>118580.712890625</v>
      </c>
    </row>
    <row r="84" spans="1:24" x14ac:dyDescent="0.25">
      <c r="A84" s="47" t="s">
        <v>170</v>
      </c>
      <c r="B84" s="30" t="s">
        <v>206</v>
      </c>
      <c r="C84" s="30" t="s">
        <v>215</v>
      </c>
      <c r="D84" s="30" t="s">
        <v>258</v>
      </c>
      <c r="E84" s="30" t="s">
        <v>259</v>
      </c>
      <c r="F84" s="23" t="s">
        <v>24</v>
      </c>
      <c r="G84" s="31" t="s">
        <v>32</v>
      </c>
      <c r="H84" s="31" t="s">
        <v>25</v>
      </c>
      <c r="I84" s="30" t="s">
        <v>337</v>
      </c>
      <c r="J84" s="31" t="s">
        <v>36</v>
      </c>
      <c r="K84" s="31" t="s">
        <v>83</v>
      </c>
      <c r="L84" s="31"/>
      <c r="M84" s="30" t="s">
        <v>66</v>
      </c>
      <c r="N84" s="2" t="s">
        <v>103</v>
      </c>
      <c r="O84" s="31" t="s">
        <v>105</v>
      </c>
      <c r="P84" s="27" t="s">
        <v>407</v>
      </c>
      <c r="Q84" s="31" t="s">
        <v>30</v>
      </c>
      <c r="R84" s="31" t="s">
        <v>110</v>
      </c>
      <c r="S84" s="32">
        <v>743118</v>
      </c>
      <c r="T84" s="30" t="s">
        <v>112</v>
      </c>
      <c r="U84" s="33">
        <v>3.0042114</v>
      </c>
      <c r="V84" s="33">
        <v>2.00421142578125</v>
      </c>
      <c r="W84" s="34">
        <v>2.00421142578125E-2</v>
      </c>
      <c r="X84" s="35">
        <v>81742.98</v>
      </c>
    </row>
    <row r="85" spans="1:24" x14ac:dyDescent="0.25">
      <c r="A85" s="47" t="s">
        <v>172</v>
      </c>
      <c r="B85" s="30" t="s">
        <v>206</v>
      </c>
      <c r="C85" s="30" t="s">
        <v>220</v>
      </c>
      <c r="D85" s="30" t="s">
        <v>262</v>
      </c>
      <c r="E85" s="30" t="s">
        <v>263</v>
      </c>
      <c r="F85" s="23" t="s">
        <v>24</v>
      </c>
      <c r="G85" s="31" t="s">
        <v>38</v>
      </c>
      <c r="H85" s="31" t="s">
        <v>25</v>
      </c>
      <c r="I85" s="30" t="s">
        <v>339</v>
      </c>
      <c r="J85" s="31" t="s">
        <v>36</v>
      </c>
      <c r="K85" s="31" t="s">
        <v>83</v>
      </c>
      <c r="L85" s="31"/>
      <c r="M85" s="30" t="s">
        <v>66</v>
      </c>
      <c r="N85" s="2" t="s">
        <v>103</v>
      </c>
      <c r="O85" s="31" t="s">
        <v>105</v>
      </c>
      <c r="P85" s="27" t="s">
        <v>409</v>
      </c>
      <c r="Q85" s="31" t="s">
        <v>30</v>
      </c>
      <c r="R85" s="31" t="s">
        <v>110</v>
      </c>
      <c r="S85" s="32">
        <v>666100</v>
      </c>
      <c r="T85" s="30" t="s">
        <v>44</v>
      </c>
      <c r="U85" s="33">
        <v>0</v>
      </c>
      <c r="V85" s="33">
        <v>-1</v>
      </c>
      <c r="W85" s="34">
        <v>-0.01</v>
      </c>
      <c r="X85" s="35">
        <v>0</v>
      </c>
    </row>
    <row r="86" spans="1:24" x14ac:dyDescent="0.25">
      <c r="A86" s="47" t="s">
        <v>173</v>
      </c>
      <c r="B86" s="30" t="s">
        <v>206</v>
      </c>
      <c r="C86" s="30" t="s">
        <v>241</v>
      </c>
      <c r="D86" s="30" t="s">
        <v>264</v>
      </c>
      <c r="E86" s="30" t="s">
        <v>265</v>
      </c>
      <c r="F86" s="23" t="s">
        <v>24</v>
      </c>
      <c r="G86" s="31" t="s">
        <v>32</v>
      </c>
      <c r="H86" s="31" t="s">
        <v>25</v>
      </c>
      <c r="I86" s="30" t="s">
        <v>340</v>
      </c>
      <c r="J86" s="31" t="s">
        <v>26</v>
      </c>
      <c r="K86" s="31" t="s">
        <v>116</v>
      </c>
      <c r="L86" s="31" t="s">
        <v>38</v>
      </c>
      <c r="M86" s="30" t="s">
        <v>48</v>
      </c>
      <c r="N86" s="2" t="s">
        <v>35</v>
      </c>
      <c r="O86" s="31" t="s">
        <v>105</v>
      </c>
      <c r="P86" s="27" t="s">
        <v>410</v>
      </c>
      <c r="Q86" s="31" t="s">
        <v>30</v>
      </c>
      <c r="R86" s="31" t="s">
        <v>110</v>
      </c>
      <c r="S86" s="32">
        <v>633900</v>
      </c>
      <c r="T86" s="30" t="s">
        <v>44</v>
      </c>
      <c r="U86" s="33">
        <v>0.75177000000000005</v>
      </c>
      <c r="V86" s="33">
        <v>-0.24822998046875</v>
      </c>
      <c r="W86" s="34">
        <v>-2.4822998046875001E-3</v>
      </c>
      <c r="X86" s="35">
        <v>4765.4701538085901</v>
      </c>
    </row>
    <row r="87" spans="1:24" x14ac:dyDescent="0.25">
      <c r="A87" s="47" t="s">
        <v>175</v>
      </c>
      <c r="B87" s="30" t="s">
        <v>206</v>
      </c>
      <c r="C87" s="30" t="s">
        <v>268</v>
      </c>
      <c r="D87" s="30" t="s">
        <v>269</v>
      </c>
      <c r="E87" s="30" t="s">
        <v>270</v>
      </c>
      <c r="F87" s="23" t="s">
        <v>24</v>
      </c>
      <c r="G87" s="31" t="s">
        <v>38</v>
      </c>
      <c r="H87" s="31" t="s">
        <v>25</v>
      </c>
      <c r="I87" s="30" t="s">
        <v>342</v>
      </c>
      <c r="J87" s="31" t="s">
        <v>39</v>
      </c>
      <c r="K87" s="31" t="s">
        <v>375</v>
      </c>
      <c r="L87" s="31"/>
      <c r="M87" s="30" t="s">
        <v>56</v>
      </c>
      <c r="N87" s="2" t="s">
        <v>35</v>
      </c>
      <c r="O87" s="31" t="s">
        <v>105</v>
      </c>
      <c r="P87" s="27" t="s">
        <v>412</v>
      </c>
      <c r="Q87" s="31" t="s">
        <v>30</v>
      </c>
      <c r="R87" s="31" t="s">
        <v>110</v>
      </c>
      <c r="S87" s="32">
        <v>574880</v>
      </c>
      <c r="T87" s="30" t="s">
        <v>31</v>
      </c>
      <c r="U87" s="33">
        <v>0</v>
      </c>
      <c r="V87" s="33">
        <v>-1</v>
      </c>
      <c r="W87" s="34">
        <v>-0.01</v>
      </c>
      <c r="X87" s="35">
        <v>0</v>
      </c>
    </row>
    <row r="88" spans="1:24" x14ac:dyDescent="0.25">
      <c r="A88" s="47" t="s">
        <v>177</v>
      </c>
      <c r="B88" s="30" t="s">
        <v>206</v>
      </c>
      <c r="C88" s="30" t="s">
        <v>215</v>
      </c>
      <c r="D88" s="30" t="s">
        <v>273</v>
      </c>
      <c r="E88" s="30" t="s">
        <v>274</v>
      </c>
      <c r="F88" s="23" t="s">
        <v>24</v>
      </c>
      <c r="G88" s="31" t="s">
        <v>32</v>
      </c>
      <c r="H88" s="31" t="s">
        <v>25</v>
      </c>
      <c r="I88" s="30" t="s">
        <v>344</v>
      </c>
      <c r="J88" s="31" t="s">
        <v>26</v>
      </c>
      <c r="K88" s="31" t="s">
        <v>93</v>
      </c>
      <c r="L88" s="31" t="s">
        <v>367</v>
      </c>
      <c r="M88" s="30" t="s">
        <v>138</v>
      </c>
      <c r="N88" s="2" t="s">
        <v>35</v>
      </c>
      <c r="O88" s="31" t="s">
        <v>105</v>
      </c>
      <c r="P88" s="27" t="s">
        <v>414</v>
      </c>
      <c r="Q88" s="31" t="s">
        <v>30</v>
      </c>
      <c r="R88" s="31" t="s">
        <v>110</v>
      </c>
      <c r="S88" s="32">
        <v>477300</v>
      </c>
      <c r="T88" s="30" t="s">
        <v>44</v>
      </c>
      <c r="U88" s="33">
        <v>0</v>
      </c>
      <c r="V88" s="33">
        <v>-1</v>
      </c>
      <c r="W88" s="34">
        <v>-0.01</v>
      </c>
      <c r="X88" s="35">
        <v>0</v>
      </c>
    </row>
    <row r="89" spans="1:24" x14ac:dyDescent="0.25">
      <c r="A89" s="47" t="s">
        <v>179</v>
      </c>
      <c r="B89" s="30" t="s">
        <v>206</v>
      </c>
      <c r="C89" s="30" t="s">
        <v>215</v>
      </c>
      <c r="D89" s="30" t="s">
        <v>277</v>
      </c>
      <c r="E89" s="30" t="s">
        <v>278</v>
      </c>
      <c r="F89" s="23" t="s">
        <v>24</v>
      </c>
      <c r="G89" s="31" t="s">
        <v>32</v>
      </c>
      <c r="H89" s="31" t="s">
        <v>25</v>
      </c>
      <c r="I89" s="30" t="s">
        <v>346</v>
      </c>
      <c r="J89" s="31" t="s">
        <v>26</v>
      </c>
      <c r="K89" s="31" t="s">
        <v>373</v>
      </c>
      <c r="L89" s="31"/>
      <c r="M89" s="30" t="s">
        <v>71</v>
      </c>
      <c r="N89" s="2" t="s">
        <v>102</v>
      </c>
      <c r="O89" s="31" t="s">
        <v>105</v>
      </c>
      <c r="P89" s="27" t="s">
        <v>416</v>
      </c>
      <c r="Q89" s="31" t="s">
        <v>30</v>
      </c>
      <c r="R89" s="31" t="s">
        <v>110</v>
      </c>
      <c r="S89" s="32">
        <v>459800</v>
      </c>
      <c r="T89" s="30" t="s">
        <v>44</v>
      </c>
      <c r="U89" s="33">
        <v>0.84185790000000005</v>
      </c>
      <c r="V89" s="33">
        <v>-0.15814208984375</v>
      </c>
      <c r="W89" s="34">
        <v>-1.5814208984375E-3</v>
      </c>
      <c r="X89" s="35">
        <v>0</v>
      </c>
    </row>
    <row r="90" spans="1:24" x14ac:dyDescent="0.25">
      <c r="A90" s="47" t="s">
        <v>181</v>
      </c>
      <c r="B90" s="30" t="s">
        <v>206</v>
      </c>
      <c r="C90" s="30" t="s">
        <v>215</v>
      </c>
      <c r="D90" s="30" t="s">
        <v>281</v>
      </c>
      <c r="E90" s="30" t="s">
        <v>282</v>
      </c>
      <c r="F90" s="23" t="s">
        <v>24</v>
      </c>
      <c r="G90" s="31" t="s">
        <v>32</v>
      </c>
      <c r="H90" s="31" t="s">
        <v>25</v>
      </c>
      <c r="I90" s="30" t="s">
        <v>348</v>
      </c>
      <c r="J90" s="31" t="s">
        <v>26</v>
      </c>
      <c r="K90" s="31" t="s">
        <v>85</v>
      </c>
      <c r="L90" s="31" t="s">
        <v>367</v>
      </c>
      <c r="M90" s="30" t="s">
        <v>48</v>
      </c>
      <c r="N90" s="2" t="s">
        <v>35</v>
      </c>
      <c r="O90" s="31" t="s">
        <v>105</v>
      </c>
      <c r="P90" s="27" t="s">
        <v>418</v>
      </c>
      <c r="Q90" s="31" t="s">
        <v>43</v>
      </c>
      <c r="R90" s="31" t="s">
        <v>111</v>
      </c>
      <c r="S90" s="32">
        <v>446300</v>
      </c>
      <c r="T90" s="30" t="s">
        <v>44</v>
      </c>
      <c r="U90" s="33">
        <v>4.9874879999999999</v>
      </c>
      <c r="V90" s="33">
        <v>0.98748779296875</v>
      </c>
      <c r="W90" s="34">
        <v>9.8748779296874995E-3</v>
      </c>
      <c r="X90" s="35">
        <v>39720.264160156199</v>
      </c>
    </row>
    <row r="91" spans="1:24" x14ac:dyDescent="0.25">
      <c r="A91" s="47" t="s">
        <v>182</v>
      </c>
      <c r="B91" s="30" t="s">
        <v>206</v>
      </c>
      <c r="C91" s="30" t="s">
        <v>200</v>
      </c>
      <c r="D91" s="30" t="s">
        <v>283</v>
      </c>
      <c r="E91" s="30" t="s">
        <v>284</v>
      </c>
      <c r="F91" s="23" t="s">
        <v>24</v>
      </c>
      <c r="G91" s="31" t="s">
        <v>32</v>
      </c>
      <c r="H91" s="31" t="s">
        <v>25</v>
      </c>
      <c r="I91" s="30" t="s">
        <v>349</v>
      </c>
      <c r="J91" s="31" t="s">
        <v>39</v>
      </c>
      <c r="K91" s="31" t="s">
        <v>376</v>
      </c>
      <c r="L91" s="31"/>
      <c r="M91" s="30" t="s">
        <v>28</v>
      </c>
      <c r="N91" s="2" t="s">
        <v>102</v>
      </c>
      <c r="O91" s="31" t="s">
        <v>105</v>
      </c>
      <c r="P91" s="27" t="s">
        <v>419</v>
      </c>
      <c r="Q91" s="31" t="s">
        <v>30</v>
      </c>
      <c r="R91" s="31" t="s">
        <v>110</v>
      </c>
      <c r="S91" s="32">
        <v>428300</v>
      </c>
      <c r="T91" s="30" t="s">
        <v>31</v>
      </c>
      <c r="U91" s="33">
        <v>1.6540526999999999E-2</v>
      </c>
      <c r="V91" s="33">
        <v>-0.98345947265625</v>
      </c>
      <c r="W91" s="34">
        <v>-9.8345947265624997E-3</v>
      </c>
      <c r="X91" s="35">
        <v>0</v>
      </c>
    </row>
    <row r="92" spans="1:24" x14ac:dyDescent="0.25">
      <c r="A92" s="47" t="s">
        <v>184</v>
      </c>
      <c r="B92" s="30" t="s">
        <v>206</v>
      </c>
      <c r="C92" s="30" t="s">
        <v>287</v>
      </c>
      <c r="D92" s="30" t="s">
        <v>288</v>
      </c>
      <c r="E92" s="30" t="s">
        <v>289</v>
      </c>
      <c r="F92" s="23" t="s">
        <v>24</v>
      </c>
      <c r="G92" s="31" t="s">
        <v>317</v>
      </c>
      <c r="H92" s="31" t="s">
        <v>25</v>
      </c>
      <c r="I92" s="30" t="s">
        <v>350</v>
      </c>
      <c r="J92" s="31" t="s">
        <v>26</v>
      </c>
      <c r="K92" s="31" t="s">
        <v>90</v>
      </c>
      <c r="L92" s="31" t="s">
        <v>50</v>
      </c>
      <c r="M92" s="30" t="s">
        <v>58</v>
      </c>
      <c r="N92" s="2" t="s">
        <v>42</v>
      </c>
      <c r="O92" s="31" t="s">
        <v>106</v>
      </c>
      <c r="P92" s="27" t="s">
        <v>421</v>
      </c>
      <c r="Q92" s="31" t="s">
        <v>30</v>
      </c>
      <c r="R92" s="31" t="s">
        <v>110</v>
      </c>
      <c r="S92" s="32">
        <v>425400</v>
      </c>
      <c r="T92" s="30" t="s">
        <v>31</v>
      </c>
      <c r="U92" s="33">
        <v>0.46618651999999999</v>
      </c>
      <c r="V92" s="33">
        <v>-0.5338134765625</v>
      </c>
      <c r="W92" s="34">
        <v>-5.3381347656249996E-3</v>
      </c>
      <c r="X92" s="35">
        <v>29747.362060546799</v>
      </c>
    </row>
    <row r="93" spans="1:24" x14ac:dyDescent="0.25">
      <c r="A93" s="47" t="s">
        <v>186</v>
      </c>
      <c r="B93" s="30" t="s">
        <v>206</v>
      </c>
      <c r="C93" s="30" t="s">
        <v>215</v>
      </c>
      <c r="D93" s="30" t="s">
        <v>291</v>
      </c>
      <c r="E93" s="30" t="s">
        <v>292</v>
      </c>
      <c r="F93" s="23" t="s">
        <v>24</v>
      </c>
      <c r="G93" s="31" t="s">
        <v>32</v>
      </c>
      <c r="H93" s="31" t="s">
        <v>25</v>
      </c>
      <c r="I93" s="30" t="s">
        <v>352</v>
      </c>
      <c r="J93" s="31" t="s">
        <v>36</v>
      </c>
      <c r="K93" s="31" t="s">
        <v>83</v>
      </c>
      <c r="L93" s="31"/>
      <c r="M93" s="30" t="s">
        <v>66</v>
      </c>
      <c r="N93" s="2" t="s">
        <v>103</v>
      </c>
      <c r="O93" s="31" t="s">
        <v>105</v>
      </c>
      <c r="P93" s="27" t="s">
        <v>423</v>
      </c>
      <c r="Q93" s="31" t="s">
        <v>30</v>
      </c>
      <c r="R93" s="31" t="s">
        <v>110</v>
      </c>
      <c r="S93" s="32">
        <v>404800</v>
      </c>
      <c r="T93" s="30" t="s">
        <v>44</v>
      </c>
      <c r="U93" s="33">
        <v>0</v>
      </c>
      <c r="V93" s="33">
        <v>-1</v>
      </c>
      <c r="W93" s="34">
        <v>-0.01</v>
      </c>
      <c r="X93" s="35">
        <v>0</v>
      </c>
    </row>
    <row r="94" spans="1:24" x14ac:dyDescent="0.25">
      <c r="A94" s="47" t="s">
        <v>189</v>
      </c>
      <c r="B94" s="30" t="s">
        <v>206</v>
      </c>
      <c r="C94" s="30" t="s">
        <v>200</v>
      </c>
      <c r="D94" s="30" t="s">
        <v>297</v>
      </c>
      <c r="E94" s="30" t="s">
        <v>298</v>
      </c>
      <c r="F94" s="23" t="s">
        <v>24</v>
      </c>
      <c r="G94" s="31" t="s">
        <v>32</v>
      </c>
      <c r="H94" s="31" t="s">
        <v>65</v>
      </c>
      <c r="I94" s="30" t="s">
        <v>355</v>
      </c>
      <c r="J94" s="31" t="s">
        <v>26</v>
      </c>
      <c r="K94" s="31" t="s">
        <v>89</v>
      </c>
      <c r="L94" s="31" t="s">
        <v>49</v>
      </c>
      <c r="M94" s="30" t="s">
        <v>41</v>
      </c>
      <c r="N94" s="2" t="s">
        <v>42</v>
      </c>
      <c r="O94" s="31" t="s">
        <v>106</v>
      </c>
      <c r="P94" s="27" t="s">
        <v>426</v>
      </c>
      <c r="Q94" s="31" t="s">
        <v>436</v>
      </c>
      <c r="R94" s="31" t="s">
        <v>111</v>
      </c>
      <c r="S94" s="32">
        <v>359300</v>
      </c>
      <c r="T94" s="30" t="s">
        <v>44</v>
      </c>
      <c r="U94" s="33">
        <v>1</v>
      </c>
      <c r="V94" s="33">
        <v>-3</v>
      </c>
      <c r="W94" s="34">
        <v>-0.03</v>
      </c>
      <c r="X94" s="35">
        <v>0</v>
      </c>
    </row>
    <row r="95" spans="1:24" x14ac:dyDescent="0.25">
      <c r="A95" s="47" t="s">
        <v>191</v>
      </c>
      <c r="B95" s="30" t="s">
        <v>206</v>
      </c>
      <c r="C95" s="30" t="s">
        <v>215</v>
      </c>
      <c r="D95" s="30" t="s">
        <v>301</v>
      </c>
      <c r="E95" s="30" t="s">
        <v>302</v>
      </c>
      <c r="F95" s="23" t="s">
        <v>24</v>
      </c>
      <c r="G95" s="31" t="s">
        <v>32</v>
      </c>
      <c r="H95" s="31" t="s">
        <v>25</v>
      </c>
      <c r="I95" s="30" t="s">
        <v>357</v>
      </c>
      <c r="J95" s="31" t="s">
        <v>26</v>
      </c>
      <c r="K95" s="31" t="s">
        <v>130</v>
      </c>
      <c r="L95" s="31" t="s">
        <v>38</v>
      </c>
      <c r="M95" s="30" t="s">
        <v>41</v>
      </c>
      <c r="N95" s="2" t="s">
        <v>42</v>
      </c>
      <c r="O95" s="31" t="s">
        <v>105</v>
      </c>
      <c r="P95" s="27" t="s">
        <v>428</v>
      </c>
      <c r="Q95" s="31" t="s">
        <v>43</v>
      </c>
      <c r="R95" s="31" t="s">
        <v>111</v>
      </c>
      <c r="S95" s="32">
        <v>343700</v>
      </c>
      <c r="T95" s="30" t="s">
        <v>44</v>
      </c>
      <c r="U95" s="33">
        <v>9.7449340000000007</v>
      </c>
      <c r="V95" s="33">
        <v>5.74493408203125</v>
      </c>
      <c r="W95" s="34">
        <v>5.74493408203125E-2</v>
      </c>
      <c r="X95" s="35">
        <v>218145.030639648</v>
      </c>
    </row>
    <row r="96" spans="1:24" x14ac:dyDescent="0.25">
      <c r="A96" s="47" t="s">
        <v>192</v>
      </c>
      <c r="B96" s="30" t="s">
        <v>206</v>
      </c>
      <c r="C96" s="30" t="s">
        <v>215</v>
      </c>
      <c r="D96" s="30" t="s">
        <v>303</v>
      </c>
      <c r="E96" s="30" t="s">
        <v>304</v>
      </c>
      <c r="F96" s="23" t="s">
        <v>24</v>
      </c>
      <c r="G96" s="31" t="s">
        <v>53</v>
      </c>
      <c r="H96" s="31" t="s">
        <v>25</v>
      </c>
      <c r="I96" s="30" t="s">
        <v>358</v>
      </c>
      <c r="J96" s="31" t="s">
        <v>39</v>
      </c>
      <c r="K96" s="31" t="s">
        <v>86</v>
      </c>
      <c r="L96" s="31"/>
      <c r="M96" s="30" t="s">
        <v>71</v>
      </c>
      <c r="N96" s="2" t="s">
        <v>102</v>
      </c>
      <c r="O96" s="31" t="s">
        <v>105</v>
      </c>
      <c r="P96" s="27" t="s">
        <v>429</v>
      </c>
      <c r="Q96" s="31" t="s">
        <v>30</v>
      </c>
      <c r="R96" s="31" t="s">
        <v>110</v>
      </c>
      <c r="S96" s="32">
        <v>343200</v>
      </c>
      <c r="T96" s="30" t="s">
        <v>44</v>
      </c>
      <c r="U96" s="33">
        <v>0</v>
      </c>
      <c r="V96" s="33">
        <v>-1</v>
      </c>
      <c r="W96" s="34">
        <v>-0.01</v>
      </c>
      <c r="X96" s="35">
        <v>0</v>
      </c>
    </row>
    <row r="97" spans="1:24" x14ac:dyDescent="0.25">
      <c r="A97" s="47" t="s">
        <v>193</v>
      </c>
      <c r="B97" s="30" t="s">
        <v>206</v>
      </c>
      <c r="C97" s="30" t="s">
        <v>200</v>
      </c>
      <c r="D97" s="30" t="s">
        <v>305</v>
      </c>
      <c r="E97" s="30" t="s">
        <v>306</v>
      </c>
      <c r="F97" s="23" t="s">
        <v>24</v>
      </c>
      <c r="G97" s="31" t="s">
        <v>53</v>
      </c>
      <c r="H97" s="31" t="s">
        <v>25</v>
      </c>
      <c r="I97" s="30" t="s">
        <v>359</v>
      </c>
      <c r="J97" s="31" t="s">
        <v>36</v>
      </c>
      <c r="K97" s="31" t="s">
        <v>83</v>
      </c>
      <c r="L97" s="31"/>
      <c r="M97" s="30" t="s">
        <v>52</v>
      </c>
      <c r="N97" s="2" t="s">
        <v>35</v>
      </c>
      <c r="O97" s="31" t="s">
        <v>105</v>
      </c>
      <c r="P97" s="27" t="s">
        <v>430</v>
      </c>
      <c r="Q97" s="31" t="s">
        <v>30</v>
      </c>
      <c r="R97" s="31" t="s">
        <v>110</v>
      </c>
      <c r="S97" s="32">
        <v>328077</v>
      </c>
      <c r="T97" s="30" t="s">
        <v>112</v>
      </c>
      <c r="U97" s="33">
        <v>2.1123656999999998</v>
      </c>
      <c r="V97" s="33">
        <v>1.11236572265625</v>
      </c>
      <c r="W97" s="34">
        <v>1.11236572265625E-2</v>
      </c>
      <c r="X97" s="35">
        <v>30264.222183837799</v>
      </c>
    </row>
    <row r="98" spans="1:24" x14ac:dyDescent="0.25">
      <c r="A98" s="47" t="s">
        <v>194</v>
      </c>
      <c r="B98" s="30" t="s">
        <v>206</v>
      </c>
      <c r="C98" s="30" t="s">
        <v>220</v>
      </c>
      <c r="D98" s="30" t="s">
        <v>307</v>
      </c>
      <c r="E98" s="30" t="s">
        <v>308</v>
      </c>
      <c r="F98" s="23" t="s">
        <v>24</v>
      </c>
      <c r="G98" s="31" t="s">
        <v>38</v>
      </c>
      <c r="H98" s="31" t="s">
        <v>25</v>
      </c>
      <c r="I98" s="30" t="s">
        <v>67</v>
      </c>
      <c r="J98" s="31" t="s">
        <v>39</v>
      </c>
      <c r="K98" s="31" t="s">
        <v>88</v>
      </c>
      <c r="L98" s="31" t="s">
        <v>367</v>
      </c>
      <c r="M98" s="30" t="s">
        <v>70</v>
      </c>
      <c r="N98" s="2" t="s">
        <v>35</v>
      </c>
      <c r="O98" s="31" t="s">
        <v>106</v>
      </c>
      <c r="P98" s="27" t="s">
        <v>431</v>
      </c>
      <c r="Q98" s="31" t="s">
        <v>30</v>
      </c>
      <c r="R98" s="31" t="s">
        <v>110</v>
      </c>
      <c r="S98" s="32">
        <v>316000</v>
      </c>
      <c r="T98" s="30" t="s">
        <v>44</v>
      </c>
      <c r="U98" s="33">
        <v>0.43420409999999998</v>
      </c>
      <c r="V98" s="33">
        <v>-0.5657958984375</v>
      </c>
      <c r="W98" s="34">
        <v>-5.6579589843750002E-3</v>
      </c>
      <c r="X98" s="35">
        <v>0</v>
      </c>
    </row>
    <row r="99" spans="1:24" x14ac:dyDescent="0.25">
      <c r="A99" s="47" t="s">
        <v>195</v>
      </c>
      <c r="B99" s="30" t="s">
        <v>206</v>
      </c>
      <c r="C99" s="30" t="s">
        <v>200</v>
      </c>
      <c r="D99" s="30" t="s">
        <v>309</v>
      </c>
      <c r="E99" s="30" t="s">
        <v>310</v>
      </c>
      <c r="F99" s="23" t="s">
        <v>24</v>
      </c>
      <c r="G99" s="31" t="s">
        <v>32</v>
      </c>
      <c r="H99" s="31" t="s">
        <v>25</v>
      </c>
      <c r="I99" s="30" t="s">
        <v>360</v>
      </c>
      <c r="J99" s="31" t="s">
        <v>26</v>
      </c>
      <c r="K99" s="31" t="s">
        <v>95</v>
      </c>
      <c r="L99" s="31"/>
      <c r="M99" s="30" t="s">
        <v>71</v>
      </c>
      <c r="N99" s="2" t="s">
        <v>102</v>
      </c>
      <c r="O99" s="31" t="s">
        <v>105</v>
      </c>
      <c r="P99" s="27" t="s">
        <v>432</v>
      </c>
      <c r="Q99" s="31" t="s">
        <v>30</v>
      </c>
      <c r="R99" s="31" t="s">
        <v>110</v>
      </c>
      <c r="S99" s="32">
        <v>310800</v>
      </c>
      <c r="T99" s="30" t="s">
        <v>44</v>
      </c>
      <c r="U99" s="33">
        <v>1.5736694</v>
      </c>
      <c r="V99" s="33">
        <v>0.57366943359375</v>
      </c>
      <c r="W99" s="34">
        <v>5.7366943359374997E-3</v>
      </c>
      <c r="X99" s="35">
        <v>12480.7521972656</v>
      </c>
    </row>
    <row r="100" spans="1:24" x14ac:dyDescent="0.25">
      <c r="A100" s="47" t="s">
        <v>196</v>
      </c>
      <c r="B100" s="30" t="s">
        <v>206</v>
      </c>
      <c r="C100" s="30" t="s">
        <v>268</v>
      </c>
      <c r="D100" s="30" t="s">
        <v>311</v>
      </c>
      <c r="E100" s="30" t="s">
        <v>312</v>
      </c>
      <c r="F100" s="23" t="s">
        <v>24</v>
      </c>
      <c r="G100" s="31" t="s">
        <v>53</v>
      </c>
      <c r="H100" s="31" t="s">
        <v>25</v>
      </c>
      <c r="I100" s="30" t="s">
        <v>361</v>
      </c>
      <c r="J100" s="31" t="s">
        <v>26</v>
      </c>
      <c r="K100" s="31" t="s">
        <v>378</v>
      </c>
      <c r="L100" s="31"/>
      <c r="M100" s="30" t="s">
        <v>71</v>
      </c>
      <c r="N100" s="2" t="s">
        <v>102</v>
      </c>
      <c r="O100" s="31" t="s">
        <v>106</v>
      </c>
      <c r="P100" s="27" t="s">
        <v>433</v>
      </c>
      <c r="Q100" s="31" t="s">
        <v>30</v>
      </c>
      <c r="R100" s="31" t="s">
        <v>110</v>
      </c>
      <c r="S100" s="32">
        <v>307500</v>
      </c>
      <c r="T100" s="30" t="s">
        <v>44</v>
      </c>
      <c r="U100" s="33">
        <v>1.3372192000000001</v>
      </c>
      <c r="V100" s="33">
        <v>0.33721923828125</v>
      </c>
      <c r="W100" s="34">
        <v>3.3721923828125E-3</v>
      </c>
      <c r="X100" s="35">
        <v>7258.6441040038999</v>
      </c>
    </row>
    <row r="101" spans="1:24" x14ac:dyDescent="0.25">
      <c r="A101" s="47" t="s">
        <v>197</v>
      </c>
      <c r="B101" s="30" t="s">
        <v>206</v>
      </c>
      <c r="C101" s="30" t="s">
        <v>215</v>
      </c>
      <c r="D101" s="30" t="s">
        <v>313</v>
      </c>
      <c r="E101" s="30" t="s">
        <v>314</v>
      </c>
      <c r="F101" s="23" t="s">
        <v>24</v>
      </c>
      <c r="G101" s="31" t="s">
        <v>32</v>
      </c>
      <c r="H101" s="31" t="s">
        <v>25</v>
      </c>
      <c r="I101" s="30" t="s">
        <v>362</v>
      </c>
      <c r="J101" s="31" t="s">
        <v>26</v>
      </c>
      <c r="K101" s="31" t="s">
        <v>93</v>
      </c>
      <c r="L101" s="31" t="s">
        <v>51</v>
      </c>
      <c r="M101" s="30" t="s">
        <v>41</v>
      </c>
      <c r="N101" s="2" t="s">
        <v>42</v>
      </c>
      <c r="O101" s="31" t="s">
        <v>105</v>
      </c>
      <c r="P101" s="27" t="s">
        <v>434</v>
      </c>
      <c r="Q101" s="31" t="s">
        <v>436</v>
      </c>
      <c r="R101" s="31" t="s">
        <v>111</v>
      </c>
      <c r="S101" s="32">
        <v>307000</v>
      </c>
      <c r="T101" s="30" t="s">
        <v>44</v>
      </c>
      <c r="U101" s="33">
        <v>0.39794921999999999</v>
      </c>
      <c r="V101" s="33">
        <v>-3.60205078125</v>
      </c>
      <c r="W101" s="34">
        <v>-3.6020507812499998E-2</v>
      </c>
      <c r="X101" s="35">
        <v>0</v>
      </c>
    </row>
    <row r="103" spans="1:24" x14ac:dyDescent="0.25">
      <c r="A103" s="3" t="s">
        <v>59</v>
      </c>
      <c r="B103" s="3" t="s">
        <v>1</v>
      </c>
      <c r="C103" s="3" t="s">
        <v>60</v>
      </c>
      <c r="D103" s="3" t="s">
        <v>61</v>
      </c>
      <c r="E103" s="3" t="s">
        <v>62</v>
      </c>
    </row>
    <row r="104" spans="1:24" x14ac:dyDescent="0.25">
      <c r="A104" s="3">
        <v>540230</v>
      </c>
      <c r="B104" s="1" t="s">
        <v>439</v>
      </c>
      <c r="C104" s="3" t="s">
        <v>145</v>
      </c>
      <c r="D104" s="1" t="s">
        <v>63</v>
      </c>
      <c r="E104" s="3">
        <v>3</v>
      </c>
    </row>
    <row r="105" spans="1:24" x14ac:dyDescent="0.25">
      <c r="A105" s="47" t="s">
        <v>156</v>
      </c>
      <c r="B105" s="30" t="s">
        <v>228</v>
      </c>
      <c r="C105" s="30" t="s">
        <v>203</v>
      </c>
      <c r="D105" s="30" t="s">
        <v>229</v>
      </c>
      <c r="E105" s="30" t="s">
        <v>230</v>
      </c>
      <c r="F105" s="23" t="s">
        <v>24</v>
      </c>
      <c r="G105" s="31" t="s">
        <v>32</v>
      </c>
      <c r="H105" s="31" t="s">
        <v>65</v>
      </c>
      <c r="I105" s="30" t="s">
        <v>326</v>
      </c>
      <c r="J105" s="31" t="s">
        <v>26</v>
      </c>
      <c r="K105" s="31" t="s">
        <v>95</v>
      </c>
      <c r="L105" s="31" t="s">
        <v>57</v>
      </c>
      <c r="M105" s="30" t="s">
        <v>58</v>
      </c>
      <c r="N105" s="2" t="s">
        <v>42</v>
      </c>
      <c r="O105" s="31" t="s">
        <v>107</v>
      </c>
      <c r="P105" s="27" t="s">
        <v>393</v>
      </c>
      <c r="Q105" s="31" t="s">
        <v>30</v>
      </c>
      <c r="R105" s="31" t="s">
        <v>110</v>
      </c>
      <c r="S105" s="36" t="s">
        <v>143</v>
      </c>
      <c r="T105" s="30" t="s">
        <v>44</v>
      </c>
      <c r="U105" s="33">
        <v>0.15716553</v>
      </c>
      <c r="V105" s="33">
        <v>-0.84283447265625</v>
      </c>
      <c r="W105" s="34">
        <v>-8.4283447265625002E-3</v>
      </c>
      <c r="X105" s="35">
        <v>43761.955261230403</v>
      </c>
    </row>
    <row r="106" spans="1:24" x14ac:dyDescent="0.25">
      <c r="A106" s="47" t="s">
        <v>164</v>
      </c>
      <c r="B106" s="30" t="s">
        <v>228</v>
      </c>
      <c r="C106" s="30" t="s">
        <v>203</v>
      </c>
      <c r="D106" s="30" t="s">
        <v>246</v>
      </c>
      <c r="E106" s="30" t="s">
        <v>247</v>
      </c>
      <c r="F106" s="23" t="s">
        <v>24</v>
      </c>
      <c r="G106" s="31" t="s">
        <v>32</v>
      </c>
      <c r="H106" s="31" t="s">
        <v>25</v>
      </c>
      <c r="I106" s="30" t="s">
        <v>332</v>
      </c>
      <c r="J106" s="31" t="s">
        <v>26</v>
      </c>
      <c r="K106" s="31" t="s">
        <v>133</v>
      </c>
      <c r="L106" s="31" t="s">
        <v>27</v>
      </c>
      <c r="M106" s="30" t="s">
        <v>55</v>
      </c>
      <c r="N106" s="2" t="s">
        <v>35</v>
      </c>
      <c r="O106" s="31" t="s">
        <v>106</v>
      </c>
      <c r="P106" s="27" t="s">
        <v>401</v>
      </c>
      <c r="Q106" s="31" t="s">
        <v>30</v>
      </c>
      <c r="R106" s="31" t="s">
        <v>110</v>
      </c>
      <c r="S106" s="32">
        <v>1082200</v>
      </c>
      <c r="T106" s="30" t="s">
        <v>44</v>
      </c>
      <c r="U106" s="33">
        <v>1</v>
      </c>
      <c r="V106" s="33">
        <v>0</v>
      </c>
      <c r="W106" s="34">
        <v>0</v>
      </c>
      <c r="X106" s="35">
        <v>21644</v>
      </c>
    </row>
    <row r="107" spans="1:24" x14ac:dyDescent="0.25">
      <c r="A107" s="47" t="s">
        <v>183</v>
      </c>
      <c r="B107" s="30" t="s">
        <v>228</v>
      </c>
      <c r="C107" s="30" t="s">
        <v>203</v>
      </c>
      <c r="D107" s="30" t="s">
        <v>285</v>
      </c>
      <c r="E107" s="30" t="s">
        <v>286</v>
      </c>
      <c r="F107" s="23" t="s">
        <v>24</v>
      </c>
      <c r="G107" s="31" t="s">
        <v>32</v>
      </c>
      <c r="H107" s="31" t="s">
        <v>65</v>
      </c>
      <c r="I107" s="30" t="s">
        <v>335</v>
      </c>
      <c r="J107" s="31" t="s">
        <v>26</v>
      </c>
      <c r="K107" s="31" t="s">
        <v>108</v>
      </c>
      <c r="L107" s="31" t="s">
        <v>27</v>
      </c>
      <c r="M107" s="30" t="s">
        <v>52</v>
      </c>
      <c r="N107" s="2" t="s">
        <v>35</v>
      </c>
      <c r="O107" s="31" t="s">
        <v>105</v>
      </c>
      <c r="P107" s="27" t="s">
        <v>420</v>
      </c>
      <c r="Q107" s="31" t="s">
        <v>30</v>
      </c>
      <c r="R107" s="31" t="s">
        <v>110</v>
      </c>
      <c r="S107" s="32">
        <v>427000</v>
      </c>
      <c r="T107" s="30" t="s">
        <v>44</v>
      </c>
      <c r="U107" s="33">
        <v>5.3341675000000004</v>
      </c>
      <c r="V107" s="33">
        <v>4.33416748046875</v>
      </c>
      <c r="W107" s="34">
        <v>4.3341674804687501E-2</v>
      </c>
      <c r="X107" s="35">
        <v>62633.790283203103</v>
      </c>
    </row>
    <row r="108" spans="1:24" x14ac:dyDescent="0.25">
      <c r="A108" s="47" t="s">
        <v>188</v>
      </c>
      <c r="B108" s="30" t="s">
        <v>228</v>
      </c>
      <c r="C108" s="30" t="s">
        <v>203</v>
      </c>
      <c r="D108" s="30" t="s">
        <v>295</v>
      </c>
      <c r="E108" s="30" t="s">
        <v>296</v>
      </c>
      <c r="F108" s="23" t="s">
        <v>24</v>
      </c>
      <c r="G108" s="31" t="s">
        <v>32</v>
      </c>
      <c r="H108" s="31" t="s">
        <v>25</v>
      </c>
      <c r="I108" s="30" t="s">
        <v>354</v>
      </c>
      <c r="J108" s="31" t="s">
        <v>39</v>
      </c>
      <c r="K108" s="31" t="s">
        <v>96</v>
      </c>
      <c r="L108" s="31" t="s">
        <v>367</v>
      </c>
      <c r="M108" s="30" t="s">
        <v>48</v>
      </c>
      <c r="N108" s="2" t="s">
        <v>35</v>
      </c>
      <c r="O108" s="31" t="s">
        <v>105</v>
      </c>
      <c r="P108" s="27" t="s">
        <v>425</v>
      </c>
      <c r="Q108" s="31" t="s">
        <v>30</v>
      </c>
      <c r="R108" s="31" t="s">
        <v>110</v>
      </c>
      <c r="S108" s="32">
        <v>361400</v>
      </c>
      <c r="T108" s="30" t="s">
        <v>31</v>
      </c>
      <c r="U108" s="33">
        <v>1.7091675</v>
      </c>
      <c r="V108" s="33">
        <v>0.70916748046875</v>
      </c>
      <c r="W108" s="34">
        <v>7.0916748046874999E-3</v>
      </c>
      <c r="X108" s="35">
        <v>24117.450195312402</v>
      </c>
    </row>
    <row r="109" spans="1:24" x14ac:dyDescent="0.25">
      <c r="A109" s="47" t="s">
        <v>198</v>
      </c>
      <c r="B109" s="30" t="s">
        <v>228</v>
      </c>
      <c r="C109" s="30" t="s">
        <v>203</v>
      </c>
      <c r="D109" s="30" t="s">
        <v>315</v>
      </c>
      <c r="E109" s="30" t="s">
        <v>316</v>
      </c>
      <c r="F109" s="23" t="s">
        <v>24</v>
      </c>
      <c r="G109" s="31" t="s">
        <v>32</v>
      </c>
      <c r="H109" s="31" t="s">
        <v>65</v>
      </c>
      <c r="I109" s="30" t="s">
        <v>363</v>
      </c>
      <c r="J109" s="31" t="s">
        <v>26</v>
      </c>
      <c r="K109" s="31" t="s">
        <v>119</v>
      </c>
      <c r="L109" s="31"/>
      <c r="M109" s="30" t="s">
        <v>71</v>
      </c>
      <c r="N109" s="2" t="s">
        <v>102</v>
      </c>
      <c r="O109" s="31" t="s">
        <v>105</v>
      </c>
      <c r="P109" s="27" t="s">
        <v>435</v>
      </c>
      <c r="Q109" s="31" t="s">
        <v>30</v>
      </c>
      <c r="R109" s="31" t="s">
        <v>110</v>
      </c>
      <c r="S109" s="32">
        <v>305660</v>
      </c>
      <c r="T109" s="30" t="s">
        <v>31</v>
      </c>
      <c r="U109" s="33">
        <v>0.36322019999999999</v>
      </c>
      <c r="V109" s="33">
        <v>-0.63677978515625</v>
      </c>
      <c r="W109" s="34">
        <v>-6.3677978515624999E-3</v>
      </c>
      <c r="X109" s="35">
        <v>0</v>
      </c>
    </row>
    <row r="111" spans="1:24" x14ac:dyDescent="0.25">
      <c r="A111" s="3" t="s">
        <v>59</v>
      </c>
      <c r="B111" s="3" t="s">
        <v>1</v>
      </c>
      <c r="C111" s="3" t="s">
        <v>60</v>
      </c>
      <c r="D111" s="3" t="s">
        <v>61</v>
      </c>
      <c r="E111" s="3" t="s">
        <v>62</v>
      </c>
    </row>
    <row r="112" spans="1:24" x14ac:dyDescent="0.25">
      <c r="A112" s="3">
        <v>540008</v>
      </c>
      <c r="B112" s="1" t="s">
        <v>440</v>
      </c>
      <c r="C112" s="3" t="s">
        <v>145</v>
      </c>
      <c r="D112" s="1" t="s">
        <v>63</v>
      </c>
      <c r="E112" s="3">
        <v>3</v>
      </c>
      <c r="S112" s="36" t="s">
        <v>143</v>
      </c>
    </row>
    <row r="113" spans="1:24" x14ac:dyDescent="0.25">
      <c r="A113" s="47" t="s">
        <v>146</v>
      </c>
      <c r="B113" s="30" t="s">
        <v>199</v>
      </c>
      <c r="C113" s="30" t="s">
        <v>200</v>
      </c>
      <c r="D113" s="30" t="s">
        <v>201</v>
      </c>
      <c r="E113" s="30" t="s">
        <v>202</v>
      </c>
      <c r="F113" s="23" t="s">
        <v>24</v>
      </c>
      <c r="G113" s="31" t="s">
        <v>32</v>
      </c>
      <c r="H113" s="31" t="s">
        <v>25</v>
      </c>
      <c r="I113" s="30" t="s">
        <v>318</v>
      </c>
      <c r="J113" s="31" t="s">
        <v>26</v>
      </c>
      <c r="K113" s="31" t="s">
        <v>129</v>
      </c>
      <c r="L113" s="31" t="s">
        <v>364</v>
      </c>
      <c r="M113" s="30" t="s">
        <v>379</v>
      </c>
      <c r="N113" s="2" t="s">
        <v>35</v>
      </c>
      <c r="O113" s="31" t="s">
        <v>106</v>
      </c>
      <c r="P113" s="27" t="s">
        <v>383</v>
      </c>
      <c r="Q113" s="31" t="s">
        <v>30</v>
      </c>
      <c r="R113" s="31" t="s">
        <v>110</v>
      </c>
      <c r="S113" s="32">
        <v>23908100</v>
      </c>
      <c r="T113" s="30" t="s">
        <v>44</v>
      </c>
      <c r="U113" s="33">
        <v>1.7814331000000001</v>
      </c>
      <c r="V113" s="33">
        <v>0.78143310546875</v>
      </c>
      <c r="W113" s="34">
        <v>7.8143310546875001E-3</v>
      </c>
      <c r="X113" s="35">
        <v>0</v>
      </c>
    </row>
    <row r="114" spans="1:24" x14ac:dyDescent="0.25">
      <c r="A114" s="47" t="s">
        <v>147</v>
      </c>
      <c r="B114" s="30" t="s">
        <v>199</v>
      </c>
      <c r="C114" s="30" t="s">
        <v>203</v>
      </c>
      <c r="D114" s="30" t="s">
        <v>204</v>
      </c>
      <c r="E114" s="30" t="s">
        <v>205</v>
      </c>
      <c r="F114" s="23" t="s">
        <v>24</v>
      </c>
      <c r="G114" s="31" t="s">
        <v>32</v>
      </c>
      <c r="H114" s="31" t="s">
        <v>25</v>
      </c>
      <c r="I114" s="30" t="s">
        <v>319</v>
      </c>
      <c r="J114" s="31" t="s">
        <v>39</v>
      </c>
      <c r="K114" s="31" t="s">
        <v>365</v>
      </c>
      <c r="L114" s="31"/>
      <c r="M114" s="30" t="s">
        <v>68</v>
      </c>
      <c r="N114" s="2" t="s">
        <v>101</v>
      </c>
      <c r="O114" s="31" t="s">
        <v>105</v>
      </c>
      <c r="P114" s="27" t="s">
        <v>384</v>
      </c>
      <c r="Q114" s="31" t="s">
        <v>30</v>
      </c>
      <c r="R114" s="31" t="s">
        <v>110</v>
      </c>
      <c r="S114" s="32">
        <v>4998290</v>
      </c>
      <c r="T114" s="30" t="s">
        <v>31</v>
      </c>
      <c r="U114" s="33">
        <v>0</v>
      </c>
      <c r="V114" s="33">
        <v>-1</v>
      </c>
      <c r="W114" s="34">
        <v>-0.01</v>
      </c>
      <c r="X114" s="35">
        <v>0</v>
      </c>
    </row>
    <row r="115" spans="1:24" x14ac:dyDescent="0.25">
      <c r="A115" s="47" t="s">
        <v>152</v>
      </c>
      <c r="B115" s="30" t="s">
        <v>199</v>
      </c>
      <c r="C115" s="30" t="s">
        <v>203</v>
      </c>
      <c r="D115" s="30" t="s">
        <v>218</v>
      </c>
      <c r="E115" s="30" t="s">
        <v>219</v>
      </c>
      <c r="F115" s="23" t="s">
        <v>24</v>
      </c>
      <c r="G115" s="31" t="s">
        <v>32</v>
      </c>
      <c r="H115" s="31" t="s">
        <v>25</v>
      </c>
      <c r="I115" s="30" t="s">
        <v>319</v>
      </c>
      <c r="J115" s="31" t="s">
        <v>39</v>
      </c>
      <c r="K115" s="31" t="s">
        <v>122</v>
      </c>
      <c r="L115" s="31"/>
      <c r="M115" s="30" t="s">
        <v>68</v>
      </c>
      <c r="N115" s="2" t="s">
        <v>101</v>
      </c>
      <c r="O115" s="31" t="s">
        <v>105</v>
      </c>
      <c r="P115" s="27" t="s">
        <v>389</v>
      </c>
      <c r="Q115" s="31" t="s">
        <v>30</v>
      </c>
      <c r="R115" s="31" t="s">
        <v>110</v>
      </c>
      <c r="S115" s="32">
        <v>2901390</v>
      </c>
      <c r="T115" s="30" t="s">
        <v>31</v>
      </c>
      <c r="U115" s="33">
        <v>2.255188</v>
      </c>
      <c r="V115" s="33">
        <v>1.25518798828125</v>
      </c>
      <c r="W115" s="34">
        <v>1.25518798828125E-2</v>
      </c>
      <c r="X115" s="35">
        <v>159877.497546386</v>
      </c>
    </row>
    <row r="116" spans="1:24" x14ac:dyDescent="0.25">
      <c r="A116" s="47" t="s">
        <v>176</v>
      </c>
      <c r="B116" s="30" t="s">
        <v>199</v>
      </c>
      <c r="C116" s="30" t="s">
        <v>241</v>
      </c>
      <c r="D116" s="30" t="s">
        <v>271</v>
      </c>
      <c r="E116" s="30" t="s">
        <v>272</v>
      </c>
      <c r="F116" s="23" t="s">
        <v>24</v>
      </c>
      <c r="G116" s="31" t="s">
        <v>32</v>
      </c>
      <c r="H116" s="31" t="s">
        <v>25</v>
      </c>
      <c r="I116" s="30" t="s">
        <v>343</v>
      </c>
      <c r="J116" s="31" t="s">
        <v>39</v>
      </c>
      <c r="K116" s="31" t="s">
        <v>117</v>
      </c>
      <c r="L116" s="31" t="s">
        <v>27</v>
      </c>
      <c r="M116" s="30" t="s">
        <v>48</v>
      </c>
      <c r="N116" s="2" t="s">
        <v>35</v>
      </c>
      <c r="O116" s="31" t="s">
        <v>105</v>
      </c>
      <c r="P116" s="27" t="s">
        <v>413</v>
      </c>
      <c r="Q116" s="31" t="s">
        <v>30</v>
      </c>
      <c r="R116" s="31" t="s">
        <v>110</v>
      </c>
      <c r="S116" s="32">
        <v>550500</v>
      </c>
      <c r="T116" s="30" t="s">
        <v>31</v>
      </c>
      <c r="U116" s="33">
        <v>0</v>
      </c>
      <c r="V116" s="33">
        <v>-1</v>
      </c>
      <c r="W116" s="34">
        <v>-0.01</v>
      </c>
      <c r="X116" s="35">
        <v>0</v>
      </c>
    </row>
    <row r="117" spans="1:24" x14ac:dyDescent="0.25">
      <c r="A117" s="47" t="s">
        <v>178</v>
      </c>
      <c r="B117" s="30" t="s">
        <v>199</v>
      </c>
      <c r="C117" s="30" t="s">
        <v>203</v>
      </c>
      <c r="D117" s="30" t="s">
        <v>275</v>
      </c>
      <c r="E117" s="30" t="s">
        <v>276</v>
      </c>
      <c r="F117" s="23" t="s">
        <v>24</v>
      </c>
      <c r="G117" s="31" t="s">
        <v>32</v>
      </c>
      <c r="H117" s="31" t="s">
        <v>25</v>
      </c>
      <c r="I117" s="30" t="s">
        <v>345</v>
      </c>
      <c r="J117" s="31" t="s">
        <v>26</v>
      </c>
      <c r="K117" s="31" t="s">
        <v>94</v>
      </c>
      <c r="L117" s="31"/>
      <c r="M117" s="30" t="s">
        <v>71</v>
      </c>
      <c r="N117" s="2" t="s">
        <v>102</v>
      </c>
      <c r="O117" s="31" t="s">
        <v>105</v>
      </c>
      <c r="P117" s="27" t="s">
        <v>415</v>
      </c>
      <c r="Q117" s="31" t="s">
        <v>30</v>
      </c>
      <c r="R117" s="31" t="s">
        <v>110</v>
      </c>
      <c r="S117" s="32">
        <v>463800</v>
      </c>
      <c r="T117" s="30" t="s">
        <v>44</v>
      </c>
      <c r="U117" s="33">
        <v>1.586914E-2</v>
      </c>
      <c r="V117" s="33">
        <v>-0.984130859375</v>
      </c>
      <c r="W117" s="34">
        <v>-9.8413085937500006E-3</v>
      </c>
      <c r="X117" s="35">
        <v>0</v>
      </c>
    </row>
    <row r="118" spans="1:24" x14ac:dyDescent="0.25">
      <c r="A118" s="47" t="s">
        <v>180</v>
      </c>
      <c r="B118" s="30" t="s">
        <v>199</v>
      </c>
      <c r="C118" s="30" t="s">
        <v>203</v>
      </c>
      <c r="D118" s="30" t="s">
        <v>279</v>
      </c>
      <c r="E118" s="30" t="s">
        <v>280</v>
      </c>
      <c r="F118" s="23" t="s">
        <v>24</v>
      </c>
      <c r="G118" s="31" t="s">
        <v>32</v>
      </c>
      <c r="H118" s="31" t="s">
        <v>25</v>
      </c>
      <c r="I118" s="30" t="s">
        <v>347</v>
      </c>
      <c r="J118" s="31" t="s">
        <v>39</v>
      </c>
      <c r="K118" s="31" t="s">
        <v>121</v>
      </c>
      <c r="L118" s="31" t="s">
        <v>27</v>
      </c>
      <c r="M118" s="30" t="s">
        <v>55</v>
      </c>
      <c r="N118" s="2" t="s">
        <v>35</v>
      </c>
      <c r="O118" s="31" t="s">
        <v>105</v>
      </c>
      <c r="P118" s="27" t="s">
        <v>417</v>
      </c>
      <c r="Q118" s="31" t="s">
        <v>43</v>
      </c>
      <c r="R118" s="31" t="s">
        <v>111</v>
      </c>
      <c r="S118" s="32">
        <v>450300</v>
      </c>
      <c r="T118" s="30" t="s">
        <v>44</v>
      </c>
      <c r="U118" s="33">
        <v>0</v>
      </c>
      <c r="V118" s="33">
        <v>-4</v>
      </c>
      <c r="W118" s="34">
        <v>-0.04</v>
      </c>
      <c r="X118" s="35">
        <v>0</v>
      </c>
    </row>
    <row r="119" spans="1:24" x14ac:dyDescent="0.25">
      <c r="A119" s="47" t="s">
        <v>185</v>
      </c>
      <c r="B119" s="30" t="s">
        <v>199</v>
      </c>
      <c r="C119" s="30" t="s">
        <v>203</v>
      </c>
      <c r="D119" s="30" t="s">
        <v>290</v>
      </c>
      <c r="E119" s="30" t="s">
        <v>280</v>
      </c>
      <c r="F119" s="23" t="s">
        <v>24</v>
      </c>
      <c r="G119" s="31" t="s">
        <v>32</v>
      </c>
      <c r="H119" s="31" t="s">
        <v>25</v>
      </c>
      <c r="I119" s="30" t="s">
        <v>351</v>
      </c>
      <c r="J119" s="31" t="s">
        <v>39</v>
      </c>
      <c r="K119" s="31" t="s">
        <v>377</v>
      </c>
      <c r="L119" s="31" t="s">
        <v>27</v>
      </c>
      <c r="M119" s="30" t="s">
        <v>48</v>
      </c>
      <c r="N119" s="2" t="s">
        <v>35</v>
      </c>
      <c r="O119" s="31" t="s">
        <v>107</v>
      </c>
      <c r="P119" s="27" t="s">
        <v>422</v>
      </c>
      <c r="Q119" s="31" t="s">
        <v>43</v>
      </c>
      <c r="R119" s="31" t="s">
        <v>111</v>
      </c>
      <c r="S119" s="32">
        <v>423500</v>
      </c>
      <c r="T119" s="30" t="s">
        <v>44</v>
      </c>
      <c r="U119" s="33">
        <v>0</v>
      </c>
      <c r="V119" s="33">
        <v>-4</v>
      </c>
      <c r="W119" s="34">
        <v>-0.04</v>
      </c>
      <c r="X119" s="35">
        <v>0</v>
      </c>
    </row>
    <row r="120" spans="1:24" x14ac:dyDescent="0.25">
      <c r="A120" s="47" t="s">
        <v>187</v>
      </c>
      <c r="B120" s="30" t="s">
        <v>199</v>
      </c>
      <c r="C120" s="30" t="s">
        <v>203</v>
      </c>
      <c r="D120" s="30" t="s">
        <v>293</v>
      </c>
      <c r="E120" s="30" t="s">
        <v>294</v>
      </c>
      <c r="F120" s="23" t="s">
        <v>24</v>
      </c>
      <c r="G120" s="31" t="s">
        <v>32</v>
      </c>
      <c r="H120" s="31" t="s">
        <v>25</v>
      </c>
      <c r="I120" s="30" t="s">
        <v>353</v>
      </c>
      <c r="J120" s="31" t="s">
        <v>36</v>
      </c>
      <c r="K120" s="31" t="s">
        <v>83</v>
      </c>
      <c r="L120" s="31"/>
      <c r="M120" s="30" t="s">
        <v>66</v>
      </c>
      <c r="N120" s="2" t="s">
        <v>103</v>
      </c>
      <c r="O120" s="31" t="s">
        <v>105</v>
      </c>
      <c r="P120" s="27" t="s">
        <v>424</v>
      </c>
      <c r="Q120" s="31" t="s">
        <v>30</v>
      </c>
      <c r="R120" s="31" t="s">
        <v>110</v>
      </c>
      <c r="S120" s="32">
        <v>374400</v>
      </c>
      <c r="T120" s="30" t="s">
        <v>44</v>
      </c>
      <c r="U120" s="33">
        <v>1.3690796000000001</v>
      </c>
      <c r="V120" s="33">
        <v>0.36907958984375</v>
      </c>
      <c r="W120" s="34">
        <v>3.6907958984374999E-3</v>
      </c>
      <c r="X120" s="35">
        <v>13818.33984375</v>
      </c>
    </row>
    <row r="121" spans="1:24" x14ac:dyDescent="0.25">
      <c r="A121" s="47" t="s">
        <v>190</v>
      </c>
      <c r="B121" s="30" t="s">
        <v>199</v>
      </c>
      <c r="C121" s="30" t="s">
        <v>203</v>
      </c>
      <c r="D121" s="30" t="s">
        <v>299</v>
      </c>
      <c r="E121" s="30" t="s">
        <v>300</v>
      </c>
      <c r="F121" s="23" t="s">
        <v>24</v>
      </c>
      <c r="G121" s="31" t="s">
        <v>32</v>
      </c>
      <c r="H121" s="31" t="s">
        <v>65</v>
      </c>
      <c r="I121" s="30" t="s">
        <v>356</v>
      </c>
      <c r="J121" s="31" t="s">
        <v>39</v>
      </c>
      <c r="K121" s="31" t="s">
        <v>97</v>
      </c>
      <c r="L121" s="31" t="s">
        <v>37</v>
      </c>
      <c r="M121" s="30" t="s">
        <v>382</v>
      </c>
      <c r="N121" s="2" t="s">
        <v>42</v>
      </c>
      <c r="O121" s="31" t="s">
        <v>106</v>
      </c>
      <c r="P121" s="27" t="s">
        <v>427</v>
      </c>
      <c r="Q121" s="31" t="s">
        <v>436</v>
      </c>
      <c r="R121" s="31" t="s">
        <v>437</v>
      </c>
      <c r="S121" s="32">
        <v>345000</v>
      </c>
      <c r="T121" s="30" t="s">
        <v>31</v>
      </c>
      <c r="U121" s="33">
        <v>5.4635619999999996</v>
      </c>
      <c r="V121" s="33">
        <v>2.46356201171875</v>
      </c>
      <c r="W121" s="34">
        <v>2.46356201171875E-2</v>
      </c>
      <c r="X121" s="35">
        <v>91047.866821289004</v>
      </c>
    </row>
    <row r="123" spans="1:24" x14ac:dyDescent="0.25">
      <c r="A123" s="3" t="s">
        <v>59</v>
      </c>
      <c r="B123" s="3" t="s">
        <v>1</v>
      </c>
      <c r="C123" s="3" t="s">
        <v>60</v>
      </c>
      <c r="D123" s="3" t="s">
        <v>61</v>
      </c>
      <c r="E123" s="3" t="s">
        <v>62</v>
      </c>
    </row>
    <row r="124" spans="1:24" x14ac:dyDescent="0.25">
      <c r="A124" s="3">
        <v>540229</v>
      </c>
      <c r="B124" s="1" t="s">
        <v>441</v>
      </c>
      <c r="C124" s="3" t="s">
        <v>145</v>
      </c>
      <c r="D124" s="1" t="s">
        <v>63</v>
      </c>
      <c r="E124" s="3">
        <v>3</v>
      </c>
      <c r="S124" s="36" t="s">
        <v>143</v>
      </c>
    </row>
    <row r="125" spans="1:24" x14ac:dyDescent="0.25">
      <c r="A125" s="47" t="s">
        <v>154</v>
      </c>
      <c r="B125" s="30" t="s">
        <v>223</v>
      </c>
      <c r="C125" s="30" t="s">
        <v>215</v>
      </c>
      <c r="D125" s="30" t="s">
        <v>224</v>
      </c>
      <c r="E125" s="30" t="s">
        <v>225</v>
      </c>
      <c r="F125" s="23" t="s">
        <v>24</v>
      </c>
      <c r="G125" s="31" t="s">
        <v>32</v>
      </c>
      <c r="H125" s="31" t="s">
        <v>25</v>
      </c>
      <c r="I125" s="30" t="s">
        <v>324</v>
      </c>
      <c r="J125" s="31" t="s">
        <v>39</v>
      </c>
      <c r="K125" s="31" t="s">
        <v>368</v>
      </c>
      <c r="L125" s="31"/>
      <c r="M125" s="30" t="s">
        <v>68</v>
      </c>
      <c r="N125" s="2" t="s">
        <v>101</v>
      </c>
      <c r="O125" s="31" t="s">
        <v>105</v>
      </c>
      <c r="P125" s="27" t="s">
        <v>391</v>
      </c>
      <c r="Q125" s="31" t="s">
        <v>30</v>
      </c>
      <c r="R125" s="31" t="s">
        <v>110</v>
      </c>
      <c r="S125" s="32">
        <v>1998440</v>
      </c>
      <c r="T125" s="30" t="s">
        <v>31</v>
      </c>
      <c r="U125" s="33">
        <v>1.6161498999999999</v>
      </c>
      <c r="V125" s="33">
        <v>0.61614990234375</v>
      </c>
      <c r="W125" s="34">
        <v>6.1614990234375002E-3</v>
      </c>
      <c r="X125" s="35">
        <v>61566.9305419921</v>
      </c>
    </row>
    <row r="126" spans="1:24" x14ac:dyDescent="0.25">
      <c r="A126" s="47" t="s">
        <v>163</v>
      </c>
      <c r="B126" s="30" t="s">
        <v>223</v>
      </c>
      <c r="C126" s="30" t="s">
        <v>215</v>
      </c>
      <c r="D126" s="30" t="s">
        <v>244</v>
      </c>
      <c r="E126" s="30" t="s">
        <v>245</v>
      </c>
      <c r="F126" s="23" t="s">
        <v>24</v>
      </c>
      <c r="G126" s="31" t="s">
        <v>32</v>
      </c>
      <c r="H126" s="31" t="s">
        <v>25</v>
      </c>
      <c r="I126" s="30" t="s">
        <v>331</v>
      </c>
      <c r="J126" s="31" t="s">
        <v>36</v>
      </c>
      <c r="K126" s="31" t="s">
        <v>83</v>
      </c>
      <c r="L126" s="31"/>
      <c r="M126" s="30" t="s">
        <v>68</v>
      </c>
      <c r="N126" s="2" t="s">
        <v>101</v>
      </c>
      <c r="O126" s="31" t="s">
        <v>105</v>
      </c>
      <c r="P126" s="27" t="s">
        <v>400</v>
      </c>
      <c r="Q126" s="31" t="s">
        <v>30</v>
      </c>
      <c r="R126" s="31" t="s">
        <v>110</v>
      </c>
      <c r="S126" s="32">
        <v>1175900</v>
      </c>
      <c r="T126" s="30" t="s">
        <v>44</v>
      </c>
      <c r="U126" s="33">
        <v>0</v>
      </c>
      <c r="V126" s="33">
        <v>-1</v>
      </c>
      <c r="W126" s="34">
        <v>-0.01</v>
      </c>
      <c r="X126" s="35">
        <v>0</v>
      </c>
    </row>
    <row r="127" spans="1:24" x14ac:dyDescent="0.25">
      <c r="A127" s="47" t="s">
        <v>171</v>
      </c>
      <c r="B127" s="30" t="s">
        <v>223</v>
      </c>
      <c r="C127" s="30" t="s">
        <v>215</v>
      </c>
      <c r="D127" s="30" t="s">
        <v>260</v>
      </c>
      <c r="E127" s="30" t="s">
        <v>261</v>
      </c>
      <c r="F127" s="23" t="s">
        <v>24</v>
      </c>
      <c r="G127" s="31" t="s">
        <v>32</v>
      </c>
      <c r="H127" s="31" t="s">
        <v>25</v>
      </c>
      <c r="I127" s="30" t="s">
        <v>338</v>
      </c>
      <c r="J127" s="31" t="s">
        <v>26</v>
      </c>
      <c r="K127" s="31" t="s">
        <v>373</v>
      </c>
      <c r="L127" s="31"/>
      <c r="M127" s="30" t="s">
        <v>71</v>
      </c>
      <c r="N127" s="2" t="s">
        <v>102</v>
      </c>
      <c r="O127" s="31" t="s">
        <v>105</v>
      </c>
      <c r="P127" s="27" t="s">
        <v>408</v>
      </c>
      <c r="Q127" s="31" t="s">
        <v>30</v>
      </c>
      <c r="R127" s="31" t="s">
        <v>110</v>
      </c>
      <c r="S127" s="32">
        <v>714580</v>
      </c>
      <c r="T127" s="30" t="s">
        <v>31</v>
      </c>
      <c r="U127" s="33">
        <v>0</v>
      </c>
      <c r="V127" s="33">
        <v>-1</v>
      </c>
      <c r="W127" s="34">
        <v>-0.01</v>
      </c>
      <c r="X127" s="35">
        <v>0</v>
      </c>
    </row>
    <row r="128" spans="1:24" x14ac:dyDescent="0.25">
      <c r="A128" s="47" t="s">
        <v>174</v>
      </c>
      <c r="B128" s="30" t="s">
        <v>223</v>
      </c>
      <c r="C128" s="30" t="s">
        <v>215</v>
      </c>
      <c r="D128" s="30" t="s">
        <v>266</v>
      </c>
      <c r="E128" s="30" t="s">
        <v>267</v>
      </c>
      <c r="F128" s="23" t="s">
        <v>24</v>
      </c>
      <c r="G128" s="31" t="s">
        <v>32</v>
      </c>
      <c r="H128" s="31" t="s">
        <v>25</v>
      </c>
      <c r="I128" s="30" t="s">
        <v>341</v>
      </c>
      <c r="J128" s="31" t="s">
        <v>39</v>
      </c>
      <c r="K128" s="31" t="s">
        <v>374</v>
      </c>
      <c r="L128" s="31" t="s">
        <v>27</v>
      </c>
      <c r="M128" s="30" t="s">
        <v>66</v>
      </c>
      <c r="N128" s="2" t="s">
        <v>103</v>
      </c>
      <c r="O128" s="31" t="s">
        <v>105</v>
      </c>
      <c r="P128" s="27" t="s">
        <v>411</v>
      </c>
      <c r="Q128" s="31" t="s">
        <v>30</v>
      </c>
      <c r="R128" s="31" t="s">
        <v>110</v>
      </c>
      <c r="S128" s="32">
        <v>593450</v>
      </c>
      <c r="T128" s="30" t="s">
        <v>31</v>
      </c>
      <c r="U128" s="33">
        <v>0</v>
      </c>
      <c r="V128" s="33">
        <v>-1</v>
      </c>
      <c r="W128" s="34">
        <v>-0.01</v>
      </c>
      <c r="X128" s="35">
        <v>0</v>
      </c>
    </row>
  </sheetData>
  <conditionalFormatting sqref="A7:A61">
    <cfRule type="duplicateValues" dxfId="18" priority="6"/>
  </conditionalFormatting>
  <conditionalFormatting sqref="A65 A67:A101">
    <cfRule type="duplicateValues" dxfId="17" priority="5"/>
  </conditionalFormatting>
  <conditionalFormatting sqref="A105:A109">
    <cfRule type="duplicateValues" dxfId="16" priority="4"/>
  </conditionalFormatting>
  <conditionalFormatting sqref="A113:A121">
    <cfRule type="duplicateValues" dxfId="15" priority="3"/>
  </conditionalFormatting>
  <conditionalFormatting sqref="A125:A128">
    <cfRule type="duplicateValues" dxfId="14" priority="2"/>
  </conditionalFormatting>
  <conditionalFormatting sqref="A66">
    <cfRule type="duplicateValues" dxfId="13" priority="1"/>
  </conditionalFormatting>
  <hyperlinks>
    <hyperlink ref="J3" r:id="rId1" xr:uid="{3A56FC0D-0B2C-41EC-83F0-12179F88212B}"/>
    <hyperlink ref="M3" r:id="rId2" xr:uid="{9716546A-8042-408C-B131-1CA6DE05A845}"/>
    <hyperlink ref="Q3" r:id="rId3" xr:uid="{D8947A9D-A84F-4028-91CD-E02A82344D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2AD9-5442-4D70-8802-B24BE90AEFF6}">
  <dimension ref="B1:G32"/>
  <sheetViews>
    <sheetView workbookViewId="0">
      <selection activeCell="I2" sqref="I2"/>
    </sheetView>
  </sheetViews>
  <sheetFormatPr defaultRowHeight="15" x14ac:dyDescent="0.25"/>
  <cols>
    <col min="2" max="2" width="16.7109375" style="44" bestFit="1" customWidth="1"/>
    <col min="3" max="3" width="9.140625" style="44"/>
    <col min="4" max="4" width="45.85546875" style="44" bestFit="1" customWidth="1"/>
    <col min="5" max="5" width="9.140625" style="44"/>
    <col min="6" max="6" width="10.140625" style="44" bestFit="1" customWidth="1"/>
    <col min="7" max="7" width="12.5703125" style="44" bestFit="1" customWidth="1"/>
  </cols>
  <sheetData>
    <row r="1" spans="2:7" x14ac:dyDescent="0.25">
      <c r="B1" t="s">
        <v>2283</v>
      </c>
      <c r="G1" s="37" t="s">
        <v>2269</v>
      </c>
    </row>
    <row r="2" spans="2:7" ht="36" x14ac:dyDescent="0.25">
      <c r="B2" s="45" t="s">
        <v>1</v>
      </c>
      <c r="C2" s="45" t="s">
        <v>5</v>
      </c>
      <c r="D2" s="45" t="s">
        <v>144</v>
      </c>
      <c r="E2" s="46" t="s">
        <v>12</v>
      </c>
      <c r="F2" s="38" t="s">
        <v>13</v>
      </c>
      <c r="G2" s="39" t="s">
        <v>18</v>
      </c>
    </row>
    <row r="3" spans="2:7" x14ac:dyDescent="0.25">
      <c r="B3" s="41" t="s">
        <v>440</v>
      </c>
      <c r="C3" s="40" t="str">
        <f>HYPERLINK("https://mapwv.gov/flood/map/?wkid=102100&amp;x=-9106681.385832403&amp;y=4586173.983192135&amp;l=13&amp;v=2","FT")</f>
        <v>FT</v>
      </c>
      <c r="D3" s="41" t="s">
        <v>318</v>
      </c>
      <c r="E3" s="41" t="s">
        <v>379</v>
      </c>
      <c r="F3" s="42" t="s">
        <v>35</v>
      </c>
      <c r="G3" s="43">
        <v>23908100</v>
      </c>
    </row>
    <row r="4" spans="2:7" x14ac:dyDescent="0.25">
      <c r="B4" s="41" t="s">
        <v>440</v>
      </c>
      <c r="C4" s="40" t="str">
        <f>HYPERLINK("https://mapwv.gov/flood/map/?wkid=102100&amp;x=-9109236.70058724&amp;y=4589699.382133497&amp;l=13&amp;v=2","FT")</f>
        <v>FT</v>
      </c>
      <c r="D4" s="41" t="s">
        <v>319</v>
      </c>
      <c r="E4" s="41" t="s">
        <v>68</v>
      </c>
      <c r="F4" s="42" t="s">
        <v>29</v>
      </c>
      <c r="G4" s="43">
        <v>4998290</v>
      </c>
    </row>
    <row r="5" spans="2:7" x14ac:dyDescent="0.25">
      <c r="B5" s="41" t="s">
        <v>438</v>
      </c>
      <c r="C5" s="40" t="str">
        <f>HYPERLINK("https://mapwv.gov/flood/map/?wkid=102100&amp;x=-9110145.89484725&amp;y=4598884.937955119&amp;l=13&amp;v=2","FT")</f>
        <v>FT</v>
      </c>
      <c r="D5" s="41" t="s">
        <v>320</v>
      </c>
      <c r="E5" s="41" t="s">
        <v>28</v>
      </c>
      <c r="F5" s="42" t="s">
        <v>29</v>
      </c>
      <c r="G5" s="43">
        <v>4527900</v>
      </c>
    </row>
    <row r="6" spans="2:7" x14ac:dyDescent="0.25">
      <c r="B6" s="41" t="s">
        <v>438</v>
      </c>
      <c r="C6" s="40" t="str">
        <f>HYPERLINK("https://mapwv.gov/flood/map/?wkid=102100&amp;x=-9091877.422975384&amp;y=4563989.568729703&amp;l=13&amp;v=2","FT")</f>
        <v>FT</v>
      </c>
      <c r="D6" s="41" t="s">
        <v>2278</v>
      </c>
      <c r="E6" s="41" t="s">
        <v>28</v>
      </c>
      <c r="F6" s="42" t="s">
        <v>29</v>
      </c>
      <c r="G6" s="43">
        <v>4300000</v>
      </c>
    </row>
    <row r="7" spans="2:7" x14ac:dyDescent="0.25">
      <c r="B7" s="41" t="s">
        <v>438</v>
      </c>
      <c r="C7" s="40" t="str">
        <f>HYPERLINK("https://mapwv.gov/flood/map/?wkid=102100&amp;x=-9123769.4726894&amp;y=4590643.994969571&amp;l=13&amp;v=2","FT")</f>
        <v>FT</v>
      </c>
      <c r="D7" s="41" t="s">
        <v>320</v>
      </c>
      <c r="E7" s="41" t="s">
        <v>380</v>
      </c>
      <c r="F7" s="42" t="s">
        <v>35</v>
      </c>
      <c r="G7" s="43">
        <v>3618906</v>
      </c>
    </row>
    <row r="8" spans="2:7" x14ac:dyDescent="0.25">
      <c r="B8" s="41" t="s">
        <v>438</v>
      </c>
      <c r="C8" s="40" t="str">
        <f>HYPERLINK("https://mapwv.gov/flood/map/?wkid=102100&amp;x=-9125025.466125056&amp;y=4577680.154962457&amp;l=13&amp;v=2","FT")</f>
        <v>FT</v>
      </c>
      <c r="D8" s="41" t="s">
        <v>321</v>
      </c>
      <c r="E8" s="41" t="s">
        <v>48</v>
      </c>
      <c r="F8" s="42" t="s">
        <v>35</v>
      </c>
      <c r="G8" s="43">
        <v>3323900</v>
      </c>
    </row>
    <row r="9" spans="2:7" x14ac:dyDescent="0.25">
      <c r="B9" s="41" t="s">
        <v>438</v>
      </c>
      <c r="C9" s="40" t="str">
        <f>HYPERLINK("https://mapwv.gov/flood/map/?wkid=102100&amp;x=-9086086.299644895&amp;y=4595629.679448266&amp;l=13&amp;v=2","FT")</f>
        <v>FT</v>
      </c>
      <c r="D9" s="41" t="s">
        <v>322</v>
      </c>
      <c r="E9" s="41" t="s">
        <v>68</v>
      </c>
      <c r="F9" s="42" t="s">
        <v>29</v>
      </c>
      <c r="G9" s="43">
        <v>2928440</v>
      </c>
    </row>
    <row r="10" spans="2:7" x14ac:dyDescent="0.25">
      <c r="B10" s="41" t="s">
        <v>440</v>
      </c>
      <c r="C10" s="40" t="str">
        <f>HYPERLINK("https://mapwv.gov/flood/map/?wkid=102100&amp;x=-9109013.022772165&amp;y=4589668.053235925&amp;l=13&amp;v=2","FT")</f>
        <v>FT</v>
      </c>
      <c r="D10" s="41" t="s">
        <v>319</v>
      </c>
      <c r="E10" s="41" t="s">
        <v>68</v>
      </c>
      <c r="F10" s="42" t="s">
        <v>29</v>
      </c>
      <c r="G10" s="43">
        <v>2901390</v>
      </c>
    </row>
    <row r="11" spans="2:7" x14ac:dyDescent="0.25">
      <c r="B11" s="41" t="s">
        <v>438</v>
      </c>
      <c r="C11" s="40" t="str">
        <f>HYPERLINK("https://mapwv.gov/flood/map/?wkid=102100&amp;x=-9108820.12913775&amp;y=4594075.019965972&amp;l=13&amp;v=2","FT")</f>
        <v>FT</v>
      </c>
      <c r="D11" s="41" t="s">
        <v>323</v>
      </c>
      <c r="E11" s="41" t="s">
        <v>68</v>
      </c>
      <c r="F11" s="42" t="s">
        <v>29</v>
      </c>
      <c r="G11" s="43">
        <v>2688920</v>
      </c>
    </row>
    <row r="12" spans="2:7" x14ac:dyDescent="0.25">
      <c r="B12" s="41" t="s">
        <v>438</v>
      </c>
      <c r="C12" s="40" t="str">
        <f>HYPERLINK("https://mapwv.gov/flood/map/?wkid=102100&amp;x=-9083201&amp;y=4565382&amp;l=12&amp;v=2","FT")</f>
        <v>FT</v>
      </c>
      <c r="D12" s="41" t="s">
        <v>2282</v>
      </c>
      <c r="E12" s="41" t="s">
        <v>28</v>
      </c>
      <c r="F12" s="42" t="s">
        <v>29</v>
      </c>
      <c r="G12" s="43">
        <v>2500000</v>
      </c>
    </row>
    <row r="13" spans="2:7" x14ac:dyDescent="0.25">
      <c r="B13" s="41" t="s">
        <v>441</v>
      </c>
      <c r="C13" s="40" t="str">
        <f>HYPERLINK("https://mapwv.gov/flood/map/?wkid=102100&amp;x=-9076504.090979218&amp;y=4576900.727457747&amp;l=13&amp;v=2","FT")</f>
        <v>FT</v>
      </c>
      <c r="D13" s="41" t="s">
        <v>324</v>
      </c>
      <c r="E13" s="41" t="s">
        <v>68</v>
      </c>
      <c r="F13" s="42" t="s">
        <v>29</v>
      </c>
      <c r="G13" s="43">
        <v>1998440</v>
      </c>
    </row>
    <row r="14" spans="2:7" x14ac:dyDescent="0.25">
      <c r="B14" s="41" t="s">
        <v>438</v>
      </c>
      <c r="C14" s="40" t="str">
        <f>HYPERLINK("https://mapwv.gov/flood/map/?wkid=102100&amp;x=-9096308.304504802&amp;y=4575449.49048036&amp;l=13&amp;v=2","FT")</f>
        <v>FT</v>
      </c>
      <c r="D14" s="41" t="s">
        <v>325</v>
      </c>
      <c r="E14" s="41" t="s">
        <v>68</v>
      </c>
      <c r="F14" s="42" t="s">
        <v>29</v>
      </c>
      <c r="G14" s="43">
        <v>1878640</v>
      </c>
    </row>
    <row r="15" spans="2:7" x14ac:dyDescent="0.25">
      <c r="B15" s="41" t="s">
        <v>438</v>
      </c>
      <c r="C15" s="40" t="str">
        <f>HYPERLINK("https://mapwv.gov/flood/map/?wkid=102100&amp;x=-9106922.43048992&amp;y=4594067.41260284&amp;l=13&amp;v=2","FT")</f>
        <v>FT</v>
      </c>
      <c r="D15" s="41" t="s">
        <v>67</v>
      </c>
      <c r="E15" s="41" t="s">
        <v>68</v>
      </c>
      <c r="F15" s="42" t="s">
        <v>29</v>
      </c>
      <c r="G15" s="43">
        <v>1837250</v>
      </c>
    </row>
    <row r="16" spans="2:7" x14ac:dyDescent="0.25">
      <c r="B16" s="41" t="s">
        <v>438</v>
      </c>
      <c r="C16" s="40" t="str">
        <f>HYPERLINK("https://mapwv.gov/flood/map/?wkid=102100&amp;x=-9092663.046700682&amp;y=4598856.474542013&amp;l=13&amp;v=2","FT")</f>
        <v>FT</v>
      </c>
      <c r="D16" s="41" t="s">
        <v>327</v>
      </c>
      <c r="E16" s="41" t="s">
        <v>66</v>
      </c>
      <c r="F16" s="42" t="s">
        <v>29</v>
      </c>
      <c r="G16" s="43">
        <v>1516743</v>
      </c>
    </row>
    <row r="17" spans="2:7" x14ac:dyDescent="0.25">
      <c r="B17" s="41" t="s">
        <v>438</v>
      </c>
      <c r="C17" s="40" t="str">
        <f>HYPERLINK("https://mapwv.gov/flood/map/?wkid=102100&amp;x=-9111085.243108284&amp;y=4593961.401839376&amp;l=13&amp;v=2","FT")</f>
        <v>FT</v>
      </c>
      <c r="D17" s="41" t="s">
        <v>328</v>
      </c>
      <c r="E17" s="41" t="s">
        <v>28</v>
      </c>
      <c r="F17" s="42" t="s">
        <v>29</v>
      </c>
      <c r="G17" s="43">
        <v>1500000</v>
      </c>
    </row>
    <row r="18" spans="2:7" x14ac:dyDescent="0.25">
      <c r="B18" s="41" t="s">
        <v>438</v>
      </c>
      <c r="C18" s="40" t="str">
        <f>HYPERLINK("https://mapwv.gov/flood/map/?wkid=102100&amp;x=-9085307.839328833&amp;y=4597850.959614401&amp;l=13&amp;v=2","FT")</f>
        <v>FT</v>
      </c>
      <c r="D18" s="41" t="s">
        <v>329</v>
      </c>
      <c r="E18" s="41" t="s">
        <v>68</v>
      </c>
      <c r="F18" s="42" t="s">
        <v>29</v>
      </c>
      <c r="G18" s="43">
        <v>1489060</v>
      </c>
    </row>
    <row r="19" spans="2:7" x14ac:dyDescent="0.25">
      <c r="B19" s="41" t="s">
        <v>438</v>
      </c>
      <c r="C19" s="40" t="str">
        <f>HYPERLINK("https://mapwv.gov/flood/map/?wkid=102100&amp;x=-9086050.98576283&amp;y=4595698.405572098&amp;l=13&amp;v=2","FT")</f>
        <v>FT</v>
      </c>
      <c r="D19" s="41" t="s">
        <v>322</v>
      </c>
      <c r="E19" s="41" t="s">
        <v>68</v>
      </c>
      <c r="F19" s="42" t="s">
        <v>29</v>
      </c>
      <c r="G19" s="43">
        <v>1257370</v>
      </c>
    </row>
    <row r="20" spans="2:7" x14ac:dyDescent="0.25">
      <c r="B20" s="41" t="s">
        <v>438</v>
      </c>
      <c r="C20" s="40" t="str">
        <f>HYPERLINK("https://mapwv.gov/flood/map/?wkid=102100&amp;x=-9108497.752679156&amp;y=4576990.723588105&amp;l=13&amp;v=2","FT")</f>
        <v>FT</v>
      </c>
      <c r="D20" s="41" t="s">
        <v>330</v>
      </c>
      <c r="E20" s="41" t="s">
        <v>68</v>
      </c>
      <c r="F20" s="42" t="s">
        <v>29</v>
      </c>
      <c r="G20" s="43">
        <v>1224740</v>
      </c>
    </row>
    <row r="21" spans="2:7" x14ac:dyDescent="0.25">
      <c r="B21" s="41" t="s">
        <v>441</v>
      </c>
      <c r="C21" s="40" t="str">
        <f>HYPERLINK("https://mapwv.gov/flood/map/?wkid=102100&amp;x=-9076422.921259314&amp;y=4576737.769561267&amp;l=13&amp;v=2","FT")</f>
        <v>FT</v>
      </c>
      <c r="D21" s="41" t="s">
        <v>331</v>
      </c>
      <c r="E21" s="41" t="s">
        <v>68</v>
      </c>
      <c r="F21" s="42" t="s">
        <v>29</v>
      </c>
      <c r="G21" s="43">
        <v>1175900</v>
      </c>
    </row>
    <row r="22" spans="2:7" x14ac:dyDescent="0.25">
      <c r="B22" s="41" t="s">
        <v>439</v>
      </c>
      <c r="C22" s="40" t="str">
        <f>HYPERLINK("https://mapwv.gov/flood/map/?wkid=102100&amp;x=-9109623.120039446&amp;y=4590601.115913088&amp;l=13&amp;v=2","FT")</f>
        <v>FT</v>
      </c>
      <c r="D22" s="41" t="s">
        <v>332</v>
      </c>
      <c r="E22" s="41" t="s">
        <v>55</v>
      </c>
      <c r="F22" s="42" t="s">
        <v>35</v>
      </c>
      <c r="G22" s="43">
        <v>1082200</v>
      </c>
    </row>
    <row r="23" spans="2:7" x14ac:dyDescent="0.25">
      <c r="B23" s="41" t="s">
        <v>438</v>
      </c>
      <c r="C23" s="40" t="str">
        <f>HYPERLINK("https://mapwv.gov/flood/map/?wkid=102100&amp;x=-9088938.673689172&amp;y=4598942.005134583&amp;l=13&amp;v=2","FT")</f>
        <v>FT</v>
      </c>
      <c r="D23" s="41" t="s">
        <v>335</v>
      </c>
      <c r="E23" s="41" t="s">
        <v>52</v>
      </c>
      <c r="F23" s="42" t="s">
        <v>35</v>
      </c>
      <c r="G23" s="43">
        <v>853800</v>
      </c>
    </row>
    <row r="24" spans="2:7" x14ac:dyDescent="0.25">
      <c r="B24" s="41" t="s">
        <v>438</v>
      </c>
      <c r="C24" s="40" t="str">
        <f>HYPERLINK("https://mapwv.gov/flood/map/?wkid=102100&amp;x=-9092755.108142206&amp;y=4598669.763720764&amp;l=13&amp;v=2","FT")</f>
        <v>FT</v>
      </c>
      <c r="D24" s="41" t="s">
        <v>327</v>
      </c>
      <c r="E24" s="41" t="s">
        <v>66</v>
      </c>
      <c r="F24" s="42" t="s">
        <v>29</v>
      </c>
      <c r="G24" s="43">
        <v>762674</v>
      </c>
    </row>
    <row r="25" spans="2:7" x14ac:dyDescent="0.25">
      <c r="B25" s="41" t="s">
        <v>438</v>
      </c>
      <c r="C25" s="40" t="str">
        <f>HYPERLINK("https://mapwv.gov/flood/map/?wkid=102100&amp;x=-9109272.306794284&amp;y=4593530.149864047&amp;l=13&amp;v=2","FT")</f>
        <v>FT</v>
      </c>
      <c r="D25" s="41" t="s">
        <v>336</v>
      </c>
      <c r="E25" s="41" t="s">
        <v>48</v>
      </c>
      <c r="F25" s="42" t="s">
        <v>35</v>
      </c>
      <c r="G25" s="43">
        <v>755000</v>
      </c>
    </row>
    <row r="26" spans="2:7" x14ac:dyDescent="0.25">
      <c r="B26" s="41" t="s">
        <v>438</v>
      </c>
      <c r="C26" s="40" t="str">
        <f>HYPERLINK("https://mapwv.gov/flood/map/?wkid=102100&amp;x=-9080594.179910079&amp;y=4588420.9707450485&amp;l=13&amp;v=2","FT")</f>
        <v>FT</v>
      </c>
      <c r="D26" s="41" t="s">
        <v>337</v>
      </c>
      <c r="E26" s="41" t="s">
        <v>66</v>
      </c>
      <c r="F26" s="42" t="s">
        <v>29</v>
      </c>
      <c r="G26" s="43">
        <v>743118</v>
      </c>
    </row>
    <row r="27" spans="2:7" x14ac:dyDescent="0.25">
      <c r="B27" s="41" t="s">
        <v>441</v>
      </c>
      <c r="C27" s="40" t="str">
        <f>HYPERLINK("https://mapwv.gov/flood/map/?wkid=102100&amp;x=-9075553.93448618&amp;y=4575678.013281906&amp;l=13&amp;v=2","FT")</f>
        <v>FT</v>
      </c>
      <c r="D27" s="41" t="s">
        <v>338</v>
      </c>
      <c r="E27" s="41" t="s">
        <v>71</v>
      </c>
      <c r="F27" s="42" t="s">
        <v>29</v>
      </c>
      <c r="G27" s="43">
        <v>714580</v>
      </c>
    </row>
    <row r="28" spans="2:7" x14ac:dyDescent="0.25">
      <c r="B28" s="41" t="s">
        <v>438</v>
      </c>
      <c r="C28" s="40" t="str">
        <f>HYPERLINK("https://mapwv.gov/flood/map/?wkid=102100&amp;x=-9109881.1517173&amp;y=4593506.971528022&amp;l=13&amp;v=2","FT")</f>
        <v>FT</v>
      </c>
      <c r="D28" s="41" t="s">
        <v>339</v>
      </c>
      <c r="E28" s="41" t="s">
        <v>66</v>
      </c>
      <c r="F28" s="42" t="s">
        <v>29</v>
      </c>
      <c r="G28" s="43">
        <v>666100</v>
      </c>
    </row>
    <row r="29" spans="2:7" x14ac:dyDescent="0.25">
      <c r="B29" s="41" t="s">
        <v>438</v>
      </c>
      <c r="C29" s="40" t="str">
        <f>HYPERLINK("https://mapwv.gov/flood/map/?wkid=102100&amp;x=-9107532.0696775&amp;y=4578670.43156749&amp;l=13&amp;v=2","FT")</f>
        <v>FT</v>
      </c>
      <c r="D29" s="41" t="s">
        <v>340</v>
      </c>
      <c r="E29" s="41" t="s">
        <v>48</v>
      </c>
      <c r="F29" s="42" t="s">
        <v>35</v>
      </c>
      <c r="G29" s="43">
        <v>633900</v>
      </c>
    </row>
    <row r="30" spans="2:7" x14ac:dyDescent="0.25">
      <c r="B30" s="41" t="s">
        <v>441</v>
      </c>
      <c r="C30" s="40" t="str">
        <f>HYPERLINK("https://mapwv.gov/flood/map/?wkid=102100&amp;x=-9075596.63486174&amp;y=4575750.438808526&amp;l=13&amp;v=2","FT")</f>
        <v>FT</v>
      </c>
      <c r="D30" s="41" t="s">
        <v>341</v>
      </c>
      <c r="E30" s="41" t="s">
        <v>66</v>
      </c>
      <c r="F30" s="42" t="s">
        <v>29</v>
      </c>
      <c r="G30" s="43">
        <v>593450</v>
      </c>
    </row>
    <row r="31" spans="2:7" x14ac:dyDescent="0.25">
      <c r="B31" s="41" t="s">
        <v>438</v>
      </c>
      <c r="C31" s="40" t="str">
        <f>HYPERLINK("https://mapwv.gov/flood/map/?wkid=102100&amp;x=-9111212.601845266&amp;y=4574379.12794138&amp;l=13&amp;v=2","FT")</f>
        <v>FT</v>
      </c>
      <c r="D31" s="41" t="s">
        <v>342</v>
      </c>
      <c r="E31" s="41" t="s">
        <v>56</v>
      </c>
      <c r="F31" s="42" t="s">
        <v>35</v>
      </c>
      <c r="G31" s="43">
        <v>574880</v>
      </c>
    </row>
    <row r="32" spans="2:7" x14ac:dyDescent="0.25">
      <c r="B32" s="41" t="s">
        <v>440</v>
      </c>
      <c r="C32" s="40" t="str">
        <f>HYPERLINK("https://mapwv.gov/flood/map/?wkid=102100&amp;x=-9108619.14903289&amp;y=4587423.257610649&amp;l=13&amp;v=2","FT")</f>
        <v>FT</v>
      </c>
      <c r="D32" s="41" t="s">
        <v>343</v>
      </c>
      <c r="E32" s="41" t="s">
        <v>48</v>
      </c>
      <c r="F32" s="42" t="s">
        <v>35</v>
      </c>
      <c r="G32" s="43">
        <v>550500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0D68-6F90-4FF4-8D6C-8064635B863D}">
  <dimension ref="A1:X53"/>
  <sheetViews>
    <sheetView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37" bestFit="1" customWidth="1"/>
    <col min="2" max="2" width="22.85546875" bestFit="1" customWidth="1"/>
    <col min="7" max="7" width="12" customWidth="1"/>
    <col min="8" max="8" width="10.7109375" customWidth="1"/>
    <col min="10" max="10" width="9.140625" style="7"/>
    <col min="13" max="13" width="11.85546875" customWidth="1"/>
    <col min="14" max="14" width="11" customWidth="1"/>
    <col min="15" max="15" width="9.140625" style="7"/>
    <col min="17" max="17" width="11.42578125" customWidth="1"/>
    <col min="19" max="19" width="22.5703125" bestFit="1" customWidth="1"/>
  </cols>
  <sheetData>
    <row r="1" spans="1:24" ht="14.25" customHeight="1" x14ac:dyDescent="0.25">
      <c r="A1" s="4" t="s">
        <v>72</v>
      </c>
      <c r="B1" s="4"/>
      <c r="C1" s="4"/>
      <c r="D1" s="4"/>
      <c r="F1" s="18" t="s">
        <v>73</v>
      </c>
      <c r="G1" s="7"/>
      <c r="H1" s="7"/>
      <c r="K1" s="7"/>
      <c r="L1" s="7"/>
      <c r="N1" s="6" t="s">
        <v>74</v>
      </c>
      <c r="P1" s="7"/>
      <c r="R1" s="7"/>
      <c r="S1" s="8" t="s">
        <v>75</v>
      </c>
      <c r="U1" s="9"/>
      <c r="V1" s="9"/>
      <c r="W1" s="10"/>
      <c r="X1" s="11"/>
    </row>
    <row r="2" spans="1:24" x14ac:dyDescent="0.25">
      <c r="A2" s="12">
        <v>44482</v>
      </c>
      <c r="B2" s="13" t="s">
        <v>76</v>
      </c>
      <c r="F2" s="7"/>
      <c r="G2" s="7"/>
      <c r="H2" s="7"/>
      <c r="K2" s="7"/>
      <c r="L2" s="7"/>
      <c r="N2" s="14" t="s">
        <v>42</v>
      </c>
      <c r="P2" s="7"/>
      <c r="R2" s="7"/>
      <c r="S2" s="8"/>
      <c r="U2" s="9"/>
      <c r="V2" s="9"/>
      <c r="W2" s="10"/>
      <c r="X2" s="11"/>
    </row>
    <row r="3" spans="1:24" x14ac:dyDescent="0.25">
      <c r="A3" t="s">
        <v>78</v>
      </c>
      <c r="B3" s="5"/>
      <c r="F3" s="7"/>
      <c r="G3" s="7"/>
      <c r="H3" s="7"/>
      <c r="J3" s="17" t="s">
        <v>77</v>
      </c>
      <c r="K3" s="7"/>
      <c r="L3" s="7"/>
      <c r="M3" s="15" t="s">
        <v>77</v>
      </c>
      <c r="N3" s="6"/>
      <c r="P3" s="7"/>
      <c r="Q3" s="15" t="s">
        <v>77</v>
      </c>
      <c r="R3" s="16"/>
      <c r="S3" s="8"/>
      <c r="U3" s="9"/>
      <c r="V3" s="9"/>
      <c r="W3" s="10"/>
      <c r="X3" s="11"/>
    </row>
    <row r="4" spans="1:24" x14ac:dyDescent="0.25">
      <c r="F4" s="7"/>
      <c r="G4" s="7"/>
      <c r="H4" s="7"/>
      <c r="K4" s="7"/>
      <c r="L4" s="7"/>
      <c r="N4" s="6"/>
      <c r="P4" s="7"/>
      <c r="R4" s="7"/>
      <c r="S4" s="8"/>
      <c r="U4" s="9"/>
      <c r="V4" s="9"/>
      <c r="W4" s="10"/>
      <c r="X4" s="11"/>
    </row>
    <row r="5" spans="1:24" x14ac:dyDescent="0.25">
      <c r="A5" s="1" t="s">
        <v>442</v>
      </c>
      <c r="F5" s="7"/>
      <c r="G5" s="7"/>
      <c r="H5" s="7"/>
      <c r="K5" s="7"/>
      <c r="L5" s="7"/>
      <c r="P5" s="7"/>
      <c r="R5" s="7"/>
      <c r="S5" s="37" t="s">
        <v>443</v>
      </c>
      <c r="U5" s="7"/>
      <c r="V5" s="7"/>
      <c r="W5" s="10"/>
      <c r="X5" s="11"/>
    </row>
    <row r="6" spans="1:24" ht="45" x14ac:dyDescent="0.25">
      <c r="A6" s="24" t="s">
        <v>0</v>
      </c>
      <c r="B6" s="19" t="s">
        <v>1</v>
      </c>
      <c r="C6" s="19" t="s">
        <v>2</v>
      </c>
      <c r="D6" s="25" t="s">
        <v>3</v>
      </c>
      <c r="E6" s="25" t="s">
        <v>4</v>
      </c>
      <c r="F6" s="19" t="s">
        <v>5</v>
      </c>
      <c r="G6" s="19" t="s">
        <v>6</v>
      </c>
      <c r="H6" s="24" t="s">
        <v>7</v>
      </c>
      <c r="I6" s="19" t="s">
        <v>8</v>
      </c>
      <c r="J6" s="24" t="s">
        <v>9</v>
      </c>
      <c r="K6" s="25" t="s">
        <v>10</v>
      </c>
      <c r="L6" s="19" t="s">
        <v>11</v>
      </c>
      <c r="M6" s="25" t="s">
        <v>12</v>
      </c>
      <c r="N6" s="20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1" t="s">
        <v>18</v>
      </c>
      <c r="T6" s="19" t="s">
        <v>19</v>
      </c>
      <c r="U6" s="28" t="s">
        <v>20</v>
      </c>
      <c r="V6" s="28" t="s">
        <v>21</v>
      </c>
      <c r="W6" s="29" t="s">
        <v>22</v>
      </c>
      <c r="X6" s="22" t="s">
        <v>23</v>
      </c>
    </row>
    <row r="7" spans="1:24" x14ac:dyDescent="0.25">
      <c r="A7" s="30" t="s">
        <v>444</v>
      </c>
      <c r="B7" s="30" t="s">
        <v>491</v>
      </c>
      <c r="C7" s="30" t="s">
        <v>492</v>
      </c>
      <c r="D7" s="30" t="s">
        <v>493</v>
      </c>
      <c r="E7" s="30" t="s">
        <v>494</v>
      </c>
      <c r="F7" s="23" t="str">
        <f>HYPERLINK("https://mapwv.gov/flood/map/?wkid=102100&amp;x=-9027232.579203282&amp;y=4642553.1862626495&amp;l=13&amp;v=2","FT")</f>
        <v>FT</v>
      </c>
      <c r="G7" s="31" t="s">
        <v>32</v>
      </c>
      <c r="H7" s="31" t="s">
        <v>25</v>
      </c>
      <c r="I7" s="30" t="s">
        <v>67</v>
      </c>
      <c r="J7" s="31" t="s">
        <v>26</v>
      </c>
      <c r="K7" s="31" t="s">
        <v>82</v>
      </c>
      <c r="L7" s="31"/>
      <c r="M7" s="30" t="s">
        <v>68</v>
      </c>
      <c r="N7" s="2" t="s">
        <v>101</v>
      </c>
      <c r="O7" s="31" t="s">
        <v>105</v>
      </c>
      <c r="P7" s="31" t="s">
        <v>645</v>
      </c>
      <c r="Q7" s="31" t="s">
        <v>30</v>
      </c>
      <c r="R7" s="31" t="s">
        <v>110</v>
      </c>
      <c r="S7" s="32">
        <v>17558410</v>
      </c>
      <c r="T7" s="50" t="s">
        <v>69</v>
      </c>
      <c r="U7" s="33">
        <v>0.76739500000000005</v>
      </c>
      <c r="V7" s="33">
        <v>-0.23260498046875</v>
      </c>
      <c r="W7" s="34">
        <v>0</v>
      </c>
      <c r="X7" s="35">
        <v>0</v>
      </c>
    </row>
    <row r="8" spans="1:24" x14ac:dyDescent="0.25">
      <c r="A8" s="30" t="s">
        <v>445</v>
      </c>
      <c r="B8" s="30" t="s">
        <v>491</v>
      </c>
      <c r="C8" s="30" t="s">
        <v>492</v>
      </c>
      <c r="D8" s="30" t="s">
        <v>495</v>
      </c>
      <c r="E8" s="30" t="s">
        <v>496</v>
      </c>
      <c r="F8" s="23" t="str">
        <f>HYPERLINK("https://mapwv.gov/flood/map/?wkid=102100&amp;x=-9026151.500970317&amp;y=4644505.130106661&amp;l=13&amp;v=2","FT")</f>
        <v>FT</v>
      </c>
      <c r="G8" s="31" t="s">
        <v>32</v>
      </c>
      <c r="H8" s="31" t="s">
        <v>25</v>
      </c>
      <c r="I8" s="30" t="s">
        <v>601</v>
      </c>
      <c r="J8" s="31" t="s">
        <v>39</v>
      </c>
      <c r="K8" s="31" t="s">
        <v>640</v>
      </c>
      <c r="L8" s="31"/>
      <c r="M8" s="30" t="s">
        <v>71</v>
      </c>
      <c r="N8" s="2" t="s">
        <v>102</v>
      </c>
      <c r="O8" s="31" t="s">
        <v>105</v>
      </c>
      <c r="P8" s="31" t="s">
        <v>646</v>
      </c>
      <c r="Q8" s="31" t="s">
        <v>30</v>
      </c>
      <c r="R8" s="31" t="s">
        <v>110</v>
      </c>
      <c r="S8" s="32">
        <v>1591630</v>
      </c>
      <c r="T8" s="50" t="s">
        <v>31</v>
      </c>
      <c r="U8" s="33">
        <v>0</v>
      </c>
      <c r="V8" s="33">
        <v>-1</v>
      </c>
      <c r="W8" s="34">
        <v>0</v>
      </c>
      <c r="X8" s="35">
        <v>0</v>
      </c>
    </row>
    <row r="9" spans="1:24" x14ac:dyDescent="0.25">
      <c r="A9" s="30" t="s">
        <v>446</v>
      </c>
      <c r="B9" s="30" t="s">
        <v>497</v>
      </c>
      <c r="C9" s="30" t="s">
        <v>498</v>
      </c>
      <c r="D9" s="30" t="s">
        <v>499</v>
      </c>
      <c r="E9" s="30" t="s">
        <v>500</v>
      </c>
      <c r="F9" s="23" t="str">
        <f>HYPERLINK("https://mapwv.gov/flood/map/?wkid=102100&amp;x=-9031456.01007112&amp;y=4657864.381575356&amp;l=13&amp;v=2","FT")</f>
        <v>FT</v>
      </c>
      <c r="G9" s="31" t="s">
        <v>38</v>
      </c>
      <c r="H9" s="31" t="s">
        <v>25</v>
      </c>
      <c r="I9" s="30" t="s">
        <v>602</v>
      </c>
      <c r="J9" s="31" t="s">
        <v>26</v>
      </c>
      <c r="K9" s="31" t="s">
        <v>641</v>
      </c>
      <c r="L9" s="31" t="s">
        <v>47</v>
      </c>
      <c r="M9" s="30" t="s">
        <v>48</v>
      </c>
      <c r="N9" s="2" t="s">
        <v>35</v>
      </c>
      <c r="O9" s="31" t="s">
        <v>105</v>
      </c>
      <c r="P9" s="31" t="s">
        <v>647</v>
      </c>
      <c r="Q9" s="31" t="s">
        <v>30</v>
      </c>
      <c r="R9" s="31" t="s">
        <v>110</v>
      </c>
      <c r="S9" s="32">
        <v>1145854</v>
      </c>
      <c r="T9" s="50" t="s">
        <v>112</v>
      </c>
      <c r="U9" s="33">
        <v>0</v>
      </c>
      <c r="V9" s="33">
        <v>-1</v>
      </c>
      <c r="W9" s="34">
        <v>0</v>
      </c>
      <c r="X9" s="35">
        <v>0</v>
      </c>
    </row>
    <row r="10" spans="1:24" x14ac:dyDescent="0.25">
      <c r="A10" s="30" t="s">
        <v>447</v>
      </c>
      <c r="B10" s="30" t="s">
        <v>491</v>
      </c>
      <c r="C10" s="30" t="s">
        <v>492</v>
      </c>
      <c r="D10" s="30" t="s">
        <v>501</v>
      </c>
      <c r="E10" s="30" t="s">
        <v>502</v>
      </c>
      <c r="F10" s="23" t="str">
        <f>HYPERLINK("https://mapwv.gov/flood/map/?wkid=102100&amp;x=-9026343.225638755&amp;y=4644613.92612182&amp;l=13&amp;v=2","FT")</f>
        <v>FT</v>
      </c>
      <c r="G10" s="31" t="s">
        <v>32</v>
      </c>
      <c r="H10" s="31" t="s">
        <v>25</v>
      </c>
      <c r="I10" s="30" t="s">
        <v>603</v>
      </c>
      <c r="J10" s="31" t="s">
        <v>39</v>
      </c>
      <c r="K10" s="31" t="s">
        <v>376</v>
      </c>
      <c r="L10" s="31" t="s">
        <v>38</v>
      </c>
      <c r="M10" s="30" t="s">
        <v>46</v>
      </c>
      <c r="N10" s="2" t="s">
        <v>35</v>
      </c>
      <c r="O10" s="31" t="s">
        <v>105</v>
      </c>
      <c r="P10" s="31" t="s">
        <v>648</v>
      </c>
      <c r="Q10" s="31" t="s">
        <v>43</v>
      </c>
      <c r="R10" s="31" t="s">
        <v>111</v>
      </c>
      <c r="S10" s="32">
        <v>692200</v>
      </c>
      <c r="T10" s="50" t="s">
        <v>44</v>
      </c>
      <c r="U10" s="33">
        <v>0</v>
      </c>
      <c r="V10" s="33">
        <v>-4</v>
      </c>
      <c r="W10" s="34">
        <v>0</v>
      </c>
      <c r="X10" s="35">
        <v>0</v>
      </c>
    </row>
    <row r="11" spans="1:24" x14ac:dyDescent="0.25">
      <c r="A11" s="30" t="s">
        <v>448</v>
      </c>
      <c r="B11" s="30" t="s">
        <v>497</v>
      </c>
      <c r="C11" s="30" t="s">
        <v>503</v>
      </c>
      <c r="D11" s="30" t="s">
        <v>504</v>
      </c>
      <c r="E11" s="30" t="s">
        <v>505</v>
      </c>
      <c r="F11" s="23" t="str">
        <f>HYPERLINK("https://mapwv.gov/flood/map/?wkid=102100&amp;x=-9021610.285127599&amp;y=4663006.007559218&amp;l=13&amp;v=2","FT")</f>
        <v>FT</v>
      </c>
      <c r="G11" s="31" t="s">
        <v>32</v>
      </c>
      <c r="H11" s="31" t="s">
        <v>25</v>
      </c>
      <c r="I11" s="30" t="s">
        <v>604</v>
      </c>
      <c r="J11" s="31" t="s">
        <v>36</v>
      </c>
      <c r="K11" s="31" t="s">
        <v>83</v>
      </c>
      <c r="L11" s="31"/>
      <c r="M11" s="30" t="s">
        <v>644</v>
      </c>
      <c r="N11" s="2" t="s">
        <v>104</v>
      </c>
      <c r="O11" s="31" t="s">
        <v>105</v>
      </c>
      <c r="P11" s="31" t="s">
        <v>649</v>
      </c>
      <c r="Q11" s="31" t="s">
        <v>30</v>
      </c>
      <c r="R11" s="31" t="s">
        <v>110</v>
      </c>
      <c r="S11" s="32">
        <v>606293</v>
      </c>
      <c r="T11" s="50" t="s">
        <v>112</v>
      </c>
      <c r="U11" s="33">
        <v>2.3432007000000001</v>
      </c>
      <c r="V11" s="33">
        <v>1.34320068359375</v>
      </c>
      <c r="W11" s="34">
        <v>0.10686401367187499</v>
      </c>
      <c r="X11" s="35">
        <v>64790.903441162103</v>
      </c>
    </row>
    <row r="12" spans="1:24" x14ac:dyDescent="0.25">
      <c r="A12" s="30" t="s">
        <v>449</v>
      </c>
      <c r="B12" s="30" t="s">
        <v>497</v>
      </c>
      <c r="C12" s="30" t="s">
        <v>506</v>
      </c>
      <c r="D12" s="30" t="s">
        <v>507</v>
      </c>
      <c r="E12" s="30" t="s">
        <v>508</v>
      </c>
      <c r="F12" s="23" t="str">
        <f>HYPERLINK("https://mapwv.gov/flood/map/?wkid=102100&amp;x=-9029693.330054434&amp;y=4635829.262751259&amp;l=13&amp;v=2","FT")</f>
        <v>FT</v>
      </c>
      <c r="G12" s="31" t="s">
        <v>32</v>
      </c>
      <c r="H12" s="31" t="s">
        <v>25</v>
      </c>
      <c r="I12" s="30" t="s">
        <v>605</v>
      </c>
      <c r="J12" s="31" t="s">
        <v>36</v>
      </c>
      <c r="K12" s="31" t="s">
        <v>83</v>
      </c>
      <c r="L12" s="31"/>
      <c r="M12" s="30" t="s">
        <v>66</v>
      </c>
      <c r="N12" s="2" t="s">
        <v>103</v>
      </c>
      <c r="O12" s="31" t="s">
        <v>105</v>
      </c>
      <c r="P12" s="31" t="s">
        <v>650</v>
      </c>
      <c r="Q12" s="31" t="s">
        <v>30</v>
      </c>
      <c r="R12" s="31" t="s">
        <v>110</v>
      </c>
      <c r="S12" s="32">
        <v>573160</v>
      </c>
      <c r="T12" s="50" t="s">
        <v>31</v>
      </c>
      <c r="U12" s="33">
        <v>0</v>
      </c>
      <c r="V12" s="33">
        <v>-1</v>
      </c>
      <c r="W12" s="34">
        <v>0</v>
      </c>
      <c r="X12" s="35">
        <v>0</v>
      </c>
    </row>
    <row r="13" spans="1:24" x14ac:dyDescent="0.25">
      <c r="A13" s="30" t="s">
        <v>450</v>
      </c>
      <c r="B13" s="30" t="s">
        <v>491</v>
      </c>
      <c r="C13" s="30" t="s">
        <v>492</v>
      </c>
      <c r="D13" s="30" t="s">
        <v>509</v>
      </c>
      <c r="E13" s="30" t="s">
        <v>510</v>
      </c>
      <c r="F13" s="23" t="str">
        <f>HYPERLINK("https://mapwv.gov/flood/map/?wkid=102100&amp;x=-9027656.918860791&amp;y=4642572.273340008&amp;l=13&amp;v=2","FT")</f>
        <v>FT</v>
      </c>
      <c r="G13" s="31" t="s">
        <v>32</v>
      </c>
      <c r="H13" s="31" t="s">
        <v>25</v>
      </c>
      <c r="I13" s="30" t="s">
        <v>67</v>
      </c>
      <c r="J13" s="31" t="s">
        <v>39</v>
      </c>
      <c r="K13" s="31" t="s">
        <v>126</v>
      </c>
      <c r="L13" s="31"/>
      <c r="M13" s="30" t="s">
        <v>68</v>
      </c>
      <c r="N13" s="2" t="s">
        <v>101</v>
      </c>
      <c r="O13" s="31" t="s">
        <v>105</v>
      </c>
      <c r="P13" s="31" t="s">
        <v>651</v>
      </c>
      <c r="Q13" s="31" t="s">
        <v>30</v>
      </c>
      <c r="R13" s="31" t="s">
        <v>110</v>
      </c>
      <c r="S13" s="32">
        <v>438200</v>
      </c>
      <c r="T13" s="50" t="s">
        <v>44</v>
      </c>
      <c r="U13" s="33">
        <v>0</v>
      </c>
      <c r="V13" s="33">
        <v>-1</v>
      </c>
      <c r="W13" s="34">
        <v>0</v>
      </c>
      <c r="X13" s="35">
        <v>0</v>
      </c>
    </row>
    <row r="14" spans="1:24" x14ac:dyDescent="0.25">
      <c r="A14" s="30" t="s">
        <v>451</v>
      </c>
      <c r="B14" s="30" t="s">
        <v>491</v>
      </c>
      <c r="C14" s="30" t="s">
        <v>492</v>
      </c>
      <c r="D14" s="30" t="s">
        <v>511</v>
      </c>
      <c r="E14" s="30" t="s">
        <v>512</v>
      </c>
      <c r="F14" s="23" t="str">
        <f>HYPERLINK("https://mapwv.gov/flood/map/?wkid=102100&amp;x=-9026242.872342318&amp;y=4644563.743216489&amp;l=13&amp;v=2","FT")</f>
        <v>FT</v>
      </c>
      <c r="G14" s="31" t="s">
        <v>32</v>
      </c>
      <c r="H14" s="31" t="s">
        <v>25</v>
      </c>
      <c r="I14" s="30" t="s">
        <v>606</v>
      </c>
      <c r="J14" s="31" t="s">
        <v>26</v>
      </c>
      <c r="K14" s="31" t="s">
        <v>373</v>
      </c>
      <c r="L14" s="31" t="s">
        <v>45</v>
      </c>
      <c r="M14" s="30" t="s">
        <v>48</v>
      </c>
      <c r="N14" s="2" t="s">
        <v>35</v>
      </c>
      <c r="O14" s="31" t="s">
        <v>105</v>
      </c>
      <c r="P14" s="31" t="s">
        <v>652</v>
      </c>
      <c r="Q14" s="31" t="s">
        <v>30</v>
      </c>
      <c r="R14" s="31" t="s">
        <v>110</v>
      </c>
      <c r="S14" s="32">
        <v>371900</v>
      </c>
      <c r="T14" s="50" t="s">
        <v>44</v>
      </c>
      <c r="U14" s="33">
        <v>0</v>
      </c>
      <c r="V14" s="33">
        <v>-1</v>
      </c>
      <c r="W14" s="34">
        <v>0</v>
      </c>
      <c r="X14" s="35">
        <v>0</v>
      </c>
    </row>
    <row r="15" spans="1:24" x14ac:dyDescent="0.25">
      <c r="A15" s="30" t="s">
        <v>452</v>
      </c>
      <c r="B15" s="30" t="s">
        <v>497</v>
      </c>
      <c r="C15" s="30" t="s">
        <v>513</v>
      </c>
      <c r="D15" s="30" t="s">
        <v>514</v>
      </c>
      <c r="E15" s="30" t="s">
        <v>515</v>
      </c>
      <c r="F15" s="23" t="str">
        <f>HYPERLINK("https://mapwv.gov/flood/map/?wkid=102100&amp;x=-9038548.703597136&amp;y=4620516.429042234&amp;l=13&amp;v=2","FT")</f>
        <v>FT</v>
      </c>
      <c r="G15" s="31" t="s">
        <v>38</v>
      </c>
      <c r="H15" s="31" t="s">
        <v>25</v>
      </c>
      <c r="I15" s="30" t="s">
        <v>607</v>
      </c>
      <c r="J15" s="31" t="s">
        <v>36</v>
      </c>
      <c r="K15" s="31" t="s">
        <v>83</v>
      </c>
      <c r="L15" s="31"/>
      <c r="M15" s="30" t="s">
        <v>66</v>
      </c>
      <c r="N15" s="2" t="s">
        <v>103</v>
      </c>
      <c r="O15" s="31" t="s">
        <v>105</v>
      </c>
      <c r="P15" s="31" t="s">
        <v>653</v>
      </c>
      <c r="Q15" s="31" t="s">
        <v>30</v>
      </c>
      <c r="R15" s="31" t="s">
        <v>110</v>
      </c>
      <c r="S15" s="32">
        <v>337770</v>
      </c>
      <c r="T15" s="50" t="s">
        <v>31</v>
      </c>
      <c r="U15" s="33">
        <v>0</v>
      </c>
      <c r="V15" s="33">
        <v>-1</v>
      </c>
      <c r="W15" s="34">
        <v>0</v>
      </c>
      <c r="X15" s="35">
        <v>0</v>
      </c>
    </row>
    <row r="16" spans="1:24" x14ac:dyDescent="0.25">
      <c r="A16" s="30" t="s">
        <v>453</v>
      </c>
      <c r="B16" s="30" t="s">
        <v>497</v>
      </c>
      <c r="C16" s="30" t="s">
        <v>503</v>
      </c>
      <c r="D16" s="30" t="s">
        <v>516</v>
      </c>
      <c r="E16" s="30" t="s">
        <v>517</v>
      </c>
      <c r="F16" s="23" t="str">
        <f>HYPERLINK("https://mapwv.gov/flood/map/?wkid=102100&amp;x=-9021135.271502042&amp;y=4662445.022074409&amp;l=13&amp;v=2","FT")</f>
        <v>FT</v>
      </c>
      <c r="G16" s="31" t="s">
        <v>32</v>
      </c>
      <c r="H16" s="31" t="s">
        <v>25</v>
      </c>
      <c r="I16" s="30" t="s">
        <v>608</v>
      </c>
      <c r="J16" s="31" t="s">
        <v>26</v>
      </c>
      <c r="K16" s="31" t="s">
        <v>89</v>
      </c>
      <c r="L16" s="31"/>
      <c r="M16" s="30" t="s">
        <v>71</v>
      </c>
      <c r="N16" s="2" t="s">
        <v>102</v>
      </c>
      <c r="O16" s="31" t="s">
        <v>105</v>
      </c>
      <c r="P16" s="31" t="s">
        <v>654</v>
      </c>
      <c r="Q16" s="31" t="s">
        <v>30</v>
      </c>
      <c r="R16" s="31" t="s">
        <v>110</v>
      </c>
      <c r="S16" s="32">
        <v>264800</v>
      </c>
      <c r="T16" s="50" t="s">
        <v>44</v>
      </c>
      <c r="U16" s="33">
        <v>2.5084840000000002</v>
      </c>
      <c r="V16" s="33">
        <v>1.50848388671875</v>
      </c>
      <c r="W16" s="34">
        <v>8.5254516601562497E-2</v>
      </c>
      <c r="X16" s="35">
        <v>22575.395996093699</v>
      </c>
    </row>
    <row r="17" spans="1:24" x14ac:dyDescent="0.25">
      <c r="A17" s="30" t="s">
        <v>454</v>
      </c>
      <c r="B17" s="30" t="s">
        <v>491</v>
      </c>
      <c r="C17" s="30" t="s">
        <v>492</v>
      </c>
      <c r="D17" s="30" t="s">
        <v>518</v>
      </c>
      <c r="E17" s="30" t="s">
        <v>519</v>
      </c>
      <c r="F17" s="23" t="str">
        <f>HYPERLINK("https://mapwv.gov/flood/map/?wkid=102100&amp;x=-9026526.917158775&amp;y=4644687.323738496&amp;l=13&amp;v=2","FT")</f>
        <v>FT</v>
      </c>
      <c r="G17" s="31" t="s">
        <v>32</v>
      </c>
      <c r="H17" s="31" t="s">
        <v>25</v>
      </c>
      <c r="I17" s="30" t="s">
        <v>609</v>
      </c>
      <c r="J17" s="31" t="s">
        <v>39</v>
      </c>
      <c r="K17" s="31" t="s">
        <v>88</v>
      </c>
      <c r="L17" s="31" t="s">
        <v>37</v>
      </c>
      <c r="M17" s="30" t="s">
        <v>48</v>
      </c>
      <c r="N17" s="2" t="s">
        <v>35</v>
      </c>
      <c r="O17" s="31" t="s">
        <v>105</v>
      </c>
      <c r="P17" s="31" t="s">
        <v>655</v>
      </c>
      <c r="Q17" s="31" t="s">
        <v>30</v>
      </c>
      <c r="R17" s="31" t="s">
        <v>110</v>
      </c>
      <c r="S17" s="32">
        <v>212200</v>
      </c>
      <c r="T17" s="50" t="s">
        <v>31</v>
      </c>
      <c r="U17" s="33">
        <v>0</v>
      </c>
      <c r="V17" s="33">
        <v>-1</v>
      </c>
      <c r="W17" s="34">
        <v>0</v>
      </c>
      <c r="X17" s="35">
        <v>0</v>
      </c>
    </row>
    <row r="18" spans="1:24" x14ac:dyDescent="0.25">
      <c r="A18" s="30" t="s">
        <v>455</v>
      </c>
      <c r="B18" s="30" t="s">
        <v>497</v>
      </c>
      <c r="C18" s="30" t="s">
        <v>520</v>
      </c>
      <c r="D18" s="30" t="s">
        <v>521</v>
      </c>
      <c r="E18" s="30" t="s">
        <v>522</v>
      </c>
      <c r="F18" s="23" t="str">
        <f>HYPERLINK("https://mapwv.gov/flood/map/?wkid=102100&amp;x=-9038447.593216846&amp;y=4626775.354601407&amp;l=13&amp;v=2","FT")</f>
        <v>FT</v>
      </c>
      <c r="G18" s="31" t="s">
        <v>38</v>
      </c>
      <c r="H18" s="31" t="s">
        <v>25</v>
      </c>
      <c r="I18" s="30" t="s">
        <v>610</v>
      </c>
      <c r="J18" s="31" t="s">
        <v>36</v>
      </c>
      <c r="K18" s="31" t="s">
        <v>83</v>
      </c>
      <c r="L18" s="31"/>
      <c r="M18" s="30" t="s">
        <v>66</v>
      </c>
      <c r="N18" s="2" t="s">
        <v>103</v>
      </c>
      <c r="O18" s="31" t="s">
        <v>105</v>
      </c>
      <c r="P18" s="31" t="s">
        <v>656</v>
      </c>
      <c r="Q18" s="31" t="s">
        <v>30</v>
      </c>
      <c r="R18" s="31" t="s">
        <v>110</v>
      </c>
      <c r="S18" s="32">
        <v>201000</v>
      </c>
      <c r="T18" s="50" t="s">
        <v>31</v>
      </c>
      <c r="U18" s="33">
        <v>0</v>
      </c>
      <c r="V18" s="33">
        <v>-1</v>
      </c>
      <c r="W18" s="34">
        <v>0</v>
      </c>
      <c r="X18" s="35">
        <v>0</v>
      </c>
    </row>
    <row r="19" spans="1:24" x14ac:dyDescent="0.25">
      <c r="A19" s="30" t="s">
        <v>456</v>
      </c>
      <c r="B19" s="30" t="s">
        <v>497</v>
      </c>
      <c r="C19" s="30" t="s">
        <v>523</v>
      </c>
      <c r="D19" s="30" t="s">
        <v>524</v>
      </c>
      <c r="E19" s="30" t="s">
        <v>525</v>
      </c>
      <c r="F19" s="23" t="str">
        <f>HYPERLINK("https://mapwv.gov/flood/map/?wkid=102100&amp;x=-9034982.064070193&amp;y=4631649.746555345&amp;l=13&amp;v=2","FT")</f>
        <v>FT</v>
      </c>
      <c r="G19" s="31" t="s">
        <v>38</v>
      </c>
      <c r="H19" s="31" t="s">
        <v>25</v>
      </c>
      <c r="I19" s="30" t="s">
        <v>611</v>
      </c>
      <c r="J19" s="31" t="s">
        <v>36</v>
      </c>
      <c r="K19" s="31" t="s">
        <v>83</v>
      </c>
      <c r="L19" s="31"/>
      <c r="M19" s="30" t="s">
        <v>66</v>
      </c>
      <c r="N19" s="2" t="s">
        <v>103</v>
      </c>
      <c r="O19" s="31" t="s">
        <v>105</v>
      </c>
      <c r="P19" s="31" t="s">
        <v>657</v>
      </c>
      <c r="Q19" s="31" t="s">
        <v>30</v>
      </c>
      <c r="R19" s="31" t="s">
        <v>110</v>
      </c>
      <c r="S19" s="32">
        <v>194150</v>
      </c>
      <c r="T19" s="50" t="s">
        <v>31</v>
      </c>
      <c r="U19" s="33">
        <v>0</v>
      </c>
      <c r="V19" s="33">
        <v>-1</v>
      </c>
      <c r="W19" s="34">
        <v>0</v>
      </c>
      <c r="X19" s="35">
        <v>0</v>
      </c>
    </row>
    <row r="20" spans="1:24" x14ac:dyDescent="0.25">
      <c r="A20" s="30" t="s">
        <v>457</v>
      </c>
      <c r="B20" s="30" t="s">
        <v>497</v>
      </c>
      <c r="C20" s="30" t="s">
        <v>492</v>
      </c>
      <c r="D20" s="30" t="s">
        <v>526</v>
      </c>
      <c r="E20" s="30" t="s">
        <v>527</v>
      </c>
      <c r="F20" s="23" t="str">
        <f>HYPERLINK("https://mapwv.gov/flood/map/?wkid=102100&amp;x=-9039483.491766557&amp;y=4646076.866236003&amp;l=13&amp;v=2","FT")</f>
        <v>FT</v>
      </c>
      <c r="G20" s="31" t="s">
        <v>32</v>
      </c>
      <c r="H20" s="31" t="s">
        <v>25</v>
      </c>
      <c r="I20" s="30" t="s">
        <v>612</v>
      </c>
      <c r="J20" s="31" t="s">
        <v>26</v>
      </c>
      <c r="K20" s="31" t="s">
        <v>369</v>
      </c>
      <c r="L20" s="31" t="s">
        <v>27</v>
      </c>
      <c r="M20" s="30" t="s">
        <v>41</v>
      </c>
      <c r="N20" s="2" t="s">
        <v>42</v>
      </c>
      <c r="O20" s="31" t="s">
        <v>105</v>
      </c>
      <c r="P20" s="31" t="s">
        <v>658</v>
      </c>
      <c r="Q20" s="31" t="s">
        <v>43</v>
      </c>
      <c r="R20" s="31" t="s">
        <v>111</v>
      </c>
      <c r="S20" s="32">
        <v>189500</v>
      </c>
      <c r="T20" s="50" t="s">
        <v>44</v>
      </c>
      <c r="U20" s="33">
        <v>6.7330933000000002</v>
      </c>
      <c r="V20" s="33">
        <v>2.73309326171875</v>
      </c>
      <c r="W20" s="34">
        <v>0.44131652832031198</v>
      </c>
      <c r="X20" s="35">
        <v>83629.482116699204</v>
      </c>
    </row>
    <row r="21" spans="1:24" x14ac:dyDescent="0.25">
      <c r="A21" s="30" t="s">
        <v>458</v>
      </c>
      <c r="B21" s="30" t="s">
        <v>491</v>
      </c>
      <c r="C21" s="30" t="s">
        <v>492</v>
      </c>
      <c r="D21" s="30" t="s">
        <v>528</v>
      </c>
      <c r="E21" s="30" t="s">
        <v>529</v>
      </c>
      <c r="F21" s="23" t="str">
        <f>HYPERLINK("https://mapwv.gov/flood/map/?wkid=102100&amp;x=-9026443.604093395&amp;y=4644655.879149199&amp;l=13&amp;v=2","FT")</f>
        <v>FT</v>
      </c>
      <c r="G21" s="31" t="s">
        <v>32</v>
      </c>
      <c r="H21" s="31" t="s">
        <v>25</v>
      </c>
      <c r="I21" s="30" t="s">
        <v>609</v>
      </c>
      <c r="J21" s="31" t="s">
        <v>39</v>
      </c>
      <c r="K21" s="31" t="s">
        <v>86</v>
      </c>
      <c r="L21" s="31" t="s">
        <v>27</v>
      </c>
      <c r="M21" s="30" t="s">
        <v>34</v>
      </c>
      <c r="N21" s="2" t="s">
        <v>104</v>
      </c>
      <c r="O21" s="31" t="s">
        <v>105</v>
      </c>
      <c r="P21" s="31" t="s">
        <v>659</v>
      </c>
      <c r="Q21" s="31" t="s">
        <v>30</v>
      </c>
      <c r="R21" s="31" t="s">
        <v>110</v>
      </c>
      <c r="S21" s="32">
        <v>183500</v>
      </c>
      <c r="T21" s="50" t="s">
        <v>44</v>
      </c>
      <c r="U21" s="33">
        <v>0</v>
      </c>
      <c r="V21" s="33">
        <v>-1</v>
      </c>
      <c r="W21" s="34">
        <v>0</v>
      </c>
      <c r="X21" s="35">
        <v>0</v>
      </c>
    </row>
    <row r="22" spans="1:24" x14ac:dyDescent="0.25">
      <c r="A22" s="30" t="s">
        <v>459</v>
      </c>
      <c r="B22" s="30" t="s">
        <v>497</v>
      </c>
      <c r="C22" s="30" t="s">
        <v>530</v>
      </c>
      <c r="D22" s="30" t="s">
        <v>531</v>
      </c>
      <c r="E22" s="30" t="s">
        <v>532</v>
      </c>
      <c r="F22" s="23" t="str">
        <f>HYPERLINK("https://mapwv.gov/flood/map/?wkid=102100&amp;x=-9034571.637567917&amp;y=4651260.039069893&amp;l=13&amp;v=2","FT")</f>
        <v>FT</v>
      </c>
      <c r="G22" s="31" t="s">
        <v>32</v>
      </c>
      <c r="H22" s="31" t="s">
        <v>25</v>
      </c>
      <c r="I22" s="30" t="s">
        <v>613</v>
      </c>
      <c r="J22" s="31" t="s">
        <v>26</v>
      </c>
      <c r="K22" s="31" t="s">
        <v>80</v>
      </c>
      <c r="L22" s="31" t="s">
        <v>38</v>
      </c>
      <c r="M22" s="30" t="s">
        <v>41</v>
      </c>
      <c r="N22" s="2" t="s">
        <v>42</v>
      </c>
      <c r="O22" s="31" t="s">
        <v>105</v>
      </c>
      <c r="P22" s="31" t="s">
        <v>660</v>
      </c>
      <c r="Q22" s="31" t="s">
        <v>436</v>
      </c>
      <c r="R22" s="31" t="s">
        <v>111</v>
      </c>
      <c r="S22" s="32">
        <v>177900</v>
      </c>
      <c r="T22" s="50" t="s">
        <v>44</v>
      </c>
      <c r="U22" s="33">
        <v>0</v>
      </c>
      <c r="V22" s="33">
        <v>-4</v>
      </c>
      <c r="W22" s="34">
        <v>0</v>
      </c>
      <c r="X22" s="35">
        <v>0</v>
      </c>
    </row>
    <row r="23" spans="1:24" x14ac:dyDescent="0.25">
      <c r="A23" s="30" t="s">
        <v>460</v>
      </c>
      <c r="B23" s="30" t="s">
        <v>491</v>
      </c>
      <c r="C23" s="30" t="s">
        <v>492</v>
      </c>
      <c r="D23" s="30" t="s">
        <v>533</v>
      </c>
      <c r="E23" s="30" t="s">
        <v>534</v>
      </c>
      <c r="F23" s="23" t="str">
        <f>HYPERLINK("https://mapwv.gov/flood/map/?wkid=102100&amp;x=-9025520.11540889&amp;y=4644545.634912933&amp;l=13&amp;v=2","FT")</f>
        <v>FT</v>
      </c>
      <c r="G23" s="31" t="s">
        <v>32</v>
      </c>
      <c r="H23" s="31" t="s">
        <v>25</v>
      </c>
      <c r="I23" s="30" t="s">
        <v>614</v>
      </c>
      <c r="J23" s="31" t="s">
        <v>26</v>
      </c>
      <c r="K23" s="31" t="s">
        <v>373</v>
      </c>
      <c r="L23" s="31" t="s">
        <v>57</v>
      </c>
      <c r="M23" s="30" t="s">
        <v>48</v>
      </c>
      <c r="N23" s="2" t="s">
        <v>35</v>
      </c>
      <c r="O23" s="31" t="s">
        <v>105</v>
      </c>
      <c r="P23" s="31" t="s">
        <v>661</v>
      </c>
      <c r="Q23" s="31" t="s">
        <v>30</v>
      </c>
      <c r="R23" s="31" t="s">
        <v>110</v>
      </c>
      <c r="S23" s="32">
        <v>175100</v>
      </c>
      <c r="T23" s="50" t="s">
        <v>44</v>
      </c>
      <c r="U23" s="33">
        <v>5.1500244000000004</v>
      </c>
      <c r="V23" s="33">
        <v>4.1500244140625</v>
      </c>
      <c r="W23" s="34">
        <v>0.18300048828125001</v>
      </c>
      <c r="X23" s="35">
        <v>32043.385498046799</v>
      </c>
    </row>
    <row r="24" spans="1:24" x14ac:dyDescent="0.25">
      <c r="A24" s="30" t="s">
        <v>461</v>
      </c>
      <c r="B24" s="30" t="s">
        <v>497</v>
      </c>
      <c r="C24" s="30" t="s">
        <v>492</v>
      </c>
      <c r="D24" s="30" t="s">
        <v>535</v>
      </c>
      <c r="E24" s="30" t="s">
        <v>536</v>
      </c>
      <c r="F24" s="23" t="str">
        <f>HYPERLINK("https://mapwv.gov/flood/map/?wkid=102100&amp;x=-9020210.12616088&amp;y=4654949.4046625&amp;l=13&amp;v=2","FT")</f>
        <v>FT</v>
      </c>
      <c r="G24" s="31" t="s">
        <v>32</v>
      </c>
      <c r="H24" s="31" t="s">
        <v>25</v>
      </c>
      <c r="I24" s="30" t="s">
        <v>604</v>
      </c>
      <c r="J24" s="31" t="s">
        <v>39</v>
      </c>
      <c r="K24" s="31" t="s">
        <v>128</v>
      </c>
      <c r="L24" s="31"/>
      <c r="M24" s="30" t="s">
        <v>28</v>
      </c>
      <c r="N24" s="2" t="s">
        <v>102</v>
      </c>
      <c r="O24" s="31" t="s">
        <v>105</v>
      </c>
      <c r="P24" s="31" t="s">
        <v>662</v>
      </c>
      <c r="Q24" s="31" t="s">
        <v>30</v>
      </c>
      <c r="R24" s="31" t="s">
        <v>110</v>
      </c>
      <c r="S24" s="32">
        <v>174740</v>
      </c>
      <c r="T24" s="50" t="s">
        <v>31</v>
      </c>
      <c r="U24" s="33">
        <v>0</v>
      </c>
      <c r="V24" s="33">
        <v>-1</v>
      </c>
      <c r="W24" s="34">
        <v>0</v>
      </c>
      <c r="X24" s="35">
        <v>0</v>
      </c>
    </row>
    <row r="25" spans="1:24" x14ac:dyDescent="0.25">
      <c r="A25" s="30" t="s">
        <v>462</v>
      </c>
      <c r="B25" s="30" t="s">
        <v>491</v>
      </c>
      <c r="C25" s="30" t="s">
        <v>492</v>
      </c>
      <c r="D25" s="30" t="s">
        <v>537</v>
      </c>
      <c r="E25" s="30" t="s">
        <v>538</v>
      </c>
      <c r="F25" s="23" t="str">
        <f>HYPERLINK("https://mapwv.gov/flood/map/?wkid=102100&amp;x=-9026302.439958438&amp;y=4644599.418138006&amp;l=13&amp;v=2","FT")</f>
        <v>FT</v>
      </c>
      <c r="G25" s="31" t="s">
        <v>32</v>
      </c>
      <c r="H25" s="31" t="s">
        <v>25</v>
      </c>
      <c r="I25" s="30" t="s">
        <v>615</v>
      </c>
      <c r="J25" s="31" t="s">
        <v>39</v>
      </c>
      <c r="K25" s="31" t="s">
        <v>120</v>
      </c>
      <c r="L25" s="31" t="s">
        <v>27</v>
      </c>
      <c r="M25" s="30" t="s">
        <v>48</v>
      </c>
      <c r="N25" s="2" t="s">
        <v>35</v>
      </c>
      <c r="O25" s="31" t="s">
        <v>106</v>
      </c>
      <c r="P25" s="31" t="s">
        <v>663</v>
      </c>
      <c r="Q25" s="31" t="s">
        <v>43</v>
      </c>
      <c r="R25" s="31" t="s">
        <v>111</v>
      </c>
      <c r="S25" s="32">
        <v>166200</v>
      </c>
      <c r="T25" s="50" t="s">
        <v>44</v>
      </c>
      <c r="U25" s="33">
        <v>0</v>
      </c>
      <c r="V25" s="33">
        <v>-4</v>
      </c>
      <c r="W25" s="34">
        <v>0</v>
      </c>
      <c r="X25" s="35">
        <v>0</v>
      </c>
    </row>
    <row r="26" spans="1:24" x14ac:dyDescent="0.25">
      <c r="A26" s="30" t="s">
        <v>463</v>
      </c>
      <c r="B26" s="30" t="s">
        <v>497</v>
      </c>
      <c r="C26" s="30" t="s">
        <v>539</v>
      </c>
      <c r="D26" s="30" t="s">
        <v>540</v>
      </c>
      <c r="E26" s="30" t="s">
        <v>541</v>
      </c>
      <c r="F26" s="23" t="str">
        <f>HYPERLINK("https://mapwv.gov/flood/map/?wkid=102100&amp;x=-9001230.093758658&amp;y=4645437.599343996&amp;l=13&amp;v=2","FT")</f>
        <v>FT</v>
      </c>
      <c r="G26" s="31" t="s">
        <v>38</v>
      </c>
      <c r="H26" s="31" t="s">
        <v>25</v>
      </c>
      <c r="I26" s="30" t="s">
        <v>616</v>
      </c>
      <c r="J26" s="31" t="s">
        <v>36</v>
      </c>
      <c r="K26" s="31" t="s">
        <v>83</v>
      </c>
      <c r="L26" s="31"/>
      <c r="M26" s="30" t="s">
        <v>66</v>
      </c>
      <c r="N26" s="2" t="s">
        <v>103</v>
      </c>
      <c r="O26" s="31" t="s">
        <v>105</v>
      </c>
      <c r="P26" s="31" t="s">
        <v>664</v>
      </c>
      <c r="Q26" s="31" t="s">
        <v>30</v>
      </c>
      <c r="R26" s="31" t="s">
        <v>110</v>
      </c>
      <c r="S26" s="32">
        <v>161708</v>
      </c>
      <c r="T26" s="50" t="s">
        <v>112</v>
      </c>
      <c r="U26" s="33">
        <v>0</v>
      </c>
      <c r="V26" s="33">
        <v>-1</v>
      </c>
      <c r="W26" s="34">
        <v>0</v>
      </c>
      <c r="X26" s="35">
        <v>0</v>
      </c>
    </row>
    <row r="27" spans="1:24" x14ac:dyDescent="0.25">
      <c r="A27" s="30" t="s">
        <v>464</v>
      </c>
      <c r="B27" s="30" t="s">
        <v>497</v>
      </c>
      <c r="C27" s="30" t="s">
        <v>492</v>
      </c>
      <c r="D27" s="30" t="s">
        <v>542</v>
      </c>
      <c r="E27" s="30" t="s">
        <v>543</v>
      </c>
      <c r="F27" s="23" t="str">
        <f>HYPERLINK("https://mapwv.gov/flood/map/?wkid=102100&amp;x=-9033496.836529726&amp;y=4643473.965688272&amp;l=13&amp;v=2","FT")</f>
        <v>FT</v>
      </c>
      <c r="G27" s="31" t="s">
        <v>32</v>
      </c>
      <c r="H27" s="31" t="s">
        <v>25</v>
      </c>
      <c r="I27" s="30" t="s">
        <v>617</v>
      </c>
      <c r="J27" s="31" t="s">
        <v>26</v>
      </c>
      <c r="K27" s="31" t="s">
        <v>366</v>
      </c>
      <c r="L27" s="31" t="s">
        <v>51</v>
      </c>
      <c r="M27" s="30" t="s">
        <v>41</v>
      </c>
      <c r="N27" s="2" t="s">
        <v>42</v>
      </c>
      <c r="O27" s="31" t="s">
        <v>105</v>
      </c>
      <c r="P27" s="31" t="s">
        <v>665</v>
      </c>
      <c r="Q27" s="31" t="s">
        <v>43</v>
      </c>
      <c r="R27" s="31" t="s">
        <v>111</v>
      </c>
      <c r="S27" s="32">
        <v>161500</v>
      </c>
      <c r="T27" s="50" t="s">
        <v>44</v>
      </c>
      <c r="U27" s="33">
        <v>5.7670899999999996</v>
      </c>
      <c r="V27" s="33">
        <v>1.76708984375</v>
      </c>
      <c r="W27" s="34">
        <v>0.37369628906250002</v>
      </c>
      <c r="X27" s="35">
        <v>60351.950683593699</v>
      </c>
    </row>
    <row r="28" spans="1:24" x14ac:dyDescent="0.25">
      <c r="A28" s="30" t="s">
        <v>465</v>
      </c>
      <c r="B28" s="30" t="s">
        <v>497</v>
      </c>
      <c r="C28" s="30" t="s">
        <v>492</v>
      </c>
      <c r="D28" s="30" t="s">
        <v>544</v>
      </c>
      <c r="E28" s="30" t="s">
        <v>545</v>
      </c>
      <c r="F28" s="23" t="str">
        <f>HYPERLINK("https://mapwv.gov/flood/map/?wkid=102100&amp;x=-9048439.730007436&amp;y=4646151.738394971&amp;l=13&amp;v=2","FT")</f>
        <v>FT</v>
      </c>
      <c r="G28" s="31" t="s">
        <v>32</v>
      </c>
      <c r="H28" s="31" t="s">
        <v>25</v>
      </c>
      <c r="I28" s="30" t="s">
        <v>618</v>
      </c>
      <c r="J28" s="31" t="s">
        <v>39</v>
      </c>
      <c r="K28" s="31" t="s">
        <v>375</v>
      </c>
      <c r="L28" s="31"/>
      <c r="M28" s="30" t="s">
        <v>66</v>
      </c>
      <c r="N28" s="2" t="s">
        <v>103</v>
      </c>
      <c r="O28" s="31" t="s">
        <v>105</v>
      </c>
      <c r="P28" s="31" t="s">
        <v>666</v>
      </c>
      <c r="Q28" s="31" t="s">
        <v>30</v>
      </c>
      <c r="R28" s="31" t="s">
        <v>110</v>
      </c>
      <c r="S28" s="32">
        <v>159500</v>
      </c>
      <c r="T28" s="50" t="s">
        <v>31</v>
      </c>
      <c r="U28" s="33">
        <v>4.8049926999999997</v>
      </c>
      <c r="V28" s="33">
        <v>3.80499267578125</v>
      </c>
      <c r="W28" s="34">
        <v>0.11804992675781201</v>
      </c>
      <c r="X28" s="35">
        <v>18828.963317870999</v>
      </c>
    </row>
    <row r="29" spans="1:24" x14ac:dyDescent="0.25">
      <c r="A29" s="30" t="s">
        <v>466</v>
      </c>
      <c r="B29" s="30" t="s">
        <v>497</v>
      </c>
      <c r="C29" s="30" t="s">
        <v>492</v>
      </c>
      <c r="D29" s="30" t="s">
        <v>546</v>
      </c>
      <c r="E29" s="30" t="s">
        <v>547</v>
      </c>
      <c r="F29" s="23" t="str">
        <f>HYPERLINK("https://mapwv.gov/flood/map/?wkid=102100&amp;x=-9045865.373719746&amp;y=4647738.333826761&amp;l=13&amp;v=2","FT")</f>
        <v>FT</v>
      </c>
      <c r="G29" s="31" t="s">
        <v>32</v>
      </c>
      <c r="H29" s="31" t="s">
        <v>25</v>
      </c>
      <c r="I29" s="30" t="s">
        <v>619</v>
      </c>
      <c r="J29" s="31" t="s">
        <v>36</v>
      </c>
      <c r="K29" s="31" t="s">
        <v>83</v>
      </c>
      <c r="L29" s="31"/>
      <c r="M29" s="30" t="s">
        <v>41</v>
      </c>
      <c r="N29" s="2" t="s">
        <v>42</v>
      </c>
      <c r="O29" s="31" t="s">
        <v>105</v>
      </c>
      <c r="P29" s="31" t="s">
        <v>667</v>
      </c>
      <c r="Q29" s="31" t="s">
        <v>30</v>
      </c>
      <c r="R29" s="31" t="s">
        <v>110</v>
      </c>
      <c r="S29" s="32">
        <v>157650</v>
      </c>
      <c r="T29" s="50" t="s">
        <v>142</v>
      </c>
      <c r="U29" s="33">
        <v>0</v>
      </c>
      <c r="V29" s="33">
        <v>-1</v>
      </c>
      <c r="W29" s="34">
        <v>0</v>
      </c>
      <c r="X29" s="35">
        <v>0</v>
      </c>
    </row>
    <row r="30" spans="1:24" x14ac:dyDescent="0.25">
      <c r="A30" s="30" t="s">
        <v>467</v>
      </c>
      <c r="B30" s="30" t="s">
        <v>497</v>
      </c>
      <c r="C30" s="30" t="s">
        <v>548</v>
      </c>
      <c r="D30" s="30" t="s">
        <v>549</v>
      </c>
      <c r="E30" s="30" t="s">
        <v>550</v>
      </c>
      <c r="F30" s="23" t="str">
        <f>HYPERLINK("https://mapwv.gov/flood/map/?wkid=102100&amp;x=-9035499.422850808&amp;y=4649984.181165972&amp;l=13&amp;v=2","FT")</f>
        <v>FT</v>
      </c>
      <c r="G30" s="31" t="s">
        <v>32</v>
      </c>
      <c r="H30" s="31" t="s">
        <v>25</v>
      </c>
      <c r="I30" s="30" t="s">
        <v>620</v>
      </c>
      <c r="J30" s="31" t="s">
        <v>36</v>
      </c>
      <c r="K30" s="31" t="s">
        <v>83</v>
      </c>
      <c r="L30" s="31"/>
      <c r="M30" s="30" t="s">
        <v>66</v>
      </c>
      <c r="N30" s="2" t="s">
        <v>103</v>
      </c>
      <c r="O30" s="31" t="s">
        <v>105</v>
      </c>
      <c r="P30" s="31" t="s">
        <v>668</v>
      </c>
      <c r="Q30" s="31" t="s">
        <v>30</v>
      </c>
      <c r="R30" s="31" t="s">
        <v>110</v>
      </c>
      <c r="S30" s="32">
        <v>154300</v>
      </c>
      <c r="T30" s="50" t="s">
        <v>44</v>
      </c>
      <c r="U30" s="33">
        <v>3.4655762000000001</v>
      </c>
      <c r="V30" s="33">
        <v>2.465576171875</v>
      </c>
      <c r="W30" s="34">
        <v>0.11</v>
      </c>
      <c r="X30" s="35">
        <v>16973</v>
      </c>
    </row>
    <row r="31" spans="1:24" x14ac:dyDescent="0.25">
      <c r="A31" s="30" t="s">
        <v>468</v>
      </c>
      <c r="B31" s="30" t="s">
        <v>491</v>
      </c>
      <c r="C31" s="30" t="s">
        <v>492</v>
      </c>
      <c r="D31" s="30" t="s">
        <v>551</v>
      </c>
      <c r="E31" s="30" t="s">
        <v>552</v>
      </c>
      <c r="F31" s="23" t="str">
        <f>HYPERLINK("https://mapwv.gov/flood/map/?wkid=102100&amp;x=-9026631.052089639&amp;y=4644742.7083371915&amp;l=13&amp;v=2","FT")</f>
        <v>FT</v>
      </c>
      <c r="G31" s="31" t="s">
        <v>32</v>
      </c>
      <c r="H31" s="31" t="s">
        <v>25</v>
      </c>
      <c r="I31" s="30" t="s">
        <v>614</v>
      </c>
      <c r="J31" s="31" t="s">
        <v>39</v>
      </c>
      <c r="K31" s="31" t="s">
        <v>642</v>
      </c>
      <c r="L31" s="31" t="s">
        <v>57</v>
      </c>
      <c r="M31" s="30" t="s">
        <v>48</v>
      </c>
      <c r="N31" s="2" t="s">
        <v>35</v>
      </c>
      <c r="O31" s="31" t="s">
        <v>105</v>
      </c>
      <c r="P31" s="31" t="s">
        <v>669</v>
      </c>
      <c r="Q31" s="31" t="s">
        <v>30</v>
      </c>
      <c r="R31" s="31" t="s">
        <v>110</v>
      </c>
      <c r="S31" s="32">
        <v>145700</v>
      </c>
      <c r="T31" s="50" t="s">
        <v>44</v>
      </c>
      <c r="U31" s="33">
        <v>0</v>
      </c>
      <c r="V31" s="33">
        <v>-1</v>
      </c>
      <c r="W31" s="34">
        <v>0</v>
      </c>
      <c r="X31" s="35">
        <v>0</v>
      </c>
    </row>
    <row r="32" spans="1:24" x14ac:dyDescent="0.25">
      <c r="A32" s="30" t="s">
        <v>469</v>
      </c>
      <c r="B32" s="30" t="s">
        <v>497</v>
      </c>
      <c r="C32" s="30" t="s">
        <v>492</v>
      </c>
      <c r="D32" s="30" t="s">
        <v>553</v>
      </c>
      <c r="E32" s="30" t="s">
        <v>554</v>
      </c>
      <c r="F32" s="23" t="str">
        <f>HYPERLINK("https://mapwv.gov/flood/map/?wkid=102100&amp;x=-9022967.439259954&amp;y=4648041.418880874&amp;l=13&amp;v=2","FT")</f>
        <v>FT</v>
      </c>
      <c r="G32" s="31" t="s">
        <v>32</v>
      </c>
      <c r="H32" s="31" t="s">
        <v>25</v>
      </c>
      <c r="I32" s="30" t="s">
        <v>621</v>
      </c>
      <c r="J32" s="31" t="s">
        <v>26</v>
      </c>
      <c r="K32" s="31" t="s">
        <v>643</v>
      </c>
      <c r="L32" s="31" t="s">
        <v>45</v>
      </c>
      <c r="M32" s="30" t="s">
        <v>41</v>
      </c>
      <c r="N32" s="2" t="s">
        <v>42</v>
      </c>
      <c r="O32" s="31" t="s">
        <v>105</v>
      </c>
      <c r="P32" s="31" t="s">
        <v>670</v>
      </c>
      <c r="Q32" s="31" t="s">
        <v>436</v>
      </c>
      <c r="R32" s="31" t="s">
        <v>111</v>
      </c>
      <c r="S32" s="32">
        <v>138400</v>
      </c>
      <c r="T32" s="50" t="s">
        <v>44</v>
      </c>
      <c r="U32" s="33">
        <v>0</v>
      </c>
      <c r="V32" s="33">
        <v>-4</v>
      </c>
      <c r="W32" s="34">
        <v>0</v>
      </c>
      <c r="X32" s="35">
        <v>0</v>
      </c>
    </row>
    <row r="33" spans="1:24" x14ac:dyDescent="0.25">
      <c r="A33" s="30" t="s">
        <v>470</v>
      </c>
      <c r="B33" s="30" t="s">
        <v>497</v>
      </c>
      <c r="C33" s="30" t="s">
        <v>492</v>
      </c>
      <c r="D33" s="30" t="s">
        <v>555</v>
      </c>
      <c r="E33" s="30" t="s">
        <v>556</v>
      </c>
      <c r="F33" s="23" t="str">
        <f>HYPERLINK("https://mapwv.gov/flood/map/?wkid=102100&amp;x=-9048087.449905343&amp;y=4646535.588577314&amp;l=13&amp;v=2","FT")</f>
        <v>FT</v>
      </c>
      <c r="G33" s="31" t="s">
        <v>32</v>
      </c>
      <c r="H33" s="31" t="s">
        <v>25</v>
      </c>
      <c r="I33" s="30" t="s">
        <v>622</v>
      </c>
      <c r="J33" s="31" t="s">
        <v>26</v>
      </c>
      <c r="K33" s="31" t="s">
        <v>116</v>
      </c>
      <c r="L33" s="31" t="s">
        <v>45</v>
      </c>
      <c r="M33" s="30" t="s">
        <v>41</v>
      </c>
      <c r="N33" s="2" t="s">
        <v>42</v>
      </c>
      <c r="O33" s="31" t="s">
        <v>106</v>
      </c>
      <c r="P33" s="31" t="s">
        <v>671</v>
      </c>
      <c r="Q33" s="31" t="s">
        <v>43</v>
      </c>
      <c r="R33" s="31" t="s">
        <v>111</v>
      </c>
      <c r="S33" s="32">
        <v>134100</v>
      </c>
      <c r="T33" s="50" t="s">
        <v>44</v>
      </c>
      <c r="U33" s="33">
        <v>2.7755127000000002</v>
      </c>
      <c r="V33" s="33">
        <v>-1.2244873046875</v>
      </c>
      <c r="W33" s="34">
        <v>0.12653076171875</v>
      </c>
      <c r="X33" s="35">
        <v>16967.775146484299</v>
      </c>
    </row>
    <row r="34" spans="1:24" x14ac:dyDescent="0.25">
      <c r="A34" s="30" t="s">
        <v>471</v>
      </c>
      <c r="B34" s="30" t="s">
        <v>497</v>
      </c>
      <c r="C34" s="30" t="s">
        <v>492</v>
      </c>
      <c r="D34" s="30" t="s">
        <v>557</v>
      </c>
      <c r="E34" s="30" t="s">
        <v>558</v>
      </c>
      <c r="F34" s="23" t="str">
        <f>HYPERLINK("https://mapwv.gov/flood/map/?wkid=102100&amp;x=-9039706.747458119&amp;y=4647914.626386343&amp;l=13&amp;v=2","FT")</f>
        <v>FT</v>
      </c>
      <c r="G34" s="31" t="s">
        <v>32</v>
      </c>
      <c r="H34" s="31" t="s">
        <v>25</v>
      </c>
      <c r="I34" s="30" t="s">
        <v>623</v>
      </c>
      <c r="J34" s="31" t="s">
        <v>26</v>
      </c>
      <c r="K34" s="31" t="s">
        <v>80</v>
      </c>
      <c r="L34" s="31" t="s">
        <v>51</v>
      </c>
      <c r="M34" s="30" t="s">
        <v>41</v>
      </c>
      <c r="N34" s="2" t="s">
        <v>42</v>
      </c>
      <c r="O34" s="31" t="s">
        <v>105</v>
      </c>
      <c r="P34" s="31" t="s">
        <v>672</v>
      </c>
      <c r="Q34" s="31" t="s">
        <v>436</v>
      </c>
      <c r="R34" s="31" t="s">
        <v>111</v>
      </c>
      <c r="S34" s="32">
        <v>130700</v>
      </c>
      <c r="T34" s="50" t="s">
        <v>44</v>
      </c>
      <c r="U34" s="33">
        <v>13.836304</v>
      </c>
      <c r="V34" s="33">
        <v>9.8363037109375</v>
      </c>
      <c r="W34" s="34">
        <v>0.72672607421875002</v>
      </c>
      <c r="X34" s="35">
        <v>94983.097900390596</v>
      </c>
    </row>
    <row r="35" spans="1:24" x14ac:dyDescent="0.25">
      <c r="A35" s="30" t="s">
        <v>472</v>
      </c>
      <c r="B35" s="30" t="s">
        <v>497</v>
      </c>
      <c r="C35" s="30" t="s">
        <v>559</v>
      </c>
      <c r="D35" s="30" t="s">
        <v>560</v>
      </c>
      <c r="E35" s="30" t="s">
        <v>561</v>
      </c>
      <c r="F35" s="23" t="str">
        <f>HYPERLINK("https://mapwv.gov/flood/map/?wkid=102100&amp;x=-9027783.1976874&amp;y=4642825.326834529&amp;l=13&amp;v=2","FT")</f>
        <v>FT</v>
      </c>
      <c r="G35" s="31" t="s">
        <v>53</v>
      </c>
      <c r="H35" s="31" t="s">
        <v>25</v>
      </c>
      <c r="I35" s="30" t="s">
        <v>624</v>
      </c>
      <c r="J35" s="31" t="s">
        <v>39</v>
      </c>
      <c r="K35" s="31" t="s">
        <v>128</v>
      </c>
      <c r="L35" s="31" t="s">
        <v>50</v>
      </c>
      <c r="M35" s="30" t="s">
        <v>48</v>
      </c>
      <c r="N35" s="2" t="s">
        <v>35</v>
      </c>
      <c r="O35" s="31" t="s">
        <v>106</v>
      </c>
      <c r="P35" s="31" t="s">
        <v>673</v>
      </c>
      <c r="Q35" s="31" t="s">
        <v>43</v>
      </c>
      <c r="R35" s="31" t="s">
        <v>111</v>
      </c>
      <c r="S35" s="32">
        <v>130000</v>
      </c>
      <c r="T35" s="50" t="s">
        <v>112</v>
      </c>
      <c r="U35" s="33">
        <v>0</v>
      </c>
      <c r="V35" s="33">
        <v>-4</v>
      </c>
      <c r="W35" s="34">
        <v>0</v>
      </c>
      <c r="X35" s="35">
        <v>0</v>
      </c>
    </row>
    <row r="36" spans="1:24" x14ac:dyDescent="0.25">
      <c r="A36" s="30" t="s">
        <v>473</v>
      </c>
      <c r="B36" s="30" t="s">
        <v>491</v>
      </c>
      <c r="C36" s="30" t="s">
        <v>562</v>
      </c>
      <c r="D36" s="30" t="s">
        <v>563</v>
      </c>
      <c r="E36" s="30" t="s">
        <v>564</v>
      </c>
      <c r="F36" s="23" t="str">
        <f>HYPERLINK("https://mapwv.gov/flood/map/?wkid=102100&amp;x=-9026250.028404467&amp;y=4646925.845783057&amp;l=13&amp;v=2","FT")</f>
        <v>FT</v>
      </c>
      <c r="G36" s="31" t="s">
        <v>32</v>
      </c>
      <c r="H36" s="31" t="s">
        <v>25</v>
      </c>
      <c r="I36" s="30" t="s">
        <v>625</v>
      </c>
      <c r="J36" s="31" t="s">
        <v>26</v>
      </c>
      <c r="K36" s="31" t="s">
        <v>369</v>
      </c>
      <c r="L36" s="31" t="s">
        <v>57</v>
      </c>
      <c r="M36" s="30" t="s">
        <v>52</v>
      </c>
      <c r="N36" s="2" t="s">
        <v>35</v>
      </c>
      <c r="O36" s="31" t="s">
        <v>105</v>
      </c>
      <c r="P36" s="31" t="s">
        <v>674</v>
      </c>
      <c r="Q36" s="31" t="s">
        <v>30</v>
      </c>
      <c r="R36" s="31" t="s">
        <v>110</v>
      </c>
      <c r="S36" s="32">
        <v>126400</v>
      </c>
      <c r="T36" s="50" t="s">
        <v>44</v>
      </c>
      <c r="U36" s="33">
        <v>0</v>
      </c>
      <c r="V36" s="33">
        <v>-1</v>
      </c>
      <c r="W36" s="34">
        <v>0</v>
      </c>
      <c r="X36" s="35">
        <v>0</v>
      </c>
    </row>
    <row r="37" spans="1:24" x14ac:dyDescent="0.25">
      <c r="A37" s="30" t="s">
        <v>474</v>
      </c>
      <c r="B37" s="30" t="s">
        <v>497</v>
      </c>
      <c r="C37" s="30" t="s">
        <v>565</v>
      </c>
      <c r="D37" s="30" t="s">
        <v>566</v>
      </c>
      <c r="E37" s="30" t="s">
        <v>567</v>
      </c>
      <c r="F37" s="23" t="str">
        <f>HYPERLINK("https://mapwv.gov/flood/map/?wkid=102100&amp;x=-9030089.989786597&amp;y=4632801.801129568&amp;l=13&amp;v=2","FT")</f>
        <v>FT</v>
      </c>
      <c r="G37" s="31" t="s">
        <v>32</v>
      </c>
      <c r="H37" s="31" t="s">
        <v>25</v>
      </c>
      <c r="I37" s="30" t="s">
        <v>626</v>
      </c>
      <c r="J37" s="31" t="s">
        <v>26</v>
      </c>
      <c r="K37" s="31" t="s">
        <v>108</v>
      </c>
      <c r="L37" s="31" t="s">
        <v>47</v>
      </c>
      <c r="M37" s="30" t="s">
        <v>41</v>
      </c>
      <c r="N37" s="2" t="s">
        <v>42</v>
      </c>
      <c r="O37" s="31" t="s">
        <v>105</v>
      </c>
      <c r="P37" s="31" t="s">
        <v>675</v>
      </c>
      <c r="Q37" s="31" t="s">
        <v>436</v>
      </c>
      <c r="R37" s="31" t="s">
        <v>111</v>
      </c>
      <c r="S37" s="32">
        <v>126300</v>
      </c>
      <c r="T37" s="50" t="s">
        <v>44</v>
      </c>
      <c r="U37" s="33">
        <v>0</v>
      </c>
      <c r="V37" s="33">
        <v>-4</v>
      </c>
      <c r="W37" s="34">
        <v>0</v>
      </c>
      <c r="X37" s="35">
        <v>0</v>
      </c>
    </row>
    <row r="38" spans="1:24" x14ac:dyDescent="0.25">
      <c r="A38" s="30" t="s">
        <v>475</v>
      </c>
      <c r="B38" s="30" t="s">
        <v>497</v>
      </c>
      <c r="C38" s="30" t="s">
        <v>523</v>
      </c>
      <c r="D38" s="30" t="s">
        <v>568</v>
      </c>
      <c r="E38" s="30" t="s">
        <v>569</v>
      </c>
      <c r="F38" s="23" t="str">
        <f>HYPERLINK("https://mapwv.gov/flood/map/?wkid=102100&amp;x=-9031327.99911324&amp;y=4628799.349737857&amp;l=13&amp;v=2","FT")</f>
        <v>FT</v>
      </c>
      <c r="G38" s="31" t="s">
        <v>38</v>
      </c>
      <c r="H38" s="31" t="s">
        <v>25</v>
      </c>
      <c r="I38" s="30" t="s">
        <v>627</v>
      </c>
      <c r="J38" s="31" t="s">
        <v>26</v>
      </c>
      <c r="K38" s="31" t="s">
        <v>93</v>
      </c>
      <c r="L38" s="31" t="s">
        <v>47</v>
      </c>
      <c r="M38" s="30" t="s">
        <v>41</v>
      </c>
      <c r="N38" s="2" t="s">
        <v>42</v>
      </c>
      <c r="O38" s="31" t="s">
        <v>106</v>
      </c>
      <c r="P38" s="31" t="s">
        <v>676</v>
      </c>
      <c r="Q38" s="31" t="s">
        <v>436</v>
      </c>
      <c r="R38" s="31" t="s">
        <v>111</v>
      </c>
      <c r="S38" s="32">
        <v>122100</v>
      </c>
      <c r="T38" s="50" t="s">
        <v>44</v>
      </c>
      <c r="U38" s="33">
        <v>0</v>
      </c>
      <c r="V38" s="33">
        <v>-4</v>
      </c>
      <c r="W38" s="34">
        <v>0</v>
      </c>
      <c r="X38" s="35">
        <v>0</v>
      </c>
    </row>
    <row r="39" spans="1:24" x14ac:dyDescent="0.25">
      <c r="A39" s="30" t="s">
        <v>476</v>
      </c>
      <c r="B39" s="30" t="s">
        <v>497</v>
      </c>
      <c r="C39" s="30" t="s">
        <v>523</v>
      </c>
      <c r="D39" s="30" t="s">
        <v>570</v>
      </c>
      <c r="E39" s="30" t="s">
        <v>571</v>
      </c>
      <c r="F39" s="23" t="str">
        <f>HYPERLINK("https://mapwv.gov/flood/map/?wkid=102100&amp;x=-9031541.209111312&amp;y=4628989.564067373&amp;l=13&amp;v=2","FT")</f>
        <v>FT</v>
      </c>
      <c r="G39" s="31" t="s">
        <v>38</v>
      </c>
      <c r="H39" s="31" t="s">
        <v>25</v>
      </c>
      <c r="I39" s="30" t="s">
        <v>628</v>
      </c>
      <c r="J39" s="31" t="s">
        <v>26</v>
      </c>
      <c r="K39" s="31" t="s">
        <v>373</v>
      </c>
      <c r="L39" s="31" t="s">
        <v>45</v>
      </c>
      <c r="M39" s="30" t="s">
        <v>41</v>
      </c>
      <c r="N39" s="2" t="s">
        <v>42</v>
      </c>
      <c r="O39" s="31" t="s">
        <v>105</v>
      </c>
      <c r="P39" s="31" t="s">
        <v>677</v>
      </c>
      <c r="Q39" s="31" t="s">
        <v>436</v>
      </c>
      <c r="R39" s="31" t="s">
        <v>111</v>
      </c>
      <c r="S39" s="32">
        <v>120800</v>
      </c>
      <c r="T39" s="50" t="s">
        <v>44</v>
      </c>
      <c r="U39" s="33">
        <v>0</v>
      </c>
      <c r="V39" s="33">
        <v>-4</v>
      </c>
      <c r="W39" s="34">
        <v>0</v>
      </c>
      <c r="X39" s="35">
        <v>0</v>
      </c>
    </row>
    <row r="40" spans="1:24" x14ac:dyDescent="0.25">
      <c r="A40" s="30" t="s">
        <v>477</v>
      </c>
      <c r="B40" s="30" t="s">
        <v>497</v>
      </c>
      <c r="C40" s="30" t="s">
        <v>523</v>
      </c>
      <c r="D40" s="30" t="s">
        <v>572</v>
      </c>
      <c r="E40" s="30" t="s">
        <v>573</v>
      </c>
      <c r="F40" s="23" t="str">
        <f>HYPERLINK("https://mapwv.gov/flood/map/?wkid=102100&amp;x=-9031151.411335202&amp;y=4628686.038203396&amp;l=13&amp;v=2","FT")</f>
        <v>FT</v>
      </c>
      <c r="G40" s="31" t="s">
        <v>38</v>
      </c>
      <c r="H40" s="31" t="s">
        <v>25</v>
      </c>
      <c r="I40" s="30" t="s">
        <v>629</v>
      </c>
      <c r="J40" s="31" t="s">
        <v>26</v>
      </c>
      <c r="K40" s="31" t="s">
        <v>127</v>
      </c>
      <c r="L40" s="31" t="s">
        <v>27</v>
      </c>
      <c r="M40" s="30" t="s">
        <v>41</v>
      </c>
      <c r="N40" s="2" t="s">
        <v>42</v>
      </c>
      <c r="O40" s="31" t="s">
        <v>105</v>
      </c>
      <c r="P40" s="31" t="s">
        <v>678</v>
      </c>
      <c r="Q40" s="31" t="s">
        <v>30</v>
      </c>
      <c r="R40" s="31" t="s">
        <v>110</v>
      </c>
      <c r="S40" s="32">
        <v>118500</v>
      </c>
      <c r="T40" s="50" t="s">
        <v>44</v>
      </c>
      <c r="U40" s="33">
        <v>0</v>
      </c>
      <c r="V40" s="33">
        <v>-1</v>
      </c>
      <c r="W40" s="34">
        <v>0</v>
      </c>
      <c r="X40" s="35">
        <v>0</v>
      </c>
    </row>
    <row r="41" spans="1:24" x14ac:dyDescent="0.25">
      <c r="A41" s="30" t="s">
        <v>478</v>
      </c>
      <c r="B41" s="30" t="s">
        <v>497</v>
      </c>
      <c r="C41" s="30" t="s">
        <v>492</v>
      </c>
      <c r="D41" s="30" t="s">
        <v>574</v>
      </c>
      <c r="E41" s="30" t="s">
        <v>575</v>
      </c>
      <c r="F41" s="23" t="str">
        <f>HYPERLINK("https://mapwv.gov/flood/map/?wkid=102100&amp;x=-9042415.236162491&amp;y=4649806.035951899&amp;l=13&amp;v=2","FT")</f>
        <v>FT</v>
      </c>
      <c r="G41" s="31" t="s">
        <v>32</v>
      </c>
      <c r="H41" s="31" t="s">
        <v>25</v>
      </c>
      <c r="I41" s="30" t="s">
        <v>630</v>
      </c>
      <c r="J41" s="31" t="s">
        <v>26</v>
      </c>
      <c r="K41" s="31" t="s">
        <v>129</v>
      </c>
      <c r="L41" s="31" t="s">
        <v>47</v>
      </c>
      <c r="M41" s="30" t="s">
        <v>41</v>
      </c>
      <c r="N41" s="2" t="s">
        <v>42</v>
      </c>
      <c r="O41" s="31" t="s">
        <v>105</v>
      </c>
      <c r="P41" s="31" t="s">
        <v>679</v>
      </c>
      <c r="Q41" s="31" t="s">
        <v>436</v>
      </c>
      <c r="R41" s="31" t="s">
        <v>111</v>
      </c>
      <c r="S41" s="32">
        <v>118400</v>
      </c>
      <c r="T41" s="50" t="s">
        <v>44</v>
      </c>
      <c r="U41" s="33">
        <v>0</v>
      </c>
      <c r="V41" s="33">
        <v>-4</v>
      </c>
      <c r="W41" s="34">
        <v>0</v>
      </c>
      <c r="X41" s="35">
        <v>0</v>
      </c>
    </row>
    <row r="42" spans="1:24" x14ac:dyDescent="0.25">
      <c r="A42" s="30" t="s">
        <v>479</v>
      </c>
      <c r="B42" s="30" t="s">
        <v>491</v>
      </c>
      <c r="C42" s="30" t="s">
        <v>562</v>
      </c>
      <c r="D42" s="30" t="s">
        <v>576</v>
      </c>
      <c r="E42" s="30" t="s">
        <v>577</v>
      </c>
      <c r="F42" s="23" t="str">
        <f>HYPERLINK("https://mapwv.gov/flood/map/?wkid=102100&amp;x=-9026580.288064122&amp;y=4646897.022933438&amp;l=13&amp;v=2","FT")</f>
        <v>FT</v>
      </c>
      <c r="G42" s="31" t="s">
        <v>32</v>
      </c>
      <c r="H42" s="31" t="s">
        <v>25</v>
      </c>
      <c r="I42" s="30" t="s">
        <v>631</v>
      </c>
      <c r="J42" s="31" t="s">
        <v>26</v>
      </c>
      <c r="K42" s="31" t="s">
        <v>92</v>
      </c>
      <c r="L42" s="31" t="s">
        <v>27</v>
      </c>
      <c r="M42" s="30" t="s">
        <v>48</v>
      </c>
      <c r="N42" s="2" t="s">
        <v>35</v>
      </c>
      <c r="O42" s="31" t="s">
        <v>105</v>
      </c>
      <c r="P42" s="31" t="s">
        <v>680</v>
      </c>
      <c r="Q42" s="31" t="s">
        <v>30</v>
      </c>
      <c r="R42" s="31" t="s">
        <v>110</v>
      </c>
      <c r="S42" s="32">
        <v>117700</v>
      </c>
      <c r="T42" s="50" t="s">
        <v>44</v>
      </c>
      <c r="U42" s="33">
        <v>0</v>
      </c>
      <c r="V42" s="33">
        <v>-1</v>
      </c>
      <c r="W42" s="34">
        <v>0</v>
      </c>
      <c r="X42" s="35">
        <v>0</v>
      </c>
    </row>
    <row r="43" spans="1:24" x14ac:dyDescent="0.25">
      <c r="A43" s="30" t="s">
        <v>480</v>
      </c>
      <c r="B43" s="30" t="s">
        <v>497</v>
      </c>
      <c r="C43" s="30" t="s">
        <v>578</v>
      </c>
      <c r="D43" s="30" t="s">
        <v>579</v>
      </c>
      <c r="E43" s="30" t="s">
        <v>580</v>
      </c>
      <c r="F43" s="23" t="str">
        <f>HYPERLINK("https://mapwv.gov/flood/map/?wkid=102100&amp;x=-9033394.013499063&amp;y=4650169.94414208&amp;l=13&amp;v=2","FT")</f>
        <v>FT</v>
      </c>
      <c r="G43" s="31" t="s">
        <v>32</v>
      </c>
      <c r="H43" s="31" t="s">
        <v>25</v>
      </c>
      <c r="I43" s="30" t="s">
        <v>632</v>
      </c>
      <c r="J43" s="31" t="s">
        <v>26</v>
      </c>
      <c r="K43" s="31" t="s">
        <v>132</v>
      </c>
      <c r="L43" s="31" t="s">
        <v>57</v>
      </c>
      <c r="M43" s="30" t="s">
        <v>41</v>
      </c>
      <c r="N43" s="2" t="s">
        <v>42</v>
      </c>
      <c r="O43" s="31" t="s">
        <v>105</v>
      </c>
      <c r="P43" s="31" t="s">
        <v>681</v>
      </c>
      <c r="Q43" s="31" t="s">
        <v>43</v>
      </c>
      <c r="R43" s="31" t="s">
        <v>111</v>
      </c>
      <c r="S43" s="32">
        <v>115300</v>
      </c>
      <c r="T43" s="50" t="s">
        <v>44</v>
      </c>
      <c r="U43" s="33">
        <v>0</v>
      </c>
      <c r="V43" s="33">
        <v>-4</v>
      </c>
      <c r="W43" s="34">
        <v>0</v>
      </c>
      <c r="X43" s="35">
        <v>0</v>
      </c>
    </row>
    <row r="44" spans="1:24" x14ac:dyDescent="0.25">
      <c r="A44" s="30" t="s">
        <v>481</v>
      </c>
      <c r="B44" s="30" t="s">
        <v>497</v>
      </c>
      <c r="C44" s="30" t="s">
        <v>578</v>
      </c>
      <c r="D44" s="30" t="s">
        <v>581</v>
      </c>
      <c r="E44" s="30" t="s">
        <v>582</v>
      </c>
      <c r="F44" s="23" t="str">
        <f>HYPERLINK("https://mapwv.gov/flood/map/?wkid=102100&amp;x=-9032906.56025437&amp;y=4650121.783979568&amp;l=13&amp;v=2","FT")</f>
        <v>FT</v>
      </c>
      <c r="G44" s="31" t="s">
        <v>32</v>
      </c>
      <c r="H44" s="31" t="s">
        <v>25</v>
      </c>
      <c r="I44" s="30" t="s">
        <v>632</v>
      </c>
      <c r="J44" s="31" t="s">
        <v>26</v>
      </c>
      <c r="K44" s="31" t="s">
        <v>132</v>
      </c>
      <c r="L44" s="31" t="s">
        <v>57</v>
      </c>
      <c r="M44" s="30" t="s">
        <v>41</v>
      </c>
      <c r="N44" s="2" t="s">
        <v>42</v>
      </c>
      <c r="O44" s="31" t="s">
        <v>105</v>
      </c>
      <c r="P44" s="31" t="s">
        <v>681</v>
      </c>
      <c r="Q44" s="31" t="s">
        <v>43</v>
      </c>
      <c r="R44" s="31" t="s">
        <v>111</v>
      </c>
      <c r="S44" s="32">
        <v>115300</v>
      </c>
      <c r="T44" s="50" t="s">
        <v>44</v>
      </c>
      <c r="U44" s="33">
        <v>2.8900757000000001</v>
      </c>
      <c r="V44" s="33">
        <v>-1.10992431640625</v>
      </c>
      <c r="W44" s="34">
        <v>0.18450378417968699</v>
      </c>
      <c r="X44" s="35">
        <v>21273.2863159179</v>
      </c>
    </row>
    <row r="45" spans="1:24" x14ac:dyDescent="0.25">
      <c r="A45" s="30" t="s">
        <v>482</v>
      </c>
      <c r="B45" s="30" t="s">
        <v>497</v>
      </c>
      <c r="C45" s="30" t="s">
        <v>578</v>
      </c>
      <c r="D45" s="30" t="s">
        <v>583</v>
      </c>
      <c r="E45" s="30" t="s">
        <v>584</v>
      </c>
      <c r="F45" s="23" t="str">
        <f>HYPERLINK("https://mapwv.gov/flood/map/?wkid=102100&amp;x=-9032171.242808843&amp;y=4650759.93585&amp;l=13&amp;v=2","FT")</f>
        <v>FT</v>
      </c>
      <c r="G45" s="31" t="s">
        <v>32</v>
      </c>
      <c r="H45" s="31" t="s">
        <v>25</v>
      </c>
      <c r="I45" s="30" t="s">
        <v>633</v>
      </c>
      <c r="J45" s="31" t="s">
        <v>26</v>
      </c>
      <c r="K45" s="31" t="s">
        <v>89</v>
      </c>
      <c r="L45" s="31" t="s">
        <v>47</v>
      </c>
      <c r="M45" s="30" t="s">
        <v>41</v>
      </c>
      <c r="N45" s="2" t="s">
        <v>42</v>
      </c>
      <c r="O45" s="31" t="s">
        <v>105</v>
      </c>
      <c r="P45" s="31" t="s">
        <v>682</v>
      </c>
      <c r="Q45" s="31" t="s">
        <v>436</v>
      </c>
      <c r="R45" s="31" t="s">
        <v>111</v>
      </c>
      <c r="S45" s="32">
        <v>111000</v>
      </c>
      <c r="T45" s="50" t="s">
        <v>44</v>
      </c>
      <c r="U45" s="33">
        <v>0</v>
      </c>
      <c r="V45" s="33">
        <v>-4</v>
      </c>
      <c r="W45" s="34">
        <v>0</v>
      </c>
      <c r="X45" s="35">
        <v>0</v>
      </c>
    </row>
    <row r="46" spans="1:24" x14ac:dyDescent="0.25">
      <c r="A46" s="30" t="s">
        <v>483</v>
      </c>
      <c r="B46" s="30" t="s">
        <v>497</v>
      </c>
      <c r="C46" s="30" t="s">
        <v>578</v>
      </c>
      <c r="D46" s="30" t="s">
        <v>585</v>
      </c>
      <c r="E46" s="30" t="s">
        <v>586</v>
      </c>
      <c r="F46" s="23" t="str">
        <f>HYPERLINK("https://mapwv.gov/flood/map/?wkid=102100&amp;x=-9032663.90157556&amp;y=4650582.5328980265&amp;l=13&amp;v=2","FT")</f>
        <v>FT</v>
      </c>
      <c r="G46" s="31" t="s">
        <v>32</v>
      </c>
      <c r="H46" s="31" t="s">
        <v>25</v>
      </c>
      <c r="I46" s="30" t="s">
        <v>633</v>
      </c>
      <c r="J46" s="31" t="s">
        <v>26</v>
      </c>
      <c r="K46" s="31" t="s">
        <v>89</v>
      </c>
      <c r="L46" s="31" t="s">
        <v>47</v>
      </c>
      <c r="M46" s="30" t="s">
        <v>41</v>
      </c>
      <c r="N46" s="2" t="s">
        <v>42</v>
      </c>
      <c r="O46" s="31" t="s">
        <v>105</v>
      </c>
      <c r="P46" s="31" t="s">
        <v>682</v>
      </c>
      <c r="Q46" s="31" t="s">
        <v>436</v>
      </c>
      <c r="R46" s="31" t="s">
        <v>111</v>
      </c>
      <c r="S46" s="32">
        <v>111000</v>
      </c>
      <c r="T46" s="50" t="s">
        <v>44</v>
      </c>
      <c r="U46" s="33">
        <v>2.0037231000000002</v>
      </c>
      <c r="V46" s="33">
        <v>-1.99627685546875</v>
      </c>
      <c r="W46" s="34">
        <v>1.116943359375E-4</v>
      </c>
      <c r="X46" s="35">
        <v>12.3980712890625</v>
      </c>
    </row>
    <row r="47" spans="1:24" x14ac:dyDescent="0.25">
      <c r="A47" s="30" t="s">
        <v>484</v>
      </c>
      <c r="B47" s="30" t="s">
        <v>491</v>
      </c>
      <c r="C47" s="30" t="s">
        <v>492</v>
      </c>
      <c r="D47" s="30" t="s">
        <v>587</v>
      </c>
      <c r="E47" s="30" t="s">
        <v>588</v>
      </c>
      <c r="F47" s="23" t="str">
        <f>HYPERLINK("https://mapwv.gov/flood/map/?wkid=102100&amp;x=-9025584.0630017&amp;y=4646652.7635564245&amp;l=13&amp;v=2","FT")</f>
        <v>FT</v>
      </c>
      <c r="G47" s="31" t="s">
        <v>32</v>
      </c>
      <c r="H47" s="31" t="s">
        <v>25</v>
      </c>
      <c r="I47" s="30" t="s">
        <v>634</v>
      </c>
      <c r="J47" s="31" t="s">
        <v>26</v>
      </c>
      <c r="K47" s="31" t="s">
        <v>119</v>
      </c>
      <c r="L47" s="31" t="s">
        <v>57</v>
      </c>
      <c r="M47" s="30" t="s">
        <v>41</v>
      </c>
      <c r="N47" s="2" t="s">
        <v>42</v>
      </c>
      <c r="O47" s="31" t="s">
        <v>106</v>
      </c>
      <c r="P47" s="31" t="s">
        <v>683</v>
      </c>
      <c r="Q47" s="31" t="s">
        <v>436</v>
      </c>
      <c r="R47" s="31" t="s">
        <v>111</v>
      </c>
      <c r="S47" s="32">
        <v>110300</v>
      </c>
      <c r="T47" s="50" t="s">
        <v>44</v>
      </c>
      <c r="U47" s="33">
        <v>0</v>
      </c>
      <c r="V47" s="33">
        <v>-4</v>
      </c>
      <c r="W47" s="34">
        <v>0</v>
      </c>
      <c r="X47" s="35">
        <v>0</v>
      </c>
    </row>
    <row r="48" spans="1:24" x14ac:dyDescent="0.25">
      <c r="A48" s="30" t="s">
        <v>485</v>
      </c>
      <c r="B48" s="30" t="s">
        <v>497</v>
      </c>
      <c r="C48" s="30" t="s">
        <v>523</v>
      </c>
      <c r="D48" s="30" t="s">
        <v>589</v>
      </c>
      <c r="E48" s="30" t="s">
        <v>590</v>
      </c>
      <c r="F48" s="23" t="str">
        <f>HYPERLINK("https://mapwv.gov/flood/map/?wkid=102100&amp;x=-9034694.285375377&amp;y=4630614.516455744&amp;l=13&amp;v=2","FT")</f>
        <v>FT</v>
      </c>
      <c r="G48" s="31" t="s">
        <v>38</v>
      </c>
      <c r="H48" s="31" t="s">
        <v>25</v>
      </c>
      <c r="I48" s="30" t="s">
        <v>635</v>
      </c>
      <c r="J48" s="31" t="s">
        <v>26</v>
      </c>
      <c r="K48" s="31" t="s">
        <v>378</v>
      </c>
      <c r="L48" s="31" t="s">
        <v>51</v>
      </c>
      <c r="M48" s="30" t="s">
        <v>41</v>
      </c>
      <c r="N48" s="2" t="s">
        <v>42</v>
      </c>
      <c r="O48" s="31" t="s">
        <v>105</v>
      </c>
      <c r="P48" s="31" t="s">
        <v>684</v>
      </c>
      <c r="Q48" s="31" t="s">
        <v>43</v>
      </c>
      <c r="R48" s="31" t="s">
        <v>111</v>
      </c>
      <c r="S48" s="32">
        <v>110100</v>
      </c>
      <c r="T48" s="50" t="s">
        <v>44</v>
      </c>
      <c r="U48" s="33">
        <v>2</v>
      </c>
      <c r="V48" s="33">
        <v>-2</v>
      </c>
      <c r="W48" s="34">
        <v>0.14000000000000001</v>
      </c>
      <c r="X48" s="35">
        <v>15414</v>
      </c>
    </row>
    <row r="49" spans="1:24" x14ac:dyDescent="0.25">
      <c r="A49" s="30" t="s">
        <v>486</v>
      </c>
      <c r="B49" s="30" t="s">
        <v>491</v>
      </c>
      <c r="C49" s="30" t="s">
        <v>492</v>
      </c>
      <c r="D49" s="30" t="s">
        <v>591</v>
      </c>
      <c r="E49" s="30" t="s">
        <v>592</v>
      </c>
      <c r="F49" s="23" t="str">
        <f>HYPERLINK("https://mapwv.gov/flood/map/?wkid=102100&amp;x=-9026090.433991974&amp;y=4644539.972609438&amp;l=13&amp;v=2","FT")</f>
        <v>FT</v>
      </c>
      <c r="G49" s="31" t="s">
        <v>53</v>
      </c>
      <c r="H49" s="31" t="s">
        <v>25</v>
      </c>
      <c r="I49" s="30" t="s">
        <v>601</v>
      </c>
      <c r="J49" s="31" t="s">
        <v>39</v>
      </c>
      <c r="K49" s="31" t="s">
        <v>120</v>
      </c>
      <c r="L49" s="31" t="s">
        <v>367</v>
      </c>
      <c r="M49" s="30" t="s">
        <v>28</v>
      </c>
      <c r="N49" s="2" t="s">
        <v>102</v>
      </c>
      <c r="O49" s="31" t="s">
        <v>105</v>
      </c>
      <c r="P49" s="31" t="s">
        <v>685</v>
      </c>
      <c r="Q49" s="31" t="s">
        <v>30</v>
      </c>
      <c r="R49" s="31" t="s">
        <v>110</v>
      </c>
      <c r="S49" s="32">
        <v>109200</v>
      </c>
      <c r="T49" s="50" t="s">
        <v>44</v>
      </c>
      <c r="U49" s="33">
        <v>1.2432860999999999</v>
      </c>
      <c r="V49" s="33">
        <v>0.2432861328125</v>
      </c>
      <c r="W49" s="34">
        <v>1.2164306640625001E-2</v>
      </c>
      <c r="X49" s="35">
        <v>1328.34228515625</v>
      </c>
    </row>
    <row r="50" spans="1:24" x14ac:dyDescent="0.25">
      <c r="A50" s="30" t="s">
        <v>487</v>
      </c>
      <c r="B50" s="30" t="s">
        <v>497</v>
      </c>
      <c r="C50" s="30" t="s">
        <v>492</v>
      </c>
      <c r="D50" s="30" t="s">
        <v>593</v>
      </c>
      <c r="E50" s="30" t="s">
        <v>594</v>
      </c>
      <c r="F50" s="23" t="str">
        <f>HYPERLINK("https://mapwv.gov/flood/map/?wkid=102100&amp;x=-9024417.413476164&amp;y=4650174.073365425&amp;l=13&amp;v=2","FT")</f>
        <v>FT</v>
      </c>
      <c r="G50" s="31" t="s">
        <v>32</v>
      </c>
      <c r="H50" s="31" t="s">
        <v>25</v>
      </c>
      <c r="I50" s="30" t="s">
        <v>636</v>
      </c>
      <c r="J50" s="31" t="s">
        <v>39</v>
      </c>
      <c r="K50" s="31" t="s">
        <v>96</v>
      </c>
      <c r="L50" s="31" t="s">
        <v>37</v>
      </c>
      <c r="M50" s="30" t="s">
        <v>56</v>
      </c>
      <c r="N50" s="2" t="s">
        <v>35</v>
      </c>
      <c r="O50" s="31" t="s">
        <v>105</v>
      </c>
      <c r="P50" s="31" t="s">
        <v>686</v>
      </c>
      <c r="Q50" s="31" t="s">
        <v>43</v>
      </c>
      <c r="R50" s="31" t="s">
        <v>111</v>
      </c>
      <c r="S50" s="32">
        <v>105300</v>
      </c>
      <c r="T50" s="50" t="s">
        <v>44</v>
      </c>
      <c r="U50" s="33">
        <v>0</v>
      </c>
      <c r="V50" s="33">
        <v>-4</v>
      </c>
      <c r="W50" s="34">
        <v>0</v>
      </c>
      <c r="X50" s="35">
        <v>0</v>
      </c>
    </row>
    <row r="51" spans="1:24" x14ac:dyDescent="0.25">
      <c r="A51" s="30" t="s">
        <v>488</v>
      </c>
      <c r="B51" s="30" t="s">
        <v>497</v>
      </c>
      <c r="C51" s="30" t="s">
        <v>492</v>
      </c>
      <c r="D51" s="30" t="s">
        <v>595</v>
      </c>
      <c r="E51" s="30" t="s">
        <v>596</v>
      </c>
      <c r="F51" s="23" t="str">
        <f>HYPERLINK("https://mapwv.gov/flood/map/?wkid=102100&amp;x=-9022636.93759172&amp;y=4648188.643859405&amp;l=13&amp;v=2","FT")</f>
        <v>FT</v>
      </c>
      <c r="G51" s="31" t="s">
        <v>53</v>
      </c>
      <c r="H51" s="31" t="s">
        <v>25</v>
      </c>
      <c r="I51" s="30" t="s">
        <v>637</v>
      </c>
      <c r="J51" s="31" t="s">
        <v>39</v>
      </c>
      <c r="K51" s="31" t="s">
        <v>96</v>
      </c>
      <c r="L51" s="31" t="s">
        <v>47</v>
      </c>
      <c r="M51" s="30" t="s">
        <v>41</v>
      </c>
      <c r="N51" s="2" t="s">
        <v>42</v>
      </c>
      <c r="O51" s="31" t="s">
        <v>106</v>
      </c>
      <c r="P51" s="31" t="s">
        <v>687</v>
      </c>
      <c r="Q51" s="31" t="s">
        <v>436</v>
      </c>
      <c r="R51" s="31" t="s">
        <v>437</v>
      </c>
      <c r="S51" s="32">
        <v>103100</v>
      </c>
      <c r="T51" s="50" t="s">
        <v>44</v>
      </c>
      <c r="U51" s="33">
        <v>0.71368410000000004</v>
      </c>
      <c r="V51" s="33">
        <v>-2.28631591796875</v>
      </c>
      <c r="W51" s="34">
        <v>0</v>
      </c>
      <c r="X51" s="35">
        <v>0</v>
      </c>
    </row>
    <row r="52" spans="1:24" x14ac:dyDescent="0.25">
      <c r="A52" s="30" t="s">
        <v>489</v>
      </c>
      <c r="B52" s="30" t="s">
        <v>497</v>
      </c>
      <c r="C52" s="30" t="s">
        <v>523</v>
      </c>
      <c r="D52" s="30" t="s">
        <v>597</v>
      </c>
      <c r="E52" s="30" t="s">
        <v>598</v>
      </c>
      <c r="F52" s="23" t="str">
        <f>HYPERLINK("https://mapwv.gov/flood/map/?wkid=102100&amp;x=-9028910.614662157&amp;y=4626162.261616578&amp;l=13&amp;v=2","FT")</f>
        <v>FT</v>
      </c>
      <c r="G52" s="31" t="s">
        <v>38</v>
      </c>
      <c r="H52" s="31" t="s">
        <v>25</v>
      </c>
      <c r="I52" s="30" t="s">
        <v>638</v>
      </c>
      <c r="J52" s="31" t="s">
        <v>36</v>
      </c>
      <c r="K52" s="31" t="s">
        <v>83</v>
      </c>
      <c r="L52" s="31"/>
      <c r="M52" s="30" t="s">
        <v>66</v>
      </c>
      <c r="N52" s="2" t="s">
        <v>103</v>
      </c>
      <c r="O52" s="31" t="s">
        <v>105</v>
      </c>
      <c r="P52" s="31" t="s">
        <v>688</v>
      </c>
      <c r="Q52" s="31" t="s">
        <v>30</v>
      </c>
      <c r="R52" s="31" t="s">
        <v>110</v>
      </c>
      <c r="S52" s="32">
        <v>101960</v>
      </c>
      <c r="T52" s="50" t="s">
        <v>31</v>
      </c>
      <c r="U52" s="33">
        <v>0</v>
      </c>
      <c r="V52" s="33">
        <v>-1</v>
      </c>
      <c r="W52" s="34">
        <v>0</v>
      </c>
      <c r="X52" s="35">
        <v>0</v>
      </c>
    </row>
    <row r="53" spans="1:24" x14ac:dyDescent="0.25">
      <c r="A53" s="30" t="s">
        <v>490</v>
      </c>
      <c r="B53" s="30" t="s">
        <v>497</v>
      </c>
      <c r="C53" s="30" t="s">
        <v>492</v>
      </c>
      <c r="D53" s="30" t="s">
        <v>599</v>
      </c>
      <c r="E53" s="30" t="s">
        <v>600</v>
      </c>
      <c r="F53" s="23" t="str">
        <f>HYPERLINK("https://mapwv.gov/flood/map/?wkid=102100&amp;x=-9042398.145615028&amp;y=4649530.583072567&amp;l=13&amp;v=2","FT")</f>
        <v>FT</v>
      </c>
      <c r="G53" s="31" t="s">
        <v>32</v>
      </c>
      <c r="H53" s="31" t="s">
        <v>25</v>
      </c>
      <c r="I53" s="30" t="s">
        <v>639</v>
      </c>
      <c r="J53" s="31" t="s">
        <v>26</v>
      </c>
      <c r="K53" s="31" t="s">
        <v>119</v>
      </c>
      <c r="L53" s="31" t="s">
        <v>45</v>
      </c>
      <c r="M53" s="30" t="s">
        <v>41</v>
      </c>
      <c r="N53" s="2" t="s">
        <v>42</v>
      </c>
      <c r="O53" s="31" t="s">
        <v>105</v>
      </c>
      <c r="P53" s="31" t="s">
        <v>689</v>
      </c>
      <c r="Q53" s="31" t="s">
        <v>436</v>
      </c>
      <c r="R53" s="31" t="s">
        <v>111</v>
      </c>
      <c r="S53" s="32">
        <v>100200</v>
      </c>
      <c r="T53" s="50" t="s">
        <v>44</v>
      </c>
      <c r="U53" s="33">
        <v>0.25604248000000002</v>
      </c>
      <c r="V53" s="33">
        <v>-3.74395751953125</v>
      </c>
      <c r="W53" s="34">
        <v>0</v>
      </c>
      <c r="X53" s="35">
        <v>0</v>
      </c>
    </row>
  </sheetData>
  <hyperlinks>
    <hyperlink ref="J3" r:id="rId1" xr:uid="{DB83FAB7-17AD-40A7-88AE-6FAACCB95561}"/>
    <hyperlink ref="M3" r:id="rId2" xr:uid="{DFE1A217-A5E7-4224-BA08-C74E5FC033DA}"/>
    <hyperlink ref="Q3" r:id="rId3" xr:uid="{8064E96F-3EF1-4B70-AA35-E5D977D05C6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ED97-F08D-4F8C-B67C-F0C6E7FA2CA6}">
  <dimension ref="A1:X288"/>
  <sheetViews>
    <sheetView zoomScale="90" zoomScaleNormal="90" workbookViewId="0">
      <pane ySplit="6" topLeftCell="A79" activePane="bottomLeft" state="frozen"/>
      <selection pane="bottomLeft" activeCell="S77" sqref="S77"/>
    </sheetView>
  </sheetViews>
  <sheetFormatPr defaultRowHeight="15" x14ac:dyDescent="0.25"/>
  <cols>
    <col min="1" max="1" width="37" bestFit="1" customWidth="1"/>
    <col min="2" max="2" width="22.85546875" bestFit="1" customWidth="1"/>
    <col min="3" max="3" width="16" bestFit="1" customWidth="1"/>
    <col min="4" max="4" width="21" customWidth="1"/>
    <col min="5" max="5" width="53.42578125" bestFit="1" customWidth="1"/>
    <col min="7" max="7" width="11.42578125" customWidth="1"/>
    <col min="8" max="8" width="10.28515625" customWidth="1"/>
    <col min="9" max="9" width="29.140625" customWidth="1"/>
    <col min="10" max="10" width="9.140625" style="7"/>
    <col min="13" max="13" width="10.7109375" customWidth="1"/>
    <col min="14" max="14" width="10.42578125" customWidth="1"/>
    <col min="15" max="15" width="9.140625" style="7"/>
    <col min="17" max="17" width="11.42578125" customWidth="1"/>
    <col min="18" max="18" width="9.140625" style="7"/>
    <col min="19" max="19" width="24.140625" bestFit="1" customWidth="1"/>
    <col min="24" max="24" width="12.140625" bestFit="1" customWidth="1"/>
  </cols>
  <sheetData>
    <row r="1" spans="1:24" ht="14.25" customHeight="1" x14ac:dyDescent="0.25">
      <c r="A1" s="4" t="s">
        <v>72</v>
      </c>
      <c r="B1" s="4"/>
      <c r="C1" s="4"/>
      <c r="D1" s="4"/>
      <c r="F1" s="18" t="s">
        <v>73</v>
      </c>
      <c r="G1" s="7"/>
      <c r="H1" s="7"/>
      <c r="K1" s="7"/>
      <c r="L1" s="7"/>
      <c r="N1" s="6" t="s">
        <v>74</v>
      </c>
      <c r="P1" s="7"/>
      <c r="S1" s="8" t="s">
        <v>75</v>
      </c>
      <c r="U1" s="9"/>
      <c r="V1" s="9"/>
      <c r="W1" s="10"/>
      <c r="X1" s="11"/>
    </row>
    <row r="2" spans="1:24" x14ac:dyDescent="0.25">
      <c r="A2" s="12">
        <v>44482</v>
      </c>
      <c r="B2" s="13" t="s">
        <v>76</v>
      </c>
      <c r="F2" s="7"/>
      <c r="G2" s="7"/>
      <c r="H2" s="7"/>
      <c r="K2" s="7"/>
      <c r="L2" s="7"/>
      <c r="N2" s="14" t="s">
        <v>42</v>
      </c>
      <c r="P2" s="7"/>
      <c r="S2" s="8"/>
      <c r="U2" s="9"/>
      <c r="V2" s="9"/>
      <c r="W2" s="10"/>
      <c r="X2" s="11"/>
    </row>
    <row r="3" spans="1:24" x14ac:dyDescent="0.25">
      <c r="A3" t="s">
        <v>78</v>
      </c>
      <c r="B3" t="s">
        <v>2283</v>
      </c>
      <c r="F3" s="7"/>
      <c r="G3" s="7"/>
      <c r="H3" s="7"/>
      <c r="J3" s="17" t="s">
        <v>77</v>
      </c>
      <c r="K3" s="7"/>
      <c r="L3" s="7"/>
      <c r="M3" s="15" t="s">
        <v>77</v>
      </c>
      <c r="N3" s="6"/>
      <c r="P3" s="7"/>
      <c r="Q3" s="15" t="s">
        <v>77</v>
      </c>
      <c r="R3" s="16"/>
      <c r="S3" s="8"/>
      <c r="U3" s="9"/>
      <c r="V3" s="9"/>
      <c r="W3" s="10"/>
      <c r="X3" s="11"/>
    </row>
    <row r="4" spans="1:24" x14ac:dyDescent="0.25">
      <c r="F4" s="7"/>
      <c r="G4" s="7"/>
      <c r="H4" s="7"/>
      <c r="K4" s="7"/>
      <c r="L4" s="7"/>
      <c r="N4" s="6"/>
      <c r="P4" s="7"/>
      <c r="S4" s="8"/>
      <c r="U4" s="9"/>
      <c r="V4" s="9"/>
      <c r="W4" s="10"/>
      <c r="X4" s="11"/>
    </row>
    <row r="5" spans="1:24" x14ac:dyDescent="0.25">
      <c r="A5" s="1" t="s">
        <v>690</v>
      </c>
      <c r="F5" s="7"/>
      <c r="G5" s="7"/>
      <c r="H5" s="7"/>
      <c r="K5" s="7"/>
      <c r="L5" s="7"/>
      <c r="P5" s="7"/>
      <c r="S5" s="37" t="s">
        <v>691</v>
      </c>
      <c r="U5" s="7"/>
      <c r="V5" s="7"/>
      <c r="W5" s="10"/>
      <c r="X5" s="11"/>
    </row>
    <row r="6" spans="1:24" ht="45" x14ac:dyDescent="0.25">
      <c r="A6" s="24" t="s">
        <v>0</v>
      </c>
      <c r="B6" s="19" t="s">
        <v>1</v>
      </c>
      <c r="C6" s="19" t="s">
        <v>2</v>
      </c>
      <c r="D6" s="25" t="s">
        <v>3</v>
      </c>
      <c r="E6" s="25" t="s">
        <v>4</v>
      </c>
      <c r="F6" s="19" t="s">
        <v>5</v>
      </c>
      <c r="G6" s="19" t="s">
        <v>6</v>
      </c>
      <c r="H6" s="24" t="s">
        <v>7</v>
      </c>
      <c r="I6" s="19" t="s">
        <v>8</v>
      </c>
      <c r="J6" s="24" t="s">
        <v>9</v>
      </c>
      <c r="K6" s="25" t="s">
        <v>10</v>
      </c>
      <c r="L6" s="19" t="s">
        <v>11</v>
      </c>
      <c r="M6" s="25" t="s">
        <v>12</v>
      </c>
      <c r="N6" s="20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1" t="s">
        <v>18</v>
      </c>
      <c r="T6" s="19" t="s">
        <v>19</v>
      </c>
      <c r="U6" s="28" t="s">
        <v>20</v>
      </c>
      <c r="V6" s="28" t="s">
        <v>21</v>
      </c>
      <c r="W6" s="29" t="s">
        <v>22</v>
      </c>
      <c r="X6" s="22" t="s">
        <v>23</v>
      </c>
    </row>
    <row r="7" spans="1:24" x14ac:dyDescent="0.25">
      <c r="A7" s="30" t="s">
        <v>692</v>
      </c>
      <c r="B7" s="30" t="s">
        <v>777</v>
      </c>
      <c r="C7" s="30" t="s">
        <v>778</v>
      </c>
      <c r="D7" s="30" t="s">
        <v>779</v>
      </c>
      <c r="E7" s="30" t="s">
        <v>780</v>
      </c>
      <c r="F7" s="23" t="str">
        <f>HYPERLINK("https://mapwv.gov/flood/map/?wkid=102100&amp;x=-9097743.186803686&amp;y=4629628.286198345&amp;l=13&amp;v=2","FT")</f>
        <v>FT</v>
      </c>
      <c r="G7" s="31" t="s">
        <v>53</v>
      </c>
      <c r="H7" s="31" t="s">
        <v>25</v>
      </c>
      <c r="I7" s="30" t="s">
        <v>959</v>
      </c>
      <c r="J7" s="31" t="s">
        <v>26</v>
      </c>
      <c r="K7" s="31" t="s">
        <v>82</v>
      </c>
      <c r="L7" s="31" t="s">
        <v>37</v>
      </c>
      <c r="M7" s="30" t="s">
        <v>379</v>
      </c>
      <c r="N7" s="2" t="s">
        <v>35</v>
      </c>
      <c r="O7" s="31" t="s">
        <v>1006</v>
      </c>
      <c r="P7" s="30" t="s">
        <v>1014</v>
      </c>
      <c r="Q7" s="30" t="s">
        <v>43</v>
      </c>
      <c r="R7" s="31" t="s">
        <v>111</v>
      </c>
      <c r="S7" s="32">
        <v>98055300</v>
      </c>
      <c r="T7" s="30" t="s">
        <v>44</v>
      </c>
      <c r="U7" s="33">
        <v>1.4915160999999999</v>
      </c>
      <c r="V7" s="33">
        <v>-2.50848388671875</v>
      </c>
      <c r="W7" s="34">
        <v>0</v>
      </c>
      <c r="X7" s="35">
        <v>0</v>
      </c>
    </row>
    <row r="8" spans="1:24" x14ac:dyDescent="0.25">
      <c r="A8" s="30" t="s">
        <v>693</v>
      </c>
      <c r="B8" s="30" t="s">
        <v>781</v>
      </c>
      <c r="C8" s="30" t="s">
        <v>778</v>
      </c>
      <c r="D8" s="30" t="s">
        <v>782</v>
      </c>
      <c r="E8" s="30" t="s">
        <v>783</v>
      </c>
      <c r="F8" s="23" t="str">
        <f>HYPERLINK("https://mapwv.gov/flood/map/?wkid=102100&amp;x=-9088019.411583096&amp;y=4629353.93207921&amp;l=13&amp;v=2","FT")</f>
        <v>FT</v>
      </c>
      <c r="G8" s="31" t="s">
        <v>32</v>
      </c>
      <c r="H8" s="31" t="s">
        <v>25</v>
      </c>
      <c r="I8" s="30" t="s">
        <v>960</v>
      </c>
      <c r="J8" s="31" t="s">
        <v>26</v>
      </c>
      <c r="K8" s="31" t="s">
        <v>373</v>
      </c>
      <c r="L8" s="31" t="s">
        <v>79</v>
      </c>
      <c r="M8" s="30" t="s">
        <v>28</v>
      </c>
      <c r="N8" s="2" t="s">
        <v>102</v>
      </c>
      <c r="O8" s="31" t="s">
        <v>1007</v>
      </c>
      <c r="P8" s="30" t="s">
        <v>1015</v>
      </c>
      <c r="Q8" s="30" t="s">
        <v>43</v>
      </c>
      <c r="R8" s="31" t="s">
        <v>111</v>
      </c>
      <c r="S8" s="32">
        <v>58489500</v>
      </c>
      <c r="T8" s="30" t="s">
        <v>44</v>
      </c>
      <c r="U8" s="33">
        <v>0.12860107000000001</v>
      </c>
      <c r="V8" s="33">
        <v>-3.87139892578125</v>
      </c>
      <c r="W8" s="34">
        <v>0</v>
      </c>
      <c r="X8" s="35">
        <v>0</v>
      </c>
    </row>
    <row r="9" spans="1:24" x14ac:dyDescent="0.25">
      <c r="A9" s="30" t="s">
        <v>694</v>
      </c>
      <c r="B9" s="30" t="s">
        <v>781</v>
      </c>
      <c r="C9" s="30" t="s">
        <v>778</v>
      </c>
      <c r="D9" s="30" t="s">
        <v>784</v>
      </c>
      <c r="E9" s="30" t="s">
        <v>785</v>
      </c>
      <c r="F9" s="23" t="str">
        <f>HYPERLINK("https://mapwv.gov/flood/map/?wkid=102100&amp;x=-9087871.331724772&amp;y=4629520.494771567&amp;l=13&amp;v=2","FT")</f>
        <v>FT</v>
      </c>
      <c r="G9" s="31" t="s">
        <v>32</v>
      </c>
      <c r="H9" s="31" t="s">
        <v>25</v>
      </c>
      <c r="I9" s="30" t="s">
        <v>961</v>
      </c>
      <c r="J9" s="31" t="s">
        <v>26</v>
      </c>
      <c r="K9" s="31" t="s">
        <v>96</v>
      </c>
      <c r="L9" s="31" t="s">
        <v>40</v>
      </c>
      <c r="M9" s="30" t="s">
        <v>48</v>
      </c>
      <c r="N9" s="2" t="s">
        <v>35</v>
      </c>
      <c r="O9" s="31" t="s">
        <v>107</v>
      </c>
      <c r="P9" s="30" t="s">
        <v>1016</v>
      </c>
      <c r="Q9" s="30" t="s">
        <v>30</v>
      </c>
      <c r="R9" s="31" t="s">
        <v>110</v>
      </c>
      <c r="S9" s="32">
        <v>54730600</v>
      </c>
      <c r="T9" s="30" t="s">
        <v>44</v>
      </c>
      <c r="U9" s="33">
        <v>4.1228639999999999</v>
      </c>
      <c r="V9" s="33">
        <v>3.12286376953125</v>
      </c>
      <c r="W9" s="34">
        <v>0.16245727539062499</v>
      </c>
      <c r="X9" s="35">
        <v>8891384.1564941406</v>
      </c>
    </row>
    <row r="10" spans="1:24" x14ac:dyDescent="0.25">
      <c r="A10" s="30" t="s">
        <v>695</v>
      </c>
      <c r="B10" s="30" t="s">
        <v>781</v>
      </c>
      <c r="C10" s="30" t="s">
        <v>778</v>
      </c>
      <c r="D10" s="30" t="s">
        <v>786</v>
      </c>
      <c r="E10" s="30" t="s">
        <v>787</v>
      </c>
      <c r="F10" s="23" t="str">
        <f>HYPERLINK("https://mapwv.gov/flood/map/?wkid=102100&amp;x=-9088097.363390481&amp;y=4629720.106204042&amp;l=13&amp;v=2","FT")</f>
        <v>FT</v>
      </c>
      <c r="G10" s="31" t="s">
        <v>32</v>
      </c>
      <c r="H10" s="31" t="s">
        <v>25</v>
      </c>
      <c r="I10" s="30" t="s">
        <v>962</v>
      </c>
      <c r="J10" s="31" t="s">
        <v>39</v>
      </c>
      <c r="K10" s="31" t="s">
        <v>81</v>
      </c>
      <c r="L10" s="31" t="s">
        <v>27</v>
      </c>
      <c r="M10" s="30" t="s">
        <v>52</v>
      </c>
      <c r="N10" s="2" t="s">
        <v>35</v>
      </c>
      <c r="O10" s="31" t="s">
        <v>1008</v>
      </c>
      <c r="P10" s="30" t="s">
        <v>1017</v>
      </c>
      <c r="Q10" s="30" t="s">
        <v>30</v>
      </c>
      <c r="R10" s="31" t="s">
        <v>110</v>
      </c>
      <c r="S10" s="32">
        <v>30083200</v>
      </c>
      <c r="T10" s="30" t="s">
        <v>31</v>
      </c>
      <c r="U10" s="33">
        <v>0.9140625</v>
      </c>
      <c r="V10" s="33">
        <v>-8.59375E-2</v>
      </c>
      <c r="W10" s="34">
        <v>9.1406249999999994E-3</v>
      </c>
      <c r="X10" s="35">
        <v>274979.25</v>
      </c>
    </row>
    <row r="11" spans="1:24" x14ac:dyDescent="0.25">
      <c r="A11" s="30" t="s">
        <v>1179</v>
      </c>
      <c r="B11" s="30" t="s">
        <v>826</v>
      </c>
      <c r="C11" s="30" t="s">
        <v>778</v>
      </c>
      <c r="D11" s="30" t="s">
        <v>1209</v>
      </c>
      <c r="E11" s="30" t="s">
        <v>1210</v>
      </c>
      <c r="F11" s="23" t="str">
        <f>HYPERLINK("https://mapwv.gov/flood/map/?wkid=102100&amp;x=-9101321.089636715&amp;y=4631624.071741702&amp;l=13&amp;v=2","FT")</f>
        <v>FT</v>
      </c>
      <c r="G11" s="31" t="s">
        <v>32</v>
      </c>
      <c r="H11" s="31" t="s">
        <v>25</v>
      </c>
      <c r="I11" s="30" t="s">
        <v>1258</v>
      </c>
      <c r="J11" s="31" t="s">
        <v>36</v>
      </c>
      <c r="K11" s="31" t="s">
        <v>83</v>
      </c>
      <c r="L11" s="31"/>
      <c r="M11" s="30" t="s">
        <v>28</v>
      </c>
      <c r="N11" s="2" t="s">
        <v>102</v>
      </c>
      <c r="O11" s="31" t="s">
        <v>105</v>
      </c>
      <c r="P11" s="50">
        <v>42000</v>
      </c>
      <c r="Q11" s="30" t="s">
        <v>30</v>
      </c>
      <c r="R11" s="49" t="s">
        <v>110</v>
      </c>
      <c r="S11" s="32">
        <v>29000000</v>
      </c>
      <c r="T11" s="30" t="s">
        <v>29</v>
      </c>
      <c r="U11" s="33">
        <v>0.53015137000000001</v>
      </c>
      <c r="V11" s="33">
        <v>-0.4698486328125</v>
      </c>
      <c r="W11" s="34">
        <v>0</v>
      </c>
      <c r="X11" s="35">
        <v>0</v>
      </c>
    </row>
    <row r="12" spans="1:24" x14ac:dyDescent="0.25">
      <c r="A12" s="30" t="s">
        <v>2284</v>
      </c>
      <c r="B12" s="30" t="s">
        <v>890</v>
      </c>
      <c r="C12" s="30" t="s">
        <v>778</v>
      </c>
      <c r="D12" s="30" t="s">
        <v>1722</v>
      </c>
      <c r="E12" s="30" t="s">
        <v>2285</v>
      </c>
      <c r="F12" s="23" t="str">
        <f>HYPERLINK("https://mapwv.gov/flood/map/?wkid=102100&amp;x=-9108280&amp;y=4634136&amp;l=12&amp;v=2","FT")</f>
        <v>FT</v>
      </c>
      <c r="G12" s="31" t="s">
        <v>32</v>
      </c>
      <c r="H12" s="31" t="s">
        <v>25</v>
      </c>
      <c r="I12" s="30" t="s">
        <v>1760</v>
      </c>
      <c r="J12" s="31" t="s">
        <v>26</v>
      </c>
      <c r="K12" s="31">
        <v>9999</v>
      </c>
      <c r="L12" s="31"/>
      <c r="M12" s="30" t="s">
        <v>28</v>
      </c>
      <c r="N12" s="2" t="s">
        <v>102</v>
      </c>
      <c r="O12" s="31" t="s">
        <v>105</v>
      </c>
      <c r="P12" s="50">
        <v>55000</v>
      </c>
      <c r="Q12" s="30" t="s">
        <v>30</v>
      </c>
      <c r="R12" s="49" t="s">
        <v>110</v>
      </c>
      <c r="S12" s="32">
        <v>28000000</v>
      </c>
      <c r="T12" s="30" t="s">
        <v>29</v>
      </c>
      <c r="U12" s="33">
        <v>0</v>
      </c>
      <c r="V12" s="33">
        <v>0</v>
      </c>
      <c r="W12" s="34">
        <v>0</v>
      </c>
      <c r="X12" s="35">
        <v>0</v>
      </c>
    </row>
    <row r="13" spans="1:24" x14ac:dyDescent="0.25">
      <c r="A13" s="30" t="s">
        <v>696</v>
      </c>
      <c r="B13" s="30" t="s">
        <v>781</v>
      </c>
      <c r="C13" s="30" t="s">
        <v>778</v>
      </c>
      <c r="D13" s="30" t="s">
        <v>788</v>
      </c>
      <c r="E13" s="30" t="s">
        <v>789</v>
      </c>
      <c r="F13" s="23" t="str">
        <f>HYPERLINK("https://mapwv.gov/flood/map/?wkid=102100&amp;x=-9083609.953823641&amp;y=4625824.548033129&amp;l=13&amp;v=2","FT")</f>
        <v>FT</v>
      </c>
      <c r="G13" s="31" t="s">
        <v>32</v>
      </c>
      <c r="H13" s="31" t="s">
        <v>25</v>
      </c>
      <c r="I13" s="30" t="s">
        <v>963</v>
      </c>
      <c r="J13" s="31" t="s">
        <v>26</v>
      </c>
      <c r="K13" s="31" t="s">
        <v>366</v>
      </c>
      <c r="L13" s="31" t="s">
        <v>38</v>
      </c>
      <c r="M13" s="30" t="s">
        <v>55</v>
      </c>
      <c r="N13" s="2" t="s">
        <v>35</v>
      </c>
      <c r="O13" s="31" t="s">
        <v>107</v>
      </c>
      <c r="P13" s="30" t="s">
        <v>1018</v>
      </c>
      <c r="Q13" s="30" t="s">
        <v>30</v>
      </c>
      <c r="R13" s="31" t="s">
        <v>110</v>
      </c>
      <c r="S13" s="32">
        <v>27206300</v>
      </c>
      <c r="T13" s="30" t="s">
        <v>44</v>
      </c>
      <c r="U13" s="33">
        <v>0.57958984000000002</v>
      </c>
      <c r="V13" s="33">
        <v>-0.42041015625</v>
      </c>
      <c r="W13" s="34">
        <v>1.1591796874999999E-2</v>
      </c>
      <c r="X13" s="35">
        <v>315369.90332031198</v>
      </c>
    </row>
    <row r="14" spans="1:24" x14ac:dyDescent="0.25">
      <c r="A14" s="30" t="s">
        <v>697</v>
      </c>
      <c r="B14" s="30" t="s">
        <v>781</v>
      </c>
      <c r="C14" s="30" t="s">
        <v>778</v>
      </c>
      <c r="D14" s="30" t="s">
        <v>790</v>
      </c>
      <c r="E14" s="30" t="s">
        <v>791</v>
      </c>
      <c r="F14" s="23" t="str">
        <f>HYPERLINK("https://mapwv.gov/flood/map/?wkid=102100&amp;x=-9087554.21867434&amp;y=4629459.554419502&amp;l=13&amp;v=2","FT")</f>
        <v>FT</v>
      </c>
      <c r="G14" s="31" t="s">
        <v>32</v>
      </c>
      <c r="H14" s="31" t="s">
        <v>25</v>
      </c>
      <c r="I14" s="30" t="s">
        <v>964</v>
      </c>
      <c r="J14" s="31" t="s">
        <v>26</v>
      </c>
      <c r="K14" s="31" t="s">
        <v>114</v>
      </c>
      <c r="L14" s="31" t="s">
        <v>27</v>
      </c>
      <c r="M14" s="30" t="s">
        <v>56</v>
      </c>
      <c r="N14" s="2" t="s">
        <v>35</v>
      </c>
      <c r="O14" s="31" t="s">
        <v>1009</v>
      </c>
      <c r="P14" s="30" t="s">
        <v>1019</v>
      </c>
      <c r="Q14" s="30" t="s">
        <v>43</v>
      </c>
      <c r="R14" s="31" t="s">
        <v>111</v>
      </c>
      <c r="S14" s="32">
        <v>26439000</v>
      </c>
      <c r="T14" s="30" t="s">
        <v>31</v>
      </c>
      <c r="U14" s="33">
        <v>0.57781979999999999</v>
      </c>
      <c r="V14" s="33">
        <v>-3.42218017578125</v>
      </c>
      <c r="W14" s="34">
        <v>0</v>
      </c>
      <c r="X14" s="35">
        <v>0</v>
      </c>
    </row>
    <row r="15" spans="1:24" x14ac:dyDescent="0.25">
      <c r="A15" s="30" t="s">
        <v>698</v>
      </c>
      <c r="B15" s="30" t="s">
        <v>792</v>
      </c>
      <c r="C15" s="30" t="s">
        <v>778</v>
      </c>
      <c r="D15" s="30" t="s">
        <v>793</v>
      </c>
      <c r="E15" s="30" t="s">
        <v>794</v>
      </c>
      <c r="F15" s="23" t="str">
        <f>HYPERLINK("https://mapwv.gov/flood/map/?wkid=102100&amp;x=-9074020.730471566&amp;y=4608787.445937277&amp;l=13&amp;v=2","FT")</f>
        <v>FT</v>
      </c>
      <c r="G15" s="31" t="s">
        <v>79</v>
      </c>
      <c r="H15" s="31" t="s">
        <v>25</v>
      </c>
      <c r="I15" s="30" t="s">
        <v>67</v>
      </c>
      <c r="J15" s="31" t="s">
        <v>26</v>
      </c>
      <c r="K15" s="31" t="s">
        <v>82</v>
      </c>
      <c r="L15" s="31"/>
      <c r="M15" s="30" t="s">
        <v>68</v>
      </c>
      <c r="N15" s="2" t="s">
        <v>101</v>
      </c>
      <c r="O15" s="31" t="s">
        <v>105</v>
      </c>
      <c r="P15" s="30" t="s">
        <v>1020</v>
      </c>
      <c r="Q15" s="30" t="s">
        <v>30</v>
      </c>
      <c r="R15" s="31" t="s">
        <v>110</v>
      </c>
      <c r="S15" s="32">
        <v>25000000</v>
      </c>
      <c r="T15" s="30" t="s">
        <v>44</v>
      </c>
      <c r="U15" s="33">
        <v>0</v>
      </c>
      <c r="V15" s="33">
        <v>-1</v>
      </c>
      <c r="W15" s="34">
        <v>0</v>
      </c>
      <c r="X15" s="35">
        <v>0</v>
      </c>
    </row>
    <row r="16" spans="1:24" x14ac:dyDescent="0.25">
      <c r="A16" s="30" t="s">
        <v>2287</v>
      </c>
      <c r="B16" s="30" t="s">
        <v>792</v>
      </c>
      <c r="C16" s="30" t="s">
        <v>492</v>
      </c>
      <c r="D16" s="30" t="s">
        <v>2288</v>
      </c>
      <c r="E16" s="30" t="s">
        <v>2289</v>
      </c>
      <c r="F16" s="23" t="str">
        <f>HYPERLINK("https://mapwv.gov/flood/map/?wkid=102100&amp;x=-9075307&amp;y=4636746&amp;l=12&amp;v=2","FT")</f>
        <v>FT</v>
      </c>
      <c r="G16" s="31" t="s">
        <v>32</v>
      </c>
      <c r="H16" s="31" t="s">
        <v>25</v>
      </c>
      <c r="I16" s="30" t="s">
        <v>2290</v>
      </c>
      <c r="J16" s="31" t="s">
        <v>26</v>
      </c>
      <c r="K16" s="31">
        <v>9999</v>
      </c>
      <c r="L16" s="31"/>
      <c r="M16" s="30" t="s">
        <v>28</v>
      </c>
      <c r="N16" s="2" t="s">
        <v>102</v>
      </c>
      <c r="O16" s="31" t="s">
        <v>105</v>
      </c>
      <c r="P16" s="50">
        <v>48000</v>
      </c>
      <c r="Q16" s="30" t="s">
        <v>30</v>
      </c>
      <c r="R16" s="31" t="s">
        <v>110</v>
      </c>
      <c r="S16" s="32">
        <v>24000000</v>
      </c>
      <c r="T16" s="30" t="s">
        <v>29</v>
      </c>
      <c r="U16" s="33">
        <v>0</v>
      </c>
      <c r="V16" s="33"/>
      <c r="W16" s="34">
        <v>0</v>
      </c>
      <c r="X16" s="35">
        <v>0</v>
      </c>
    </row>
    <row r="17" spans="1:24" x14ac:dyDescent="0.25">
      <c r="A17" s="30" t="s">
        <v>699</v>
      </c>
      <c r="B17" s="30" t="s">
        <v>781</v>
      </c>
      <c r="C17" s="30" t="s">
        <v>778</v>
      </c>
      <c r="D17" s="30" t="s">
        <v>795</v>
      </c>
      <c r="E17" s="30" t="s">
        <v>796</v>
      </c>
      <c r="F17" s="23" t="str">
        <f>HYPERLINK("https://mapwv.gov/flood/map/?wkid=102100&amp;x=-9084329.35414046&amp;y=4626239.287482889&amp;l=13&amp;v=2","FT")</f>
        <v>FT</v>
      </c>
      <c r="G17" s="31" t="s">
        <v>32</v>
      </c>
      <c r="H17" s="31" t="s">
        <v>25</v>
      </c>
      <c r="I17" s="30" t="s">
        <v>965</v>
      </c>
      <c r="J17" s="31" t="s">
        <v>36</v>
      </c>
      <c r="K17" s="31" t="s">
        <v>83</v>
      </c>
      <c r="L17" s="31"/>
      <c r="M17" s="30" t="s">
        <v>55</v>
      </c>
      <c r="N17" s="2" t="s">
        <v>35</v>
      </c>
      <c r="O17" s="31" t="s">
        <v>105</v>
      </c>
      <c r="P17" s="30" t="s">
        <v>1021</v>
      </c>
      <c r="Q17" s="30" t="s">
        <v>30</v>
      </c>
      <c r="R17" s="31" t="s">
        <v>110</v>
      </c>
      <c r="S17" s="32">
        <v>23717099</v>
      </c>
      <c r="T17" s="30" t="s">
        <v>112</v>
      </c>
      <c r="U17" s="33">
        <v>0.38781737999999999</v>
      </c>
      <c r="V17" s="33">
        <v>-0.6121826171875</v>
      </c>
      <c r="W17" s="34">
        <v>7.7563476562499999E-3</v>
      </c>
      <c r="X17" s="35">
        <v>183958.06524169899</v>
      </c>
    </row>
    <row r="18" spans="1:24" x14ac:dyDescent="0.25">
      <c r="A18" s="30" t="s">
        <v>700</v>
      </c>
      <c r="B18" s="30" t="s">
        <v>781</v>
      </c>
      <c r="C18" s="30" t="s">
        <v>778</v>
      </c>
      <c r="D18" s="30" t="s">
        <v>797</v>
      </c>
      <c r="E18" s="30" t="s">
        <v>798</v>
      </c>
      <c r="F18" s="23" t="str">
        <f>HYPERLINK("https://mapwv.gov/flood/map/?wkid=102100&amp;x=-9087629.779895661&amp;y=4629569.780863899&amp;l=13&amp;v=2","FT")</f>
        <v>FT</v>
      </c>
      <c r="G18" s="31" t="s">
        <v>32</v>
      </c>
      <c r="H18" s="31" t="s">
        <v>25</v>
      </c>
      <c r="I18" s="30" t="s">
        <v>966</v>
      </c>
      <c r="J18" s="31" t="s">
        <v>26</v>
      </c>
      <c r="K18" s="31" t="s">
        <v>98</v>
      </c>
      <c r="L18" s="31" t="s">
        <v>40</v>
      </c>
      <c r="M18" s="30" t="s">
        <v>381</v>
      </c>
      <c r="N18" s="2" t="s">
        <v>42</v>
      </c>
      <c r="O18" s="31" t="s">
        <v>1010</v>
      </c>
      <c r="P18" s="30" t="s">
        <v>1022</v>
      </c>
      <c r="Q18" s="30" t="s">
        <v>43</v>
      </c>
      <c r="R18" s="31" t="s">
        <v>111</v>
      </c>
      <c r="S18" s="32">
        <v>20493068</v>
      </c>
      <c r="T18" s="30" t="s">
        <v>44</v>
      </c>
      <c r="U18" s="33">
        <v>0.40216064000000001</v>
      </c>
      <c r="V18" s="33">
        <v>-3.59783935546875</v>
      </c>
      <c r="W18" s="34">
        <v>0</v>
      </c>
      <c r="X18" s="35">
        <v>0</v>
      </c>
    </row>
    <row r="19" spans="1:24" x14ac:dyDescent="0.25">
      <c r="A19" s="30" t="s">
        <v>701</v>
      </c>
      <c r="B19" s="30" t="s">
        <v>781</v>
      </c>
      <c r="C19" s="30" t="s">
        <v>778</v>
      </c>
      <c r="D19" s="30" t="s">
        <v>799</v>
      </c>
      <c r="E19" s="30" t="s">
        <v>800</v>
      </c>
      <c r="F19" s="23" t="str">
        <f>HYPERLINK("https://mapwv.gov/flood/map/?wkid=102100&amp;x=-9091705.136248512&amp;y=4632010.09322111&amp;l=13&amp;v=2","FT")</f>
        <v>FT</v>
      </c>
      <c r="G19" s="31" t="s">
        <v>53</v>
      </c>
      <c r="H19" s="31" t="s">
        <v>25</v>
      </c>
      <c r="I19" s="30" t="s">
        <v>967</v>
      </c>
      <c r="J19" s="31" t="s">
        <v>26</v>
      </c>
      <c r="K19" s="31" t="s">
        <v>119</v>
      </c>
      <c r="L19" s="31" t="s">
        <v>33</v>
      </c>
      <c r="M19" s="30" t="s">
        <v>48</v>
      </c>
      <c r="N19" s="2" t="s">
        <v>35</v>
      </c>
      <c r="O19" s="31" t="s">
        <v>106</v>
      </c>
      <c r="P19" s="30" t="s">
        <v>1023</v>
      </c>
      <c r="Q19" s="30" t="s">
        <v>43</v>
      </c>
      <c r="R19" s="31" t="s">
        <v>111</v>
      </c>
      <c r="S19" s="32">
        <v>18588900</v>
      </c>
      <c r="T19" s="30" t="s">
        <v>31</v>
      </c>
      <c r="U19" s="33">
        <v>4.2900390000000002</v>
      </c>
      <c r="V19" s="33">
        <v>0.2900390625</v>
      </c>
      <c r="W19" s="34">
        <v>3.3203125E-2</v>
      </c>
      <c r="X19" s="35">
        <v>617209.5703125</v>
      </c>
    </row>
    <row r="20" spans="1:24" x14ac:dyDescent="0.25">
      <c r="A20" s="30" t="s">
        <v>702</v>
      </c>
      <c r="B20" s="30" t="s">
        <v>781</v>
      </c>
      <c r="C20" s="30" t="s">
        <v>778</v>
      </c>
      <c r="D20" s="30" t="s">
        <v>801</v>
      </c>
      <c r="E20" s="30" t="s">
        <v>802</v>
      </c>
      <c r="F20" s="23" t="str">
        <f>HYPERLINK("https://mapwv.gov/flood/map/?wkid=102100&amp;x=-9087615.528106535&amp;y=4630226.667086968&amp;l=13&amp;v=2","FT")</f>
        <v>FT</v>
      </c>
      <c r="G20" s="31" t="s">
        <v>32</v>
      </c>
      <c r="H20" s="31" t="s">
        <v>25</v>
      </c>
      <c r="I20" s="30" t="s">
        <v>969</v>
      </c>
      <c r="J20" s="31" t="s">
        <v>39</v>
      </c>
      <c r="K20" s="31" t="s">
        <v>126</v>
      </c>
      <c r="L20" s="31" t="s">
        <v>38</v>
      </c>
      <c r="M20" s="30" t="s">
        <v>56</v>
      </c>
      <c r="N20" s="2" t="s">
        <v>35</v>
      </c>
      <c r="O20" s="31" t="s">
        <v>1012</v>
      </c>
      <c r="P20" s="30" t="s">
        <v>1024</v>
      </c>
      <c r="Q20" s="30" t="s">
        <v>30</v>
      </c>
      <c r="R20" s="31" t="s">
        <v>110</v>
      </c>
      <c r="S20" s="32">
        <v>15407700</v>
      </c>
      <c r="T20" s="30" t="s">
        <v>31</v>
      </c>
      <c r="U20" s="33">
        <v>0.46929932000000002</v>
      </c>
      <c r="V20" s="33">
        <v>-0.53070068359375</v>
      </c>
      <c r="W20" s="34">
        <v>9.3859863281250001E-3</v>
      </c>
      <c r="X20" s="35">
        <v>144616.46154785101</v>
      </c>
    </row>
    <row r="21" spans="1:24" x14ac:dyDescent="0.25">
      <c r="A21" s="30" t="s">
        <v>703</v>
      </c>
      <c r="B21" s="30" t="s">
        <v>781</v>
      </c>
      <c r="C21" s="30" t="s">
        <v>778</v>
      </c>
      <c r="D21" s="30" t="s">
        <v>803</v>
      </c>
      <c r="E21" s="30" t="s">
        <v>804</v>
      </c>
      <c r="F21" s="23" t="str">
        <f>HYPERLINK("https://mapwv.gov/flood/map/?wkid=102100&amp;x=-9086347.120543908&amp;y=4626995.6242457265&amp;l=13&amp;v=2","FT")</f>
        <v>FT</v>
      </c>
      <c r="G21" s="31" t="s">
        <v>32</v>
      </c>
      <c r="H21" s="31" t="s">
        <v>25</v>
      </c>
      <c r="I21" s="30" t="s">
        <v>970</v>
      </c>
      <c r="J21" s="31" t="s">
        <v>39</v>
      </c>
      <c r="K21" s="31" t="s">
        <v>998</v>
      </c>
      <c r="L21" s="31" t="s">
        <v>45</v>
      </c>
      <c r="M21" s="30" t="s">
        <v>56</v>
      </c>
      <c r="N21" s="2" t="s">
        <v>35</v>
      </c>
      <c r="O21" s="31" t="s">
        <v>1012</v>
      </c>
      <c r="P21" s="30" t="s">
        <v>1025</v>
      </c>
      <c r="Q21" s="30" t="s">
        <v>43</v>
      </c>
      <c r="R21" s="31" t="s">
        <v>111</v>
      </c>
      <c r="S21" s="32">
        <v>14700590</v>
      </c>
      <c r="T21" s="30" t="s">
        <v>31</v>
      </c>
      <c r="U21" s="33">
        <v>0.57318115000000003</v>
      </c>
      <c r="V21" s="33">
        <v>-3.42681884765625</v>
      </c>
      <c r="W21" s="34">
        <v>0</v>
      </c>
      <c r="X21" s="35">
        <v>0</v>
      </c>
    </row>
    <row r="22" spans="1:24" x14ac:dyDescent="0.25">
      <c r="A22" s="30" t="s">
        <v>704</v>
      </c>
      <c r="B22" s="30" t="s">
        <v>781</v>
      </c>
      <c r="C22" s="30" t="s">
        <v>778</v>
      </c>
      <c r="D22" s="30" t="s">
        <v>805</v>
      </c>
      <c r="E22" s="30" t="s">
        <v>806</v>
      </c>
      <c r="F22" s="23" t="str">
        <f>HYPERLINK("https://mapwv.gov/flood/map/?wkid=102100&amp;x=-9087840.89252321&amp;y=4629416.186284928&amp;l=13&amp;v=2","FT")</f>
        <v>FT</v>
      </c>
      <c r="G22" s="31" t="s">
        <v>32</v>
      </c>
      <c r="H22" s="31" t="s">
        <v>25</v>
      </c>
      <c r="I22" s="30" t="s">
        <v>971</v>
      </c>
      <c r="J22" s="31" t="s">
        <v>26</v>
      </c>
      <c r="K22" s="31" t="s">
        <v>132</v>
      </c>
      <c r="L22" s="31" t="s">
        <v>38</v>
      </c>
      <c r="M22" s="30" t="s">
        <v>56</v>
      </c>
      <c r="N22" s="2" t="s">
        <v>35</v>
      </c>
      <c r="O22" s="31" t="s">
        <v>106</v>
      </c>
      <c r="P22" s="30" t="s">
        <v>1026</v>
      </c>
      <c r="Q22" s="30" t="s">
        <v>30</v>
      </c>
      <c r="R22" s="31" t="s">
        <v>110</v>
      </c>
      <c r="S22" s="32">
        <v>14590286</v>
      </c>
      <c r="T22" s="30" t="s">
        <v>44</v>
      </c>
      <c r="U22" s="33">
        <v>1.9420166000000001</v>
      </c>
      <c r="V22" s="33">
        <v>0.9420166015625</v>
      </c>
      <c r="W22" s="34">
        <v>0.104781494140625</v>
      </c>
      <c r="X22" s="35">
        <v>1528791.9670190399</v>
      </c>
    </row>
    <row r="23" spans="1:24" x14ac:dyDescent="0.25">
      <c r="A23" s="30" t="s">
        <v>705</v>
      </c>
      <c r="B23" s="30" t="s">
        <v>781</v>
      </c>
      <c r="C23" s="30" t="s">
        <v>778</v>
      </c>
      <c r="D23" s="30" t="s">
        <v>807</v>
      </c>
      <c r="E23" s="30" t="s">
        <v>808</v>
      </c>
      <c r="F23" s="23" t="str">
        <f>HYPERLINK("https://mapwv.gov/flood/map/?wkid=102100&amp;x=-9085339.74015531&amp;y=4626419.649955223&amp;l=13&amp;v=2","FT")</f>
        <v>FT</v>
      </c>
      <c r="G23" s="31" t="s">
        <v>32</v>
      </c>
      <c r="H23" s="31" t="s">
        <v>25</v>
      </c>
      <c r="I23" s="30" t="s">
        <v>972</v>
      </c>
      <c r="J23" s="31" t="s">
        <v>36</v>
      </c>
      <c r="K23" s="31" t="s">
        <v>83</v>
      </c>
      <c r="L23" s="31"/>
      <c r="M23" s="30" t="s">
        <v>1011</v>
      </c>
      <c r="N23" s="2" t="s">
        <v>101</v>
      </c>
      <c r="O23" s="31" t="s">
        <v>105</v>
      </c>
      <c r="P23" s="30" t="s">
        <v>1027</v>
      </c>
      <c r="Q23" s="30" t="s">
        <v>30</v>
      </c>
      <c r="R23" s="31" t="s">
        <v>110</v>
      </c>
      <c r="S23" s="32">
        <v>12665070</v>
      </c>
      <c r="T23" s="30" t="s">
        <v>112</v>
      </c>
      <c r="U23" s="33">
        <v>0</v>
      </c>
      <c r="V23" s="33">
        <v>-1</v>
      </c>
      <c r="W23" s="34">
        <v>0</v>
      </c>
      <c r="X23" s="35">
        <v>0</v>
      </c>
    </row>
    <row r="24" spans="1:24" x14ac:dyDescent="0.25">
      <c r="A24" s="30" t="s">
        <v>706</v>
      </c>
      <c r="B24" s="30" t="s">
        <v>781</v>
      </c>
      <c r="C24" s="30" t="s">
        <v>778</v>
      </c>
      <c r="D24" s="30" t="s">
        <v>809</v>
      </c>
      <c r="E24" s="30" t="s">
        <v>810</v>
      </c>
      <c r="F24" s="23" t="str">
        <f>HYPERLINK("https://mapwv.gov/flood/map/?wkid=102100&amp;x=-9084095.038300889&amp;y=4626048.593013376&amp;l=13&amp;v=2","FT")</f>
        <v>FT</v>
      </c>
      <c r="G24" s="31" t="s">
        <v>32</v>
      </c>
      <c r="H24" s="31" t="s">
        <v>25</v>
      </c>
      <c r="I24" s="30" t="s">
        <v>965</v>
      </c>
      <c r="J24" s="31" t="s">
        <v>39</v>
      </c>
      <c r="K24" s="31" t="s">
        <v>125</v>
      </c>
      <c r="L24" s="31" t="s">
        <v>49</v>
      </c>
      <c r="M24" s="30" t="s">
        <v>56</v>
      </c>
      <c r="N24" s="2" t="s">
        <v>35</v>
      </c>
      <c r="O24" s="31" t="s">
        <v>1010</v>
      </c>
      <c r="P24" s="30" t="s">
        <v>1028</v>
      </c>
      <c r="Q24" s="30" t="s">
        <v>43</v>
      </c>
      <c r="R24" s="31" t="s">
        <v>111</v>
      </c>
      <c r="S24" s="32">
        <v>12599200</v>
      </c>
      <c r="T24" s="30" t="s">
        <v>44</v>
      </c>
      <c r="U24" s="33">
        <v>1.1033325</v>
      </c>
      <c r="V24" s="33">
        <v>-2.89666748046875</v>
      </c>
      <c r="W24" s="34">
        <v>0</v>
      </c>
      <c r="X24" s="35">
        <v>0</v>
      </c>
    </row>
    <row r="25" spans="1:24" x14ac:dyDescent="0.25">
      <c r="A25" s="30" t="s">
        <v>707</v>
      </c>
      <c r="B25" s="30" t="s">
        <v>811</v>
      </c>
      <c r="C25" s="30" t="s">
        <v>778</v>
      </c>
      <c r="D25" s="30" t="s">
        <v>812</v>
      </c>
      <c r="E25" s="30" t="s">
        <v>813</v>
      </c>
      <c r="F25" s="23" t="str">
        <f>HYPERLINK("https://mapwv.gov/flood/map/?wkid=102100&amp;x=-9111023.133177632&amp;y=4638860.939673389&amp;l=13&amp;v=2","FT")</f>
        <v>FT</v>
      </c>
      <c r="G25" s="31" t="s">
        <v>79</v>
      </c>
      <c r="H25" s="31" t="s">
        <v>25</v>
      </c>
      <c r="I25" s="30"/>
      <c r="J25" s="31" t="s">
        <v>39</v>
      </c>
      <c r="K25" s="31" t="s">
        <v>999</v>
      </c>
      <c r="L25" s="31"/>
      <c r="M25" s="30" t="s">
        <v>68</v>
      </c>
      <c r="N25" s="2" t="s">
        <v>101</v>
      </c>
      <c r="O25" s="31" t="s">
        <v>105</v>
      </c>
      <c r="P25" s="30" t="s">
        <v>1029</v>
      </c>
      <c r="Q25" s="30" t="s">
        <v>30</v>
      </c>
      <c r="R25" s="31" t="s">
        <v>110</v>
      </c>
      <c r="S25" s="32">
        <v>12436721</v>
      </c>
      <c r="T25" s="30" t="s">
        <v>69</v>
      </c>
      <c r="U25" s="33">
        <v>0</v>
      </c>
      <c r="V25" s="33">
        <v>-1</v>
      </c>
      <c r="W25" s="34">
        <v>0</v>
      </c>
      <c r="X25" s="35">
        <v>0</v>
      </c>
    </row>
    <row r="26" spans="1:24" x14ac:dyDescent="0.25">
      <c r="A26" s="30" t="s">
        <v>708</v>
      </c>
      <c r="B26" s="30" t="s">
        <v>781</v>
      </c>
      <c r="C26" s="30" t="s">
        <v>778</v>
      </c>
      <c r="D26" s="30" t="s">
        <v>814</v>
      </c>
      <c r="E26" s="30" t="s">
        <v>815</v>
      </c>
      <c r="F26" s="23" t="str">
        <f>HYPERLINK("https://mapwv.gov/flood/map/?wkid=102100&amp;x=-9083864.521461576&amp;y=4626148.488787731&amp;l=13&amp;v=2","FT")</f>
        <v>FT</v>
      </c>
      <c r="G26" s="31" t="s">
        <v>32</v>
      </c>
      <c r="H26" s="31" t="s">
        <v>25</v>
      </c>
      <c r="I26" s="30" t="s">
        <v>973</v>
      </c>
      <c r="J26" s="31" t="s">
        <v>36</v>
      </c>
      <c r="K26" s="31" t="s">
        <v>83</v>
      </c>
      <c r="L26" s="31"/>
      <c r="M26" s="30" t="s">
        <v>379</v>
      </c>
      <c r="N26" s="2" t="s">
        <v>35</v>
      </c>
      <c r="O26" s="31" t="s">
        <v>1013</v>
      </c>
      <c r="P26" s="30" t="s">
        <v>1030</v>
      </c>
      <c r="Q26" s="30" t="s">
        <v>30</v>
      </c>
      <c r="R26" s="31" t="s">
        <v>110</v>
      </c>
      <c r="S26" s="32">
        <v>11583720</v>
      </c>
      <c r="T26" s="30" t="s">
        <v>112</v>
      </c>
      <c r="U26" s="33">
        <v>3.4912110000000003E-2</v>
      </c>
      <c r="V26" s="33">
        <v>-0.965087890625</v>
      </c>
      <c r="W26" s="34">
        <v>0</v>
      </c>
      <c r="X26" s="35">
        <v>0</v>
      </c>
    </row>
    <row r="27" spans="1:24" x14ac:dyDescent="0.25">
      <c r="A27" s="30" t="s">
        <v>709</v>
      </c>
      <c r="B27" s="30" t="s">
        <v>792</v>
      </c>
      <c r="C27" s="30" t="s">
        <v>492</v>
      </c>
      <c r="D27" s="30" t="s">
        <v>816</v>
      </c>
      <c r="E27" s="30" t="s">
        <v>817</v>
      </c>
      <c r="F27" s="23" t="str">
        <f>HYPERLINK("https://mapwv.gov/flood/map/?wkid=102100&amp;x=-9070077.382559512&amp;y=4642138.735002994&amp;l=13&amp;v=2","FT")</f>
        <v>FT</v>
      </c>
      <c r="G27" s="31" t="s">
        <v>32</v>
      </c>
      <c r="H27" s="31" t="s">
        <v>25</v>
      </c>
      <c r="I27" s="30" t="s">
        <v>67</v>
      </c>
      <c r="J27" s="31" t="s">
        <v>39</v>
      </c>
      <c r="K27" s="31" t="s">
        <v>88</v>
      </c>
      <c r="L27" s="31"/>
      <c r="M27" s="30" t="s">
        <v>68</v>
      </c>
      <c r="N27" s="2" t="s">
        <v>101</v>
      </c>
      <c r="O27" s="31" t="s">
        <v>105</v>
      </c>
      <c r="P27" s="30" t="s">
        <v>1031</v>
      </c>
      <c r="Q27" s="30" t="s">
        <v>30</v>
      </c>
      <c r="R27" s="31" t="s">
        <v>110</v>
      </c>
      <c r="S27" s="32">
        <v>11453001</v>
      </c>
      <c r="T27" s="30" t="s">
        <v>69</v>
      </c>
      <c r="U27" s="33">
        <v>1.5220947</v>
      </c>
      <c r="V27" s="33">
        <v>0.5220947265625</v>
      </c>
      <c r="W27" s="34">
        <v>2.6104736328124999E-2</v>
      </c>
      <c r="X27" s="35">
        <v>298977.57127075101</v>
      </c>
    </row>
    <row r="28" spans="1:24" x14ac:dyDescent="0.25">
      <c r="A28" s="30" t="s">
        <v>710</v>
      </c>
      <c r="B28" s="30" t="s">
        <v>818</v>
      </c>
      <c r="C28" s="30" t="s">
        <v>778</v>
      </c>
      <c r="D28" s="30" t="s">
        <v>819</v>
      </c>
      <c r="E28" s="30" t="s">
        <v>820</v>
      </c>
      <c r="F28" s="23" t="str">
        <f>HYPERLINK("https://mapwv.gov/flood/map/?wkid=102100&amp;x=-9064610.708345225&amp;y=4610127.307289232&amp;l=13&amp;v=2","FT")</f>
        <v>FT</v>
      </c>
      <c r="G28" s="31" t="s">
        <v>32</v>
      </c>
      <c r="H28" s="31" t="s">
        <v>25</v>
      </c>
      <c r="I28" s="30" t="s">
        <v>67</v>
      </c>
      <c r="J28" s="31" t="s">
        <v>39</v>
      </c>
      <c r="K28" s="31" t="s">
        <v>999</v>
      </c>
      <c r="L28" s="31"/>
      <c r="M28" s="30" t="s">
        <v>68</v>
      </c>
      <c r="N28" s="2" t="s">
        <v>101</v>
      </c>
      <c r="O28" s="31" t="s">
        <v>105</v>
      </c>
      <c r="P28" s="30" t="s">
        <v>1032</v>
      </c>
      <c r="Q28" s="30" t="s">
        <v>30</v>
      </c>
      <c r="R28" s="31" t="s">
        <v>110</v>
      </c>
      <c r="S28" s="32">
        <v>10953599</v>
      </c>
      <c r="T28" s="30" t="s">
        <v>69</v>
      </c>
      <c r="U28" s="33">
        <v>2.6390991000000001</v>
      </c>
      <c r="V28" s="33">
        <v>1.63909912109375</v>
      </c>
      <c r="W28" s="34">
        <v>6.2781982421874896E-2</v>
      </c>
      <c r="X28" s="35">
        <v>687688.65987426694</v>
      </c>
    </row>
    <row r="29" spans="1:24" x14ac:dyDescent="0.25">
      <c r="A29" s="30" t="s">
        <v>711</v>
      </c>
      <c r="B29" s="30" t="s">
        <v>777</v>
      </c>
      <c r="C29" s="30" t="s">
        <v>778</v>
      </c>
      <c r="D29" s="30" t="s">
        <v>821</v>
      </c>
      <c r="E29" s="30" t="s">
        <v>822</v>
      </c>
      <c r="F29" s="23" t="str">
        <f>HYPERLINK("https://mapwv.gov/flood/map/?wkid=102100&amp;x=-9093848.752119288&amp;y=4631291.176039374&amp;l=13&amp;v=2","FT")</f>
        <v>FT</v>
      </c>
      <c r="G29" s="31" t="s">
        <v>79</v>
      </c>
      <c r="H29" s="31" t="s">
        <v>25</v>
      </c>
      <c r="I29" s="30" t="s">
        <v>67</v>
      </c>
      <c r="J29" s="31" t="s">
        <v>26</v>
      </c>
      <c r="K29" s="31" t="s">
        <v>130</v>
      </c>
      <c r="L29" s="31"/>
      <c r="M29" s="30" t="s">
        <v>68</v>
      </c>
      <c r="N29" s="2" t="s">
        <v>101</v>
      </c>
      <c r="O29" s="31" t="s">
        <v>105</v>
      </c>
      <c r="P29" s="30" t="s">
        <v>1033</v>
      </c>
      <c r="Q29" s="30" t="s">
        <v>30</v>
      </c>
      <c r="R29" s="31" t="s">
        <v>110</v>
      </c>
      <c r="S29" s="32">
        <v>10905040</v>
      </c>
      <c r="T29" s="30" t="s">
        <v>69</v>
      </c>
      <c r="U29" s="33">
        <v>0</v>
      </c>
      <c r="V29" s="33">
        <v>-1</v>
      </c>
      <c r="W29" s="34">
        <v>0</v>
      </c>
      <c r="X29" s="35">
        <v>0</v>
      </c>
    </row>
    <row r="30" spans="1:24" x14ac:dyDescent="0.25">
      <c r="A30" s="30" t="s">
        <v>712</v>
      </c>
      <c r="B30" s="30" t="s">
        <v>823</v>
      </c>
      <c r="C30" s="30" t="s">
        <v>778</v>
      </c>
      <c r="D30" s="30" t="s">
        <v>824</v>
      </c>
      <c r="E30" s="30" t="s">
        <v>825</v>
      </c>
      <c r="F30" s="23" t="str">
        <f>HYPERLINK("https://mapwv.gov/flood/map/?wkid=102100&amp;x=-9067186.888714088&amp;y=4609817.642805586&amp;l=13&amp;v=2","FT")</f>
        <v>FT</v>
      </c>
      <c r="G30" s="31" t="s">
        <v>32</v>
      </c>
      <c r="H30" s="31" t="s">
        <v>25</v>
      </c>
      <c r="I30" s="30" t="s">
        <v>67</v>
      </c>
      <c r="J30" s="31" t="s">
        <v>39</v>
      </c>
      <c r="K30" s="31" t="s">
        <v>121</v>
      </c>
      <c r="L30" s="31"/>
      <c r="M30" s="30" t="s">
        <v>68</v>
      </c>
      <c r="N30" s="2" t="s">
        <v>101</v>
      </c>
      <c r="O30" s="31" t="s">
        <v>105</v>
      </c>
      <c r="P30" s="30" t="s">
        <v>1034</v>
      </c>
      <c r="Q30" s="30" t="s">
        <v>30</v>
      </c>
      <c r="R30" s="31" t="s">
        <v>110</v>
      </c>
      <c r="S30" s="32">
        <v>10503035</v>
      </c>
      <c r="T30" s="30" t="s">
        <v>69</v>
      </c>
      <c r="U30" s="33">
        <v>1.0498046999999999</v>
      </c>
      <c r="V30" s="33">
        <v>4.98046875E-2</v>
      </c>
      <c r="W30" s="34">
        <v>2.4902343749999899E-3</v>
      </c>
      <c r="X30" s="35">
        <v>26155.0187988281</v>
      </c>
    </row>
    <row r="31" spans="1:24" x14ac:dyDescent="0.25">
      <c r="A31" s="30" t="s">
        <v>713</v>
      </c>
      <c r="B31" s="30" t="s">
        <v>826</v>
      </c>
      <c r="C31" s="30" t="s">
        <v>778</v>
      </c>
      <c r="D31" s="30" t="s">
        <v>827</v>
      </c>
      <c r="E31" s="30" t="s">
        <v>828</v>
      </c>
      <c r="F31" s="23" t="str">
        <f>HYPERLINK("https://mapwv.gov/flood/map/?wkid=102100&amp;x=-9101033.875999631&amp;y=4631165.72045245&amp;l=13&amp;v=2","FT")</f>
        <v>FT</v>
      </c>
      <c r="G31" s="31" t="s">
        <v>32</v>
      </c>
      <c r="H31" s="31" t="s">
        <v>25</v>
      </c>
      <c r="I31" s="30" t="s">
        <v>67</v>
      </c>
      <c r="J31" s="31" t="s">
        <v>39</v>
      </c>
      <c r="K31" s="31" t="s">
        <v>376</v>
      </c>
      <c r="L31" s="31"/>
      <c r="M31" s="30" t="s">
        <v>68</v>
      </c>
      <c r="N31" s="2" t="s">
        <v>101</v>
      </c>
      <c r="O31" s="31" t="s">
        <v>105</v>
      </c>
      <c r="P31" s="30" t="s">
        <v>1035</v>
      </c>
      <c r="Q31" s="30" t="s">
        <v>30</v>
      </c>
      <c r="R31" s="31" t="s">
        <v>110</v>
      </c>
      <c r="S31" s="32">
        <v>10091730</v>
      </c>
      <c r="T31" s="30" t="s">
        <v>69</v>
      </c>
      <c r="U31" s="33">
        <v>1</v>
      </c>
      <c r="V31" s="33">
        <v>0</v>
      </c>
      <c r="W31" s="34">
        <v>0</v>
      </c>
      <c r="X31" s="35">
        <v>0</v>
      </c>
    </row>
    <row r="32" spans="1:24" x14ac:dyDescent="0.25">
      <c r="A32" s="30" t="s">
        <v>714</v>
      </c>
      <c r="B32" s="30" t="s">
        <v>792</v>
      </c>
      <c r="C32" s="30" t="s">
        <v>778</v>
      </c>
      <c r="D32" s="30" t="s">
        <v>829</v>
      </c>
      <c r="E32" s="30" t="s">
        <v>830</v>
      </c>
      <c r="F32" s="23" t="str">
        <f>HYPERLINK("https://mapwv.gov/flood/map/?wkid=102100&amp;x=-9079561.8865534&amp;y=4620393.485260605&amp;l=13&amp;v=2","FT")</f>
        <v>FT</v>
      </c>
      <c r="G32" s="31" t="s">
        <v>79</v>
      </c>
      <c r="H32" s="31" t="s">
        <v>25</v>
      </c>
      <c r="I32" s="30" t="s">
        <v>67</v>
      </c>
      <c r="J32" s="31" t="s">
        <v>39</v>
      </c>
      <c r="K32" s="31" t="s">
        <v>370</v>
      </c>
      <c r="L32" s="31"/>
      <c r="M32" s="30" t="s">
        <v>68</v>
      </c>
      <c r="N32" s="2" t="s">
        <v>101</v>
      </c>
      <c r="O32" s="31" t="s">
        <v>105</v>
      </c>
      <c r="P32" s="30" t="s">
        <v>1036</v>
      </c>
      <c r="Q32" s="30" t="s">
        <v>30</v>
      </c>
      <c r="R32" s="31" t="s">
        <v>110</v>
      </c>
      <c r="S32" s="32">
        <v>9110602</v>
      </c>
      <c r="T32" s="30" t="s">
        <v>69</v>
      </c>
      <c r="U32" s="33">
        <v>0</v>
      </c>
      <c r="V32" s="33">
        <v>-1</v>
      </c>
      <c r="W32" s="34">
        <v>0</v>
      </c>
      <c r="X32" s="35">
        <v>0</v>
      </c>
    </row>
    <row r="33" spans="1:24" x14ac:dyDescent="0.25">
      <c r="A33" s="30" t="s">
        <v>715</v>
      </c>
      <c r="B33" s="30" t="s">
        <v>792</v>
      </c>
      <c r="C33" s="30" t="s">
        <v>492</v>
      </c>
      <c r="D33" s="30" t="s">
        <v>831</v>
      </c>
      <c r="E33" s="30" t="s">
        <v>832</v>
      </c>
      <c r="F33" s="23" t="str">
        <f>HYPERLINK("https://mapwv.gov/flood/map/?wkid=102100&amp;x=-9079822.354792267&amp;y=4635239.675680841&amp;l=13&amp;v=2","FT")</f>
        <v>FT</v>
      </c>
      <c r="G33" s="31" t="s">
        <v>32</v>
      </c>
      <c r="H33" s="31" t="s">
        <v>25</v>
      </c>
      <c r="I33" s="30" t="s">
        <v>67</v>
      </c>
      <c r="J33" s="31" t="s">
        <v>39</v>
      </c>
      <c r="K33" s="31" t="s">
        <v>126</v>
      </c>
      <c r="L33" s="31"/>
      <c r="M33" s="30" t="s">
        <v>68</v>
      </c>
      <c r="N33" s="2" t="s">
        <v>101</v>
      </c>
      <c r="O33" s="31" t="s">
        <v>105</v>
      </c>
      <c r="P33" s="30" t="s">
        <v>1037</v>
      </c>
      <c r="Q33" s="30" t="s">
        <v>30</v>
      </c>
      <c r="R33" s="31" t="s">
        <v>110</v>
      </c>
      <c r="S33" s="32">
        <v>9010628</v>
      </c>
      <c r="T33" s="30" t="s">
        <v>69</v>
      </c>
      <c r="U33" s="33">
        <v>0</v>
      </c>
      <c r="V33" s="33">
        <v>-1</v>
      </c>
      <c r="W33" s="34">
        <v>0</v>
      </c>
      <c r="X33" s="35">
        <v>0</v>
      </c>
    </row>
    <row r="34" spans="1:24" x14ac:dyDescent="0.25">
      <c r="A34" s="30" t="s">
        <v>716</v>
      </c>
      <c r="B34" s="30" t="s">
        <v>781</v>
      </c>
      <c r="C34" s="30" t="s">
        <v>778</v>
      </c>
      <c r="D34" s="30" t="s">
        <v>833</v>
      </c>
      <c r="E34" s="30" t="s">
        <v>834</v>
      </c>
      <c r="F34" s="23" t="str">
        <f>HYPERLINK("https://mapwv.gov/flood/map/?wkid=102100&amp;x=-9085441.057923814&amp;y=4626540.335277225&amp;l=13&amp;v=2","FT")</f>
        <v>FT</v>
      </c>
      <c r="G34" s="31" t="s">
        <v>32</v>
      </c>
      <c r="H34" s="31" t="s">
        <v>25</v>
      </c>
      <c r="I34" s="30" t="s">
        <v>972</v>
      </c>
      <c r="J34" s="31" t="s">
        <v>36</v>
      </c>
      <c r="K34" s="31" t="s">
        <v>83</v>
      </c>
      <c r="L34" s="31"/>
      <c r="M34" s="30" t="s">
        <v>1011</v>
      </c>
      <c r="N34" s="2" t="s">
        <v>101</v>
      </c>
      <c r="O34" s="31" t="s">
        <v>105</v>
      </c>
      <c r="P34" s="30" t="s">
        <v>1038</v>
      </c>
      <c r="Q34" s="30" t="s">
        <v>30</v>
      </c>
      <c r="R34" s="31" t="s">
        <v>110</v>
      </c>
      <c r="S34" s="32">
        <v>8667830</v>
      </c>
      <c r="T34" s="30" t="s">
        <v>112</v>
      </c>
      <c r="U34" s="33">
        <v>0</v>
      </c>
      <c r="V34" s="33">
        <v>-1</v>
      </c>
      <c r="W34" s="34">
        <v>0</v>
      </c>
      <c r="X34" s="35">
        <v>0</v>
      </c>
    </row>
    <row r="35" spans="1:24" x14ac:dyDescent="0.25">
      <c r="A35" s="30" t="s">
        <v>717</v>
      </c>
      <c r="B35" s="30" t="s">
        <v>777</v>
      </c>
      <c r="C35" s="30" t="s">
        <v>778</v>
      </c>
      <c r="D35" s="30" t="s">
        <v>835</v>
      </c>
      <c r="E35" s="30" t="s">
        <v>836</v>
      </c>
      <c r="F35" s="23" t="str">
        <f>HYPERLINK("https://mapwv.gov/flood/map/?wkid=102100&amp;x=-9098779.972681059&amp;y=4629356.054681957&amp;l=13&amp;v=2","FT")</f>
        <v>FT</v>
      </c>
      <c r="G35" s="31" t="s">
        <v>79</v>
      </c>
      <c r="H35" s="31" t="s">
        <v>25</v>
      </c>
      <c r="I35" s="30" t="s">
        <v>67</v>
      </c>
      <c r="J35" s="31" t="s">
        <v>39</v>
      </c>
      <c r="K35" s="31" t="s">
        <v>371</v>
      </c>
      <c r="L35" s="31"/>
      <c r="M35" s="30" t="s">
        <v>68</v>
      </c>
      <c r="N35" s="2" t="s">
        <v>101</v>
      </c>
      <c r="O35" s="31" t="s">
        <v>106</v>
      </c>
      <c r="P35" s="30" t="s">
        <v>1039</v>
      </c>
      <c r="Q35" s="30" t="s">
        <v>30</v>
      </c>
      <c r="R35" s="31" t="s">
        <v>110</v>
      </c>
      <c r="S35" s="32">
        <v>8451127</v>
      </c>
      <c r="T35" s="30" t="s">
        <v>69</v>
      </c>
      <c r="U35" s="33">
        <v>0</v>
      </c>
      <c r="V35" s="33">
        <v>-1</v>
      </c>
      <c r="W35" s="34">
        <v>0</v>
      </c>
      <c r="X35" s="35">
        <v>0</v>
      </c>
    </row>
    <row r="36" spans="1:24" x14ac:dyDescent="0.25">
      <c r="A36" s="30" t="s">
        <v>718</v>
      </c>
      <c r="B36" s="30" t="s">
        <v>781</v>
      </c>
      <c r="C36" s="30" t="s">
        <v>778</v>
      </c>
      <c r="D36" s="30" t="s">
        <v>837</v>
      </c>
      <c r="E36" s="30" t="s">
        <v>838</v>
      </c>
      <c r="F36" s="23" t="str">
        <f>HYPERLINK("https://mapwv.gov/flood/map/?wkid=102100&amp;x=-9087353.550152736&amp;y=4629605.305063389&amp;l=13&amp;v=2","FT")</f>
        <v>FT</v>
      </c>
      <c r="G36" s="31" t="s">
        <v>32</v>
      </c>
      <c r="H36" s="31" t="s">
        <v>25</v>
      </c>
      <c r="I36" s="30" t="s">
        <v>974</v>
      </c>
      <c r="J36" s="31" t="s">
        <v>26</v>
      </c>
      <c r="K36" s="31" t="s">
        <v>97</v>
      </c>
      <c r="L36" s="31" t="s">
        <v>27</v>
      </c>
      <c r="M36" s="30" t="s">
        <v>379</v>
      </c>
      <c r="N36" s="2" t="s">
        <v>35</v>
      </c>
      <c r="O36" s="31" t="s">
        <v>1006</v>
      </c>
      <c r="P36" s="30" t="s">
        <v>1040</v>
      </c>
      <c r="Q36" s="30" t="s">
        <v>43</v>
      </c>
      <c r="R36" s="31" t="s">
        <v>111</v>
      </c>
      <c r="S36" s="32">
        <v>8445700</v>
      </c>
      <c r="T36" s="30" t="s">
        <v>44</v>
      </c>
      <c r="U36" s="33">
        <v>0.65460205000000005</v>
      </c>
      <c r="V36" s="33">
        <v>-3.34539794921875</v>
      </c>
      <c r="W36" s="34">
        <v>0</v>
      </c>
      <c r="X36" s="35">
        <v>0</v>
      </c>
    </row>
    <row r="37" spans="1:24" x14ac:dyDescent="0.25">
      <c r="A37" s="30" t="s">
        <v>719</v>
      </c>
      <c r="B37" s="30" t="s">
        <v>781</v>
      </c>
      <c r="C37" s="30" t="s">
        <v>778</v>
      </c>
      <c r="D37" s="30" t="s">
        <v>839</v>
      </c>
      <c r="E37" s="30" t="s">
        <v>840</v>
      </c>
      <c r="F37" s="23" t="str">
        <f>HYPERLINK("https://mapwv.gov/flood/map/?wkid=102100&amp;x=-9084197.112707969&amp;y=4626151.171404971&amp;l=13&amp;v=2","FT")</f>
        <v>FT</v>
      </c>
      <c r="G37" s="31" t="s">
        <v>32</v>
      </c>
      <c r="H37" s="31" t="s">
        <v>25</v>
      </c>
      <c r="I37" s="30" t="s">
        <v>975</v>
      </c>
      <c r="J37" s="31" t="s">
        <v>36</v>
      </c>
      <c r="K37" s="31" t="s">
        <v>83</v>
      </c>
      <c r="L37" s="31"/>
      <c r="M37" s="30" t="s">
        <v>1011</v>
      </c>
      <c r="N37" s="2" t="s">
        <v>101</v>
      </c>
      <c r="O37" s="31" t="s">
        <v>105</v>
      </c>
      <c r="P37" s="30" t="s">
        <v>1041</v>
      </c>
      <c r="Q37" s="30" t="s">
        <v>30</v>
      </c>
      <c r="R37" s="31" t="s">
        <v>110</v>
      </c>
      <c r="S37" s="32">
        <v>8203970</v>
      </c>
      <c r="T37" s="30" t="s">
        <v>112</v>
      </c>
      <c r="U37" s="33">
        <v>0.6098633</v>
      </c>
      <c r="V37" s="33">
        <v>-0.39013671875</v>
      </c>
      <c r="W37" s="34">
        <v>0</v>
      </c>
      <c r="X37" s="35">
        <v>0</v>
      </c>
    </row>
    <row r="38" spans="1:24" x14ac:dyDescent="0.25">
      <c r="A38" s="30" t="s">
        <v>720</v>
      </c>
      <c r="B38" s="30" t="s">
        <v>781</v>
      </c>
      <c r="C38" s="30" t="s">
        <v>778</v>
      </c>
      <c r="D38" s="30" t="s">
        <v>841</v>
      </c>
      <c r="E38" s="30" t="s">
        <v>842</v>
      </c>
      <c r="F38" s="23" t="str">
        <f>HYPERLINK("https://mapwv.gov/flood/map/?wkid=102100&amp;x=-9087009.718086798&amp;y=4629119.84432058&amp;l=13&amp;v=2","FT")</f>
        <v>FT</v>
      </c>
      <c r="G38" s="31" t="s">
        <v>79</v>
      </c>
      <c r="H38" s="31" t="s">
        <v>25</v>
      </c>
      <c r="I38" s="30" t="s">
        <v>67</v>
      </c>
      <c r="J38" s="31" t="s">
        <v>39</v>
      </c>
      <c r="K38" s="31" t="s">
        <v>1000</v>
      </c>
      <c r="L38" s="31"/>
      <c r="M38" s="30" t="s">
        <v>68</v>
      </c>
      <c r="N38" s="2" t="s">
        <v>101</v>
      </c>
      <c r="O38" s="31" t="s">
        <v>107</v>
      </c>
      <c r="P38" s="30" t="s">
        <v>1042</v>
      </c>
      <c r="Q38" s="30" t="s">
        <v>30</v>
      </c>
      <c r="R38" s="31" t="s">
        <v>110</v>
      </c>
      <c r="S38" s="32">
        <v>7651754</v>
      </c>
      <c r="T38" s="30" t="s">
        <v>69</v>
      </c>
      <c r="U38" s="33">
        <v>0</v>
      </c>
      <c r="V38" s="33">
        <v>-1</v>
      </c>
      <c r="W38" s="34">
        <v>0</v>
      </c>
      <c r="X38" s="35">
        <v>0</v>
      </c>
    </row>
    <row r="39" spans="1:24" x14ac:dyDescent="0.25">
      <c r="A39" s="30" t="s">
        <v>721</v>
      </c>
      <c r="B39" s="30" t="s">
        <v>781</v>
      </c>
      <c r="C39" s="30" t="s">
        <v>778</v>
      </c>
      <c r="D39" s="30" t="s">
        <v>843</v>
      </c>
      <c r="E39" s="30" t="s">
        <v>844</v>
      </c>
      <c r="F39" s="23" t="str">
        <f>HYPERLINK("https://mapwv.gov/flood/map/?wkid=102100&amp;x=-9090492.862095714&amp;y=4631137.996284832&amp;l=13&amp;v=2","FT")</f>
        <v>FT</v>
      </c>
      <c r="G39" s="31" t="s">
        <v>32</v>
      </c>
      <c r="H39" s="31" t="s">
        <v>25</v>
      </c>
      <c r="I39" s="30" t="s">
        <v>67</v>
      </c>
      <c r="J39" s="31" t="s">
        <v>39</v>
      </c>
      <c r="K39" s="31" t="s">
        <v>120</v>
      </c>
      <c r="L39" s="31"/>
      <c r="M39" s="30" t="s">
        <v>68</v>
      </c>
      <c r="N39" s="2" t="s">
        <v>101</v>
      </c>
      <c r="O39" s="31" t="s">
        <v>105</v>
      </c>
      <c r="P39" s="30" t="s">
        <v>1043</v>
      </c>
      <c r="Q39" s="30" t="s">
        <v>30</v>
      </c>
      <c r="R39" s="31" t="s">
        <v>110</v>
      </c>
      <c r="S39" s="32">
        <v>7500000</v>
      </c>
      <c r="T39" s="30" t="s">
        <v>69</v>
      </c>
      <c r="U39" s="33">
        <v>3.0029297E-2</v>
      </c>
      <c r="V39" s="33">
        <v>-0.969970703125</v>
      </c>
      <c r="W39" s="34">
        <v>0</v>
      </c>
      <c r="X39" s="35">
        <v>0</v>
      </c>
    </row>
    <row r="40" spans="1:24" x14ac:dyDescent="0.25">
      <c r="A40" s="30" t="s">
        <v>722</v>
      </c>
      <c r="B40" s="30" t="s">
        <v>781</v>
      </c>
      <c r="C40" s="30" t="s">
        <v>778</v>
      </c>
      <c r="D40" s="30" t="s">
        <v>845</v>
      </c>
      <c r="E40" s="30" t="s">
        <v>846</v>
      </c>
      <c r="F40" s="23" t="str">
        <f>HYPERLINK("https://mapwv.gov/flood/map/?wkid=102100&amp;x=-9086700.85202952&amp;y=4628686.200017732&amp;l=13&amp;v=2","FT")</f>
        <v>FT</v>
      </c>
      <c r="G40" s="31" t="s">
        <v>79</v>
      </c>
      <c r="H40" s="31" t="s">
        <v>25</v>
      </c>
      <c r="I40" s="30" t="s">
        <v>973</v>
      </c>
      <c r="J40" s="31" t="s">
        <v>39</v>
      </c>
      <c r="K40" s="31" t="s">
        <v>134</v>
      </c>
      <c r="L40" s="31"/>
      <c r="M40" s="30" t="s">
        <v>379</v>
      </c>
      <c r="N40" s="2" t="s">
        <v>35</v>
      </c>
      <c r="O40" s="31" t="s">
        <v>1006</v>
      </c>
      <c r="P40" s="30" t="s">
        <v>1044</v>
      </c>
      <c r="Q40" s="30" t="s">
        <v>30</v>
      </c>
      <c r="R40" s="31" t="s">
        <v>110</v>
      </c>
      <c r="S40" s="32">
        <v>6950232</v>
      </c>
      <c r="T40" s="30" t="s">
        <v>112</v>
      </c>
      <c r="U40" s="33">
        <v>0</v>
      </c>
      <c r="V40" s="33">
        <v>-1</v>
      </c>
      <c r="W40" s="34">
        <v>0</v>
      </c>
      <c r="X40" s="35">
        <v>0</v>
      </c>
    </row>
    <row r="41" spans="1:24" x14ac:dyDescent="0.25">
      <c r="A41" s="30" t="s">
        <v>723</v>
      </c>
      <c r="B41" s="30" t="s">
        <v>792</v>
      </c>
      <c r="C41" s="30" t="s">
        <v>492</v>
      </c>
      <c r="D41" s="30" t="s">
        <v>847</v>
      </c>
      <c r="E41" s="30" t="s">
        <v>848</v>
      </c>
      <c r="F41" s="23" t="str">
        <f>HYPERLINK("https://mapwv.gov/flood/map/?wkid=102100&amp;x=-9070913.904450312&amp;y=4641757.113973857&amp;l=13&amp;v=2","FT")</f>
        <v>FT</v>
      </c>
      <c r="G41" s="31" t="s">
        <v>32</v>
      </c>
      <c r="H41" s="31" t="s">
        <v>65</v>
      </c>
      <c r="I41" s="30"/>
      <c r="J41" s="31" t="s">
        <v>36</v>
      </c>
      <c r="K41" s="31" t="s">
        <v>83</v>
      </c>
      <c r="L41" s="31"/>
      <c r="M41" s="30" t="s">
        <v>48</v>
      </c>
      <c r="N41" s="2" t="s">
        <v>35</v>
      </c>
      <c r="O41" s="31" t="s">
        <v>105</v>
      </c>
      <c r="P41" s="30" t="s">
        <v>1045</v>
      </c>
      <c r="Q41" s="30" t="s">
        <v>30</v>
      </c>
      <c r="R41" s="31" t="s">
        <v>110</v>
      </c>
      <c r="S41" s="32">
        <v>6836410</v>
      </c>
      <c r="T41" s="30" t="s">
        <v>112</v>
      </c>
      <c r="U41" s="33">
        <v>4.8264769999999997</v>
      </c>
      <c r="V41" s="33">
        <v>3.82647705078125</v>
      </c>
      <c r="W41" s="34">
        <v>0.17652954101562501</v>
      </c>
      <c r="X41" s="35">
        <v>1206828.31949462</v>
      </c>
    </row>
    <row r="42" spans="1:24" x14ac:dyDescent="0.25">
      <c r="A42" s="30" t="s">
        <v>2291</v>
      </c>
      <c r="B42" s="30" t="s">
        <v>792</v>
      </c>
      <c r="C42" s="30" t="s">
        <v>778</v>
      </c>
      <c r="D42" s="30" t="s">
        <v>2292</v>
      </c>
      <c r="E42" s="30" t="s">
        <v>2293</v>
      </c>
      <c r="F42" s="23" t="str">
        <f>HYPERLINK("https://mapwv.gov/flood/map/?wkid=102100&amp;x=-9077555&amp;y=4612885&amp;l=12&amp;v=2","FT")</f>
        <v>FT</v>
      </c>
      <c r="G42" s="31" t="s">
        <v>32</v>
      </c>
      <c r="H42" s="31" t="s">
        <v>25</v>
      </c>
      <c r="I42" s="30" t="s">
        <v>2294</v>
      </c>
      <c r="J42" s="31" t="s">
        <v>26</v>
      </c>
      <c r="K42" s="31">
        <v>9999</v>
      </c>
      <c r="L42" s="31"/>
      <c r="M42" s="30" t="s">
        <v>28</v>
      </c>
      <c r="N42" s="2" t="s">
        <v>102</v>
      </c>
      <c r="O42" s="31" t="s">
        <v>105</v>
      </c>
      <c r="P42" s="50">
        <v>10000</v>
      </c>
      <c r="Q42" s="30" t="s">
        <v>30</v>
      </c>
      <c r="R42" s="31" t="s">
        <v>110</v>
      </c>
      <c r="S42" s="32">
        <v>6000000</v>
      </c>
      <c r="T42" s="30" t="s">
        <v>29</v>
      </c>
      <c r="U42" s="33">
        <v>0.8</v>
      </c>
      <c r="V42" s="33"/>
      <c r="W42" s="34"/>
      <c r="X42" s="35"/>
    </row>
    <row r="43" spans="1:24" x14ac:dyDescent="0.25">
      <c r="A43" s="30" t="s">
        <v>724</v>
      </c>
      <c r="B43" s="30" t="s">
        <v>849</v>
      </c>
      <c r="C43" s="30" t="s">
        <v>492</v>
      </c>
      <c r="D43" s="30" t="s">
        <v>850</v>
      </c>
      <c r="E43" s="30" t="s">
        <v>851</v>
      </c>
      <c r="F43" s="23" t="str">
        <f>HYPERLINK("https://mapwv.gov/flood/map/?wkid=102100&amp;x=-9054630.41605977&amp;y=4649007.751976204&amp;l=13&amp;v=2","FT")</f>
        <v>FT</v>
      </c>
      <c r="G43" s="31" t="s">
        <v>32</v>
      </c>
      <c r="H43" s="31" t="s">
        <v>25</v>
      </c>
      <c r="I43" s="30" t="s">
        <v>67</v>
      </c>
      <c r="J43" s="31" t="s">
        <v>39</v>
      </c>
      <c r="K43" s="31" t="s">
        <v>1000</v>
      </c>
      <c r="L43" s="31"/>
      <c r="M43" s="30" t="s">
        <v>68</v>
      </c>
      <c r="N43" s="2" t="s">
        <v>101</v>
      </c>
      <c r="O43" s="31" t="s">
        <v>105</v>
      </c>
      <c r="P43" s="30" t="s">
        <v>1046</v>
      </c>
      <c r="Q43" s="30" t="s">
        <v>30</v>
      </c>
      <c r="R43" s="31" t="s">
        <v>110</v>
      </c>
      <c r="S43" s="32">
        <v>5490125</v>
      </c>
      <c r="T43" s="30" t="s">
        <v>69</v>
      </c>
      <c r="U43" s="33">
        <v>7.0886230000000001</v>
      </c>
      <c r="V43" s="33">
        <v>6.088623046875</v>
      </c>
      <c r="W43" s="34">
        <v>0.1117724609375</v>
      </c>
      <c r="X43" s="35">
        <v>613644.78210449195</v>
      </c>
    </row>
    <row r="44" spans="1:24" x14ac:dyDescent="0.25">
      <c r="A44" s="30" t="s">
        <v>725</v>
      </c>
      <c r="B44" s="30" t="s">
        <v>781</v>
      </c>
      <c r="C44" s="30" t="s">
        <v>778</v>
      </c>
      <c r="D44" s="30" t="s">
        <v>852</v>
      </c>
      <c r="E44" s="30" t="s">
        <v>853</v>
      </c>
      <c r="F44" s="23" t="str">
        <f>HYPERLINK("https://mapwv.gov/flood/map/?wkid=102100&amp;x=-9088103.561771048&amp;y=4629312.732266445&amp;l=13&amp;v=2","FT")</f>
        <v>FT</v>
      </c>
      <c r="G44" s="31" t="s">
        <v>53</v>
      </c>
      <c r="H44" s="31" t="s">
        <v>25</v>
      </c>
      <c r="I44" s="30" t="s">
        <v>976</v>
      </c>
      <c r="J44" s="31" t="s">
        <v>39</v>
      </c>
      <c r="K44" s="31" t="s">
        <v>376</v>
      </c>
      <c r="L44" s="31" t="s">
        <v>27</v>
      </c>
      <c r="M44" s="30" t="s">
        <v>71</v>
      </c>
      <c r="N44" s="2" t="s">
        <v>102</v>
      </c>
      <c r="O44" s="31" t="s">
        <v>107</v>
      </c>
      <c r="P44" s="30" t="s">
        <v>1047</v>
      </c>
      <c r="Q44" s="30" t="s">
        <v>43</v>
      </c>
      <c r="R44" s="31" t="s">
        <v>111</v>
      </c>
      <c r="S44" s="32">
        <v>5325300</v>
      </c>
      <c r="T44" s="30" t="s">
        <v>44</v>
      </c>
      <c r="U44" s="33">
        <v>0.22485352</v>
      </c>
      <c r="V44" s="33">
        <v>-3.775146484375</v>
      </c>
      <c r="W44" s="34">
        <v>0</v>
      </c>
      <c r="X44" s="35">
        <v>0</v>
      </c>
    </row>
    <row r="45" spans="1:24" x14ac:dyDescent="0.25">
      <c r="A45" s="30" t="s">
        <v>726</v>
      </c>
      <c r="B45" s="30" t="s">
        <v>777</v>
      </c>
      <c r="C45" s="30" t="s">
        <v>778</v>
      </c>
      <c r="D45" s="30" t="s">
        <v>854</v>
      </c>
      <c r="E45" s="30" t="s">
        <v>855</v>
      </c>
      <c r="F45" s="23" t="str">
        <f>HYPERLINK("https://mapwv.gov/flood/map/?wkid=102100&amp;x=-9093583.115093827&amp;y=4632096.6649945&amp;l=13&amp;v=2","FT")</f>
        <v>FT</v>
      </c>
      <c r="G45" s="31" t="s">
        <v>32</v>
      </c>
      <c r="H45" s="31" t="s">
        <v>65</v>
      </c>
      <c r="I45" s="30" t="s">
        <v>977</v>
      </c>
      <c r="J45" s="31" t="s">
        <v>26</v>
      </c>
      <c r="K45" s="31" t="s">
        <v>98</v>
      </c>
      <c r="L45" s="31" t="s">
        <v>1001</v>
      </c>
      <c r="M45" s="30" t="s">
        <v>34</v>
      </c>
      <c r="N45" s="2" t="s">
        <v>104</v>
      </c>
      <c r="O45" s="31" t="s">
        <v>1013</v>
      </c>
      <c r="P45" s="30" t="s">
        <v>1048</v>
      </c>
      <c r="Q45" s="30" t="s">
        <v>43</v>
      </c>
      <c r="R45" s="31" t="s">
        <v>111</v>
      </c>
      <c r="S45" s="32">
        <v>5212400</v>
      </c>
      <c r="T45" s="30" t="s">
        <v>31</v>
      </c>
      <c r="U45" s="33">
        <v>19.859985000000002</v>
      </c>
      <c r="V45" s="33">
        <v>15.8599853515625</v>
      </c>
      <c r="W45" s="34">
        <v>0.53579956054687505</v>
      </c>
      <c r="X45" s="35">
        <v>2792801.6293945299</v>
      </c>
    </row>
    <row r="46" spans="1:24" x14ac:dyDescent="0.25">
      <c r="A46" s="30" t="s">
        <v>727</v>
      </c>
      <c r="B46" s="30" t="s">
        <v>826</v>
      </c>
      <c r="C46" s="30" t="s">
        <v>778</v>
      </c>
      <c r="D46" s="30" t="s">
        <v>856</v>
      </c>
      <c r="E46" s="30" t="s">
        <v>857</v>
      </c>
      <c r="F46" s="23" t="str">
        <f>HYPERLINK("https://mapwv.gov/flood/map/?wkid=102100&amp;x=-9099602.545460416&amp;y=4630380.281728226&amp;l=13&amp;v=2","FT")</f>
        <v>FT</v>
      </c>
      <c r="G46" s="31" t="s">
        <v>32</v>
      </c>
      <c r="H46" s="31" t="s">
        <v>25</v>
      </c>
      <c r="I46" s="30"/>
      <c r="J46" s="31" t="s">
        <v>26</v>
      </c>
      <c r="K46" s="31" t="s">
        <v>119</v>
      </c>
      <c r="L46" s="31"/>
      <c r="M46" s="30" t="s">
        <v>68</v>
      </c>
      <c r="N46" s="2" t="s">
        <v>101</v>
      </c>
      <c r="O46" s="31" t="s">
        <v>105</v>
      </c>
      <c r="P46" s="30" t="s">
        <v>1049</v>
      </c>
      <c r="Q46" s="30" t="s">
        <v>30</v>
      </c>
      <c r="R46" s="31" t="s">
        <v>110</v>
      </c>
      <c r="S46" s="32">
        <v>5087164</v>
      </c>
      <c r="T46" s="30" t="s">
        <v>69</v>
      </c>
      <c r="U46" s="33">
        <v>0</v>
      </c>
      <c r="V46" s="33">
        <v>-1</v>
      </c>
      <c r="W46" s="34">
        <v>0</v>
      </c>
      <c r="X46" s="35">
        <v>0</v>
      </c>
    </row>
    <row r="47" spans="1:24" x14ac:dyDescent="0.25">
      <c r="A47" s="30" t="s">
        <v>728</v>
      </c>
      <c r="B47" s="30" t="s">
        <v>781</v>
      </c>
      <c r="C47" s="30" t="s">
        <v>778</v>
      </c>
      <c r="D47" s="30" t="s">
        <v>858</v>
      </c>
      <c r="E47" s="30" t="s">
        <v>859</v>
      </c>
      <c r="F47" s="23" t="str">
        <f>HYPERLINK("https://mapwv.gov/flood/map/?wkid=102100&amp;x=-9086652.269309433&amp;y=4628122.051674143&amp;l=13&amp;v=2","FT")</f>
        <v>FT</v>
      </c>
      <c r="G47" s="31" t="s">
        <v>79</v>
      </c>
      <c r="H47" s="31" t="s">
        <v>25</v>
      </c>
      <c r="I47" s="30" t="s">
        <v>67</v>
      </c>
      <c r="J47" s="31" t="s">
        <v>39</v>
      </c>
      <c r="K47" s="31" t="s">
        <v>370</v>
      </c>
      <c r="L47" s="31"/>
      <c r="M47" s="30" t="s">
        <v>68</v>
      </c>
      <c r="N47" s="2" t="s">
        <v>101</v>
      </c>
      <c r="O47" s="31" t="s">
        <v>106</v>
      </c>
      <c r="P47" s="30" t="s">
        <v>1050</v>
      </c>
      <c r="Q47" s="30" t="s">
        <v>30</v>
      </c>
      <c r="R47" s="31" t="s">
        <v>110</v>
      </c>
      <c r="S47" s="32">
        <v>4944160</v>
      </c>
      <c r="T47" s="30" t="s">
        <v>69</v>
      </c>
      <c r="U47" s="33">
        <v>0</v>
      </c>
      <c r="V47" s="33">
        <v>-1</v>
      </c>
      <c r="W47" s="34">
        <v>0</v>
      </c>
      <c r="X47" s="35">
        <v>0</v>
      </c>
    </row>
    <row r="48" spans="1:24" x14ac:dyDescent="0.25">
      <c r="A48" s="30" t="s">
        <v>729</v>
      </c>
      <c r="B48" s="30" t="s">
        <v>781</v>
      </c>
      <c r="C48" s="30" t="s">
        <v>778</v>
      </c>
      <c r="D48" s="30" t="s">
        <v>860</v>
      </c>
      <c r="E48" s="30" t="s">
        <v>861</v>
      </c>
      <c r="F48" s="23" t="str">
        <f>HYPERLINK("https://mapwv.gov/flood/map/?wkid=102100&amp;x=-9087432.137705736&amp;y=4629544.449664959&amp;l=13&amp;v=2","FT")</f>
        <v>FT</v>
      </c>
      <c r="G48" s="31" t="s">
        <v>32</v>
      </c>
      <c r="H48" s="31" t="s">
        <v>25</v>
      </c>
      <c r="I48" s="30" t="s">
        <v>974</v>
      </c>
      <c r="J48" s="31" t="s">
        <v>26</v>
      </c>
      <c r="K48" s="31" t="s">
        <v>108</v>
      </c>
      <c r="L48" s="31" t="s">
        <v>99</v>
      </c>
      <c r="M48" s="30" t="s">
        <v>55</v>
      </c>
      <c r="N48" s="2" t="s">
        <v>35</v>
      </c>
      <c r="O48" s="31" t="s">
        <v>105</v>
      </c>
      <c r="P48" s="30" t="s">
        <v>1051</v>
      </c>
      <c r="Q48" s="30" t="s">
        <v>30</v>
      </c>
      <c r="R48" s="31" t="s">
        <v>110</v>
      </c>
      <c r="S48" s="32">
        <v>4781300</v>
      </c>
      <c r="T48" s="30" t="s">
        <v>44</v>
      </c>
      <c r="U48" s="33">
        <v>0.6369629</v>
      </c>
      <c r="V48" s="33">
        <v>-0.363037109375</v>
      </c>
      <c r="W48" s="34">
        <v>1.27392578125E-2</v>
      </c>
      <c r="X48" s="35">
        <v>60910.213378906199</v>
      </c>
    </row>
    <row r="49" spans="1:24" x14ac:dyDescent="0.25">
      <c r="A49" s="30" t="s">
        <v>730</v>
      </c>
      <c r="B49" s="30" t="s">
        <v>781</v>
      </c>
      <c r="C49" s="30" t="s">
        <v>778</v>
      </c>
      <c r="D49" s="30" t="s">
        <v>862</v>
      </c>
      <c r="E49" s="30" t="s">
        <v>796</v>
      </c>
      <c r="F49" s="23" t="str">
        <f>HYPERLINK("https://mapwv.gov/flood/map/?wkid=102100&amp;x=-9084262.912545782&amp;y=4626273.654402552&amp;l=13&amp;v=2","FT")</f>
        <v>FT</v>
      </c>
      <c r="G49" s="31" t="s">
        <v>53</v>
      </c>
      <c r="H49" s="31" t="s">
        <v>25</v>
      </c>
      <c r="I49" s="30" t="s">
        <v>965</v>
      </c>
      <c r="J49" s="31" t="s">
        <v>36</v>
      </c>
      <c r="K49" s="31" t="s">
        <v>83</v>
      </c>
      <c r="L49" s="31"/>
      <c r="M49" s="30" t="s">
        <v>55</v>
      </c>
      <c r="N49" s="2" t="s">
        <v>35</v>
      </c>
      <c r="O49" s="31" t="s">
        <v>105</v>
      </c>
      <c r="P49" s="30" t="s">
        <v>1052</v>
      </c>
      <c r="Q49" s="30" t="s">
        <v>30</v>
      </c>
      <c r="R49" s="31" t="s">
        <v>110</v>
      </c>
      <c r="S49" s="32">
        <v>4741750</v>
      </c>
      <c r="T49" s="30" t="s">
        <v>112</v>
      </c>
      <c r="U49" s="33">
        <v>1.7813721</v>
      </c>
      <c r="V49" s="33">
        <v>0.7813720703125</v>
      </c>
      <c r="W49" s="34">
        <v>9.0323486328124994E-2</v>
      </c>
      <c r="X49" s="35">
        <v>428291.39129638602</v>
      </c>
    </row>
    <row r="50" spans="1:24" x14ac:dyDescent="0.25">
      <c r="A50" s="30" t="s">
        <v>731</v>
      </c>
      <c r="B50" s="30" t="s">
        <v>781</v>
      </c>
      <c r="C50" s="30" t="s">
        <v>778</v>
      </c>
      <c r="D50" s="30" t="s">
        <v>863</v>
      </c>
      <c r="E50" s="30" t="s">
        <v>864</v>
      </c>
      <c r="F50" s="23" t="str">
        <f>HYPERLINK("https://mapwv.gov/flood/map/?wkid=102100&amp;x=-9087927.411812568&amp;y=4629305.406175471&amp;l=13&amp;v=2","FT")</f>
        <v>FT</v>
      </c>
      <c r="G50" s="31" t="s">
        <v>32</v>
      </c>
      <c r="H50" s="31" t="s">
        <v>25</v>
      </c>
      <c r="I50" s="30" t="s">
        <v>978</v>
      </c>
      <c r="J50" s="31" t="s">
        <v>26</v>
      </c>
      <c r="K50" s="31" t="s">
        <v>118</v>
      </c>
      <c r="L50" s="31" t="s">
        <v>27</v>
      </c>
      <c r="M50" s="30" t="s">
        <v>28</v>
      </c>
      <c r="N50" s="2" t="s">
        <v>102</v>
      </c>
      <c r="O50" s="31" t="s">
        <v>1007</v>
      </c>
      <c r="P50" s="30" t="s">
        <v>1053</v>
      </c>
      <c r="Q50" s="30" t="s">
        <v>30</v>
      </c>
      <c r="R50" s="31" t="s">
        <v>110</v>
      </c>
      <c r="S50" s="32">
        <v>4676400</v>
      </c>
      <c r="T50" s="30" t="s">
        <v>31</v>
      </c>
      <c r="U50" s="33">
        <v>1.1036376999999999</v>
      </c>
      <c r="V50" s="33">
        <v>0.1036376953125</v>
      </c>
      <c r="W50" s="34">
        <v>5.1818847656250003E-3</v>
      </c>
      <c r="X50" s="35">
        <v>24232.565917968699</v>
      </c>
    </row>
    <row r="51" spans="1:24" x14ac:dyDescent="0.25">
      <c r="A51" s="30" t="s">
        <v>732</v>
      </c>
      <c r="B51" s="30" t="s">
        <v>781</v>
      </c>
      <c r="C51" s="30" t="s">
        <v>778</v>
      </c>
      <c r="D51" s="30" t="s">
        <v>865</v>
      </c>
      <c r="E51" s="30" t="s">
        <v>866</v>
      </c>
      <c r="F51" s="23" t="str">
        <f>HYPERLINK("https://mapwv.gov/flood/map/?wkid=102100&amp;x=-9087504.631741123&amp;y=4629606.50784892&amp;l=13&amp;v=2","FT")</f>
        <v>FT</v>
      </c>
      <c r="G51" s="31" t="s">
        <v>32</v>
      </c>
      <c r="H51" s="31" t="s">
        <v>25</v>
      </c>
      <c r="I51" s="30" t="s">
        <v>974</v>
      </c>
      <c r="J51" s="31" t="s">
        <v>26</v>
      </c>
      <c r="K51" s="31" t="s">
        <v>117</v>
      </c>
      <c r="L51" s="31" t="s">
        <v>38</v>
      </c>
      <c r="M51" s="30" t="s">
        <v>55</v>
      </c>
      <c r="N51" s="2" t="s">
        <v>35</v>
      </c>
      <c r="O51" s="31" t="s">
        <v>107</v>
      </c>
      <c r="P51" s="30" t="s">
        <v>1054</v>
      </c>
      <c r="Q51" s="30" t="s">
        <v>30</v>
      </c>
      <c r="R51" s="31" t="s">
        <v>110</v>
      </c>
      <c r="S51" s="32">
        <v>4657700</v>
      </c>
      <c r="T51" s="30" t="s">
        <v>44</v>
      </c>
      <c r="U51" s="33">
        <v>1</v>
      </c>
      <c r="V51" s="33">
        <v>0</v>
      </c>
      <c r="W51" s="34">
        <v>0.02</v>
      </c>
      <c r="X51" s="35">
        <v>93154</v>
      </c>
    </row>
    <row r="52" spans="1:24" x14ac:dyDescent="0.25">
      <c r="A52" s="30" t="s">
        <v>733</v>
      </c>
      <c r="B52" s="30" t="s">
        <v>781</v>
      </c>
      <c r="C52" s="30" t="s">
        <v>778</v>
      </c>
      <c r="D52" s="30" t="s">
        <v>867</v>
      </c>
      <c r="E52" s="30" t="s">
        <v>868</v>
      </c>
      <c r="F52" s="23" t="str">
        <f>HYPERLINK("https://mapwv.gov/flood/map/?wkid=102100&amp;x=-9087954.765015211&amp;y=4630255.885807239&amp;l=13&amp;v=2","FT")</f>
        <v>FT</v>
      </c>
      <c r="G52" s="31" t="s">
        <v>32</v>
      </c>
      <c r="H52" s="31" t="s">
        <v>25</v>
      </c>
      <c r="I52" s="30" t="s">
        <v>965</v>
      </c>
      <c r="J52" s="31" t="s">
        <v>36</v>
      </c>
      <c r="K52" s="31" t="s">
        <v>83</v>
      </c>
      <c r="L52" s="31"/>
      <c r="M52" s="30" t="s">
        <v>379</v>
      </c>
      <c r="N52" s="2" t="s">
        <v>35</v>
      </c>
      <c r="O52" s="31" t="s">
        <v>105</v>
      </c>
      <c r="P52" s="30" t="s">
        <v>1055</v>
      </c>
      <c r="Q52" s="30" t="s">
        <v>30</v>
      </c>
      <c r="R52" s="31" t="s">
        <v>110</v>
      </c>
      <c r="S52" s="32">
        <v>4633488</v>
      </c>
      <c r="T52" s="30" t="s">
        <v>112</v>
      </c>
      <c r="U52" s="33">
        <v>0</v>
      </c>
      <c r="V52" s="33">
        <v>-1</v>
      </c>
      <c r="W52" s="34">
        <v>0</v>
      </c>
      <c r="X52" s="35">
        <v>0</v>
      </c>
    </row>
    <row r="53" spans="1:24" x14ac:dyDescent="0.25">
      <c r="A53" s="30" t="s">
        <v>734</v>
      </c>
      <c r="B53" s="30" t="s">
        <v>781</v>
      </c>
      <c r="C53" s="30" t="s">
        <v>778</v>
      </c>
      <c r="D53" s="30" t="s">
        <v>869</v>
      </c>
      <c r="E53" s="30" t="s">
        <v>870</v>
      </c>
      <c r="F53" s="23" t="str">
        <f>HYPERLINK("https://mapwv.gov/flood/map/?wkid=102100&amp;x=-9088412.977190018&amp;y=4629736.931064761&amp;l=13&amp;v=2","FT")</f>
        <v>FT</v>
      </c>
      <c r="G53" s="31" t="s">
        <v>32</v>
      </c>
      <c r="H53" s="31" t="s">
        <v>25</v>
      </c>
      <c r="I53" s="30" t="s">
        <v>979</v>
      </c>
      <c r="J53" s="31" t="s">
        <v>36</v>
      </c>
      <c r="K53" s="31" t="s">
        <v>83</v>
      </c>
      <c r="L53" s="31"/>
      <c r="M53" s="30" t="s">
        <v>381</v>
      </c>
      <c r="N53" s="2" t="s">
        <v>42</v>
      </c>
      <c r="O53" s="31" t="s">
        <v>105</v>
      </c>
      <c r="P53" s="30" t="s">
        <v>1056</v>
      </c>
      <c r="Q53" s="30" t="s">
        <v>30</v>
      </c>
      <c r="R53" s="31" t="s">
        <v>110</v>
      </c>
      <c r="S53" s="32">
        <v>4308665</v>
      </c>
      <c r="T53" s="30" t="s">
        <v>112</v>
      </c>
      <c r="U53" s="33">
        <v>0.52282715000000002</v>
      </c>
      <c r="V53" s="33">
        <v>-0.4771728515625</v>
      </c>
      <c r="W53" s="34">
        <v>0</v>
      </c>
      <c r="X53" s="35">
        <v>0</v>
      </c>
    </row>
    <row r="54" spans="1:24" x14ac:dyDescent="0.25">
      <c r="A54" s="30" t="s">
        <v>735</v>
      </c>
      <c r="B54" s="30" t="s">
        <v>871</v>
      </c>
      <c r="C54" s="30" t="s">
        <v>778</v>
      </c>
      <c r="D54" s="30" t="s">
        <v>872</v>
      </c>
      <c r="E54" s="30" t="s">
        <v>873</v>
      </c>
      <c r="F54" s="23" t="str">
        <f>HYPERLINK("https://mapwv.gov/flood/map/?wkid=102100&amp;x=-9076952.70507621&amp;y=4612377.06859138&amp;l=13&amp;v=2","FT")</f>
        <v>FT</v>
      </c>
      <c r="G54" s="31" t="s">
        <v>32</v>
      </c>
      <c r="H54" s="31" t="s">
        <v>25</v>
      </c>
      <c r="I54" s="30" t="s">
        <v>67</v>
      </c>
      <c r="J54" s="31" t="s">
        <v>39</v>
      </c>
      <c r="K54" s="31" t="s">
        <v>376</v>
      </c>
      <c r="L54" s="31"/>
      <c r="M54" s="30" t="s">
        <v>68</v>
      </c>
      <c r="N54" s="2" t="s">
        <v>101</v>
      </c>
      <c r="O54" s="31" t="s">
        <v>105</v>
      </c>
      <c r="P54" s="30" t="s">
        <v>1057</v>
      </c>
      <c r="Q54" s="30" t="s">
        <v>30</v>
      </c>
      <c r="R54" s="31" t="s">
        <v>110</v>
      </c>
      <c r="S54" s="32">
        <v>4177476</v>
      </c>
      <c r="T54" s="30" t="s">
        <v>69</v>
      </c>
      <c r="U54" s="33">
        <v>1.7726440000000001</v>
      </c>
      <c r="V54" s="33">
        <v>0.77264404296875</v>
      </c>
      <c r="W54" s="34">
        <v>3.8632202148437503E-2</v>
      </c>
      <c r="X54" s="35">
        <v>161385.09730224599</v>
      </c>
    </row>
    <row r="55" spans="1:24" x14ac:dyDescent="0.25">
      <c r="A55" s="30" t="s">
        <v>736</v>
      </c>
      <c r="B55" s="30" t="s">
        <v>874</v>
      </c>
      <c r="C55" s="30" t="s">
        <v>778</v>
      </c>
      <c r="D55" s="30" t="s">
        <v>875</v>
      </c>
      <c r="E55" s="30" t="s">
        <v>876</v>
      </c>
      <c r="F55" s="23" t="str">
        <f>HYPERLINK("https://mapwv.gov/flood/map/?wkid=102100&amp;x=-9060296.202103913&amp;y=4608912.362040093&amp;l=13&amp;v=2","FT")</f>
        <v>FT</v>
      </c>
      <c r="G55" s="31" t="s">
        <v>79</v>
      </c>
      <c r="H55" s="31" t="s">
        <v>25</v>
      </c>
      <c r="I55" s="30" t="s">
        <v>67</v>
      </c>
      <c r="J55" s="31" t="s">
        <v>39</v>
      </c>
      <c r="K55" s="31" t="s">
        <v>999</v>
      </c>
      <c r="L55" s="31"/>
      <c r="M55" s="30" t="s">
        <v>68</v>
      </c>
      <c r="N55" s="2" t="s">
        <v>101</v>
      </c>
      <c r="O55" s="31" t="s">
        <v>105</v>
      </c>
      <c r="P55" s="30" t="s">
        <v>1058</v>
      </c>
      <c r="Q55" s="30" t="s">
        <v>30</v>
      </c>
      <c r="R55" s="31" t="s">
        <v>110</v>
      </c>
      <c r="S55" s="32">
        <v>4150460</v>
      </c>
      <c r="T55" s="30" t="s">
        <v>69</v>
      </c>
      <c r="U55" s="33">
        <v>0</v>
      </c>
      <c r="V55" s="33">
        <v>-1</v>
      </c>
      <c r="W55" s="34">
        <v>0</v>
      </c>
      <c r="X55" s="35">
        <v>0</v>
      </c>
    </row>
    <row r="56" spans="1:24" x14ac:dyDescent="0.25">
      <c r="A56" s="30" t="s">
        <v>737</v>
      </c>
      <c r="B56" s="30" t="s">
        <v>792</v>
      </c>
      <c r="C56" s="30" t="s">
        <v>877</v>
      </c>
      <c r="D56" s="30" t="s">
        <v>878</v>
      </c>
      <c r="E56" s="30" t="s">
        <v>879</v>
      </c>
      <c r="F56" s="23" t="str">
        <f>HYPERLINK("https://mapwv.gov/flood/map/?wkid=102100&amp;x=-9088953.303185334&amp;y=4653209.1150733195&amp;l=13&amp;v=2","FT")</f>
        <v>FT</v>
      </c>
      <c r="G56" s="31" t="s">
        <v>32</v>
      </c>
      <c r="H56" s="31" t="s">
        <v>25</v>
      </c>
      <c r="I56" s="30" t="s">
        <v>980</v>
      </c>
      <c r="J56" s="31" t="s">
        <v>26</v>
      </c>
      <c r="K56" s="31" t="s">
        <v>90</v>
      </c>
      <c r="L56" s="31" t="s">
        <v>33</v>
      </c>
      <c r="M56" s="30" t="s">
        <v>48</v>
      </c>
      <c r="N56" s="2" t="s">
        <v>35</v>
      </c>
      <c r="O56" s="31" t="s">
        <v>105</v>
      </c>
      <c r="P56" s="30" t="s">
        <v>1059</v>
      </c>
      <c r="Q56" s="30" t="s">
        <v>43</v>
      </c>
      <c r="R56" s="31" t="s">
        <v>111</v>
      </c>
      <c r="S56" s="32">
        <v>4107700</v>
      </c>
      <c r="T56" s="30" t="s">
        <v>31</v>
      </c>
      <c r="U56" s="33">
        <v>0</v>
      </c>
      <c r="V56" s="33">
        <v>-4</v>
      </c>
      <c r="W56" s="34">
        <v>0</v>
      </c>
      <c r="X56" s="35">
        <v>0</v>
      </c>
    </row>
    <row r="57" spans="1:24" x14ac:dyDescent="0.25">
      <c r="A57" s="30" t="s">
        <v>738</v>
      </c>
      <c r="B57" s="30" t="s">
        <v>777</v>
      </c>
      <c r="C57" s="30" t="s">
        <v>778</v>
      </c>
      <c r="D57" s="30" t="s">
        <v>880</v>
      </c>
      <c r="E57" s="30" t="s">
        <v>881</v>
      </c>
      <c r="F57" s="23" t="str">
        <f>HYPERLINK("https://mapwv.gov/flood/map/?wkid=102100&amp;x=-9096454.4354928&amp;y=4629948.131325446&amp;l=13&amp;v=2","FT")</f>
        <v>FT</v>
      </c>
      <c r="G57" s="31" t="s">
        <v>32</v>
      </c>
      <c r="H57" s="31" t="s">
        <v>25</v>
      </c>
      <c r="I57" s="30" t="s">
        <v>968</v>
      </c>
      <c r="J57" s="31" t="s">
        <v>36</v>
      </c>
      <c r="K57" s="31" t="s">
        <v>83</v>
      </c>
      <c r="L57" s="31"/>
      <c r="M57" s="30" t="s">
        <v>71</v>
      </c>
      <c r="N57" s="2" t="s">
        <v>102</v>
      </c>
      <c r="O57" s="31" t="s">
        <v>105</v>
      </c>
      <c r="P57" s="30" t="s">
        <v>1060</v>
      </c>
      <c r="Q57" s="30" t="s">
        <v>30</v>
      </c>
      <c r="R57" s="31" t="s">
        <v>110</v>
      </c>
      <c r="S57" s="32">
        <v>4097580</v>
      </c>
      <c r="T57" s="30" t="s">
        <v>112</v>
      </c>
      <c r="U57" s="33">
        <v>0</v>
      </c>
      <c r="V57" s="33">
        <v>-1</v>
      </c>
      <c r="W57" s="34">
        <v>0</v>
      </c>
      <c r="X57" s="35">
        <v>0</v>
      </c>
    </row>
    <row r="58" spans="1:24" x14ac:dyDescent="0.25">
      <c r="A58" s="30" t="s">
        <v>739</v>
      </c>
      <c r="B58" s="30" t="s">
        <v>781</v>
      </c>
      <c r="C58" s="30" t="s">
        <v>778</v>
      </c>
      <c r="D58" s="30" t="s">
        <v>882</v>
      </c>
      <c r="E58" s="30" t="s">
        <v>883</v>
      </c>
      <c r="F58" s="23" t="str">
        <f>HYPERLINK("https://mapwv.gov/flood/map/?wkid=102100&amp;x=-9085505.244742205&amp;y=4626613.338306311&amp;l=13&amp;v=2","FT")</f>
        <v>FT</v>
      </c>
      <c r="G58" s="31" t="s">
        <v>32</v>
      </c>
      <c r="H58" s="31" t="s">
        <v>25</v>
      </c>
      <c r="I58" s="30" t="s">
        <v>972</v>
      </c>
      <c r="J58" s="31" t="s">
        <v>39</v>
      </c>
      <c r="K58" s="31" t="s">
        <v>134</v>
      </c>
      <c r="L58" s="31"/>
      <c r="M58" s="30" t="s">
        <v>71</v>
      </c>
      <c r="N58" s="2" t="s">
        <v>102</v>
      </c>
      <c r="O58" s="31" t="s">
        <v>107</v>
      </c>
      <c r="P58" s="30" t="s">
        <v>1061</v>
      </c>
      <c r="Q58" s="30" t="s">
        <v>30</v>
      </c>
      <c r="R58" s="31" t="s">
        <v>110</v>
      </c>
      <c r="S58" s="32">
        <v>4061370</v>
      </c>
      <c r="T58" s="30" t="s">
        <v>112</v>
      </c>
      <c r="U58" s="33">
        <v>0.13732910000000001</v>
      </c>
      <c r="V58" s="33">
        <v>-0.8626708984375</v>
      </c>
      <c r="W58" s="34">
        <v>0</v>
      </c>
      <c r="X58" s="35">
        <v>0</v>
      </c>
    </row>
    <row r="59" spans="1:24" x14ac:dyDescent="0.25">
      <c r="A59" s="30" t="s">
        <v>740</v>
      </c>
      <c r="B59" s="30" t="s">
        <v>781</v>
      </c>
      <c r="C59" s="30" t="s">
        <v>778</v>
      </c>
      <c r="D59" s="30" t="s">
        <v>884</v>
      </c>
      <c r="E59" s="30" t="s">
        <v>885</v>
      </c>
      <c r="F59" s="23" t="str">
        <f>HYPERLINK("https://mapwv.gov/flood/map/?wkid=102100&amp;x=-9092646.329630107&amp;y=4632606.215777553&amp;l=13&amp;v=2","FT")</f>
        <v>FT</v>
      </c>
      <c r="G59" s="31" t="s">
        <v>32</v>
      </c>
      <c r="H59" s="31" t="s">
        <v>25</v>
      </c>
      <c r="I59" s="30" t="s">
        <v>981</v>
      </c>
      <c r="J59" s="31" t="s">
        <v>36</v>
      </c>
      <c r="K59" s="31" t="s">
        <v>83</v>
      </c>
      <c r="L59" s="31"/>
      <c r="M59" s="30" t="s">
        <v>56</v>
      </c>
      <c r="N59" s="2" t="s">
        <v>35</v>
      </c>
      <c r="O59" s="31" t="s">
        <v>105</v>
      </c>
      <c r="P59" s="30" t="s">
        <v>1062</v>
      </c>
      <c r="Q59" s="30" t="s">
        <v>30</v>
      </c>
      <c r="R59" s="31" t="s">
        <v>110</v>
      </c>
      <c r="S59" s="32">
        <v>4056500</v>
      </c>
      <c r="T59" s="30" t="s">
        <v>31</v>
      </c>
      <c r="U59" s="33">
        <v>0</v>
      </c>
      <c r="V59" s="33">
        <v>-1</v>
      </c>
      <c r="W59" s="34">
        <v>0</v>
      </c>
      <c r="X59" s="35">
        <v>0</v>
      </c>
    </row>
    <row r="60" spans="1:24" x14ac:dyDescent="0.25">
      <c r="A60" s="30" t="s">
        <v>741</v>
      </c>
      <c r="B60" s="30" t="s">
        <v>826</v>
      </c>
      <c r="C60" s="30" t="s">
        <v>778</v>
      </c>
      <c r="D60" s="30" t="s">
        <v>886</v>
      </c>
      <c r="E60" s="30" t="s">
        <v>887</v>
      </c>
      <c r="F60" s="23" t="str">
        <f>HYPERLINK("https://mapwv.gov/flood/map/?wkid=102100&amp;x=-9100837.323516194&amp;y=4630684.234132693&amp;l=13&amp;v=2","FT")</f>
        <v>FT</v>
      </c>
      <c r="G60" s="31" t="s">
        <v>79</v>
      </c>
      <c r="H60" s="31" t="s">
        <v>25</v>
      </c>
      <c r="I60" s="30"/>
      <c r="J60" s="31" t="s">
        <v>39</v>
      </c>
      <c r="K60" s="31" t="s">
        <v>999</v>
      </c>
      <c r="L60" s="31"/>
      <c r="M60" s="30" t="s">
        <v>68</v>
      </c>
      <c r="N60" s="2" t="s">
        <v>101</v>
      </c>
      <c r="O60" s="31" t="s">
        <v>105</v>
      </c>
      <c r="P60" s="30" t="s">
        <v>1063</v>
      </c>
      <c r="Q60" s="30" t="s">
        <v>30</v>
      </c>
      <c r="R60" s="31" t="s">
        <v>110</v>
      </c>
      <c r="S60" s="32">
        <v>4048659</v>
      </c>
      <c r="T60" s="30" t="s">
        <v>69</v>
      </c>
      <c r="U60" s="33">
        <v>0</v>
      </c>
      <c r="V60" s="33">
        <v>-1</v>
      </c>
      <c r="W60" s="34">
        <v>0</v>
      </c>
      <c r="X60" s="35">
        <v>0</v>
      </c>
    </row>
    <row r="61" spans="1:24" x14ac:dyDescent="0.25">
      <c r="A61" s="30" t="s">
        <v>742</v>
      </c>
      <c r="B61" s="30" t="s">
        <v>781</v>
      </c>
      <c r="C61" s="30" t="s">
        <v>778</v>
      </c>
      <c r="D61" s="30" t="s">
        <v>888</v>
      </c>
      <c r="E61" s="30" t="s">
        <v>889</v>
      </c>
      <c r="F61" s="23" t="str">
        <f>HYPERLINK("https://mapwv.gov/flood/map/?wkid=102100&amp;x=-9085287.937852912&amp;y=4626458.832113082&amp;l=13&amp;v=2","FT")</f>
        <v>FT</v>
      </c>
      <c r="G61" s="31" t="s">
        <v>32</v>
      </c>
      <c r="H61" s="31" t="s">
        <v>25</v>
      </c>
      <c r="I61" s="30" t="s">
        <v>972</v>
      </c>
      <c r="J61" s="31" t="s">
        <v>36</v>
      </c>
      <c r="K61" s="31" t="s">
        <v>83</v>
      </c>
      <c r="L61" s="31"/>
      <c r="M61" s="30" t="s">
        <v>1011</v>
      </c>
      <c r="N61" s="2" t="s">
        <v>101</v>
      </c>
      <c r="O61" s="31" t="s">
        <v>105</v>
      </c>
      <c r="P61" s="30" t="s">
        <v>1064</v>
      </c>
      <c r="Q61" s="30" t="s">
        <v>30</v>
      </c>
      <c r="R61" s="31" t="s">
        <v>110</v>
      </c>
      <c r="S61" s="32">
        <v>3956630</v>
      </c>
      <c r="T61" s="30" t="s">
        <v>112</v>
      </c>
      <c r="U61" s="33">
        <v>0</v>
      </c>
      <c r="V61" s="33">
        <v>-1</v>
      </c>
      <c r="W61" s="34">
        <v>0</v>
      </c>
      <c r="X61" s="35">
        <v>0</v>
      </c>
    </row>
    <row r="62" spans="1:24" x14ac:dyDescent="0.25">
      <c r="A62" s="30" t="s">
        <v>743</v>
      </c>
      <c r="B62" s="30" t="s">
        <v>890</v>
      </c>
      <c r="C62" s="30" t="s">
        <v>778</v>
      </c>
      <c r="D62" s="30" t="s">
        <v>891</v>
      </c>
      <c r="E62" s="30" t="s">
        <v>892</v>
      </c>
      <c r="F62" s="23" t="str">
        <f>HYPERLINK("https://mapwv.gov/flood/map/?wkid=102100&amp;x=-9108846.255488282&amp;y=4634257.453958844&amp;l=13&amp;v=2","FT")</f>
        <v>FT</v>
      </c>
      <c r="G62" s="31" t="s">
        <v>53</v>
      </c>
      <c r="H62" s="31" t="s">
        <v>25</v>
      </c>
      <c r="I62" s="30" t="s">
        <v>982</v>
      </c>
      <c r="J62" s="31" t="s">
        <v>39</v>
      </c>
      <c r="K62" s="31" t="s">
        <v>640</v>
      </c>
      <c r="L62" s="31" t="s">
        <v>50</v>
      </c>
      <c r="M62" s="30" t="s">
        <v>48</v>
      </c>
      <c r="N62" s="2" t="s">
        <v>35</v>
      </c>
      <c r="O62" s="31" t="s">
        <v>105</v>
      </c>
      <c r="P62" s="30" t="s">
        <v>1065</v>
      </c>
      <c r="Q62" s="30" t="s">
        <v>30</v>
      </c>
      <c r="R62" s="31" t="s">
        <v>110</v>
      </c>
      <c r="S62" s="32">
        <v>3933700</v>
      </c>
      <c r="T62" s="30" t="s">
        <v>31</v>
      </c>
      <c r="U62" s="33">
        <v>1</v>
      </c>
      <c r="V62" s="33">
        <v>0</v>
      </c>
      <c r="W62" s="34">
        <v>0.01</v>
      </c>
      <c r="X62" s="35">
        <v>39337</v>
      </c>
    </row>
    <row r="63" spans="1:24" x14ac:dyDescent="0.25">
      <c r="A63" s="30" t="s">
        <v>744</v>
      </c>
      <c r="B63" s="30" t="s">
        <v>781</v>
      </c>
      <c r="C63" s="30" t="s">
        <v>778</v>
      </c>
      <c r="D63" s="30" t="s">
        <v>893</v>
      </c>
      <c r="E63" s="30" t="s">
        <v>894</v>
      </c>
      <c r="F63" s="23" t="str">
        <f>HYPERLINK("https://mapwv.gov/flood/map/?wkid=102100&amp;x=-9087406.27473712&amp;y=4628510.839915265&amp;l=13&amp;v=2","FT")</f>
        <v>FT</v>
      </c>
      <c r="G63" s="31" t="s">
        <v>79</v>
      </c>
      <c r="H63" s="31" t="s">
        <v>25</v>
      </c>
      <c r="I63" s="30" t="s">
        <v>983</v>
      </c>
      <c r="J63" s="31" t="s">
        <v>26</v>
      </c>
      <c r="K63" s="31" t="s">
        <v>117</v>
      </c>
      <c r="L63" s="31"/>
      <c r="M63" s="30" t="s">
        <v>68</v>
      </c>
      <c r="N63" s="2" t="s">
        <v>101</v>
      </c>
      <c r="O63" s="31" t="s">
        <v>107</v>
      </c>
      <c r="P63" s="30" t="s">
        <v>1066</v>
      </c>
      <c r="Q63" s="30" t="s">
        <v>30</v>
      </c>
      <c r="R63" s="31" t="s">
        <v>110</v>
      </c>
      <c r="S63" s="32">
        <v>3706790</v>
      </c>
      <c r="T63" s="30" t="s">
        <v>112</v>
      </c>
      <c r="U63" s="33">
        <v>0</v>
      </c>
      <c r="V63" s="33">
        <v>-1</v>
      </c>
      <c r="W63" s="34">
        <v>0</v>
      </c>
      <c r="X63" s="35">
        <v>0</v>
      </c>
    </row>
    <row r="64" spans="1:24" x14ac:dyDescent="0.25">
      <c r="A64" s="30" t="s">
        <v>745</v>
      </c>
      <c r="B64" s="30" t="s">
        <v>781</v>
      </c>
      <c r="C64" s="30" t="s">
        <v>778</v>
      </c>
      <c r="D64" s="30" t="s">
        <v>801</v>
      </c>
      <c r="E64" s="30" t="s">
        <v>895</v>
      </c>
      <c r="F64" s="23" t="str">
        <f>HYPERLINK("https://mapwv.gov/flood/map/?wkid=102100&amp;x=-9087585.905767396&amp;y=4630288.403013786&amp;l=13&amp;v=2","FT")</f>
        <v>FT</v>
      </c>
      <c r="G64" s="31" t="s">
        <v>53</v>
      </c>
      <c r="H64" s="31" t="s">
        <v>25</v>
      </c>
      <c r="I64" s="30" t="s">
        <v>969</v>
      </c>
      <c r="J64" s="31" t="s">
        <v>39</v>
      </c>
      <c r="K64" s="31" t="s">
        <v>126</v>
      </c>
      <c r="L64" s="31" t="s">
        <v>38</v>
      </c>
      <c r="M64" s="30" t="s">
        <v>56</v>
      </c>
      <c r="N64" s="2" t="s">
        <v>35</v>
      </c>
      <c r="O64" s="31" t="s">
        <v>1012</v>
      </c>
      <c r="P64" s="30" t="s">
        <v>1067</v>
      </c>
      <c r="Q64" s="30" t="s">
        <v>30</v>
      </c>
      <c r="R64" s="31" t="s">
        <v>110</v>
      </c>
      <c r="S64" s="32">
        <v>3630700</v>
      </c>
      <c r="T64" s="30" t="s">
        <v>31</v>
      </c>
      <c r="U64" s="33">
        <v>0.76788330000000005</v>
      </c>
      <c r="V64" s="33">
        <v>-0.23211669921875</v>
      </c>
      <c r="W64" s="34">
        <v>1.5357666015625E-2</v>
      </c>
      <c r="X64" s="35">
        <v>55759.0780029296</v>
      </c>
    </row>
    <row r="65" spans="1:24" x14ac:dyDescent="0.25">
      <c r="A65" s="30" t="s">
        <v>746</v>
      </c>
      <c r="B65" s="30" t="s">
        <v>781</v>
      </c>
      <c r="C65" s="30" t="s">
        <v>778</v>
      </c>
      <c r="D65" s="30" t="s">
        <v>896</v>
      </c>
      <c r="E65" s="30" t="s">
        <v>897</v>
      </c>
      <c r="F65" s="23" t="str">
        <f>HYPERLINK("https://mapwv.gov/flood/map/?wkid=102100&amp;x=-9079793.273465851&amp;y=4624190.228802959&amp;l=13&amp;v=2","FT")</f>
        <v>FT</v>
      </c>
      <c r="G65" s="31" t="s">
        <v>32</v>
      </c>
      <c r="H65" s="31" t="s">
        <v>25</v>
      </c>
      <c r="I65" s="30" t="s">
        <v>984</v>
      </c>
      <c r="J65" s="31" t="s">
        <v>39</v>
      </c>
      <c r="K65" s="31" t="s">
        <v>88</v>
      </c>
      <c r="L65" s="31" t="s">
        <v>37</v>
      </c>
      <c r="M65" s="30" t="s">
        <v>70</v>
      </c>
      <c r="N65" s="2" t="s">
        <v>35</v>
      </c>
      <c r="O65" s="31" t="s">
        <v>105</v>
      </c>
      <c r="P65" s="30" t="s">
        <v>1068</v>
      </c>
      <c r="Q65" s="30" t="s">
        <v>30</v>
      </c>
      <c r="R65" s="31" t="s">
        <v>110</v>
      </c>
      <c r="S65" s="32">
        <v>3625344</v>
      </c>
      <c r="T65" s="30" t="s">
        <v>44</v>
      </c>
      <c r="U65" s="33">
        <v>0</v>
      </c>
      <c r="V65" s="33">
        <v>-1</v>
      </c>
      <c r="W65" s="34">
        <v>0</v>
      </c>
      <c r="X65" s="35">
        <v>0</v>
      </c>
    </row>
    <row r="66" spans="1:24" x14ac:dyDescent="0.25">
      <c r="A66" s="30" t="s">
        <v>747</v>
      </c>
      <c r="B66" s="30" t="s">
        <v>890</v>
      </c>
      <c r="C66" s="30" t="s">
        <v>778</v>
      </c>
      <c r="D66" s="30" t="s">
        <v>898</v>
      </c>
      <c r="E66" s="30" t="s">
        <v>899</v>
      </c>
      <c r="F66" s="23" t="str">
        <f>HYPERLINK("https://mapwv.gov/flood/map/?wkid=102100&amp;x=-9107373.91495998&amp;y=4634044.596672266&amp;l=13&amp;v=2","FT")</f>
        <v>FT</v>
      </c>
      <c r="G66" s="31" t="s">
        <v>53</v>
      </c>
      <c r="H66" s="31" t="s">
        <v>25</v>
      </c>
      <c r="I66" s="30" t="s">
        <v>985</v>
      </c>
      <c r="J66" s="31" t="s">
        <v>39</v>
      </c>
      <c r="K66" s="31" t="s">
        <v>999</v>
      </c>
      <c r="L66" s="31"/>
      <c r="M66" s="30" t="s">
        <v>68</v>
      </c>
      <c r="N66" s="2" t="s">
        <v>101</v>
      </c>
      <c r="O66" s="31" t="s">
        <v>105</v>
      </c>
      <c r="P66" s="30" t="s">
        <v>1069</v>
      </c>
      <c r="Q66" s="30" t="s">
        <v>30</v>
      </c>
      <c r="R66" s="31" t="s">
        <v>110</v>
      </c>
      <c r="S66" s="32">
        <v>3591331</v>
      </c>
      <c r="T66" s="30" t="s">
        <v>69</v>
      </c>
      <c r="U66" s="33">
        <v>1.1170654</v>
      </c>
      <c r="V66" s="33">
        <v>0.1170654296875</v>
      </c>
      <c r="W66" s="34">
        <v>5.8532714843750003E-3</v>
      </c>
      <c r="X66" s="35">
        <v>21021.035333251901</v>
      </c>
    </row>
    <row r="67" spans="1:24" x14ac:dyDescent="0.25">
      <c r="A67" s="30" t="s">
        <v>748</v>
      </c>
      <c r="B67" s="30" t="s">
        <v>781</v>
      </c>
      <c r="C67" s="30" t="s">
        <v>778</v>
      </c>
      <c r="D67" s="30" t="s">
        <v>900</v>
      </c>
      <c r="E67" s="30" t="s">
        <v>901</v>
      </c>
      <c r="F67" s="23" t="str">
        <f>HYPERLINK("https://mapwv.gov/flood/map/?wkid=102100&amp;x=-9087256.865167482&amp;y=4629598.456158521&amp;l=13&amp;v=2","FT")</f>
        <v>FT</v>
      </c>
      <c r="G67" s="31" t="s">
        <v>32</v>
      </c>
      <c r="H67" s="31" t="s">
        <v>25</v>
      </c>
      <c r="I67" s="30" t="s">
        <v>974</v>
      </c>
      <c r="J67" s="31" t="s">
        <v>26</v>
      </c>
      <c r="K67" s="31" t="s">
        <v>131</v>
      </c>
      <c r="L67" s="31" t="s">
        <v>40</v>
      </c>
      <c r="M67" s="30" t="s">
        <v>55</v>
      </c>
      <c r="N67" s="2" t="s">
        <v>35</v>
      </c>
      <c r="O67" s="31" t="s">
        <v>105</v>
      </c>
      <c r="P67" s="30" t="s">
        <v>1070</v>
      </c>
      <c r="Q67" s="30" t="s">
        <v>30</v>
      </c>
      <c r="R67" s="31" t="s">
        <v>110</v>
      </c>
      <c r="S67" s="32">
        <v>3411500</v>
      </c>
      <c r="T67" s="30" t="s">
        <v>44</v>
      </c>
      <c r="U67" s="33">
        <v>6.2011719999999999E-2</v>
      </c>
      <c r="V67" s="33">
        <v>-0.93798828125</v>
      </c>
      <c r="W67" s="34">
        <v>1.240234375E-3</v>
      </c>
      <c r="X67" s="35">
        <v>4231.0595703125</v>
      </c>
    </row>
    <row r="68" spans="1:24" x14ac:dyDescent="0.25">
      <c r="A68" s="30" t="s">
        <v>749</v>
      </c>
      <c r="B68" s="30" t="s">
        <v>902</v>
      </c>
      <c r="C68" s="30" t="s">
        <v>778</v>
      </c>
      <c r="D68" s="30" t="s">
        <v>903</v>
      </c>
      <c r="E68" s="30" t="s">
        <v>904</v>
      </c>
      <c r="F68" s="23" t="str">
        <f>HYPERLINK("https://mapwv.gov/flood/map/?wkid=102100&amp;x=-9075479.242002165&amp;y=4609901.828476242&amp;l=13&amp;v=2","FT")</f>
        <v>FT</v>
      </c>
      <c r="G68" s="31" t="s">
        <v>79</v>
      </c>
      <c r="H68" s="31" t="s">
        <v>25</v>
      </c>
      <c r="I68" s="30" t="s">
        <v>986</v>
      </c>
      <c r="J68" s="31" t="s">
        <v>39</v>
      </c>
      <c r="K68" s="31" t="s">
        <v>1002</v>
      </c>
      <c r="L68" s="31"/>
      <c r="M68" s="30" t="s">
        <v>68</v>
      </c>
      <c r="N68" s="2" t="s">
        <v>101</v>
      </c>
      <c r="O68" s="31" t="s">
        <v>105</v>
      </c>
      <c r="P68" s="30" t="s">
        <v>1071</v>
      </c>
      <c r="Q68" s="30" t="s">
        <v>30</v>
      </c>
      <c r="R68" s="31" t="s">
        <v>110</v>
      </c>
      <c r="S68" s="32">
        <v>3383595</v>
      </c>
      <c r="T68" s="30" t="s">
        <v>69</v>
      </c>
      <c r="U68" s="33">
        <v>0</v>
      </c>
      <c r="V68" s="33">
        <v>-1</v>
      </c>
      <c r="W68" s="34">
        <v>0</v>
      </c>
      <c r="X68" s="35">
        <v>0</v>
      </c>
    </row>
    <row r="69" spans="1:24" x14ac:dyDescent="0.25">
      <c r="A69" s="30" t="s">
        <v>750</v>
      </c>
      <c r="B69" s="30" t="s">
        <v>792</v>
      </c>
      <c r="C69" s="30" t="s">
        <v>492</v>
      </c>
      <c r="D69" s="30" t="s">
        <v>905</v>
      </c>
      <c r="E69" s="30" t="s">
        <v>906</v>
      </c>
      <c r="F69" s="23" t="str">
        <f>HYPERLINK("https://mapwv.gov/flood/map/?wkid=102100&amp;x=-9070012.413944341&amp;y=4642243.240032021&amp;l=13&amp;v=2","FT")</f>
        <v>FT</v>
      </c>
      <c r="G69" s="31" t="s">
        <v>32</v>
      </c>
      <c r="H69" s="31" t="s">
        <v>25</v>
      </c>
      <c r="I69" s="30" t="s">
        <v>987</v>
      </c>
      <c r="J69" s="31" t="s">
        <v>26</v>
      </c>
      <c r="K69" s="31" t="s">
        <v>116</v>
      </c>
      <c r="L69" s="31"/>
      <c r="M69" s="30" t="s">
        <v>68</v>
      </c>
      <c r="N69" s="2" t="s">
        <v>101</v>
      </c>
      <c r="O69" s="31" t="s">
        <v>105</v>
      </c>
      <c r="P69" s="30" t="s">
        <v>1072</v>
      </c>
      <c r="Q69" s="30" t="s">
        <v>30</v>
      </c>
      <c r="R69" s="31" t="s">
        <v>110</v>
      </c>
      <c r="S69" s="32">
        <v>3343500</v>
      </c>
      <c r="T69" s="30" t="s">
        <v>69</v>
      </c>
      <c r="U69" s="33">
        <v>0</v>
      </c>
      <c r="V69" s="33">
        <v>-1</v>
      </c>
      <c r="W69" s="34">
        <v>0</v>
      </c>
      <c r="X69" s="35">
        <v>0</v>
      </c>
    </row>
    <row r="70" spans="1:24" x14ac:dyDescent="0.25">
      <c r="A70" s="30" t="s">
        <v>751</v>
      </c>
      <c r="B70" s="30" t="s">
        <v>792</v>
      </c>
      <c r="C70" s="30" t="s">
        <v>907</v>
      </c>
      <c r="D70" s="30" t="s">
        <v>908</v>
      </c>
      <c r="E70" s="30" t="s">
        <v>909</v>
      </c>
      <c r="F70" s="23" t="str">
        <f>HYPERLINK("https://mapwv.gov/flood/map/?wkid=102100&amp;x=-9066794.526804822&amp;y=4600486.2068261355&amp;l=13&amp;v=2","FT")</f>
        <v>FT</v>
      </c>
      <c r="G70" s="31" t="s">
        <v>32</v>
      </c>
      <c r="H70" s="31" t="s">
        <v>25</v>
      </c>
      <c r="I70" s="30" t="s">
        <v>67</v>
      </c>
      <c r="J70" s="31" t="s">
        <v>39</v>
      </c>
      <c r="K70" s="31" t="s">
        <v>371</v>
      </c>
      <c r="L70" s="31"/>
      <c r="M70" s="30" t="s">
        <v>68</v>
      </c>
      <c r="N70" s="2" t="s">
        <v>101</v>
      </c>
      <c r="O70" s="31" t="s">
        <v>105</v>
      </c>
      <c r="P70" s="30" t="s">
        <v>1073</v>
      </c>
      <c r="Q70" s="30" t="s">
        <v>30</v>
      </c>
      <c r="R70" s="31" t="s">
        <v>110</v>
      </c>
      <c r="S70" s="32">
        <v>3310702</v>
      </c>
      <c r="T70" s="30" t="s">
        <v>69</v>
      </c>
      <c r="U70" s="33">
        <v>0.97283936000000004</v>
      </c>
      <c r="V70" s="33">
        <v>-2.716064453125E-2</v>
      </c>
      <c r="W70" s="34">
        <v>0</v>
      </c>
      <c r="X70" s="35">
        <v>0</v>
      </c>
    </row>
    <row r="71" spans="1:24" x14ac:dyDescent="0.25">
      <c r="A71" s="30" t="s">
        <v>752</v>
      </c>
      <c r="B71" s="30" t="s">
        <v>781</v>
      </c>
      <c r="C71" s="30" t="s">
        <v>778</v>
      </c>
      <c r="D71" s="30" t="s">
        <v>910</v>
      </c>
      <c r="E71" s="30" t="s">
        <v>911</v>
      </c>
      <c r="F71" s="23" t="str">
        <f>HYPERLINK("https://mapwv.gov/flood/map/?wkid=102100&amp;x=-9083185.08005521&amp;y=4626092.574740393&amp;l=13&amp;v=2","FT")</f>
        <v>FT</v>
      </c>
      <c r="G71" s="31" t="s">
        <v>79</v>
      </c>
      <c r="H71" s="31" t="s">
        <v>25</v>
      </c>
      <c r="I71" s="30" t="s">
        <v>67</v>
      </c>
      <c r="J71" s="31" t="s">
        <v>39</v>
      </c>
      <c r="K71" s="31" t="s">
        <v>371</v>
      </c>
      <c r="L71" s="31"/>
      <c r="M71" s="30" t="s">
        <v>68</v>
      </c>
      <c r="N71" s="2" t="s">
        <v>101</v>
      </c>
      <c r="O71" s="31" t="s">
        <v>105</v>
      </c>
      <c r="P71" s="30" t="s">
        <v>1074</v>
      </c>
      <c r="Q71" s="30" t="s">
        <v>30</v>
      </c>
      <c r="R71" s="31" t="s">
        <v>110</v>
      </c>
      <c r="S71" s="32">
        <v>3208643</v>
      </c>
      <c r="T71" s="30" t="s">
        <v>69</v>
      </c>
      <c r="U71" s="33">
        <v>0</v>
      </c>
      <c r="V71" s="33">
        <v>-1</v>
      </c>
      <c r="W71" s="34">
        <v>0</v>
      </c>
      <c r="X71" s="35">
        <v>0</v>
      </c>
    </row>
    <row r="72" spans="1:24" x14ac:dyDescent="0.25">
      <c r="A72" s="30" t="s">
        <v>753</v>
      </c>
      <c r="B72" s="30" t="s">
        <v>781</v>
      </c>
      <c r="C72" s="30" t="s">
        <v>778</v>
      </c>
      <c r="D72" s="30" t="s">
        <v>786</v>
      </c>
      <c r="E72" s="30" t="s">
        <v>912</v>
      </c>
      <c r="F72" s="23" t="str">
        <f>HYPERLINK("https://mapwv.gov/flood/map/?wkid=102100&amp;x=-9088316.796704696&amp;y=4629861.740192581&amp;l=13&amp;v=2","FT")</f>
        <v>FT</v>
      </c>
      <c r="G72" s="31" t="s">
        <v>32</v>
      </c>
      <c r="H72" s="31" t="s">
        <v>25</v>
      </c>
      <c r="I72" s="30" t="s">
        <v>962</v>
      </c>
      <c r="J72" s="31" t="s">
        <v>39</v>
      </c>
      <c r="K72" s="31" t="s">
        <v>81</v>
      </c>
      <c r="L72" s="31" t="s">
        <v>27</v>
      </c>
      <c r="M72" s="30" t="s">
        <v>52</v>
      </c>
      <c r="N72" s="2" t="s">
        <v>35</v>
      </c>
      <c r="O72" s="31" t="s">
        <v>1008</v>
      </c>
      <c r="P72" s="30" t="s">
        <v>1075</v>
      </c>
      <c r="Q72" s="30" t="s">
        <v>30</v>
      </c>
      <c r="R72" s="31" t="s">
        <v>110</v>
      </c>
      <c r="S72" s="32">
        <v>3133800</v>
      </c>
      <c r="T72" s="30" t="s">
        <v>31</v>
      </c>
      <c r="U72" s="33">
        <v>3.3114623999999999</v>
      </c>
      <c r="V72" s="33">
        <v>2.31146240234375</v>
      </c>
      <c r="W72" s="34">
        <v>0.113114624023437</v>
      </c>
      <c r="X72" s="35">
        <v>354478.60876464797</v>
      </c>
    </row>
    <row r="73" spans="1:24" x14ac:dyDescent="0.25">
      <c r="A73" s="30" t="s">
        <v>754</v>
      </c>
      <c r="B73" s="30" t="s">
        <v>781</v>
      </c>
      <c r="C73" s="30" t="s">
        <v>778</v>
      </c>
      <c r="D73" s="30" t="s">
        <v>913</v>
      </c>
      <c r="E73" s="30" t="s">
        <v>914</v>
      </c>
      <c r="F73" s="23" t="str">
        <f>HYPERLINK("https://mapwv.gov/flood/map/?wkid=102100&amp;x=-9091607.651877996&amp;y=4632326.395367319&amp;l=13&amp;v=2","FT")</f>
        <v>FT</v>
      </c>
      <c r="G73" s="31" t="s">
        <v>32</v>
      </c>
      <c r="H73" s="31" t="s">
        <v>25</v>
      </c>
      <c r="I73" s="30" t="s">
        <v>962</v>
      </c>
      <c r="J73" s="31" t="s">
        <v>36</v>
      </c>
      <c r="K73" s="31" t="s">
        <v>83</v>
      </c>
      <c r="L73" s="31"/>
      <c r="M73" s="30" t="s">
        <v>28</v>
      </c>
      <c r="N73" s="2" t="s">
        <v>102</v>
      </c>
      <c r="O73" s="31" t="s">
        <v>105</v>
      </c>
      <c r="P73" s="30" t="s">
        <v>1076</v>
      </c>
      <c r="Q73" s="30" t="s">
        <v>30</v>
      </c>
      <c r="R73" s="31" t="s">
        <v>110</v>
      </c>
      <c r="S73" s="32">
        <v>3111900</v>
      </c>
      <c r="T73" s="30" t="s">
        <v>112</v>
      </c>
      <c r="U73" s="33">
        <v>1.7000122</v>
      </c>
      <c r="V73" s="33">
        <v>0.70001220703125</v>
      </c>
      <c r="W73" s="34">
        <v>3.5000610351562503E-2</v>
      </c>
      <c r="X73" s="35">
        <v>108918.39935302699</v>
      </c>
    </row>
    <row r="74" spans="1:24" x14ac:dyDescent="0.25">
      <c r="A74" s="30" t="s">
        <v>755</v>
      </c>
      <c r="B74" s="30" t="s">
        <v>792</v>
      </c>
      <c r="C74" s="30" t="s">
        <v>915</v>
      </c>
      <c r="D74" s="30" t="s">
        <v>916</v>
      </c>
      <c r="E74" s="30" t="s">
        <v>917</v>
      </c>
      <c r="F74" s="23" t="str">
        <f>HYPERLINK("https://mapwv.gov/flood/map/?wkid=102100&amp;x=-9096254.514370257&amp;y=4633564.522477296&amp;l=13&amp;v=2","FT")</f>
        <v>FT</v>
      </c>
      <c r="G74" s="31" t="s">
        <v>32</v>
      </c>
      <c r="H74" s="31" t="s">
        <v>25</v>
      </c>
      <c r="I74" s="30" t="s">
        <v>988</v>
      </c>
      <c r="J74" s="31" t="s">
        <v>26</v>
      </c>
      <c r="K74" s="31" t="s">
        <v>365</v>
      </c>
      <c r="L74" s="31" t="s">
        <v>33</v>
      </c>
      <c r="M74" s="30" t="s">
        <v>70</v>
      </c>
      <c r="N74" s="2" t="s">
        <v>35</v>
      </c>
      <c r="O74" s="31" t="s">
        <v>105</v>
      </c>
      <c r="P74" s="30" t="s">
        <v>1077</v>
      </c>
      <c r="Q74" s="30" t="s">
        <v>30</v>
      </c>
      <c r="R74" s="31" t="s">
        <v>110</v>
      </c>
      <c r="S74" s="32">
        <v>3088900</v>
      </c>
      <c r="T74" s="30" t="s">
        <v>31</v>
      </c>
      <c r="U74" s="33">
        <v>0</v>
      </c>
      <c r="V74" s="33">
        <v>-1</v>
      </c>
      <c r="W74" s="34">
        <v>0</v>
      </c>
      <c r="X74" s="35">
        <v>0</v>
      </c>
    </row>
    <row r="75" spans="1:24" x14ac:dyDescent="0.25">
      <c r="A75" s="30" t="s">
        <v>756</v>
      </c>
      <c r="B75" s="30" t="s">
        <v>918</v>
      </c>
      <c r="C75" s="30" t="s">
        <v>778</v>
      </c>
      <c r="D75" s="30" t="s">
        <v>919</v>
      </c>
      <c r="E75" s="30" t="s">
        <v>920</v>
      </c>
      <c r="F75" s="23" t="str">
        <f>HYPERLINK("https://mapwv.gov/flood/map/?wkid=102100&amp;x=-9079962.73846627&amp;y=4614226.867477433&amp;l=13&amp;v=2","FT")</f>
        <v>FT</v>
      </c>
      <c r="G75" s="31" t="s">
        <v>79</v>
      </c>
      <c r="H75" s="31" t="s">
        <v>25</v>
      </c>
      <c r="I75" s="30" t="s">
        <v>67</v>
      </c>
      <c r="J75" s="31" t="s">
        <v>39</v>
      </c>
      <c r="K75" s="31" t="s">
        <v>1003</v>
      </c>
      <c r="L75" s="31"/>
      <c r="M75" s="30" t="s">
        <v>68</v>
      </c>
      <c r="N75" s="2" t="s">
        <v>101</v>
      </c>
      <c r="O75" s="31" t="s">
        <v>106</v>
      </c>
      <c r="P75" s="30" t="s">
        <v>1078</v>
      </c>
      <c r="Q75" s="30" t="s">
        <v>30</v>
      </c>
      <c r="R75" s="31" t="s">
        <v>110</v>
      </c>
      <c r="S75" s="32">
        <v>3057675</v>
      </c>
      <c r="T75" s="30" t="s">
        <v>69</v>
      </c>
      <c r="U75" s="33">
        <v>0</v>
      </c>
      <c r="V75" s="33">
        <v>-1</v>
      </c>
      <c r="W75" s="34">
        <v>0</v>
      </c>
      <c r="X75" s="35">
        <v>0</v>
      </c>
    </row>
    <row r="76" spans="1:24" x14ac:dyDescent="0.25">
      <c r="A76" s="30" t="s">
        <v>2295</v>
      </c>
      <c r="B76" s="30" t="s">
        <v>792</v>
      </c>
      <c r="C76" s="30" t="s">
        <v>877</v>
      </c>
      <c r="D76" s="30" t="s">
        <v>2296</v>
      </c>
      <c r="E76" s="30" t="s">
        <v>2298</v>
      </c>
      <c r="F76" s="23" t="str">
        <f>HYPERLINK("https://mapwv.gov/flood/map/?wkid=102100&amp;x=-9087199&amp;y=4653000&amp;l=12&amp;v=2","FT")</f>
        <v>FT</v>
      </c>
      <c r="G76" s="31" t="s">
        <v>32</v>
      </c>
      <c r="H76" s="31" t="s">
        <v>65</v>
      </c>
      <c r="I76" s="30" t="s">
        <v>2297</v>
      </c>
      <c r="J76" s="31" t="s">
        <v>26</v>
      </c>
      <c r="K76" s="31">
        <v>9999</v>
      </c>
      <c r="L76" s="31"/>
      <c r="M76" s="30" t="s">
        <v>28</v>
      </c>
      <c r="N76" s="2" t="s">
        <v>102</v>
      </c>
      <c r="O76" s="31">
        <v>1</v>
      </c>
      <c r="P76" s="50">
        <v>33000</v>
      </c>
      <c r="Q76" s="30" t="s">
        <v>30</v>
      </c>
      <c r="R76" s="31" t="s">
        <v>110</v>
      </c>
      <c r="S76" s="32">
        <v>3000000</v>
      </c>
      <c r="T76" s="30" t="s">
        <v>29</v>
      </c>
      <c r="U76" s="33"/>
      <c r="V76" s="33"/>
      <c r="W76" s="34"/>
      <c r="X76" s="35"/>
    </row>
    <row r="77" spans="1:24" x14ac:dyDescent="0.25">
      <c r="A77" s="30" t="s">
        <v>757</v>
      </c>
      <c r="B77" s="30" t="s">
        <v>781</v>
      </c>
      <c r="C77" s="30" t="s">
        <v>778</v>
      </c>
      <c r="D77" s="30" t="s">
        <v>921</v>
      </c>
      <c r="E77" s="30" t="s">
        <v>922</v>
      </c>
      <c r="F77" s="23" t="str">
        <f>HYPERLINK("https://mapwv.gov/flood/map/?wkid=102100&amp;x=-9087990.561578585&amp;y=4629088.474485262&amp;l=13&amp;v=2","FT")</f>
        <v>FT</v>
      </c>
      <c r="G77" s="31" t="s">
        <v>79</v>
      </c>
      <c r="H77" s="31" t="s">
        <v>25</v>
      </c>
      <c r="I77" s="30" t="s">
        <v>962</v>
      </c>
      <c r="J77" s="31" t="s">
        <v>26</v>
      </c>
      <c r="K77" s="31" t="s">
        <v>643</v>
      </c>
      <c r="L77" s="31" t="s">
        <v>27</v>
      </c>
      <c r="M77" s="30" t="s">
        <v>71</v>
      </c>
      <c r="N77" s="2" t="s">
        <v>102</v>
      </c>
      <c r="O77" s="31" t="s">
        <v>1006</v>
      </c>
      <c r="P77" s="30" t="s">
        <v>1079</v>
      </c>
      <c r="Q77" s="30" t="s">
        <v>30</v>
      </c>
      <c r="R77" s="31" t="s">
        <v>110</v>
      </c>
      <c r="S77" s="32">
        <v>2949500</v>
      </c>
      <c r="T77" s="30" t="s">
        <v>44</v>
      </c>
      <c r="U77" s="33">
        <v>0</v>
      </c>
      <c r="V77" s="33">
        <v>-1</v>
      </c>
      <c r="W77" s="34">
        <v>0</v>
      </c>
      <c r="X77" s="35">
        <v>0</v>
      </c>
    </row>
    <row r="78" spans="1:24" x14ac:dyDescent="0.25">
      <c r="A78" s="30" t="s">
        <v>758</v>
      </c>
      <c r="B78" s="30" t="s">
        <v>781</v>
      </c>
      <c r="C78" s="30" t="s">
        <v>778</v>
      </c>
      <c r="D78" s="30" t="s">
        <v>923</v>
      </c>
      <c r="E78" s="30" t="s">
        <v>924</v>
      </c>
      <c r="F78" s="23" t="str">
        <f>HYPERLINK("https://mapwv.gov/flood/map/?wkid=102100&amp;x=-9088211.728137266&amp;y=4629718.2420291705&amp;l=13&amp;v=2","FT")</f>
        <v>FT</v>
      </c>
      <c r="G78" s="31" t="s">
        <v>32</v>
      </c>
      <c r="H78" s="31" t="s">
        <v>25</v>
      </c>
      <c r="I78" s="30" t="s">
        <v>989</v>
      </c>
      <c r="J78" s="31" t="s">
        <v>39</v>
      </c>
      <c r="K78" s="31" t="s">
        <v>91</v>
      </c>
      <c r="L78" s="31" t="s">
        <v>51</v>
      </c>
      <c r="M78" s="30" t="s">
        <v>66</v>
      </c>
      <c r="N78" s="2" t="s">
        <v>103</v>
      </c>
      <c r="O78" s="31" t="s">
        <v>106</v>
      </c>
      <c r="P78" s="30" t="s">
        <v>1080</v>
      </c>
      <c r="Q78" s="30" t="s">
        <v>43</v>
      </c>
      <c r="R78" s="31" t="s">
        <v>111</v>
      </c>
      <c r="S78" s="32">
        <v>2832300</v>
      </c>
      <c r="T78" s="30" t="s">
        <v>44</v>
      </c>
      <c r="U78" s="33">
        <v>1.0587769</v>
      </c>
      <c r="V78" s="33">
        <v>-2.94122314453125</v>
      </c>
      <c r="W78" s="34">
        <v>0</v>
      </c>
      <c r="X78" s="35">
        <v>0</v>
      </c>
    </row>
    <row r="79" spans="1:24" x14ac:dyDescent="0.25">
      <c r="A79" s="30" t="s">
        <v>759</v>
      </c>
      <c r="B79" s="30" t="s">
        <v>792</v>
      </c>
      <c r="C79" s="30" t="s">
        <v>925</v>
      </c>
      <c r="D79" s="30" t="s">
        <v>926</v>
      </c>
      <c r="E79" s="30" t="s">
        <v>927</v>
      </c>
      <c r="F79" s="23" t="str">
        <f>HYPERLINK("https://mapwv.gov/flood/map/?wkid=102100&amp;x=-9111114.030662563&amp;y=4628132.243861428&amp;l=13&amp;v=2","FT")</f>
        <v>FT</v>
      </c>
      <c r="G79" s="31" t="s">
        <v>32</v>
      </c>
      <c r="H79" s="31" t="s">
        <v>25</v>
      </c>
      <c r="I79" s="30"/>
      <c r="J79" s="31" t="s">
        <v>39</v>
      </c>
      <c r="K79" s="31" t="s">
        <v>371</v>
      </c>
      <c r="L79" s="31"/>
      <c r="M79" s="30" t="s">
        <v>68</v>
      </c>
      <c r="N79" s="2" t="s">
        <v>101</v>
      </c>
      <c r="O79" s="31" t="s">
        <v>105</v>
      </c>
      <c r="P79" s="30" t="s">
        <v>1081</v>
      </c>
      <c r="Q79" s="30" t="s">
        <v>30</v>
      </c>
      <c r="R79" s="31" t="s">
        <v>110</v>
      </c>
      <c r="S79" s="32">
        <v>2754743</v>
      </c>
      <c r="T79" s="30" t="s">
        <v>69</v>
      </c>
      <c r="U79" s="33">
        <v>5.0037229999999999</v>
      </c>
      <c r="V79" s="33">
        <v>4.00372314453125</v>
      </c>
      <c r="W79" s="34">
        <v>9.0037231445312504E-2</v>
      </c>
      <c r="X79" s="35">
        <v>248029.43306335399</v>
      </c>
    </row>
    <row r="80" spans="1:24" x14ac:dyDescent="0.25">
      <c r="A80" s="30" t="s">
        <v>760</v>
      </c>
      <c r="B80" s="30" t="s">
        <v>792</v>
      </c>
      <c r="C80" s="30" t="s">
        <v>877</v>
      </c>
      <c r="D80" s="30" t="s">
        <v>928</v>
      </c>
      <c r="E80" s="30" t="s">
        <v>929</v>
      </c>
      <c r="F80" s="23" t="str">
        <f>HYPERLINK("https://mapwv.gov/flood/map/?wkid=102100&amp;x=-9086993.699768668&amp;y=4654422.410585306&amp;l=13&amp;v=2","FT")</f>
        <v>FT</v>
      </c>
      <c r="G80" s="31" t="s">
        <v>32</v>
      </c>
      <c r="H80" s="31" t="s">
        <v>25</v>
      </c>
      <c r="I80" s="30"/>
      <c r="J80" s="31" t="s">
        <v>39</v>
      </c>
      <c r="K80" s="31" t="s">
        <v>371</v>
      </c>
      <c r="L80" s="31"/>
      <c r="M80" s="30" t="s">
        <v>68</v>
      </c>
      <c r="N80" s="2" t="s">
        <v>101</v>
      </c>
      <c r="O80" s="31" t="s">
        <v>105</v>
      </c>
      <c r="P80" s="30" t="s">
        <v>1082</v>
      </c>
      <c r="Q80" s="30" t="s">
        <v>30</v>
      </c>
      <c r="R80" s="31" t="s">
        <v>110</v>
      </c>
      <c r="S80" s="32">
        <v>2715412</v>
      </c>
      <c r="T80" s="30" t="s">
        <v>69</v>
      </c>
      <c r="U80" s="33">
        <v>0.47540283</v>
      </c>
      <c r="V80" s="33">
        <v>-0.52459716796875</v>
      </c>
      <c r="W80" s="34">
        <v>0</v>
      </c>
      <c r="X80" s="35">
        <v>0</v>
      </c>
    </row>
    <row r="81" spans="1:24" x14ac:dyDescent="0.25">
      <c r="A81" s="30" t="s">
        <v>761</v>
      </c>
      <c r="B81" s="30" t="s">
        <v>781</v>
      </c>
      <c r="C81" s="30" t="s">
        <v>778</v>
      </c>
      <c r="D81" s="30" t="s">
        <v>930</v>
      </c>
      <c r="E81" s="30" t="s">
        <v>931</v>
      </c>
      <c r="F81" s="23" t="str">
        <f>HYPERLINK("https://mapwv.gov/flood/map/?wkid=102100&amp;x=-9085726.991164112&amp;y=4626566.806727048&amp;l=13&amp;v=2","FT")</f>
        <v>FT</v>
      </c>
      <c r="G81" s="31" t="s">
        <v>32</v>
      </c>
      <c r="H81" s="31" t="s">
        <v>25</v>
      </c>
      <c r="I81" s="30" t="s">
        <v>972</v>
      </c>
      <c r="J81" s="31" t="s">
        <v>36</v>
      </c>
      <c r="K81" s="31" t="s">
        <v>83</v>
      </c>
      <c r="L81" s="31"/>
      <c r="M81" s="30" t="s">
        <v>1011</v>
      </c>
      <c r="N81" s="2" t="s">
        <v>101</v>
      </c>
      <c r="O81" s="31" t="s">
        <v>105</v>
      </c>
      <c r="P81" s="30" t="s">
        <v>1083</v>
      </c>
      <c r="Q81" s="30" t="s">
        <v>30</v>
      </c>
      <c r="R81" s="31" t="s">
        <v>110</v>
      </c>
      <c r="S81" s="32">
        <v>2710430</v>
      </c>
      <c r="T81" s="30" t="s">
        <v>112</v>
      </c>
      <c r="U81" s="33">
        <v>0.4025879</v>
      </c>
      <c r="V81" s="33">
        <v>-0.597412109375</v>
      </c>
      <c r="W81" s="34">
        <v>0</v>
      </c>
      <c r="X81" s="35">
        <v>0</v>
      </c>
    </row>
    <row r="82" spans="1:24" x14ac:dyDescent="0.25">
      <c r="A82" s="30" t="s">
        <v>762</v>
      </c>
      <c r="B82" s="30" t="s">
        <v>781</v>
      </c>
      <c r="C82" s="30" t="s">
        <v>778</v>
      </c>
      <c r="D82" s="30" t="s">
        <v>932</v>
      </c>
      <c r="E82" s="30" t="s">
        <v>933</v>
      </c>
      <c r="F82" s="23" t="str">
        <f>HYPERLINK("https://mapwv.gov/flood/map/?wkid=102100&amp;x=-9087309.681590443&amp;y=4628640.07863638&amp;l=13&amp;v=2","FT")</f>
        <v>FT</v>
      </c>
      <c r="G82" s="31" t="s">
        <v>79</v>
      </c>
      <c r="H82" s="31" t="s">
        <v>25</v>
      </c>
      <c r="I82" s="30" t="s">
        <v>990</v>
      </c>
      <c r="J82" s="31" t="s">
        <v>26</v>
      </c>
      <c r="K82" s="31" t="s">
        <v>117</v>
      </c>
      <c r="L82" s="31" t="s">
        <v>27</v>
      </c>
      <c r="M82" s="30" t="s">
        <v>68</v>
      </c>
      <c r="N82" s="2" t="s">
        <v>101</v>
      </c>
      <c r="O82" s="31" t="s">
        <v>1007</v>
      </c>
      <c r="P82" s="30" t="s">
        <v>1084</v>
      </c>
      <c r="Q82" s="30" t="s">
        <v>43</v>
      </c>
      <c r="R82" s="31" t="s">
        <v>111</v>
      </c>
      <c r="S82" s="32">
        <v>2706400</v>
      </c>
      <c r="T82" s="30" t="s">
        <v>44</v>
      </c>
      <c r="U82" s="33">
        <v>0</v>
      </c>
      <c r="V82" s="33">
        <v>-4</v>
      </c>
      <c r="W82" s="34">
        <v>0</v>
      </c>
      <c r="X82" s="35">
        <v>0</v>
      </c>
    </row>
    <row r="83" spans="1:24" x14ac:dyDescent="0.25">
      <c r="A83" s="30" t="s">
        <v>763</v>
      </c>
      <c r="B83" s="30" t="s">
        <v>781</v>
      </c>
      <c r="C83" s="30" t="s">
        <v>778</v>
      </c>
      <c r="D83" s="30" t="s">
        <v>833</v>
      </c>
      <c r="E83" s="30" t="s">
        <v>934</v>
      </c>
      <c r="F83" s="23" t="str">
        <f>HYPERLINK("https://mapwv.gov/flood/map/?wkid=102100&amp;x=-9085618.67985992&amp;y=4626554.219039165&amp;l=13&amp;v=2","FT")</f>
        <v>FT</v>
      </c>
      <c r="G83" s="31" t="s">
        <v>32</v>
      </c>
      <c r="H83" s="31" t="s">
        <v>25</v>
      </c>
      <c r="I83" s="30" t="s">
        <v>972</v>
      </c>
      <c r="J83" s="31" t="s">
        <v>36</v>
      </c>
      <c r="K83" s="31" t="s">
        <v>83</v>
      </c>
      <c r="L83" s="31"/>
      <c r="M83" s="30" t="s">
        <v>1011</v>
      </c>
      <c r="N83" s="2" t="s">
        <v>101</v>
      </c>
      <c r="O83" s="31" t="s">
        <v>105</v>
      </c>
      <c r="P83" s="30" t="s">
        <v>1085</v>
      </c>
      <c r="Q83" s="30" t="s">
        <v>30</v>
      </c>
      <c r="R83" s="31" t="s">
        <v>110</v>
      </c>
      <c r="S83" s="32">
        <v>2689060</v>
      </c>
      <c r="T83" s="30" t="s">
        <v>112</v>
      </c>
      <c r="U83" s="33">
        <v>0.68084716999999995</v>
      </c>
      <c r="V83" s="33">
        <v>-0.31915283203125</v>
      </c>
      <c r="W83" s="34">
        <v>0</v>
      </c>
      <c r="X83" s="35">
        <v>0</v>
      </c>
    </row>
    <row r="84" spans="1:24" x14ac:dyDescent="0.25">
      <c r="A84" s="30" t="s">
        <v>764</v>
      </c>
      <c r="B84" s="30" t="s">
        <v>781</v>
      </c>
      <c r="C84" s="30" t="s">
        <v>778</v>
      </c>
      <c r="D84" s="30" t="s">
        <v>882</v>
      </c>
      <c r="E84" s="30" t="s">
        <v>935</v>
      </c>
      <c r="F84" s="23" t="str">
        <f>HYPERLINK("https://mapwv.gov/flood/map/?wkid=102100&amp;x=-9085594.29588206&amp;y=4626610.118424997&amp;l=13&amp;v=2","FT")</f>
        <v>FT</v>
      </c>
      <c r="G84" s="31" t="s">
        <v>32</v>
      </c>
      <c r="H84" s="31" t="s">
        <v>25</v>
      </c>
      <c r="I84" s="30" t="s">
        <v>972</v>
      </c>
      <c r="J84" s="31" t="s">
        <v>36</v>
      </c>
      <c r="K84" s="31" t="s">
        <v>83</v>
      </c>
      <c r="L84" s="31"/>
      <c r="M84" s="30" t="s">
        <v>1011</v>
      </c>
      <c r="N84" s="2" t="s">
        <v>101</v>
      </c>
      <c r="O84" s="31" t="s">
        <v>105</v>
      </c>
      <c r="P84" s="30" t="s">
        <v>1086</v>
      </c>
      <c r="Q84" s="30" t="s">
        <v>30</v>
      </c>
      <c r="R84" s="31" t="s">
        <v>110</v>
      </c>
      <c r="S84" s="32">
        <v>2655750</v>
      </c>
      <c r="T84" s="30" t="s">
        <v>31</v>
      </c>
      <c r="U84" s="33">
        <v>4.7001952999999999</v>
      </c>
      <c r="V84" s="33">
        <v>3.7001953125</v>
      </c>
      <c r="W84" s="34">
        <v>0.09</v>
      </c>
      <c r="X84" s="35">
        <v>239017.5</v>
      </c>
    </row>
    <row r="85" spans="1:24" x14ac:dyDescent="0.25">
      <c r="A85" s="30" t="s">
        <v>765</v>
      </c>
      <c r="B85" s="30" t="s">
        <v>792</v>
      </c>
      <c r="C85" s="30" t="s">
        <v>778</v>
      </c>
      <c r="D85" s="30" t="s">
        <v>936</v>
      </c>
      <c r="E85" s="30" t="s">
        <v>937</v>
      </c>
      <c r="F85" s="23" t="str">
        <f>HYPERLINK("https://mapwv.gov/flood/map/?wkid=102100&amp;x=-9079036.300594496&amp;y=4621978.472955734&amp;l=13&amp;v=2","FT")</f>
        <v>FT</v>
      </c>
      <c r="G85" s="31" t="s">
        <v>79</v>
      </c>
      <c r="H85" s="31" t="s">
        <v>25</v>
      </c>
      <c r="I85" s="30" t="s">
        <v>67</v>
      </c>
      <c r="J85" s="31" t="s">
        <v>39</v>
      </c>
      <c r="K85" s="31" t="s">
        <v>1004</v>
      </c>
      <c r="L85" s="31"/>
      <c r="M85" s="30" t="s">
        <v>68</v>
      </c>
      <c r="N85" s="2" t="s">
        <v>101</v>
      </c>
      <c r="O85" s="31" t="s">
        <v>105</v>
      </c>
      <c r="P85" s="30" t="s">
        <v>1087</v>
      </c>
      <c r="Q85" s="30" t="s">
        <v>30</v>
      </c>
      <c r="R85" s="31" t="s">
        <v>110</v>
      </c>
      <c r="S85" s="32">
        <v>2628980</v>
      </c>
      <c r="T85" s="30" t="s">
        <v>69</v>
      </c>
      <c r="U85" s="33">
        <v>0</v>
      </c>
      <c r="V85" s="33">
        <v>-1</v>
      </c>
      <c r="W85" s="34">
        <v>0</v>
      </c>
      <c r="X85" s="35">
        <v>0</v>
      </c>
    </row>
    <row r="86" spans="1:24" x14ac:dyDescent="0.25">
      <c r="A86" s="30" t="s">
        <v>766</v>
      </c>
      <c r="B86" s="30" t="s">
        <v>781</v>
      </c>
      <c r="C86" s="30" t="s">
        <v>778</v>
      </c>
      <c r="D86" s="30" t="s">
        <v>882</v>
      </c>
      <c r="E86" s="30" t="s">
        <v>938</v>
      </c>
      <c r="F86" s="23" t="str">
        <f>HYPERLINK("https://mapwv.gov/flood/map/?wkid=102100&amp;x=-9085516.272607563&amp;y=4626616.762402636&amp;l=13&amp;v=2","FT")</f>
        <v>FT</v>
      </c>
      <c r="G86" s="31" t="s">
        <v>32</v>
      </c>
      <c r="H86" s="31" t="s">
        <v>25</v>
      </c>
      <c r="I86" s="30" t="s">
        <v>972</v>
      </c>
      <c r="J86" s="31" t="s">
        <v>36</v>
      </c>
      <c r="K86" s="31" t="s">
        <v>83</v>
      </c>
      <c r="L86" s="31"/>
      <c r="M86" s="30" t="s">
        <v>1011</v>
      </c>
      <c r="N86" s="2" t="s">
        <v>101</v>
      </c>
      <c r="O86" s="31" t="s">
        <v>105</v>
      </c>
      <c r="P86" s="30" t="s">
        <v>1088</v>
      </c>
      <c r="Q86" s="30" t="s">
        <v>30</v>
      </c>
      <c r="R86" s="31" t="s">
        <v>110</v>
      </c>
      <c r="S86" s="32">
        <v>2597140</v>
      </c>
      <c r="T86" s="30" t="s">
        <v>112</v>
      </c>
      <c r="U86" s="33">
        <v>0.18304443000000001</v>
      </c>
      <c r="V86" s="33">
        <v>-0.81695556640625</v>
      </c>
      <c r="W86" s="34">
        <v>0</v>
      </c>
      <c r="X86" s="35">
        <v>0</v>
      </c>
    </row>
    <row r="87" spans="1:24" x14ac:dyDescent="0.25">
      <c r="A87" s="30" t="s">
        <v>767</v>
      </c>
      <c r="B87" s="30" t="s">
        <v>781</v>
      </c>
      <c r="C87" s="30" t="s">
        <v>778</v>
      </c>
      <c r="D87" s="30" t="s">
        <v>939</v>
      </c>
      <c r="E87" s="30" t="s">
        <v>940</v>
      </c>
      <c r="F87" s="23" t="str">
        <f>HYPERLINK("https://mapwv.gov/flood/map/?wkid=102100&amp;x=-9083381.93599558&amp;y=4625658.4960208135&amp;l=13&amp;v=2","FT")</f>
        <v>FT</v>
      </c>
      <c r="G87" s="31" t="s">
        <v>32</v>
      </c>
      <c r="H87" s="31" t="s">
        <v>25</v>
      </c>
      <c r="I87" s="30"/>
      <c r="J87" s="31" t="s">
        <v>36</v>
      </c>
      <c r="K87" s="31" t="s">
        <v>83</v>
      </c>
      <c r="L87" s="31"/>
      <c r="M87" s="30" t="s">
        <v>28</v>
      </c>
      <c r="N87" s="2" t="s">
        <v>102</v>
      </c>
      <c r="O87" s="31" t="s">
        <v>105</v>
      </c>
      <c r="P87" s="30" t="s">
        <v>1089</v>
      </c>
      <c r="Q87" s="30" t="s">
        <v>30</v>
      </c>
      <c r="R87" s="31" t="s">
        <v>110</v>
      </c>
      <c r="S87" s="32">
        <v>2565420</v>
      </c>
      <c r="T87" s="30" t="s">
        <v>112</v>
      </c>
      <c r="U87" s="33">
        <v>0</v>
      </c>
      <c r="V87" s="33">
        <v>-1</v>
      </c>
      <c r="W87" s="34">
        <v>0</v>
      </c>
      <c r="X87" s="35">
        <v>0</v>
      </c>
    </row>
    <row r="88" spans="1:24" x14ac:dyDescent="0.25">
      <c r="A88" s="30" t="s">
        <v>768</v>
      </c>
      <c r="B88" s="30" t="s">
        <v>777</v>
      </c>
      <c r="C88" s="30" t="s">
        <v>778</v>
      </c>
      <c r="D88" s="30" t="s">
        <v>941</v>
      </c>
      <c r="E88" s="30" t="s">
        <v>942</v>
      </c>
      <c r="F88" s="23" t="str">
        <f>HYPERLINK("https://mapwv.gov/flood/map/?wkid=102100&amp;x=-9093186.511578007&amp;y=4631307.143365923&amp;l=13&amp;v=2","FT")</f>
        <v>FT</v>
      </c>
      <c r="G88" s="31" t="s">
        <v>53</v>
      </c>
      <c r="H88" s="31" t="s">
        <v>25</v>
      </c>
      <c r="I88" s="30" t="s">
        <v>991</v>
      </c>
      <c r="J88" s="31" t="s">
        <v>26</v>
      </c>
      <c r="K88" s="31" t="s">
        <v>92</v>
      </c>
      <c r="L88" s="31" t="s">
        <v>57</v>
      </c>
      <c r="M88" s="30" t="s">
        <v>381</v>
      </c>
      <c r="N88" s="2" t="s">
        <v>42</v>
      </c>
      <c r="O88" s="31" t="s">
        <v>107</v>
      </c>
      <c r="P88" s="30" t="s">
        <v>1090</v>
      </c>
      <c r="Q88" s="30" t="s">
        <v>30</v>
      </c>
      <c r="R88" s="31" t="s">
        <v>110</v>
      </c>
      <c r="S88" s="32">
        <v>2553200</v>
      </c>
      <c r="T88" s="30" t="s">
        <v>44</v>
      </c>
      <c r="U88" s="33">
        <v>0.17999267999999999</v>
      </c>
      <c r="V88" s="33">
        <v>-0.82000732421875</v>
      </c>
      <c r="W88" s="34">
        <v>0</v>
      </c>
      <c r="X88" s="35">
        <v>0</v>
      </c>
    </row>
    <row r="89" spans="1:24" x14ac:dyDescent="0.25">
      <c r="A89" s="30" t="s">
        <v>769</v>
      </c>
      <c r="B89" s="30" t="s">
        <v>781</v>
      </c>
      <c r="C89" s="30" t="s">
        <v>778</v>
      </c>
      <c r="D89" s="30" t="s">
        <v>833</v>
      </c>
      <c r="E89" s="30" t="s">
        <v>943</v>
      </c>
      <c r="F89" s="23" t="str">
        <f>HYPERLINK("https://mapwv.gov/flood/map/?wkid=102100&amp;x=-9085514.365036763&amp;y=4626507.413978529&amp;l=13&amp;v=2","FT")</f>
        <v>FT</v>
      </c>
      <c r="G89" s="31" t="s">
        <v>32</v>
      </c>
      <c r="H89" s="31" t="s">
        <v>25</v>
      </c>
      <c r="I89" s="30" t="s">
        <v>972</v>
      </c>
      <c r="J89" s="31" t="s">
        <v>36</v>
      </c>
      <c r="K89" s="31" t="s">
        <v>83</v>
      </c>
      <c r="L89" s="31"/>
      <c r="M89" s="30" t="s">
        <v>1011</v>
      </c>
      <c r="N89" s="2" t="s">
        <v>101</v>
      </c>
      <c r="O89" s="31" t="s">
        <v>105</v>
      </c>
      <c r="P89" s="30" t="s">
        <v>1091</v>
      </c>
      <c r="Q89" s="30" t="s">
        <v>30</v>
      </c>
      <c r="R89" s="31" t="s">
        <v>110</v>
      </c>
      <c r="S89" s="32">
        <v>2543700</v>
      </c>
      <c r="T89" s="30" t="s">
        <v>112</v>
      </c>
      <c r="U89" s="33">
        <v>0.33380126999999998</v>
      </c>
      <c r="V89" s="33">
        <v>-0.66619873046875</v>
      </c>
      <c r="W89" s="34">
        <v>0</v>
      </c>
      <c r="X89" s="35">
        <v>0</v>
      </c>
    </row>
    <row r="90" spans="1:24" x14ac:dyDescent="0.25">
      <c r="A90" s="30" t="s">
        <v>770</v>
      </c>
      <c r="B90" s="30" t="s">
        <v>781</v>
      </c>
      <c r="C90" s="30" t="s">
        <v>778</v>
      </c>
      <c r="D90" s="30" t="s">
        <v>944</v>
      </c>
      <c r="E90" s="30" t="s">
        <v>945</v>
      </c>
      <c r="F90" s="23" t="str">
        <f>HYPERLINK("https://mapwv.gov/flood/map/?wkid=102100&amp;x=-9091024.436931904&amp;y=4631420.900229057&amp;l=13&amp;v=2","FT")</f>
        <v>FT</v>
      </c>
      <c r="G90" s="31" t="s">
        <v>32</v>
      </c>
      <c r="H90" s="31" t="s">
        <v>25</v>
      </c>
      <c r="I90" s="30" t="s">
        <v>992</v>
      </c>
      <c r="J90" s="31" t="s">
        <v>36</v>
      </c>
      <c r="K90" s="31" t="s">
        <v>83</v>
      </c>
      <c r="L90" s="31"/>
      <c r="M90" s="30" t="s">
        <v>28</v>
      </c>
      <c r="N90" s="2" t="s">
        <v>102</v>
      </c>
      <c r="O90" s="31" t="s">
        <v>105</v>
      </c>
      <c r="P90" s="30" t="s">
        <v>1092</v>
      </c>
      <c r="Q90" s="30" t="s">
        <v>30</v>
      </c>
      <c r="R90" s="31" t="s">
        <v>110</v>
      </c>
      <c r="S90" s="32">
        <v>2542650</v>
      </c>
      <c r="T90" s="30" t="s">
        <v>112</v>
      </c>
      <c r="U90" s="33">
        <v>0</v>
      </c>
      <c r="V90" s="33">
        <v>-1</v>
      </c>
      <c r="W90" s="34">
        <v>0</v>
      </c>
      <c r="X90" s="35">
        <v>0</v>
      </c>
    </row>
    <row r="91" spans="1:24" x14ac:dyDescent="0.25">
      <c r="A91" s="30" t="s">
        <v>771</v>
      </c>
      <c r="B91" s="30" t="s">
        <v>781</v>
      </c>
      <c r="C91" s="30" t="s">
        <v>778</v>
      </c>
      <c r="D91" s="30" t="s">
        <v>946</v>
      </c>
      <c r="E91" s="30" t="s">
        <v>947</v>
      </c>
      <c r="F91" s="23" t="str">
        <f>HYPERLINK("https://mapwv.gov/flood/map/?wkid=102100&amp;x=-9087709.15303031&amp;y=4629335.913040659&amp;l=13&amp;v=2","FT")</f>
        <v>FT</v>
      </c>
      <c r="G91" s="31" t="s">
        <v>32</v>
      </c>
      <c r="H91" s="31" t="s">
        <v>25</v>
      </c>
      <c r="I91" s="30" t="s">
        <v>993</v>
      </c>
      <c r="J91" s="31" t="s">
        <v>26</v>
      </c>
      <c r="K91" s="31" t="s">
        <v>97</v>
      </c>
      <c r="L91" s="31" t="s">
        <v>45</v>
      </c>
      <c r="M91" s="30" t="s">
        <v>56</v>
      </c>
      <c r="N91" s="2" t="s">
        <v>35</v>
      </c>
      <c r="O91" s="31" t="s">
        <v>105</v>
      </c>
      <c r="P91" s="30" t="s">
        <v>1093</v>
      </c>
      <c r="Q91" s="30" t="s">
        <v>30</v>
      </c>
      <c r="R91" s="31" t="s">
        <v>110</v>
      </c>
      <c r="S91" s="32">
        <v>2305794</v>
      </c>
      <c r="T91" s="30" t="s">
        <v>44</v>
      </c>
      <c r="U91" s="33">
        <v>0</v>
      </c>
      <c r="V91" s="33">
        <v>-1</v>
      </c>
      <c r="W91" s="34">
        <v>0</v>
      </c>
      <c r="X91" s="35">
        <v>0</v>
      </c>
    </row>
    <row r="92" spans="1:24" x14ac:dyDescent="0.25">
      <c r="A92" s="30" t="s">
        <v>772</v>
      </c>
      <c r="B92" s="30" t="s">
        <v>781</v>
      </c>
      <c r="C92" s="30" t="s">
        <v>778</v>
      </c>
      <c r="D92" s="30" t="s">
        <v>948</v>
      </c>
      <c r="E92" s="30" t="s">
        <v>949</v>
      </c>
      <c r="F92" s="23" t="str">
        <f>HYPERLINK("https://mapwv.gov/flood/map/?wkid=102100&amp;x=-9091566.614838269&amp;y=4631773.883473334&amp;l=13&amp;v=2","FT")</f>
        <v>FT</v>
      </c>
      <c r="G92" s="31" t="s">
        <v>53</v>
      </c>
      <c r="H92" s="31" t="s">
        <v>25</v>
      </c>
      <c r="I92" s="30" t="s">
        <v>994</v>
      </c>
      <c r="J92" s="31" t="s">
        <v>26</v>
      </c>
      <c r="K92" s="31" t="s">
        <v>114</v>
      </c>
      <c r="L92" s="31" t="s">
        <v>27</v>
      </c>
      <c r="M92" s="30" t="s">
        <v>56</v>
      </c>
      <c r="N92" s="2" t="s">
        <v>35</v>
      </c>
      <c r="O92" s="31" t="s">
        <v>105</v>
      </c>
      <c r="P92" s="30" t="s">
        <v>1094</v>
      </c>
      <c r="Q92" s="30" t="s">
        <v>30</v>
      </c>
      <c r="R92" s="31" t="s">
        <v>110</v>
      </c>
      <c r="S92" s="32">
        <v>2286616</v>
      </c>
      <c r="T92" s="30" t="s">
        <v>44</v>
      </c>
      <c r="U92" s="33">
        <v>1.2899780000000001</v>
      </c>
      <c r="V92" s="33">
        <v>0.28997802734375</v>
      </c>
      <c r="W92" s="34">
        <v>4.6098022460937499E-2</v>
      </c>
      <c r="X92" s="35">
        <v>105408.475727539</v>
      </c>
    </row>
    <row r="93" spans="1:24" x14ac:dyDescent="0.25">
      <c r="A93" s="30" t="s">
        <v>773</v>
      </c>
      <c r="B93" s="30" t="s">
        <v>781</v>
      </c>
      <c r="C93" s="30" t="s">
        <v>778</v>
      </c>
      <c r="D93" s="30" t="s">
        <v>950</v>
      </c>
      <c r="E93" s="30" t="s">
        <v>951</v>
      </c>
      <c r="F93" s="23" t="str">
        <f>HYPERLINK("https://mapwv.gov/flood/map/?wkid=102100&amp;x=-9087735.125982577&amp;y=4629500.8732100995&amp;l=13&amp;v=2","FT")</f>
        <v>FT</v>
      </c>
      <c r="G93" s="31" t="s">
        <v>32</v>
      </c>
      <c r="H93" s="31" t="s">
        <v>25</v>
      </c>
      <c r="I93" s="30" t="s">
        <v>995</v>
      </c>
      <c r="J93" s="31" t="s">
        <v>26</v>
      </c>
      <c r="K93" s="31" t="s">
        <v>96</v>
      </c>
      <c r="L93" s="31" t="s">
        <v>45</v>
      </c>
      <c r="M93" s="30" t="s">
        <v>48</v>
      </c>
      <c r="N93" s="2" t="s">
        <v>35</v>
      </c>
      <c r="O93" s="31" t="s">
        <v>106</v>
      </c>
      <c r="P93" s="30" t="s">
        <v>1095</v>
      </c>
      <c r="Q93" s="30" t="s">
        <v>30</v>
      </c>
      <c r="R93" s="31" t="s">
        <v>110</v>
      </c>
      <c r="S93" s="32">
        <v>2118100</v>
      </c>
      <c r="T93" s="30" t="s">
        <v>44</v>
      </c>
      <c r="U93" s="33">
        <v>2.7944946000000002</v>
      </c>
      <c r="V93" s="33">
        <v>1.79449462890625</v>
      </c>
      <c r="W93" s="34">
        <v>0.12972473144531199</v>
      </c>
      <c r="X93" s="35">
        <v>274769.953674316</v>
      </c>
    </row>
    <row r="94" spans="1:24" x14ac:dyDescent="0.25">
      <c r="A94" s="30" t="s">
        <v>774</v>
      </c>
      <c r="B94" s="30" t="s">
        <v>792</v>
      </c>
      <c r="C94" s="30" t="s">
        <v>952</v>
      </c>
      <c r="D94" s="30" t="s">
        <v>953</v>
      </c>
      <c r="E94" s="30" t="s">
        <v>954</v>
      </c>
      <c r="F94" s="23" t="str">
        <f>HYPERLINK("https://mapwv.gov/flood/map/?wkid=102100&amp;x=-9071812.283465186&amp;y=4626655.394399966&amp;l=13&amp;v=2","FT")</f>
        <v>FT</v>
      </c>
      <c r="G94" s="31" t="s">
        <v>32</v>
      </c>
      <c r="H94" s="31" t="s">
        <v>25</v>
      </c>
      <c r="I94" s="30" t="s">
        <v>67</v>
      </c>
      <c r="J94" s="31" t="s">
        <v>39</v>
      </c>
      <c r="K94" s="31" t="s">
        <v>998</v>
      </c>
      <c r="L94" s="31"/>
      <c r="M94" s="30" t="s">
        <v>68</v>
      </c>
      <c r="N94" s="2" t="s">
        <v>101</v>
      </c>
      <c r="O94" s="31" t="s">
        <v>105</v>
      </c>
      <c r="P94" s="30" t="s">
        <v>1096</v>
      </c>
      <c r="Q94" s="30" t="s">
        <v>30</v>
      </c>
      <c r="R94" s="31" t="s">
        <v>110</v>
      </c>
      <c r="S94" s="32">
        <v>2073379</v>
      </c>
      <c r="T94" s="30" t="s">
        <v>69</v>
      </c>
      <c r="U94" s="33">
        <v>0</v>
      </c>
      <c r="V94" s="33">
        <v>-1</v>
      </c>
      <c r="W94" s="34">
        <v>0</v>
      </c>
      <c r="X94" s="35">
        <v>0</v>
      </c>
    </row>
    <row r="95" spans="1:24" x14ac:dyDescent="0.25">
      <c r="A95" s="30" t="s">
        <v>775</v>
      </c>
      <c r="B95" s="30" t="s">
        <v>890</v>
      </c>
      <c r="C95" s="30" t="s">
        <v>778</v>
      </c>
      <c r="D95" s="30" t="s">
        <v>955</v>
      </c>
      <c r="E95" s="30" t="s">
        <v>956</v>
      </c>
      <c r="F95" s="23" t="str">
        <f>HYPERLINK("https://mapwv.gov/flood/map/?wkid=102100&amp;x=-9109067.436852457&amp;y=4634340.099058468&amp;l=13&amp;v=2","FT")</f>
        <v>FT</v>
      </c>
      <c r="G95" s="31" t="s">
        <v>53</v>
      </c>
      <c r="H95" s="31" t="s">
        <v>25</v>
      </c>
      <c r="I95" s="30" t="s">
        <v>996</v>
      </c>
      <c r="J95" s="31" t="s">
        <v>26</v>
      </c>
      <c r="K95" s="31" t="s">
        <v>118</v>
      </c>
      <c r="L95" s="31" t="s">
        <v>45</v>
      </c>
      <c r="M95" s="30" t="s">
        <v>48</v>
      </c>
      <c r="N95" s="2" t="s">
        <v>35</v>
      </c>
      <c r="O95" s="31" t="s">
        <v>106</v>
      </c>
      <c r="P95" s="30" t="s">
        <v>1097</v>
      </c>
      <c r="Q95" s="30" t="s">
        <v>30</v>
      </c>
      <c r="R95" s="31" t="s">
        <v>110</v>
      </c>
      <c r="S95" s="32">
        <v>2054800</v>
      </c>
      <c r="T95" s="30" t="s">
        <v>31</v>
      </c>
      <c r="U95" s="33">
        <v>3.7153320000000001</v>
      </c>
      <c r="V95" s="33">
        <v>2.71533203125</v>
      </c>
      <c r="W95" s="34">
        <v>0.15430664062499999</v>
      </c>
      <c r="X95" s="35">
        <v>317069.28515625</v>
      </c>
    </row>
    <row r="96" spans="1:24" x14ac:dyDescent="0.25">
      <c r="A96" s="30" t="s">
        <v>776</v>
      </c>
      <c r="B96" s="30" t="s">
        <v>781</v>
      </c>
      <c r="C96" s="30" t="s">
        <v>778</v>
      </c>
      <c r="D96" s="30" t="s">
        <v>957</v>
      </c>
      <c r="E96" s="30" t="s">
        <v>958</v>
      </c>
      <c r="F96" s="23" t="str">
        <f>HYPERLINK("https://mapwv.gov/flood/map/?wkid=102100&amp;x=-9089042.879864503&amp;y=4630470.848778647&amp;l=13&amp;v=2","FT")</f>
        <v>FT</v>
      </c>
      <c r="G96" s="31" t="s">
        <v>32</v>
      </c>
      <c r="H96" s="31" t="s">
        <v>25</v>
      </c>
      <c r="I96" s="30" t="s">
        <v>997</v>
      </c>
      <c r="J96" s="31" t="s">
        <v>26</v>
      </c>
      <c r="K96" s="31" t="s">
        <v>1005</v>
      </c>
      <c r="L96" s="31" t="s">
        <v>47</v>
      </c>
      <c r="M96" s="30" t="s">
        <v>48</v>
      </c>
      <c r="N96" s="2" t="s">
        <v>35</v>
      </c>
      <c r="O96" s="31" t="s">
        <v>105</v>
      </c>
      <c r="P96" s="30" t="s">
        <v>1098</v>
      </c>
      <c r="Q96" s="30" t="s">
        <v>30</v>
      </c>
      <c r="R96" s="31" t="s">
        <v>110</v>
      </c>
      <c r="S96" s="32">
        <v>2023100</v>
      </c>
      <c r="T96" s="30" t="s">
        <v>44</v>
      </c>
      <c r="U96" s="33">
        <v>0.24835204999999999</v>
      </c>
      <c r="V96" s="33">
        <v>-0.75164794921875</v>
      </c>
      <c r="W96" s="34">
        <v>2.4835205078124999E-3</v>
      </c>
      <c r="X96" s="35">
        <v>5024.4103393554597</v>
      </c>
    </row>
    <row r="98" spans="1:24" x14ac:dyDescent="0.25">
      <c r="A98" s="3" t="s">
        <v>59</v>
      </c>
      <c r="B98" s="3" t="s">
        <v>1</v>
      </c>
      <c r="C98" s="3" t="s">
        <v>60</v>
      </c>
      <c r="D98" s="3" t="s">
        <v>61</v>
      </c>
      <c r="E98" s="3" t="s">
        <v>62</v>
      </c>
    </row>
    <row r="99" spans="1:24" x14ac:dyDescent="0.25">
      <c r="A99" s="3">
        <v>540075</v>
      </c>
      <c r="B99" s="1" t="s">
        <v>1099</v>
      </c>
      <c r="C99" s="3" t="s">
        <v>690</v>
      </c>
      <c r="D99" s="1" t="s">
        <v>63</v>
      </c>
      <c r="E99" s="3">
        <v>3</v>
      </c>
      <c r="S99" s="37" t="s">
        <v>1100</v>
      </c>
    </row>
    <row r="100" spans="1:24" x14ac:dyDescent="0.25">
      <c r="A100" s="30" t="s">
        <v>724</v>
      </c>
      <c r="B100" s="30" t="s">
        <v>849</v>
      </c>
      <c r="C100" s="30" t="s">
        <v>492</v>
      </c>
      <c r="D100" s="30" t="s">
        <v>850</v>
      </c>
      <c r="E100" s="30" t="s">
        <v>851</v>
      </c>
      <c r="F100" s="51" t="s">
        <v>24</v>
      </c>
      <c r="G100" s="31" t="s">
        <v>32</v>
      </c>
      <c r="H100" s="31" t="s">
        <v>25</v>
      </c>
      <c r="I100" s="27" t="s">
        <v>67</v>
      </c>
      <c r="J100" s="52" t="s">
        <v>39</v>
      </c>
      <c r="K100" s="26" t="s">
        <v>1000</v>
      </c>
      <c r="L100" s="26"/>
      <c r="M100" s="30" t="s">
        <v>68</v>
      </c>
      <c r="N100" s="2" t="s">
        <v>101</v>
      </c>
      <c r="O100" s="31" t="s">
        <v>105</v>
      </c>
      <c r="P100" s="27" t="s">
        <v>1046</v>
      </c>
      <c r="Q100" s="48" t="s">
        <v>30</v>
      </c>
      <c r="R100" s="49" t="s">
        <v>110</v>
      </c>
      <c r="S100" s="32">
        <v>5490125</v>
      </c>
      <c r="T100" s="48" t="s">
        <v>69</v>
      </c>
      <c r="U100" s="33">
        <v>7.0886230000000001</v>
      </c>
      <c r="V100" s="33">
        <v>6.088623046875</v>
      </c>
      <c r="W100" s="34">
        <v>0.1117724609375</v>
      </c>
      <c r="X100" s="35">
        <v>613644.78210449195</v>
      </c>
    </row>
    <row r="101" spans="1:24" x14ac:dyDescent="0.25">
      <c r="A101" s="30" t="s">
        <v>1101</v>
      </c>
      <c r="B101" s="30" t="s">
        <v>849</v>
      </c>
      <c r="C101" s="30" t="s">
        <v>492</v>
      </c>
      <c r="D101" s="30" t="s">
        <v>1116</v>
      </c>
      <c r="E101" s="30" t="s">
        <v>1117</v>
      </c>
      <c r="F101" s="51" t="s">
        <v>24</v>
      </c>
      <c r="G101" s="31" t="s">
        <v>32</v>
      </c>
      <c r="H101" s="31" t="s">
        <v>25</v>
      </c>
      <c r="I101" s="27" t="s">
        <v>1148</v>
      </c>
      <c r="J101" s="52" t="s">
        <v>39</v>
      </c>
      <c r="K101" s="26" t="s">
        <v>88</v>
      </c>
      <c r="L101" s="26"/>
      <c r="M101" s="30" t="s">
        <v>66</v>
      </c>
      <c r="N101" s="2" t="s">
        <v>103</v>
      </c>
      <c r="O101" s="31" t="s">
        <v>105</v>
      </c>
      <c r="P101" s="27" t="s">
        <v>1164</v>
      </c>
      <c r="Q101" s="48" t="s">
        <v>30</v>
      </c>
      <c r="R101" s="49" t="s">
        <v>110</v>
      </c>
      <c r="S101" s="32">
        <v>528940</v>
      </c>
      <c r="T101" s="48" t="s">
        <v>31</v>
      </c>
      <c r="U101" s="33">
        <v>5.2245483000000004</v>
      </c>
      <c r="V101" s="33">
        <v>4.22454833984375</v>
      </c>
      <c r="W101" s="34">
        <v>0.12</v>
      </c>
      <c r="X101" s="35">
        <v>63472.799999999901</v>
      </c>
    </row>
    <row r="102" spans="1:24" x14ac:dyDescent="0.25">
      <c r="A102" s="30" t="s">
        <v>1102</v>
      </c>
      <c r="B102" s="30" t="s">
        <v>849</v>
      </c>
      <c r="C102" s="30" t="s">
        <v>492</v>
      </c>
      <c r="D102" s="30" t="s">
        <v>1118</v>
      </c>
      <c r="E102" s="30" t="s">
        <v>1119</v>
      </c>
      <c r="F102" s="51" t="s">
        <v>24</v>
      </c>
      <c r="G102" s="31" t="s">
        <v>32</v>
      </c>
      <c r="H102" s="31" t="s">
        <v>25</v>
      </c>
      <c r="I102" s="27" t="s">
        <v>1149</v>
      </c>
      <c r="J102" s="52" t="s">
        <v>39</v>
      </c>
      <c r="K102" s="26" t="s">
        <v>1162</v>
      </c>
      <c r="L102" s="26" t="s">
        <v>367</v>
      </c>
      <c r="M102" s="30" t="s">
        <v>52</v>
      </c>
      <c r="N102" s="2" t="s">
        <v>35</v>
      </c>
      <c r="O102" s="31" t="s">
        <v>105</v>
      </c>
      <c r="P102" s="27" t="s">
        <v>1165</v>
      </c>
      <c r="Q102" s="48" t="s">
        <v>43</v>
      </c>
      <c r="R102" s="49" t="s">
        <v>111</v>
      </c>
      <c r="S102" s="32">
        <v>513400</v>
      </c>
      <c r="T102" s="48" t="s">
        <v>44</v>
      </c>
      <c r="U102" s="33">
        <v>8.0588990000000003</v>
      </c>
      <c r="V102" s="33">
        <v>4.05889892578125</v>
      </c>
      <c r="W102" s="34">
        <v>0.141177978515625</v>
      </c>
      <c r="X102" s="35">
        <v>72480.774169921802</v>
      </c>
    </row>
    <row r="103" spans="1:24" x14ac:dyDescent="0.25">
      <c r="A103" s="30" t="s">
        <v>1103</v>
      </c>
      <c r="B103" s="30" t="s">
        <v>849</v>
      </c>
      <c r="C103" s="30" t="s">
        <v>492</v>
      </c>
      <c r="D103" s="30" t="s">
        <v>1120</v>
      </c>
      <c r="E103" s="30" t="s">
        <v>1121</v>
      </c>
      <c r="F103" s="51" t="s">
        <v>24</v>
      </c>
      <c r="G103" s="31" t="s">
        <v>32</v>
      </c>
      <c r="H103" s="31" t="s">
        <v>25</v>
      </c>
      <c r="I103" s="27" t="s">
        <v>1150</v>
      </c>
      <c r="J103" s="52" t="s">
        <v>36</v>
      </c>
      <c r="K103" s="26" t="s">
        <v>83</v>
      </c>
      <c r="L103" s="26"/>
      <c r="M103" s="30" t="s">
        <v>66</v>
      </c>
      <c r="N103" s="2" t="s">
        <v>103</v>
      </c>
      <c r="O103" s="31" t="s">
        <v>105</v>
      </c>
      <c r="P103" s="27" t="s">
        <v>1166</v>
      </c>
      <c r="Q103" s="48" t="s">
        <v>30</v>
      </c>
      <c r="R103" s="49" t="s">
        <v>110</v>
      </c>
      <c r="S103" s="32">
        <v>421900</v>
      </c>
      <c r="T103" s="48" t="s">
        <v>44</v>
      </c>
      <c r="U103" s="33">
        <v>7.0913085999999996</v>
      </c>
      <c r="V103" s="33">
        <v>6.09130859375</v>
      </c>
      <c r="W103" s="34">
        <v>0.13091308593750001</v>
      </c>
      <c r="X103" s="35">
        <v>55232.230957031199</v>
      </c>
    </row>
    <row r="104" spans="1:24" x14ac:dyDescent="0.25">
      <c r="A104" s="30" t="s">
        <v>1104</v>
      </c>
      <c r="B104" s="30" t="s">
        <v>849</v>
      </c>
      <c r="C104" s="30" t="s">
        <v>492</v>
      </c>
      <c r="D104" s="30" t="s">
        <v>1122</v>
      </c>
      <c r="E104" s="30" t="s">
        <v>1123</v>
      </c>
      <c r="F104" s="51" t="s">
        <v>24</v>
      </c>
      <c r="G104" s="31" t="s">
        <v>32</v>
      </c>
      <c r="H104" s="31" t="s">
        <v>25</v>
      </c>
      <c r="I104" s="27" t="s">
        <v>1151</v>
      </c>
      <c r="J104" s="52" t="s">
        <v>39</v>
      </c>
      <c r="K104" s="26" t="s">
        <v>134</v>
      </c>
      <c r="L104" s="26" t="s">
        <v>57</v>
      </c>
      <c r="M104" s="30" t="s">
        <v>66</v>
      </c>
      <c r="N104" s="2" t="s">
        <v>103</v>
      </c>
      <c r="O104" s="31" t="s">
        <v>105</v>
      </c>
      <c r="P104" s="27" t="s">
        <v>140</v>
      </c>
      <c r="Q104" s="48" t="s">
        <v>30</v>
      </c>
      <c r="R104" s="49" t="s">
        <v>110</v>
      </c>
      <c r="S104" s="32">
        <v>309200</v>
      </c>
      <c r="T104" s="48" t="s">
        <v>44</v>
      </c>
      <c r="U104" s="33">
        <v>8.3175050000000006</v>
      </c>
      <c r="V104" s="33">
        <v>7.3175048828125</v>
      </c>
      <c r="W104" s="34">
        <v>0.14000000000000001</v>
      </c>
      <c r="X104" s="35">
        <v>43288</v>
      </c>
    </row>
    <row r="105" spans="1:24" x14ac:dyDescent="0.25">
      <c r="A105" s="30" t="s">
        <v>1105</v>
      </c>
      <c r="B105" s="30" t="s">
        <v>849</v>
      </c>
      <c r="C105" s="30" t="s">
        <v>1124</v>
      </c>
      <c r="D105" s="30" t="s">
        <v>1125</v>
      </c>
      <c r="E105" s="30" t="s">
        <v>1126</v>
      </c>
      <c r="F105" s="51" t="s">
        <v>24</v>
      </c>
      <c r="G105" s="31" t="s">
        <v>32</v>
      </c>
      <c r="H105" s="31" t="s">
        <v>25</v>
      </c>
      <c r="I105" s="27" t="s">
        <v>1152</v>
      </c>
      <c r="J105" s="52" t="s">
        <v>36</v>
      </c>
      <c r="K105" s="26" t="s">
        <v>83</v>
      </c>
      <c r="L105" s="26"/>
      <c r="M105" s="30" t="s">
        <v>139</v>
      </c>
      <c r="N105" s="2" t="s">
        <v>104</v>
      </c>
      <c r="O105" s="31" t="s">
        <v>105</v>
      </c>
      <c r="P105" s="27" t="s">
        <v>405</v>
      </c>
      <c r="Q105" s="48" t="s">
        <v>30</v>
      </c>
      <c r="R105" s="49" t="s">
        <v>110</v>
      </c>
      <c r="S105" s="32">
        <v>302500</v>
      </c>
      <c r="T105" s="48" t="s">
        <v>44</v>
      </c>
      <c r="U105" s="33">
        <v>0</v>
      </c>
      <c r="V105" s="33">
        <v>-1</v>
      </c>
      <c r="W105" s="34">
        <v>0</v>
      </c>
      <c r="X105" s="35">
        <v>0</v>
      </c>
    </row>
    <row r="106" spans="1:24" x14ac:dyDescent="0.25">
      <c r="A106" s="30" t="s">
        <v>1106</v>
      </c>
      <c r="B106" s="30" t="s">
        <v>849</v>
      </c>
      <c r="C106" s="30" t="s">
        <v>492</v>
      </c>
      <c r="D106" s="30" t="s">
        <v>1127</v>
      </c>
      <c r="E106" s="30" t="s">
        <v>1128</v>
      </c>
      <c r="F106" s="51" t="s">
        <v>24</v>
      </c>
      <c r="G106" s="31" t="s">
        <v>32</v>
      </c>
      <c r="H106" s="31" t="s">
        <v>25</v>
      </c>
      <c r="I106" s="27" t="s">
        <v>1153</v>
      </c>
      <c r="J106" s="52" t="s">
        <v>39</v>
      </c>
      <c r="K106" s="26" t="s">
        <v>1162</v>
      </c>
      <c r="L106" s="26" t="s">
        <v>50</v>
      </c>
      <c r="M106" s="30" t="s">
        <v>58</v>
      </c>
      <c r="N106" s="2" t="s">
        <v>42</v>
      </c>
      <c r="O106" s="31" t="s">
        <v>106</v>
      </c>
      <c r="P106" s="27" t="s">
        <v>1167</v>
      </c>
      <c r="Q106" s="48" t="s">
        <v>43</v>
      </c>
      <c r="R106" s="49" t="s">
        <v>111</v>
      </c>
      <c r="S106" s="32">
        <v>291447</v>
      </c>
      <c r="T106" s="48" t="s">
        <v>44</v>
      </c>
      <c r="U106" s="33">
        <v>8.9998780000000007</v>
      </c>
      <c r="V106" s="33">
        <v>4.9998779296875</v>
      </c>
      <c r="W106" s="34">
        <v>0.32999389648437499</v>
      </c>
      <c r="X106" s="35">
        <v>96175.731148681603</v>
      </c>
    </row>
    <row r="107" spans="1:24" x14ac:dyDescent="0.25">
      <c r="A107" s="30" t="s">
        <v>1107</v>
      </c>
      <c r="B107" s="30" t="s">
        <v>849</v>
      </c>
      <c r="C107" s="30" t="s">
        <v>492</v>
      </c>
      <c r="D107" s="30" t="s">
        <v>1129</v>
      </c>
      <c r="E107" s="30" t="s">
        <v>1130</v>
      </c>
      <c r="F107" s="51" t="s">
        <v>24</v>
      </c>
      <c r="G107" s="31" t="s">
        <v>32</v>
      </c>
      <c r="H107" s="31" t="s">
        <v>25</v>
      </c>
      <c r="I107" s="27" t="s">
        <v>1154</v>
      </c>
      <c r="J107" s="52" t="s">
        <v>26</v>
      </c>
      <c r="K107" s="26" t="s">
        <v>92</v>
      </c>
      <c r="L107" s="26" t="s">
        <v>57</v>
      </c>
      <c r="M107" s="30" t="s">
        <v>48</v>
      </c>
      <c r="N107" s="2" t="s">
        <v>35</v>
      </c>
      <c r="O107" s="31" t="s">
        <v>105</v>
      </c>
      <c r="P107" s="27" t="s">
        <v>1168</v>
      </c>
      <c r="Q107" s="48" t="s">
        <v>30</v>
      </c>
      <c r="R107" s="49" t="s">
        <v>110</v>
      </c>
      <c r="S107" s="32">
        <v>266400</v>
      </c>
      <c r="T107" s="48" t="s">
        <v>44</v>
      </c>
      <c r="U107" s="33">
        <v>7.5853270000000004</v>
      </c>
      <c r="V107" s="33">
        <v>6.5853271484375</v>
      </c>
      <c r="W107" s="34">
        <v>0.247559814453125</v>
      </c>
      <c r="X107" s="35">
        <v>65949.9345703125</v>
      </c>
    </row>
    <row r="108" spans="1:24" x14ac:dyDescent="0.25">
      <c r="A108" s="30" t="s">
        <v>1108</v>
      </c>
      <c r="B108" s="30" t="s">
        <v>849</v>
      </c>
      <c r="C108" s="30" t="s">
        <v>492</v>
      </c>
      <c r="D108" s="30" t="s">
        <v>1131</v>
      </c>
      <c r="E108" s="30" t="s">
        <v>1132</v>
      </c>
      <c r="F108" s="51" t="s">
        <v>24</v>
      </c>
      <c r="G108" s="31" t="s">
        <v>32</v>
      </c>
      <c r="H108" s="31" t="s">
        <v>25</v>
      </c>
      <c r="I108" s="27" t="s">
        <v>1155</v>
      </c>
      <c r="J108" s="52" t="s">
        <v>26</v>
      </c>
      <c r="K108" s="26" t="s">
        <v>80</v>
      </c>
      <c r="L108" s="26" t="s">
        <v>27</v>
      </c>
      <c r="M108" s="30" t="s">
        <v>48</v>
      </c>
      <c r="N108" s="2" t="s">
        <v>35</v>
      </c>
      <c r="O108" s="31" t="s">
        <v>105</v>
      </c>
      <c r="P108" s="27" t="s">
        <v>1169</v>
      </c>
      <c r="Q108" s="48" t="s">
        <v>30</v>
      </c>
      <c r="R108" s="49" t="s">
        <v>110</v>
      </c>
      <c r="S108" s="32">
        <v>258300</v>
      </c>
      <c r="T108" s="48" t="s">
        <v>44</v>
      </c>
      <c r="U108" s="33">
        <v>9.2103269999999995</v>
      </c>
      <c r="V108" s="33">
        <v>8.2103271484375</v>
      </c>
      <c r="W108" s="34">
        <v>0.3084130859375</v>
      </c>
      <c r="X108" s="35">
        <v>79663.100097656206</v>
      </c>
    </row>
    <row r="109" spans="1:24" x14ac:dyDescent="0.25">
      <c r="A109" s="30" t="s">
        <v>1109</v>
      </c>
      <c r="B109" s="30" t="s">
        <v>849</v>
      </c>
      <c r="C109" s="30" t="s">
        <v>492</v>
      </c>
      <c r="D109" s="30" t="s">
        <v>1133</v>
      </c>
      <c r="E109" s="30" t="s">
        <v>1134</v>
      </c>
      <c r="F109" s="51" t="s">
        <v>24</v>
      </c>
      <c r="G109" s="31" t="s">
        <v>32</v>
      </c>
      <c r="H109" s="31" t="s">
        <v>25</v>
      </c>
      <c r="I109" s="27" t="s">
        <v>1156</v>
      </c>
      <c r="J109" s="52" t="s">
        <v>36</v>
      </c>
      <c r="K109" s="26" t="s">
        <v>83</v>
      </c>
      <c r="L109" s="26"/>
      <c r="M109" s="30" t="s">
        <v>66</v>
      </c>
      <c r="N109" s="2" t="s">
        <v>103</v>
      </c>
      <c r="O109" s="31" t="s">
        <v>105</v>
      </c>
      <c r="P109" s="27" t="s">
        <v>1170</v>
      </c>
      <c r="Q109" s="48" t="s">
        <v>30</v>
      </c>
      <c r="R109" s="49" t="s">
        <v>110</v>
      </c>
      <c r="S109" s="32">
        <v>253400</v>
      </c>
      <c r="T109" s="48" t="s">
        <v>44</v>
      </c>
      <c r="U109" s="33">
        <v>9.3665769999999995</v>
      </c>
      <c r="V109" s="33">
        <v>8.3665771484375</v>
      </c>
      <c r="W109" s="34">
        <v>0.14366577148437501</v>
      </c>
      <c r="X109" s="35">
        <v>36404.906494140603</v>
      </c>
    </row>
    <row r="110" spans="1:24" x14ac:dyDescent="0.25">
      <c r="A110" s="30" t="s">
        <v>1110</v>
      </c>
      <c r="B110" s="30" t="s">
        <v>849</v>
      </c>
      <c r="C110" s="30" t="s">
        <v>492</v>
      </c>
      <c r="D110" s="30" t="s">
        <v>1135</v>
      </c>
      <c r="E110" s="30" t="s">
        <v>1136</v>
      </c>
      <c r="F110" s="51" t="s">
        <v>24</v>
      </c>
      <c r="G110" s="31" t="s">
        <v>32</v>
      </c>
      <c r="H110" s="31" t="s">
        <v>25</v>
      </c>
      <c r="I110" s="27" t="s">
        <v>1157</v>
      </c>
      <c r="J110" s="52" t="s">
        <v>39</v>
      </c>
      <c r="K110" s="26" t="s">
        <v>125</v>
      </c>
      <c r="L110" s="26" t="s">
        <v>33</v>
      </c>
      <c r="M110" s="30" t="s">
        <v>48</v>
      </c>
      <c r="N110" s="2" t="s">
        <v>35</v>
      </c>
      <c r="O110" s="31" t="s">
        <v>105</v>
      </c>
      <c r="P110" s="27" t="s">
        <v>1171</v>
      </c>
      <c r="Q110" s="48" t="s">
        <v>43</v>
      </c>
      <c r="R110" s="49" t="s">
        <v>111</v>
      </c>
      <c r="S110" s="32">
        <v>249700</v>
      </c>
      <c r="T110" s="48" t="s">
        <v>31</v>
      </c>
      <c r="U110" s="33">
        <v>7.5859375</v>
      </c>
      <c r="V110" s="33">
        <v>3.5859375</v>
      </c>
      <c r="W110" s="34">
        <v>0.17171875</v>
      </c>
      <c r="X110" s="35">
        <v>42878.171875</v>
      </c>
    </row>
    <row r="111" spans="1:24" x14ac:dyDescent="0.25">
      <c r="A111" s="30" t="s">
        <v>1111</v>
      </c>
      <c r="B111" s="30" t="s">
        <v>849</v>
      </c>
      <c r="C111" s="30" t="s">
        <v>492</v>
      </c>
      <c r="D111" s="30" t="s">
        <v>1137</v>
      </c>
      <c r="E111" s="30" t="s">
        <v>1138</v>
      </c>
      <c r="F111" s="51" t="s">
        <v>24</v>
      </c>
      <c r="G111" s="31" t="s">
        <v>32</v>
      </c>
      <c r="H111" s="31" t="s">
        <v>25</v>
      </c>
      <c r="I111" s="27" t="s">
        <v>1158</v>
      </c>
      <c r="J111" s="52" t="s">
        <v>39</v>
      </c>
      <c r="K111" s="26" t="s">
        <v>1163</v>
      </c>
      <c r="L111" s="26" t="s">
        <v>51</v>
      </c>
      <c r="M111" s="30" t="s">
        <v>41</v>
      </c>
      <c r="N111" s="2" t="s">
        <v>42</v>
      </c>
      <c r="O111" s="31" t="s">
        <v>106</v>
      </c>
      <c r="P111" s="27" t="s">
        <v>1172</v>
      </c>
      <c r="Q111" s="48" t="s">
        <v>43</v>
      </c>
      <c r="R111" s="49" t="s">
        <v>111</v>
      </c>
      <c r="S111" s="32">
        <v>245100</v>
      </c>
      <c r="T111" s="48" t="s">
        <v>31</v>
      </c>
      <c r="U111" s="33">
        <v>3.8217772999999999</v>
      </c>
      <c r="V111" s="33">
        <v>-0.17822265625</v>
      </c>
      <c r="W111" s="34">
        <v>0.1810888671875</v>
      </c>
      <c r="X111" s="35">
        <v>44384.881347656199</v>
      </c>
    </row>
    <row r="112" spans="1:24" x14ac:dyDescent="0.25">
      <c r="A112" s="30" t="s">
        <v>1112</v>
      </c>
      <c r="B112" s="30" t="s">
        <v>849</v>
      </c>
      <c r="C112" s="30" t="s">
        <v>492</v>
      </c>
      <c r="D112" s="30" t="s">
        <v>1139</v>
      </c>
      <c r="E112" s="30" t="s">
        <v>1140</v>
      </c>
      <c r="F112" s="51" t="s">
        <v>24</v>
      </c>
      <c r="G112" s="31" t="s">
        <v>32</v>
      </c>
      <c r="H112" s="31" t="s">
        <v>25</v>
      </c>
      <c r="I112" s="27" t="s">
        <v>67</v>
      </c>
      <c r="J112" s="52" t="s">
        <v>39</v>
      </c>
      <c r="K112" s="26" t="s">
        <v>134</v>
      </c>
      <c r="L112" s="26"/>
      <c r="M112" s="30" t="s">
        <v>68</v>
      </c>
      <c r="N112" s="2" t="s">
        <v>101</v>
      </c>
      <c r="O112" s="31" t="s">
        <v>105</v>
      </c>
      <c r="P112" s="27" t="s">
        <v>1173</v>
      </c>
      <c r="Q112" s="48" t="s">
        <v>30</v>
      </c>
      <c r="R112" s="49" t="s">
        <v>110</v>
      </c>
      <c r="S112" s="32">
        <v>234900</v>
      </c>
      <c r="T112" s="48" t="s">
        <v>69</v>
      </c>
      <c r="U112" s="33">
        <v>5.1716309999999996</v>
      </c>
      <c r="V112" s="33">
        <v>4.171630859375</v>
      </c>
      <c r="W112" s="34">
        <v>9.1716308593750004E-2</v>
      </c>
      <c r="X112" s="35">
        <v>21544.160888671799</v>
      </c>
    </row>
    <row r="113" spans="1:24" x14ac:dyDescent="0.25">
      <c r="A113" s="30" t="s">
        <v>1113</v>
      </c>
      <c r="B113" s="30" t="s">
        <v>849</v>
      </c>
      <c r="C113" s="30" t="s">
        <v>1141</v>
      </c>
      <c r="D113" s="30" t="s">
        <v>1142</v>
      </c>
      <c r="E113" s="30" t="s">
        <v>1143</v>
      </c>
      <c r="F113" s="51" t="s">
        <v>24</v>
      </c>
      <c r="G113" s="31" t="s">
        <v>32</v>
      </c>
      <c r="H113" s="31" t="s">
        <v>25</v>
      </c>
      <c r="I113" s="27" t="s">
        <v>1159</v>
      </c>
      <c r="J113" s="52" t="s">
        <v>26</v>
      </c>
      <c r="K113" s="26" t="s">
        <v>373</v>
      </c>
      <c r="L113" s="26" t="s">
        <v>45</v>
      </c>
      <c r="M113" s="30" t="s">
        <v>41</v>
      </c>
      <c r="N113" s="2" t="s">
        <v>42</v>
      </c>
      <c r="O113" s="31" t="s">
        <v>106</v>
      </c>
      <c r="P113" s="27" t="s">
        <v>1174</v>
      </c>
      <c r="Q113" s="48" t="s">
        <v>436</v>
      </c>
      <c r="R113" s="49" t="s">
        <v>111</v>
      </c>
      <c r="S113" s="32">
        <v>228400</v>
      </c>
      <c r="T113" s="48" t="s">
        <v>44</v>
      </c>
      <c r="U113" s="33">
        <v>6.3670654000000004</v>
      </c>
      <c r="V113" s="33">
        <v>2.3670654296875</v>
      </c>
      <c r="W113" s="34">
        <v>0.15468261718750001</v>
      </c>
      <c r="X113" s="35">
        <v>35329.509765625</v>
      </c>
    </row>
    <row r="114" spans="1:24" x14ac:dyDescent="0.25">
      <c r="A114" s="30" t="s">
        <v>1114</v>
      </c>
      <c r="B114" s="30" t="s">
        <v>849</v>
      </c>
      <c r="C114" s="30" t="s">
        <v>492</v>
      </c>
      <c r="D114" s="30" t="s">
        <v>1144</v>
      </c>
      <c r="E114" s="30" t="s">
        <v>1145</v>
      </c>
      <c r="F114" s="51" t="s">
        <v>24</v>
      </c>
      <c r="G114" s="31" t="s">
        <v>32</v>
      </c>
      <c r="H114" s="31" t="s">
        <v>25</v>
      </c>
      <c r="I114" s="27" t="s">
        <v>1160</v>
      </c>
      <c r="J114" s="52" t="s">
        <v>26</v>
      </c>
      <c r="K114" s="26" t="s">
        <v>131</v>
      </c>
      <c r="L114" s="26" t="s">
        <v>27</v>
      </c>
      <c r="M114" s="30" t="s">
        <v>68</v>
      </c>
      <c r="N114" s="2" t="s">
        <v>101</v>
      </c>
      <c r="O114" s="31" t="s">
        <v>105</v>
      </c>
      <c r="P114" s="27" t="s">
        <v>1175</v>
      </c>
      <c r="Q114" s="48" t="s">
        <v>30</v>
      </c>
      <c r="R114" s="49" t="s">
        <v>110</v>
      </c>
      <c r="S114" s="32">
        <v>220600</v>
      </c>
      <c r="T114" s="48" t="s">
        <v>44</v>
      </c>
      <c r="U114" s="33">
        <v>9.8665769999999995</v>
      </c>
      <c r="V114" s="33">
        <v>8.8665771484375</v>
      </c>
      <c r="W114" s="34">
        <v>0.16733154296875</v>
      </c>
      <c r="X114" s="35">
        <v>36913.338378906199</v>
      </c>
    </row>
    <row r="115" spans="1:24" x14ac:dyDescent="0.25">
      <c r="A115" s="30" t="s">
        <v>1115</v>
      </c>
      <c r="B115" s="30" t="s">
        <v>849</v>
      </c>
      <c r="C115" s="30" t="s">
        <v>492</v>
      </c>
      <c r="D115" s="30" t="s">
        <v>1146</v>
      </c>
      <c r="E115" s="30" t="s">
        <v>1147</v>
      </c>
      <c r="F115" s="51" t="s">
        <v>24</v>
      </c>
      <c r="G115" s="31" t="s">
        <v>32</v>
      </c>
      <c r="H115" s="31" t="s">
        <v>25</v>
      </c>
      <c r="I115" s="27" t="s">
        <v>1161</v>
      </c>
      <c r="J115" s="52" t="s">
        <v>36</v>
      </c>
      <c r="K115" s="26" t="s">
        <v>83</v>
      </c>
      <c r="L115" s="26"/>
      <c r="M115" s="30" t="s">
        <v>28</v>
      </c>
      <c r="N115" s="2" t="s">
        <v>102</v>
      </c>
      <c r="O115" s="31" t="s">
        <v>106</v>
      </c>
      <c r="P115" s="27" t="s">
        <v>1176</v>
      </c>
      <c r="Q115" s="48" t="s">
        <v>30</v>
      </c>
      <c r="R115" s="49" t="s">
        <v>110</v>
      </c>
      <c r="S115" s="32">
        <v>200000</v>
      </c>
      <c r="T115" s="48" t="s">
        <v>44</v>
      </c>
      <c r="U115" s="33">
        <v>7.4708860000000001</v>
      </c>
      <c r="V115" s="33">
        <v>6.47088623046875</v>
      </c>
      <c r="W115" s="34">
        <v>0.15941772460937501</v>
      </c>
      <c r="X115" s="35">
        <v>31883.544921875</v>
      </c>
    </row>
    <row r="117" spans="1:24" x14ac:dyDescent="0.25">
      <c r="A117" s="3" t="s">
        <v>59</v>
      </c>
      <c r="B117" s="3" t="s">
        <v>1</v>
      </c>
      <c r="C117" s="3" t="s">
        <v>60</v>
      </c>
      <c r="D117" s="3" t="s">
        <v>61</v>
      </c>
      <c r="E117" s="3" t="s">
        <v>62</v>
      </c>
    </row>
    <row r="118" spans="1:24" x14ac:dyDescent="0.25">
      <c r="A118" s="3">
        <v>540076</v>
      </c>
      <c r="B118" s="1" t="s">
        <v>1256</v>
      </c>
      <c r="C118" s="3" t="s">
        <v>690</v>
      </c>
      <c r="D118" s="1" t="s">
        <v>63</v>
      </c>
      <c r="E118" s="3">
        <v>3</v>
      </c>
      <c r="S118" s="37" t="s">
        <v>1100</v>
      </c>
    </row>
    <row r="119" spans="1:24" x14ac:dyDescent="0.25">
      <c r="A119" s="30" t="s">
        <v>1179</v>
      </c>
      <c r="B119" s="30" t="s">
        <v>826</v>
      </c>
      <c r="C119" s="30" t="s">
        <v>778</v>
      </c>
      <c r="D119" s="30" t="s">
        <v>1209</v>
      </c>
      <c r="E119" s="30" t="s">
        <v>1210</v>
      </c>
      <c r="F119" s="23" t="str">
        <f>HYPERLINK("https://mapwv.gov/flood/map/?wkid=102100&amp;x=-9101321.089636715&amp;y=4631624.071741702&amp;l=13&amp;v=2","FT")</f>
        <v>FT</v>
      </c>
      <c r="G119" s="31" t="s">
        <v>32</v>
      </c>
      <c r="H119" s="31" t="s">
        <v>25</v>
      </c>
      <c r="I119" s="30" t="s">
        <v>1258</v>
      </c>
      <c r="J119" s="31" t="s">
        <v>36</v>
      </c>
      <c r="K119" s="31" t="s">
        <v>83</v>
      </c>
      <c r="L119" s="31"/>
      <c r="M119" s="30" t="s">
        <v>28</v>
      </c>
      <c r="N119" s="2" t="s">
        <v>102</v>
      </c>
      <c r="O119" s="31" t="s">
        <v>105</v>
      </c>
      <c r="P119" s="50">
        <v>42000</v>
      </c>
      <c r="Q119" s="30" t="s">
        <v>30</v>
      </c>
      <c r="R119" s="49" t="s">
        <v>110</v>
      </c>
      <c r="S119" s="32">
        <v>29000000</v>
      </c>
      <c r="T119" s="30" t="s">
        <v>29</v>
      </c>
      <c r="U119" s="33">
        <v>0.53015137000000001</v>
      </c>
      <c r="V119" s="33">
        <v>-0.4698486328125</v>
      </c>
      <c r="W119" s="34">
        <v>0</v>
      </c>
      <c r="X119" s="35">
        <v>0</v>
      </c>
    </row>
    <row r="120" spans="1:24" x14ac:dyDescent="0.25">
      <c r="A120" s="30" t="s">
        <v>713</v>
      </c>
      <c r="B120" s="30" t="s">
        <v>826</v>
      </c>
      <c r="C120" s="30" t="s">
        <v>778</v>
      </c>
      <c r="D120" s="30" t="s">
        <v>827</v>
      </c>
      <c r="E120" s="30" t="s">
        <v>828</v>
      </c>
      <c r="F120" s="23" t="s">
        <v>24</v>
      </c>
      <c r="G120" s="31" t="s">
        <v>32</v>
      </c>
      <c r="H120" s="31" t="s">
        <v>25</v>
      </c>
      <c r="I120" s="30" t="s">
        <v>67</v>
      </c>
      <c r="J120" s="31" t="s">
        <v>39</v>
      </c>
      <c r="K120" s="31" t="s">
        <v>376</v>
      </c>
      <c r="L120" s="31"/>
      <c r="M120" s="30" t="s">
        <v>68</v>
      </c>
      <c r="N120" s="2" t="s">
        <v>101</v>
      </c>
      <c r="O120" s="31" t="s">
        <v>105</v>
      </c>
      <c r="P120" s="30" t="s">
        <v>1035</v>
      </c>
      <c r="Q120" s="30" t="s">
        <v>30</v>
      </c>
      <c r="R120" s="49" t="s">
        <v>110</v>
      </c>
      <c r="S120" s="32">
        <v>10091730</v>
      </c>
      <c r="T120" s="30" t="s">
        <v>69</v>
      </c>
      <c r="U120" s="33">
        <v>1</v>
      </c>
      <c r="V120" s="33">
        <v>0</v>
      </c>
      <c r="W120" s="34">
        <v>0</v>
      </c>
      <c r="X120" s="35">
        <v>0</v>
      </c>
    </row>
    <row r="121" spans="1:24" x14ac:dyDescent="0.25">
      <c r="A121" s="30" t="s">
        <v>727</v>
      </c>
      <c r="B121" s="30" t="s">
        <v>826</v>
      </c>
      <c r="C121" s="30" t="s">
        <v>778</v>
      </c>
      <c r="D121" s="30" t="s">
        <v>856</v>
      </c>
      <c r="E121" s="30" t="s">
        <v>857</v>
      </c>
      <c r="F121" s="23" t="s">
        <v>24</v>
      </c>
      <c r="G121" s="31" t="s">
        <v>32</v>
      </c>
      <c r="H121" s="31" t="s">
        <v>25</v>
      </c>
      <c r="I121" s="30"/>
      <c r="J121" s="31" t="s">
        <v>26</v>
      </c>
      <c r="K121" s="31" t="s">
        <v>119</v>
      </c>
      <c r="L121" s="31"/>
      <c r="M121" s="30" t="s">
        <v>68</v>
      </c>
      <c r="N121" s="2" t="s">
        <v>101</v>
      </c>
      <c r="O121" s="31" t="s">
        <v>105</v>
      </c>
      <c r="P121" s="30" t="s">
        <v>1049</v>
      </c>
      <c r="Q121" s="30" t="s">
        <v>30</v>
      </c>
      <c r="R121" s="49" t="s">
        <v>110</v>
      </c>
      <c r="S121" s="32">
        <v>5087164</v>
      </c>
      <c r="T121" s="30" t="s">
        <v>69</v>
      </c>
      <c r="U121" s="33">
        <v>0</v>
      </c>
      <c r="V121" s="33">
        <v>-1</v>
      </c>
      <c r="W121" s="34">
        <v>0</v>
      </c>
      <c r="X121" s="35">
        <v>0</v>
      </c>
    </row>
    <row r="122" spans="1:24" x14ac:dyDescent="0.25">
      <c r="A122" s="30" t="s">
        <v>741</v>
      </c>
      <c r="B122" s="30" t="s">
        <v>826</v>
      </c>
      <c r="C122" s="30" t="s">
        <v>778</v>
      </c>
      <c r="D122" s="30" t="s">
        <v>886</v>
      </c>
      <c r="E122" s="30" t="s">
        <v>887</v>
      </c>
      <c r="F122" s="23" t="s">
        <v>24</v>
      </c>
      <c r="G122" s="31" t="s">
        <v>79</v>
      </c>
      <c r="H122" s="31" t="s">
        <v>25</v>
      </c>
      <c r="I122" s="30"/>
      <c r="J122" s="31" t="s">
        <v>39</v>
      </c>
      <c r="K122" s="31" t="s">
        <v>999</v>
      </c>
      <c r="L122" s="31"/>
      <c r="M122" s="30" t="s">
        <v>68</v>
      </c>
      <c r="N122" s="2" t="s">
        <v>101</v>
      </c>
      <c r="O122" s="31" t="s">
        <v>105</v>
      </c>
      <c r="P122" s="30" t="s">
        <v>1063</v>
      </c>
      <c r="Q122" s="30" t="s">
        <v>30</v>
      </c>
      <c r="R122" s="49" t="s">
        <v>110</v>
      </c>
      <c r="S122" s="32">
        <v>4048659</v>
      </c>
      <c r="T122" s="30" t="s">
        <v>69</v>
      </c>
      <c r="U122" s="33">
        <v>0</v>
      </c>
      <c r="V122" s="33">
        <v>-1</v>
      </c>
      <c r="W122" s="34">
        <v>0</v>
      </c>
      <c r="X122" s="35">
        <v>0</v>
      </c>
    </row>
    <row r="123" spans="1:24" x14ac:dyDescent="0.25">
      <c r="A123" s="30" t="s">
        <v>1177</v>
      </c>
      <c r="B123" s="30" t="s">
        <v>826</v>
      </c>
      <c r="C123" s="30" t="s">
        <v>778</v>
      </c>
      <c r="D123" s="30" t="s">
        <v>1204</v>
      </c>
      <c r="E123" s="30" t="s">
        <v>1205</v>
      </c>
      <c r="F123" s="23" t="str">
        <f>HYPERLINK("https://mapwv.gov/flood/map/?wkid=102100&amp;x=-9098606.324182853&amp;y=4630069.984255805&amp;l=13&amp;v=2","FT")</f>
        <v>FT</v>
      </c>
      <c r="G123" s="31" t="s">
        <v>32</v>
      </c>
      <c r="H123" s="31" t="s">
        <v>25</v>
      </c>
      <c r="I123" s="30" t="s">
        <v>1257</v>
      </c>
      <c r="J123" s="31" t="s">
        <v>26</v>
      </c>
      <c r="K123" s="31" t="s">
        <v>124</v>
      </c>
      <c r="L123" s="31" t="s">
        <v>57</v>
      </c>
      <c r="M123" s="30" t="s">
        <v>48</v>
      </c>
      <c r="N123" s="2" t="s">
        <v>35</v>
      </c>
      <c r="O123" s="31" t="s">
        <v>105</v>
      </c>
      <c r="P123" s="30" t="s">
        <v>1281</v>
      </c>
      <c r="Q123" s="30" t="s">
        <v>30</v>
      </c>
      <c r="R123" s="49" t="s">
        <v>110</v>
      </c>
      <c r="S123" s="32">
        <v>1744700</v>
      </c>
      <c r="T123" s="30" t="s">
        <v>31</v>
      </c>
      <c r="U123" s="33">
        <v>2.1021117999999999</v>
      </c>
      <c r="V123" s="33">
        <v>1.10211181640625</v>
      </c>
      <c r="W123" s="34">
        <v>9.5105590820312502E-2</v>
      </c>
      <c r="X123" s="35">
        <v>165930.72430419899</v>
      </c>
    </row>
    <row r="124" spans="1:24" x14ac:dyDescent="0.25">
      <c r="A124" s="30" t="s">
        <v>1178</v>
      </c>
      <c r="B124" s="30" t="s">
        <v>826</v>
      </c>
      <c r="C124" s="30" t="s">
        <v>1206</v>
      </c>
      <c r="D124" s="30" t="s">
        <v>1207</v>
      </c>
      <c r="E124" s="30" t="s">
        <v>1208</v>
      </c>
      <c r="F124" s="23" t="str">
        <f>HYPERLINK("https://mapwv.gov/flood/map/?wkid=102100&amp;x=-9097833.022857271&amp;y=4632319.026659755&amp;l=13&amp;v=2","FT")</f>
        <v>FT</v>
      </c>
      <c r="G124" s="31" t="s">
        <v>38</v>
      </c>
      <c r="H124" s="31" t="s">
        <v>25</v>
      </c>
      <c r="I124" s="30"/>
      <c r="J124" s="31" t="s">
        <v>39</v>
      </c>
      <c r="K124" s="31" t="s">
        <v>134</v>
      </c>
      <c r="L124" s="31"/>
      <c r="M124" s="30" t="s">
        <v>28</v>
      </c>
      <c r="N124" s="2" t="s">
        <v>102</v>
      </c>
      <c r="O124" s="31" t="s">
        <v>105</v>
      </c>
      <c r="P124" s="30" t="s">
        <v>1061</v>
      </c>
      <c r="Q124" s="30" t="s">
        <v>30</v>
      </c>
      <c r="R124" s="49" t="s">
        <v>110</v>
      </c>
      <c r="S124" s="32">
        <v>880363</v>
      </c>
      <c r="T124" s="30" t="s">
        <v>112</v>
      </c>
      <c r="U124" s="33">
        <v>0</v>
      </c>
      <c r="V124" s="33">
        <v>-1</v>
      </c>
      <c r="W124" s="34">
        <v>0</v>
      </c>
      <c r="X124" s="35">
        <v>0</v>
      </c>
    </row>
    <row r="125" spans="1:24" x14ac:dyDescent="0.25">
      <c r="A125" s="30" t="s">
        <v>1180</v>
      </c>
      <c r="B125" s="30" t="s">
        <v>826</v>
      </c>
      <c r="C125" s="30" t="s">
        <v>778</v>
      </c>
      <c r="D125" s="30" t="s">
        <v>1211</v>
      </c>
      <c r="E125" s="30" t="s">
        <v>1212</v>
      </c>
      <c r="F125" s="23" t="str">
        <f>HYPERLINK("https://mapwv.gov/flood/map/?wkid=102100&amp;x=-9099657.199879492&amp;y=4630454.313890399&amp;l=13&amp;v=2","FT")</f>
        <v>FT</v>
      </c>
      <c r="G125" s="31" t="s">
        <v>32</v>
      </c>
      <c r="H125" s="31" t="s">
        <v>25</v>
      </c>
      <c r="I125" s="30" t="s">
        <v>1259</v>
      </c>
      <c r="J125" s="31" t="s">
        <v>39</v>
      </c>
      <c r="K125" s="31" t="s">
        <v>1279</v>
      </c>
      <c r="L125" s="31" t="s">
        <v>57</v>
      </c>
      <c r="M125" s="30" t="s">
        <v>56</v>
      </c>
      <c r="N125" s="2" t="s">
        <v>35</v>
      </c>
      <c r="O125" s="31" t="s">
        <v>105</v>
      </c>
      <c r="P125" s="30" t="s">
        <v>1282</v>
      </c>
      <c r="Q125" s="30" t="s">
        <v>30</v>
      </c>
      <c r="R125" s="49" t="s">
        <v>110</v>
      </c>
      <c r="S125" s="32">
        <v>648100</v>
      </c>
      <c r="T125" s="30" t="s">
        <v>31</v>
      </c>
      <c r="U125" s="33">
        <v>1</v>
      </c>
      <c r="V125" s="33">
        <v>0</v>
      </c>
      <c r="W125" s="34">
        <v>0.02</v>
      </c>
      <c r="X125" s="35">
        <v>12962</v>
      </c>
    </row>
    <row r="126" spans="1:24" x14ac:dyDescent="0.25">
      <c r="A126" s="30" t="s">
        <v>1181</v>
      </c>
      <c r="B126" s="30" t="s">
        <v>826</v>
      </c>
      <c r="C126" s="30" t="s">
        <v>778</v>
      </c>
      <c r="D126" s="30" t="s">
        <v>1213</v>
      </c>
      <c r="E126" s="30" t="s">
        <v>1214</v>
      </c>
      <c r="F126" s="23" t="str">
        <f>HYPERLINK("https://mapwv.gov/flood/map/?wkid=102100&amp;x=-9100795.744461872&amp;y=4631166.503879601&amp;l=13&amp;v=2","FT")</f>
        <v>FT</v>
      </c>
      <c r="G126" s="31" t="s">
        <v>32</v>
      </c>
      <c r="H126" s="31" t="s">
        <v>25</v>
      </c>
      <c r="I126" s="30" t="s">
        <v>1258</v>
      </c>
      <c r="J126" s="31" t="s">
        <v>39</v>
      </c>
      <c r="K126" s="31" t="s">
        <v>376</v>
      </c>
      <c r="L126" s="31" t="s">
        <v>27</v>
      </c>
      <c r="M126" s="30" t="s">
        <v>28</v>
      </c>
      <c r="N126" s="2" t="s">
        <v>102</v>
      </c>
      <c r="O126" s="31" t="s">
        <v>105</v>
      </c>
      <c r="P126" s="30" t="s">
        <v>1283</v>
      </c>
      <c r="Q126" s="30" t="s">
        <v>30</v>
      </c>
      <c r="R126" s="49" t="s">
        <v>110</v>
      </c>
      <c r="S126" s="32">
        <v>620400</v>
      </c>
      <c r="T126" s="30" t="s">
        <v>44</v>
      </c>
      <c r="U126" s="33">
        <v>0.18005371000000001</v>
      </c>
      <c r="V126" s="33">
        <v>-0.8199462890625</v>
      </c>
      <c r="W126" s="34">
        <v>0</v>
      </c>
      <c r="X126" s="35">
        <v>0</v>
      </c>
    </row>
    <row r="127" spans="1:24" x14ac:dyDescent="0.25">
      <c r="A127" s="30" t="s">
        <v>1182</v>
      </c>
      <c r="B127" s="30" t="s">
        <v>826</v>
      </c>
      <c r="C127" s="30" t="s">
        <v>915</v>
      </c>
      <c r="D127" s="30" t="s">
        <v>1215</v>
      </c>
      <c r="E127" s="30" t="s">
        <v>1216</v>
      </c>
      <c r="F127" s="23" t="str">
        <f>HYPERLINK("https://mapwv.gov/flood/map/?wkid=102100&amp;x=-9095714.003027989&amp;y=4632184.395857545&amp;l=13&amp;v=2","FT")</f>
        <v>FT</v>
      </c>
      <c r="G127" s="31" t="s">
        <v>32</v>
      </c>
      <c r="H127" s="31" t="s">
        <v>25</v>
      </c>
      <c r="I127" s="30" t="s">
        <v>1260</v>
      </c>
      <c r="J127" s="31" t="s">
        <v>26</v>
      </c>
      <c r="K127" s="31" t="s">
        <v>366</v>
      </c>
      <c r="L127" s="31" t="s">
        <v>27</v>
      </c>
      <c r="M127" s="30" t="s">
        <v>48</v>
      </c>
      <c r="N127" s="2" t="s">
        <v>35</v>
      </c>
      <c r="O127" s="31" t="s">
        <v>105</v>
      </c>
      <c r="P127" s="30" t="s">
        <v>1284</v>
      </c>
      <c r="Q127" s="30" t="s">
        <v>43</v>
      </c>
      <c r="R127" s="49" t="s">
        <v>111</v>
      </c>
      <c r="S127" s="32">
        <v>588800</v>
      </c>
      <c r="T127" s="30" t="s">
        <v>44</v>
      </c>
      <c r="U127" s="33">
        <v>2.1423339999999999E-2</v>
      </c>
      <c r="V127" s="33">
        <v>-3.97857666015625</v>
      </c>
      <c r="W127" s="34">
        <v>0</v>
      </c>
      <c r="X127" s="35">
        <v>0</v>
      </c>
    </row>
    <row r="128" spans="1:24" x14ac:dyDescent="0.25">
      <c r="A128" s="30" t="s">
        <v>1183</v>
      </c>
      <c r="B128" s="30" t="s">
        <v>826</v>
      </c>
      <c r="C128" s="30" t="s">
        <v>778</v>
      </c>
      <c r="D128" s="30" t="s">
        <v>1217</v>
      </c>
      <c r="E128" s="30" t="s">
        <v>1218</v>
      </c>
      <c r="F128" s="23" t="str">
        <f>HYPERLINK("https://mapwv.gov/flood/map/?wkid=102100&amp;x=-9099761.802463531&amp;y=4630524.073780739&amp;l=13&amp;v=2","FT")</f>
        <v>FT</v>
      </c>
      <c r="G128" s="31" t="s">
        <v>32</v>
      </c>
      <c r="H128" s="31" t="s">
        <v>25</v>
      </c>
      <c r="I128" s="30" t="s">
        <v>1261</v>
      </c>
      <c r="J128" s="31" t="s">
        <v>26</v>
      </c>
      <c r="K128" s="31" t="s">
        <v>108</v>
      </c>
      <c r="L128" s="31" t="s">
        <v>45</v>
      </c>
      <c r="M128" s="30" t="s">
        <v>55</v>
      </c>
      <c r="N128" s="2" t="s">
        <v>35</v>
      </c>
      <c r="O128" s="31" t="s">
        <v>106</v>
      </c>
      <c r="P128" s="30" t="s">
        <v>1285</v>
      </c>
      <c r="Q128" s="30" t="s">
        <v>30</v>
      </c>
      <c r="R128" s="49" t="s">
        <v>110</v>
      </c>
      <c r="S128" s="32">
        <v>580200</v>
      </c>
      <c r="T128" s="30" t="s">
        <v>44</v>
      </c>
      <c r="U128" s="33">
        <v>0.12554931999999999</v>
      </c>
      <c r="V128" s="33">
        <v>-0.87445068359375</v>
      </c>
      <c r="W128" s="34">
        <v>2.510986328125E-3</v>
      </c>
      <c r="X128" s="35">
        <v>1456.87426757812</v>
      </c>
    </row>
    <row r="129" spans="1:24" x14ac:dyDescent="0.25">
      <c r="A129" s="30" t="s">
        <v>1184</v>
      </c>
      <c r="B129" s="30" t="s">
        <v>826</v>
      </c>
      <c r="C129" s="30" t="s">
        <v>1206</v>
      </c>
      <c r="D129" s="30" t="s">
        <v>1219</v>
      </c>
      <c r="E129" s="30" t="s">
        <v>1220</v>
      </c>
      <c r="F129" s="23" t="str">
        <f>HYPERLINK("https://mapwv.gov/flood/map/?wkid=102100&amp;x=-9098149.103642069&amp;y=4631034.333125388&amp;l=13&amp;v=2","FT")</f>
        <v>FT</v>
      </c>
      <c r="G129" s="31" t="s">
        <v>38</v>
      </c>
      <c r="H129" s="31" t="s">
        <v>25</v>
      </c>
      <c r="I129" s="30" t="s">
        <v>1262</v>
      </c>
      <c r="J129" s="31" t="s">
        <v>26</v>
      </c>
      <c r="K129" s="31" t="s">
        <v>375</v>
      </c>
      <c r="L129" s="31" t="s">
        <v>27</v>
      </c>
      <c r="M129" s="30" t="s">
        <v>70</v>
      </c>
      <c r="N129" s="2" t="s">
        <v>35</v>
      </c>
      <c r="O129" s="31" t="s">
        <v>105</v>
      </c>
      <c r="P129" s="30" t="s">
        <v>1286</v>
      </c>
      <c r="Q129" s="30" t="s">
        <v>30</v>
      </c>
      <c r="R129" s="49" t="s">
        <v>110</v>
      </c>
      <c r="S129" s="32">
        <v>546500</v>
      </c>
      <c r="T129" s="30" t="s">
        <v>31</v>
      </c>
      <c r="U129" s="33">
        <v>0</v>
      </c>
      <c r="V129" s="33">
        <v>-1</v>
      </c>
      <c r="W129" s="34">
        <v>0</v>
      </c>
      <c r="X129" s="35">
        <v>0</v>
      </c>
    </row>
    <row r="130" spans="1:24" x14ac:dyDescent="0.25">
      <c r="A130" s="30" t="s">
        <v>1185</v>
      </c>
      <c r="B130" s="30" t="s">
        <v>826</v>
      </c>
      <c r="C130" s="30" t="s">
        <v>778</v>
      </c>
      <c r="D130" s="30" t="s">
        <v>1221</v>
      </c>
      <c r="E130" s="30" t="s">
        <v>1222</v>
      </c>
      <c r="F130" s="23" t="str">
        <f>HYPERLINK("https://mapwv.gov/flood/map/?wkid=102100&amp;x=-9099499.723320315&amp;y=4630422.418823418&amp;l=13&amp;v=2","FT")</f>
        <v>FT</v>
      </c>
      <c r="G130" s="31" t="s">
        <v>32</v>
      </c>
      <c r="H130" s="31" t="s">
        <v>25</v>
      </c>
      <c r="I130" s="30" t="s">
        <v>1263</v>
      </c>
      <c r="J130" s="31" t="s">
        <v>39</v>
      </c>
      <c r="K130" s="31" t="s">
        <v>123</v>
      </c>
      <c r="L130" s="31" t="s">
        <v>367</v>
      </c>
      <c r="M130" s="30" t="s">
        <v>34</v>
      </c>
      <c r="N130" s="2" t="s">
        <v>104</v>
      </c>
      <c r="O130" s="31" t="s">
        <v>106</v>
      </c>
      <c r="P130" s="30" t="s">
        <v>1287</v>
      </c>
      <c r="Q130" s="30" t="s">
        <v>30</v>
      </c>
      <c r="R130" s="49" t="s">
        <v>110</v>
      </c>
      <c r="S130" s="32">
        <v>351900</v>
      </c>
      <c r="T130" s="30" t="s">
        <v>31</v>
      </c>
      <c r="U130" s="33">
        <v>0</v>
      </c>
      <c r="V130" s="33">
        <v>-1</v>
      </c>
      <c r="W130" s="34">
        <v>0</v>
      </c>
      <c r="X130" s="35">
        <v>0</v>
      </c>
    </row>
    <row r="131" spans="1:24" x14ac:dyDescent="0.25">
      <c r="A131" s="30" t="s">
        <v>1186</v>
      </c>
      <c r="B131" s="30" t="s">
        <v>826</v>
      </c>
      <c r="C131" s="30" t="s">
        <v>778</v>
      </c>
      <c r="D131" s="30" t="s">
        <v>1223</v>
      </c>
      <c r="E131" s="30" t="s">
        <v>1224</v>
      </c>
      <c r="F131" s="23" t="str">
        <f>HYPERLINK("https://mapwv.gov/flood/map/?wkid=102100&amp;x=-9099731.413133098&amp;y=4630523.76471689&amp;l=13&amp;v=2","FT")</f>
        <v>FT</v>
      </c>
      <c r="G131" s="31" t="s">
        <v>32</v>
      </c>
      <c r="H131" s="31" t="s">
        <v>25</v>
      </c>
      <c r="I131" s="30" t="s">
        <v>1264</v>
      </c>
      <c r="J131" s="31" t="s">
        <v>39</v>
      </c>
      <c r="K131" s="31" t="s">
        <v>999</v>
      </c>
      <c r="L131" s="31" t="s">
        <v>27</v>
      </c>
      <c r="M131" s="30" t="s">
        <v>48</v>
      </c>
      <c r="N131" s="2" t="s">
        <v>35</v>
      </c>
      <c r="O131" s="31" t="s">
        <v>105</v>
      </c>
      <c r="P131" s="30" t="s">
        <v>1288</v>
      </c>
      <c r="Q131" s="30" t="s">
        <v>30</v>
      </c>
      <c r="R131" s="49" t="s">
        <v>110</v>
      </c>
      <c r="S131" s="32">
        <v>327200</v>
      </c>
      <c r="T131" s="30" t="s">
        <v>44</v>
      </c>
      <c r="U131" s="33">
        <v>0.6015625</v>
      </c>
      <c r="V131" s="33">
        <v>-0.3984375</v>
      </c>
      <c r="W131" s="34">
        <v>6.0156250000000001E-3</v>
      </c>
      <c r="X131" s="35">
        <v>1968.3125</v>
      </c>
    </row>
    <row r="132" spans="1:24" x14ac:dyDescent="0.25">
      <c r="A132" s="30" t="s">
        <v>1187</v>
      </c>
      <c r="B132" s="30" t="s">
        <v>826</v>
      </c>
      <c r="C132" s="30" t="s">
        <v>778</v>
      </c>
      <c r="D132" s="30" t="s">
        <v>1225</v>
      </c>
      <c r="E132" s="30" t="s">
        <v>1226</v>
      </c>
      <c r="F132" s="23" t="str">
        <f>HYPERLINK("https://mapwv.gov/flood/map/?wkid=102100&amp;x=-9099343.94672108&amp;y=4630544.498421425&amp;l=13&amp;v=2","FT")</f>
        <v>FT</v>
      </c>
      <c r="G132" s="31" t="s">
        <v>32</v>
      </c>
      <c r="H132" s="31" t="s">
        <v>25</v>
      </c>
      <c r="I132" s="30" t="s">
        <v>1265</v>
      </c>
      <c r="J132" s="31" t="s">
        <v>39</v>
      </c>
      <c r="K132" s="31" t="s">
        <v>120</v>
      </c>
      <c r="L132" s="31" t="s">
        <v>367</v>
      </c>
      <c r="M132" s="30" t="s">
        <v>70</v>
      </c>
      <c r="N132" s="2" t="s">
        <v>35</v>
      </c>
      <c r="O132" s="31" t="s">
        <v>106</v>
      </c>
      <c r="P132" s="30" t="s">
        <v>1289</v>
      </c>
      <c r="Q132" s="30" t="s">
        <v>30</v>
      </c>
      <c r="R132" s="49" t="s">
        <v>110</v>
      </c>
      <c r="S132" s="32">
        <v>275800</v>
      </c>
      <c r="T132" s="30" t="s">
        <v>31</v>
      </c>
      <c r="U132" s="33">
        <v>0</v>
      </c>
      <c r="V132" s="33">
        <v>-1</v>
      </c>
      <c r="W132" s="34">
        <v>0</v>
      </c>
      <c r="X132" s="35">
        <v>0</v>
      </c>
    </row>
    <row r="133" spans="1:24" x14ac:dyDescent="0.25">
      <c r="A133" s="30" t="s">
        <v>1188</v>
      </c>
      <c r="B133" s="30" t="s">
        <v>826</v>
      </c>
      <c r="C133" s="30" t="s">
        <v>1206</v>
      </c>
      <c r="D133" s="30" t="s">
        <v>1227</v>
      </c>
      <c r="E133" s="30" t="s">
        <v>1228</v>
      </c>
      <c r="F133" s="23" t="str">
        <f>HYPERLINK("https://mapwv.gov/flood/map/?wkid=102100&amp;x=-9098165.8998608&amp;y=4631092.280598693&amp;l=13&amp;v=2","FT")</f>
        <v>FT</v>
      </c>
      <c r="G133" s="31" t="s">
        <v>38</v>
      </c>
      <c r="H133" s="31" t="s">
        <v>25</v>
      </c>
      <c r="I133" s="30" t="s">
        <v>1266</v>
      </c>
      <c r="J133" s="31" t="s">
        <v>26</v>
      </c>
      <c r="K133" s="31" t="s">
        <v>108</v>
      </c>
      <c r="L133" s="31" t="s">
        <v>57</v>
      </c>
      <c r="M133" s="30" t="s">
        <v>70</v>
      </c>
      <c r="N133" s="2" t="s">
        <v>35</v>
      </c>
      <c r="O133" s="31" t="s">
        <v>105</v>
      </c>
      <c r="P133" s="30" t="s">
        <v>1290</v>
      </c>
      <c r="Q133" s="30" t="s">
        <v>30</v>
      </c>
      <c r="R133" s="49" t="s">
        <v>110</v>
      </c>
      <c r="S133" s="32">
        <v>266500</v>
      </c>
      <c r="T133" s="30" t="s">
        <v>31</v>
      </c>
      <c r="U133" s="33">
        <v>0</v>
      </c>
      <c r="V133" s="33">
        <v>-1</v>
      </c>
      <c r="W133" s="34">
        <v>0</v>
      </c>
      <c r="X133" s="35">
        <v>0</v>
      </c>
    </row>
    <row r="134" spans="1:24" x14ac:dyDescent="0.25">
      <c r="A134" s="30" t="s">
        <v>1189</v>
      </c>
      <c r="B134" s="30" t="s">
        <v>826</v>
      </c>
      <c r="C134" s="30" t="s">
        <v>778</v>
      </c>
      <c r="D134" s="30" t="s">
        <v>1204</v>
      </c>
      <c r="E134" s="30" t="s">
        <v>1229</v>
      </c>
      <c r="F134" s="23" t="str">
        <f>HYPERLINK("https://mapwv.gov/flood/map/?wkid=102100&amp;x=-9098657.586140446&amp;y=4629999.02532574&amp;l=13&amp;v=2","FT")</f>
        <v>FT</v>
      </c>
      <c r="G134" s="31" t="s">
        <v>32</v>
      </c>
      <c r="H134" s="31" t="s">
        <v>25</v>
      </c>
      <c r="I134" s="30" t="s">
        <v>1257</v>
      </c>
      <c r="J134" s="31" t="s">
        <v>26</v>
      </c>
      <c r="K134" s="31" t="s">
        <v>86</v>
      </c>
      <c r="L134" s="31" t="s">
        <v>57</v>
      </c>
      <c r="M134" s="30" t="s">
        <v>48</v>
      </c>
      <c r="N134" s="2" t="s">
        <v>35</v>
      </c>
      <c r="O134" s="31" t="s">
        <v>105</v>
      </c>
      <c r="P134" s="30" t="s">
        <v>1291</v>
      </c>
      <c r="Q134" s="30" t="s">
        <v>30</v>
      </c>
      <c r="R134" s="49" t="s">
        <v>110</v>
      </c>
      <c r="S134" s="32">
        <v>258500</v>
      </c>
      <c r="T134" s="30" t="s">
        <v>31</v>
      </c>
      <c r="U134" s="33">
        <v>1.8387450999999999</v>
      </c>
      <c r="V134" s="33">
        <v>0.8387451171875</v>
      </c>
      <c r="W134" s="34">
        <v>7.7099609375000003E-2</v>
      </c>
      <c r="X134" s="35">
        <v>19930.2490234375</v>
      </c>
    </row>
    <row r="135" spans="1:24" x14ac:dyDescent="0.25">
      <c r="A135" s="30" t="s">
        <v>1190</v>
      </c>
      <c r="B135" s="30" t="s">
        <v>826</v>
      </c>
      <c r="C135" s="30" t="s">
        <v>778</v>
      </c>
      <c r="D135" s="30" t="s">
        <v>1230</v>
      </c>
      <c r="E135" s="30" t="s">
        <v>1231</v>
      </c>
      <c r="F135" s="23" t="s">
        <v>24</v>
      </c>
      <c r="G135" s="31" t="s">
        <v>32</v>
      </c>
      <c r="H135" s="31" t="s">
        <v>25</v>
      </c>
      <c r="I135" s="30" t="s">
        <v>1267</v>
      </c>
      <c r="J135" s="31" t="s">
        <v>39</v>
      </c>
      <c r="K135" s="31" t="s">
        <v>135</v>
      </c>
      <c r="L135" s="31" t="s">
        <v>27</v>
      </c>
      <c r="M135" s="30" t="s">
        <v>56</v>
      </c>
      <c r="N135" s="2" t="s">
        <v>35</v>
      </c>
      <c r="O135" s="31" t="s">
        <v>105</v>
      </c>
      <c r="P135" s="30" t="s">
        <v>1292</v>
      </c>
      <c r="Q135" s="30" t="s">
        <v>30</v>
      </c>
      <c r="R135" s="49" t="s">
        <v>110</v>
      </c>
      <c r="S135" s="32">
        <v>252900</v>
      </c>
      <c r="T135" s="30" t="s">
        <v>44</v>
      </c>
      <c r="U135" s="33">
        <v>0</v>
      </c>
      <c r="V135" s="33">
        <v>-1</v>
      </c>
      <c r="W135" s="34">
        <v>0</v>
      </c>
      <c r="X135" s="35">
        <v>0</v>
      </c>
    </row>
    <row r="136" spans="1:24" x14ac:dyDescent="0.25">
      <c r="A136" s="30" t="s">
        <v>1191</v>
      </c>
      <c r="B136" s="30" t="s">
        <v>826</v>
      </c>
      <c r="C136" s="30" t="s">
        <v>778</v>
      </c>
      <c r="D136" s="30" t="s">
        <v>1232</v>
      </c>
      <c r="E136" s="30" t="s">
        <v>1233</v>
      </c>
      <c r="F136" s="23" t="s">
        <v>24</v>
      </c>
      <c r="G136" s="31" t="s">
        <v>32</v>
      </c>
      <c r="H136" s="31" t="s">
        <v>25</v>
      </c>
      <c r="I136" s="30" t="s">
        <v>1268</v>
      </c>
      <c r="J136" s="31" t="s">
        <v>39</v>
      </c>
      <c r="K136" s="31" t="s">
        <v>87</v>
      </c>
      <c r="L136" s="31" t="s">
        <v>27</v>
      </c>
      <c r="M136" s="30" t="s">
        <v>70</v>
      </c>
      <c r="N136" s="2" t="s">
        <v>35</v>
      </c>
      <c r="O136" s="31" t="s">
        <v>105</v>
      </c>
      <c r="P136" s="30" t="s">
        <v>1293</v>
      </c>
      <c r="Q136" s="30" t="s">
        <v>30</v>
      </c>
      <c r="R136" s="49" t="s">
        <v>110</v>
      </c>
      <c r="S136" s="32">
        <v>247300</v>
      </c>
      <c r="T136" s="30" t="s">
        <v>31</v>
      </c>
      <c r="U136" s="33">
        <v>0.61004639999999999</v>
      </c>
      <c r="V136" s="33">
        <v>-0.38995361328125</v>
      </c>
      <c r="W136" s="34">
        <v>0</v>
      </c>
      <c r="X136" s="35">
        <v>0</v>
      </c>
    </row>
    <row r="137" spans="1:24" x14ac:dyDescent="0.25">
      <c r="A137" s="30" t="s">
        <v>1192</v>
      </c>
      <c r="B137" s="30" t="s">
        <v>826</v>
      </c>
      <c r="C137" s="30" t="s">
        <v>1206</v>
      </c>
      <c r="D137" s="30" t="s">
        <v>1219</v>
      </c>
      <c r="E137" s="30" t="s">
        <v>1234</v>
      </c>
      <c r="F137" s="23" t="s">
        <v>24</v>
      </c>
      <c r="G137" s="31" t="s">
        <v>38</v>
      </c>
      <c r="H137" s="31" t="s">
        <v>25</v>
      </c>
      <c r="I137" s="30" t="s">
        <v>1262</v>
      </c>
      <c r="J137" s="31" t="s">
        <v>26</v>
      </c>
      <c r="K137" s="31" t="s">
        <v>375</v>
      </c>
      <c r="L137" s="31" t="s">
        <v>27</v>
      </c>
      <c r="M137" s="30" t="s">
        <v>70</v>
      </c>
      <c r="N137" s="2" t="s">
        <v>35</v>
      </c>
      <c r="O137" s="31" t="s">
        <v>105</v>
      </c>
      <c r="P137" s="30" t="s">
        <v>1294</v>
      </c>
      <c r="Q137" s="30" t="s">
        <v>30</v>
      </c>
      <c r="R137" s="49" t="s">
        <v>110</v>
      </c>
      <c r="S137" s="32">
        <v>247200</v>
      </c>
      <c r="T137" s="30" t="s">
        <v>31</v>
      </c>
      <c r="U137" s="33">
        <v>0</v>
      </c>
      <c r="V137" s="33">
        <v>-1</v>
      </c>
      <c r="W137" s="34">
        <v>0</v>
      </c>
      <c r="X137" s="35">
        <v>0</v>
      </c>
    </row>
    <row r="138" spans="1:24" x14ac:dyDescent="0.25">
      <c r="A138" s="30" t="s">
        <v>1193</v>
      </c>
      <c r="B138" s="30" t="s">
        <v>826</v>
      </c>
      <c r="C138" s="30" t="s">
        <v>778</v>
      </c>
      <c r="D138" s="30" t="s">
        <v>1235</v>
      </c>
      <c r="E138" s="30" t="s">
        <v>1236</v>
      </c>
      <c r="F138" s="23" t="s">
        <v>24</v>
      </c>
      <c r="G138" s="31" t="s">
        <v>32</v>
      </c>
      <c r="H138" s="31" t="s">
        <v>25</v>
      </c>
      <c r="I138" s="30" t="s">
        <v>1269</v>
      </c>
      <c r="J138" s="31" t="s">
        <v>26</v>
      </c>
      <c r="K138" s="31" t="s">
        <v>127</v>
      </c>
      <c r="L138" s="31" t="s">
        <v>50</v>
      </c>
      <c r="M138" s="30" t="s">
        <v>70</v>
      </c>
      <c r="N138" s="2" t="s">
        <v>35</v>
      </c>
      <c r="O138" s="31" t="s">
        <v>106</v>
      </c>
      <c r="P138" s="30" t="s">
        <v>1295</v>
      </c>
      <c r="Q138" s="30" t="s">
        <v>30</v>
      </c>
      <c r="R138" s="49" t="s">
        <v>110</v>
      </c>
      <c r="S138" s="32">
        <v>246040</v>
      </c>
      <c r="T138" s="30" t="s">
        <v>44</v>
      </c>
      <c r="U138" s="33">
        <v>0</v>
      </c>
      <c r="V138" s="33">
        <v>-1</v>
      </c>
      <c r="W138" s="34">
        <v>0</v>
      </c>
      <c r="X138" s="35">
        <v>0</v>
      </c>
    </row>
    <row r="139" spans="1:24" x14ac:dyDescent="0.25">
      <c r="A139" s="30" t="s">
        <v>1194</v>
      </c>
      <c r="B139" s="30" t="s">
        <v>826</v>
      </c>
      <c r="C139" s="30" t="s">
        <v>778</v>
      </c>
      <c r="D139" s="30" t="s">
        <v>1237</v>
      </c>
      <c r="E139" s="30" t="s">
        <v>1238</v>
      </c>
      <c r="F139" s="23" t="s">
        <v>24</v>
      </c>
      <c r="G139" s="31" t="s">
        <v>32</v>
      </c>
      <c r="H139" s="31" t="s">
        <v>25</v>
      </c>
      <c r="I139" s="30" t="s">
        <v>1270</v>
      </c>
      <c r="J139" s="31" t="s">
        <v>39</v>
      </c>
      <c r="K139" s="31" t="s">
        <v>1000</v>
      </c>
      <c r="L139" s="31" t="s">
        <v>50</v>
      </c>
      <c r="M139" s="30" t="s">
        <v>70</v>
      </c>
      <c r="N139" s="2" t="s">
        <v>35</v>
      </c>
      <c r="O139" s="31" t="s">
        <v>106</v>
      </c>
      <c r="P139" s="30" t="s">
        <v>1296</v>
      </c>
      <c r="Q139" s="30" t="s">
        <v>30</v>
      </c>
      <c r="R139" s="49" t="s">
        <v>110</v>
      </c>
      <c r="S139" s="32">
        <v>244300</v>
      </c>
      <c r="T139" s="30" t="s">
        <v>44</v>
      </c>
      <c r="U139" s="33">
        <v>0.24975586</v>
      </c>
      <c r="V139" s="33">
        <v>-0.750244140625</v>
      </c>
      <c r="W139" s="34">
        <v>0</v>
      </c>
      <c r="X139" s="35">
        <v>0</v>
      </c>
    </row>
    <row r="140" spans="1:24" x14ac:dyDescent="0.25">
      <c r="A140" s="30" t="s">
        <v>1195</v>
      </c>
      <c r="B140" s="30" t="s">
        <v>826</v>
      </c>
      <c r="C140" s="30" t="s">
        <v>778</v>
      </c>
      <c r="D140" s="30" t="s">
        <v>1239</v>
      </c>
      <c r="E140" s="30" t="s">
        <v>1240</v>
      </c>
      <c r="F140" s="23" t="str">
        <f>HYPERLINK("https://mapwv.gov/flood/map/?wkid=102100&amp;x=-9097676.54049247&amp;y=4630321.503515335&amp;l=13&amp;v=2","FT")</f>
        <v>FT</v>
      </c>
      <c r="G140" s="31" t="s">
        <v>32</v>
      </c>
      <c r="H140" s="31" t="s">
        <v>25</v>
      </c>
      <c r="I140" s="30" t="s">
        <v>1271</v>
      </c>
      <c r="J140" s="31" t="s">
        <v>26</v>
      </c>
      <c r="K140" s="31" t="s">
        <v>373</v>
      </c>
      <c r="L140" s="31" t="s">
        <v>45</v>
      </c>
      <c r="M140" s="30" t="s">
        <v>41</v>
      </c>
      <c r="N140" s="2" t="s">
        <v>42</v>
      </c>
      <c r="O140" s="31" t="s">
        <v>105</v>
      </c>
      <c r="P140" s="30" t="s">
        <v>1297</v>
      </c>
      <c r="Q140" s="30" t="s">
        <v>436</v>
      </c>
      <c r="R140" s="49" t="s">
        <v>111</v>
      </c>
      <c r="S140" s="32">
        <v>239300</v>
      </c>
      <c r="T140" s="30" t="s">
        <v>44</v>
      </c>
      <c r="U140" s="33">
        <v>10.019897</v>
      </c>
      <c r="V140" s="33">
        <v>6.0198974609375</v>
      </c>
      <c r="W140" s="34">
        <v>0.59079589843750002</v>
      </c>
      <c r="X140" s="35">
        <v>141377.45849609299</v>
      </c>
    </row>
    <row r="141" spans="1:24" x14ac:dyDescent="0.25">
      <c r="A141" s="30" t="s">
        <v>1196</v>
      </c>
      <c r="B141" s="30" t="s">
        <v>826</v>
      </c>
      <c r="C141" s="30" t="s">
        <v>778</v>
      </c>
      <c r="D141" s="30" t="s">
        <v>1241</v>
      </c>
      <c r="E141" s="30" t="s">
        <v>1242</v>
      </c>
      <c r="F141" s="23" t="str">
        <f>HYPERLINK("https://mapwv.gov/flood/map/?wkid=102100&amp;x=-9099671.127728907&amp;y=4630647.042179421&amp;l=13&amp;v=2","FT")</f>
        <v>FT</v>
      </c>
      <c r="G141" s="31" t="s">
        <v>32</v>
      </c>
      <c r="H141" s="31" t="s">
        <v>25</v>
      </c>
      <c r="I141" s="30" t="s">
        <v>1272</v>
      </c>
      <c r="J141" s="31" t="s">
        <v>39</v>
      </c>
      <c r="K141" s="31" t="s">
        <v>1280</v>
      </c>
      <c r="L141" s="31" t="s">
        <v>33</v>
      </c>
      <c r="M141" s="30" t="s">
        <v>70</v>
      </c>
      <c r="N141" s="2" t="s">
        <v>35</v>
      </c>
      <c r="O141" s="31" t="s">
        <v>105</v>
      </c>
      <c r="P141" s="30" t="s">
        <v>1298</v>
      </c>
      <c r="Q141" s="30" t="s">
        <v>30</v>
      </c>
      <c r="R141" s="49" t="s">
        <v>110</v>
      </c>
      <c r="S141" s="32">
        <v>237393</v>
      </c>
      <c r="T141" s="30" t="s">
        <v>44</v>
      </c>
      <c r="U141" s="33">
        <v>0.25286864999999997</v>
      </c>
      <c r="V141" s="33">
        <v>-0.74713134765625</v>
      </c>
      <c r="W141" s="34">
        <v>0</v>
      </c>
      <c r="X141" s="35">
        <v>0</v>
      </c>
    </row>
    <row r="142" spans="1:24" x14ac:dyDescent="0.25">
      <c r="A142" s="30" t="s">
        <v>1197</v>
      </c>
      <c r="B142" s="30" t="s">
        <v>826</v>
      </c>
      <c r="C142" s="30" t="s">
        <v>778</v>
      </c>
      <c r="D142" s="30" t="s">
        <v>1243</v>
      </c>
      <c r="E142" s="30" t="s">
        <v>1244</v>
      </c>
      <c r="F142" s="23" t="s">
        <v>24</v>
      </c>
      <c r="G142" s="31" t="s">
        <v>32</v>
      </c>
      <c r="H142" s="31" t="s">
        <v>25</v>
      </c>
      <c r="I142" s="30" t="s">
        <v>1273</v>
      </c>
      <c r="J142" s="31" t="s">
        <v>39</v>
      </c>
      <c r="K142" s="31" t="s">
        <v>374</v>
      </c>
      <c r="L142" s="31" t="s">
        <v>27</v>
      </c>
      <c r="M142" s="30" t="s">
        <v>66</v>
      </c>
      <c r="N142" s="2" t="s">
        <v>103</v>
      </c>
      <c r="O142" s="31" t="s">
        <v>105</v>
      </c>
      <c r="P142" s="30" t="s">
        <v>1299</v>
      </c>
      <c r="Q142" s="30" t="s">
        <v>30</v>
      </c>
      <c r="R142" s="49" t="s">
        <v>110</v>
      </c>
      <c r="S142" s="32">
        <v>234400</v>
      </c>
      <c r="T142" s="30" t="s">
        <v>44</v>
      </c>
      <c r="U142" s="33">
        <v>0</v>
      </c>
      <c r="V142" s="33">
        <v>-1</v>
      </c>
      <c r="W142" s="34">
        <v>0</v>
      </c>
      <c r="X142" s="35">
        <v>0</v>
      </c>
    </row>
    <row r="143" spans="1:24" x14ac:dyDescent="0.25">
      <c r="A143" s="30" t="s">
        <v>1198</v>
      </c>
      <c r="B143" s="30" t="s">
        <v>826</v>
      </c>
      <c r="C143" s="30" t="s">
        <v>915</v>
      </c>
      <c r="D143" s="30" t="s">
        <v>1245</v>
      </c>
      <c r="E143" s="30" t="s">
        <v>1246</v>
      </c>
      <c r="F143" s="23" t="s">
        <v>24</v>
      </c>
      <c r="G143" s="31" t="s">
        <v>32</v>
      </c>
      <c r="H143" s="31" t="s">
        <v>25</v>
      </c>
      <c r="I143" s="30" t="s">
        <v>1274</v>
      </c>
      <c r="J143" s="31" t="s">
        <v>26</v>
      </c>
      <c r="K143" s="31" t="s">
        <v>98</v>
      </c>
      <c r="L143" s="31" t="s">
        <v>367</v>
      </c>
      <c r="M143" s="30" t="s">
        <v>48</v>
      </c>
      <c r="N143" s="2" t="s">
        <v>35</v>
      </c>
      <c r="O143" s="31" t="s">
        <v>105</v>
      </c>
      <c r="P143" s="30" t="s">
        <v>1300</v>
      </c>
      <c r="Q143" s="30" t="s">
        <v>43</v>
      </c>
      <c r="R143" s="49" t="s">
        <v>111</v>
      </c>
      <c r="S143" s="32">
        <v>219100</v>
      </c>
      <c r="T143" s="30" t="s">
        <v>31</v>
      </c>
      <c r="U143" s="33">
        <v>1.5200195000000001</v>
      </c>
      <c r="V143" s="33">
        <v>-2.47998046875</v>
      </c>
      <c r="W143" s="34">
        <v>0</v>
      </c>
      <c r="X143" s="35">
        <v>0</v>
      </c>
    </row>
    <row r="144" spans="1:24" x14ac:dyDescent="0.25">
      <c r="A144" s="30" t="s">
        <v>1199</v>
      </c>
      <c r="B144" s="30" t="s">
        <v>826</v>
      </c>
      <c r="C144" s="30" t="s">
        <v>778</v>
      </c>
      <c r="D144" s="30" t="s">
        <v>1247</v>
      </c>
      <c r="E144" s="30" t="s">
        <v>1248</v>
      </c>
      <c r="F144" s="23" t="s">
        <v>24</v>
      </c>
      <c r="G144" s="31" t="s">
        <v>32</v>
      </c>
      <c r="H144" s="31" t="s">
        <v>25</v>
      </c>
      <c r="I144" s="30" t="s">
        <v>1275</v>
      </c>
      <c r="J144" s="31" t="s">
        <v>39</v>
      </c>
      <c r="K144" s="31" t="s">
        <v>376</v>
      </c>
      <c r="L144" s="31" t="s">
        <v>27</v>
      </c>
      <c r="M144" s="30" t="s">
        <v>28</v>
      </c>
      <c r="N144" s="2" t="s">
        <v>102</v>
      </c>
      <c r="O144" s="31" t="s">
        <v>105</v>
      </c>
      <c r="P144" s="30" t="s">
        <v>1301</v>
      </c>
      <c r="Q144" s="30" t="s">
        <v>30</v>
      </c>
      <c r="R144" s="49" t="s">
        <v>110</v>
      </c>
      <c r="S144" s="32">
        <v>216500</v>
      </c>
      <c r="T144" s="30" t="s">
        <v>44</v>
      </c>
      <c r="U144" s="33">
        <v>3.2900390000000002</v>
      </c>
      <c r="V144" s="33">
        <v>2.2900390625</v>
      </c>
      <c r="W144" s="34">
        <v>9.4501953124999996E-2</v>
      </c>
      <c r="X144" s="35">
        <v>20459.6728515625</v>
      </c>
    </row>
    <row r="145" spans="1:24" x14ac:dyDescent="0.25">
      <c r="A145" s="30" t="s">
        <v>1200</v>
      </c>
      <c r="B145" s="30" t="s">
        <v>826</v>
      </c>
      <c r="C145" s="30" t="s">
        <v>778</v>
      </c>
      <c r="D145" s="30" t="s">
        <v>1249</v>
      </c>
      <c r="E145" s="30" t="s">
        <v>1250</v>
      </c>
      <c r="F145" s="23" t="str">
        <f>HYPERLINK("https://mapwv.gov/flood/map/?wkid=102100&amp;x=-9099614.946451696&amp;y=4630441.919485084&amp;l=13&amp;v=2","FT")</f>
        <v>FT</v>
      </c>
      <c r="G145" s="31" t="s">
        <v>32</v>
      </c>
      <c r="H145" s="31" t="s">
        <v>25</v>
      </c>
      <c r="I145" s="30" t="s">
        <v>1276</v>
      </c>
      <c r="J145" s="31" t="s">
        <v>39</v>
      </c>
      <c r="K145" s="31" t="s">
        <v>120</v>
      </c>
      <c r="L145" s="31" t="s">
        <v>27</v>
      </c>
      <c r="M145" s="30" t="s">
        <v>56</v>
      </c>
      <c r="N145" s="2" t="s">
        <v>35</v>
      </c>
      <c r="O145" s="31" t="s">
        <v>106</v>
      </c>
      <c r="P145" s="30" t="s">
        <v>1302</v>
      </c>
      <c r="Q145" s="30" t="s">
        <v>30</v>
      </c>
      <c r="R145" s="49" t="s">
        <v>110</v>
      </c>
      <c r="S145" s="32">
        <v>214800</v>
      </c>
      <c r="T145" s="30" t="s">
        <v>44</v>
      </c>
      <c r="U145" s="33">
        <v>7.3364260000000001E-2</v>
      </c>
      <c r="V145" s="33">
        <v>-0.9266357421875</v>
      </c>
      <c r="W145" s="34">
        <v>1.4672851562499999E-3</v>
      </c>
      <c r="X145" s="35">
        <v>315.1728515625</v>
      </c>
    </row>
    <row r="146" spans="1:24" x14ac:dyDescent="0.25">
      <c r="A146" s="30" t="s">
        <v>1201</v>
      </c>
      <c r="B146" s="30" t="s">
        <v>826</v>
      </c>
      <c r="C146" s="30" t="s">
        <v>1206</v>
      </c>
      <c r="D146" s="30" t="s">
        <v>1227</v>
      </c>
      <c r="E146" s="30" t="s">
        <v>1251</v>
      </c>
      <c r="F146" s="23" t="str">
        <f>HYPERLINK("https://mapwv.gov/flood/map/?wkid=102100&amp;x=-9098231.436316697&amp;y=4631119.638628831&amp;l=13&amp;v=2","FT")</f>
        <v>FT</v>
      </c>
      <c r="G146" s="31" t="s">
        <v>38</v>
      </c>
      <c r="H146" s="31" t="s">
        <v>25</v>
      </c>
      <c r="I146" s="30" t="s">
        <v>1266</v>
      </c>
      <c r="J146" s="31" t="s">
        <v>26</v>
      </c>
      <c r="K146" s="31" t="s">
        <v>108</v>
      </c>
      <c r="L146" s="31" t="s">
        <v>57</v>
      </c>
      <c r="M146" s="30" t="s">
        <v>70</v>
      </c>
      <c r="N146" s="2" t="s">
        <v>35</v>
      </c>
      <c r="O146" s="31" t="s">
        <v>105</v>
      </c>
      <c r="P146" s="30" t="s">
        <v>109</v>
      </c>
      <c r="Q146" s="30" t="s">
        <v>30</v>
      </c>
      <c r="R146" s="49" t="s">
        <v>110</v>
      </c>
      <c r="S146" s="32">
        <v>202200</v>
      </c>
      <c r="T146" s="30" t="s">
        <v>31</v>
      </c>
      <c r="U146" s="33">
        <v>0</v>
      </c>
      <c r="V146" s="33">
        <v>-1</v>
      </c>
      <c r="W146" s="34">
        <v>0</v>
      </c>
      <c r="X146" s="35">
        <v>0</v>
      </c>
    </row>
    <row r="147" spans="1:24" x14ac:dyDescent="0.25">
      <c r="A147" s="30" t="s">
        <v>1202</v>
      </c>
      <c r="B147" s="30" t="s">
        <v>826</v>
      </c>
      <c r="C147" s="30" t="s">
        <v>1206</v>
      </c>
      <c r="D147" s="30" t="s">
        <v>1252</v>
      </c>
      <c r="E147" s="30" t="s">
        <v>1253</v>
      </c>
      <c r="F147" s="23" t="str">
        <f>HYPERLINK("https://mapwv.gov/flood/map/?wkid=102100&amp;x=-9097847.764786119&amp;y=4631763.416057088&amp;l=13&amp;v=2","FT")</f>
        <v>FT</v>
      </c>
      <c r="G147" s="31" t="s">
        <v>38</v>
      </c>
      <c r="H147" s="31" t="s">
        <v>25</v>
      </c>
      <c r="I147" s="30" t="s">
        <v>1277</v>
      </c>
      <c r="J147" s="31" t="s">
        <v>26</v>
      </c>
      <c r="K147" s="31" t="s">
        <v>643</v>
      </c>
      <c r="L147" s="31" t="s">
        <v>57</v>
      </c>
      <c r="M147" s="30" t="s">
        <v>41</v>
      </c>
      <c r="N147" s="2" t="s">
        <v>42</v>
      </c>
      <c r="O147" s="31" t="s">
        <v>105</v>
      </c>
      <c r="P147" s="30" t="s">
        <v>1303</v>
      </c>
      <c r="Q147" s="30" t="s">
        <v>436</v>
      </c>
      <c r="R147" s="49" t="s">
        <v>111</v>
      </c>
      <c r="S147" s="32">
        <v>201600</v>
      </c>
      <c r="T147" s="30" t="s">
        <v>44</v>
      </c>
      <c r="U147" s="33">
        <v>0</v>
      </c>
      <c r="V147" s="33">
        <v>-4</v>
      </c>
      <c r="W147" s="34">
        <v>0</v>
      </c>
      <c r="X147" s="35">
        <v>0</v>
      </c>
    </row>
    <row r="148" spans="1:24" x14ac:dyDescent="0.25">
      <c r="A148" s="30" t="s">
        <v>1203</v>
      </c>
      <c r="B148" s="30" t="s">
        <v>826</v>
      </c>
      <c r="C148" s="30" t="s">
        <v>778</v>
      </c>
      <c r="D148" s="30" t="s">
        <v>1254</v>
      </c>
      <c r="E148" s="30" t="s">
        <v>1255</v>
      </c>
      <c r="F148" s="23" t="s">
        <v>24</v>
      </c>
      <c r="G148" s="31" t="s">
        <v>32</v>
      </c>
      <c r="H148" s="31" t="s">
        <v>25</v>
      </c>
      <c r="I148" s="30" t="s">
        <v>1278</v>
      </c>
      <c r="J148" s="31" t="s">
        <v>39</v>
      </c>
      <c r="K148" s="31" t="s">
        <v>134</v>
      </c>
      <c r="L148" s="31"/>
      <c r="M148" s="30" t="s">
        <v>66</v>
      </c>
      <c r="N148" s="2" t="s">
        <v>103</v>
      </c>
      <c r="O148" s="31" t="s">
        <v>105</v>
      </c>
      <c r="P148" s="30" t="s">
        <v>1304</v>
      </c>
      <c r="Q148" s="30" t="s">
        <v>30</v>
      </c>
      <c r="R148" s="49" t="s">
        <v>110</v>
      </c>
      <c r="S148" s="32">
        <v>200000</v>
      </c>
      <c r="T148" s="30" t="s">
        <v>44</v>
      </c>
      <c r="U148" s="33">
        <v>0</v>
      </c>
      <c r="V148" s="33">
        <v>-1</v>
      </c>
      <c r="W148" s="34">
        <v>0</v>
      </c>
      <c r="X148" s="35">
        <v>0</v>
      </c>
    </row>
    <row r="150" spans="1:24" x14ac:dyDescent="0.25">
      <c r="A150" s="3" t="s">
        <v>59</v>
      </c>
      <c r="B150" s="3" t="s">
        <v>1</v>
      </c>
      <c r="C150" s="3" t="s">
        <v>60</v>
      </c>
      <c r="D150" s="3" t="s">
        <v>61</v>
      </c>
      <c r="E150" s="3" t="s">
        <v>62</v>
      </c>
    </row>
    <row r="151" spans="1:24" x14ac:dyDescent="0.25">
      <c r="A151" s="3">
        <v>540070</v>
      </c>
      <c r="B151" s="1" t="s">
        <v>1377</v>
      </c>
      <c r="C151" s="3" t="s">
        <v>690</v>
      </c>
      <c r="D151" s="1" t="s">
        <v>64</v>
      </c>
      <c r="E151" s="3">
        <v>3</v>
      </c>
      <c r="S151" s="37" t="s">
        <v>1305</v>
      </c>
    </row>
    <row r="152" spans="1:24" x14ac:dyDescent="0.25">
      <c r="A152" s="30" t="s">
        <v>698</v>
      </c>
      <c r="B152" s="30" t="s">
        <v>792</v>
      </c>
      <c r="C152" s="30" t="s">
        <v>778</v>
      </c>
      <c r="D152" s="30" t="s">
        <v>793</v>
      </c>
      <c r="E152" s="30" t="s">
        <v>794</v>
      </c>
      <c r="F152" s="23" t="s">
        <v>24</v>
      </c>
      <c r="G152" s="31" t="s">
        <v>79</v>
      </c>
      <c r="H152" s="31" t="s">
        <v>25</v>
      </c>
      <c r="I152" s="30" t="s">
        <v>67</v>
      </c>
      <c r="J152" s="31" t="s">
        <v>26</v>
      </c>
      <c r="K152" s="26" t="s">
        <v>82</v>
      </c>
      <c r="L152" s="26"/>
      <c r="M152" s="30" t="s">
        <v>68</v>
      </c>
      <c r="N152" s="2" t="s">
        <v>101</v>
      </c>
      <c r="O152" s="31" t="s">
        <v>105</v>
      </c>
      <c r="P152" s="27" t="s">
        <v>1020</v>
      </c>
      <c r="Q152" s="30" t="s">
        <v>30</v>
      </c>
      <c r="R152" s="31" t="s">
        <v>110</v>
      </c>
      <c r="S152" s="32">
        <v>25000000</v>
      </c>
      <c r="T152" s="27" t="s">
        <v>44</v>
      </c>
      <c r="U152" s="33">
        <v>0</v>
      </c>
      <c r="V152" s="33">
        <v>-1</v>
      </c>
      <c r="W152" s="34">
        <v>0</v>
      </c>
      <c r="X152" s="35">
        <v>0</v>
      </c>
    </row>
    <row r="153" spans="1:24" x14ac:dyDescent="0.25">
      <c r="A153" s="30" t="s">
        <v>2287</v>
      </c>
      <c r="B153" s="30" t="s">
        <v>792</v>
      </c>
      <c r="C153" s="30" t="s">
        <v>492</v>
      </c>
      <c r="D153" s="30" t="s">
        <v>2288</v>
      </c>
      <c r="E153" s="30" t="s">
        <v>2289</v>
      </c>
      <c r="F153" s="23" t="str">
        <f>HYPERLINK("https://mapwv.gov/flood/map/?wkid=102100&amp;x=-9075307&amp;y=4636746&amp;l=12&amp;v=2","FT")</f>
        <v>FT</v>
      </c>
      <c r="G153" s="31" t="s">
        <v>32</v>
      </c>
      <c r="H153" s="31" t="s">
        <v>25</v>
      </c>
      <c r="I153" s="30" t="s">
        <v>2290</v>
      </c>
      <c r="J153" s="31" t="s">
        <v>26</v>
      </c>
      <c r="K153" s="31">
        <v>9999</v>
      </c>
      <c r="L153" s="31"/>
      <c r="M153" s="30" t="s">
        <v>28</v>
      </c>
      <c r="N153" s="2" t="s">
        <v>102</v>
      </c>
      <c r="O153" s="31" t="s">
        <v>105</v>
      </c>
      <c r="P153" s="50">
        <v>48000</v>
      </c>
      <c r="Q153" s="30" t="s">
        <v>30</v>
      </c>
      <c r="R153" s="31" t="s">
        <v>110</v>
      </c>
      <c r="S153" s="32">
        <v>24000000</v>
      </c>
      <c r="T153" s="30" t="s">
        <v>29</v>
      </c>
      <c r="U153" s="33">
        <v>0</v>
      </c>
      <c r="V153" s="33"/>
      <c r="W153" s="34">
        <v>0</v>
      </c>
      <c r="X153" s="35">
        <v>0</v>
      </c>
    </row>
    <row r="154" spans="1:24" x14ac:dyDescent="0.25">
      <c r="A154" s="30" t="s">
        <v>709</v>
      </c>
      <c r="B154" s="30" t="s">
        <v>792</v>
      </c>
      <c r="C154" s="30" t="s">
        <v>492</v>
      </c>
      <c r="D154" s="30" t="s">
        <v>816</v>
      </c>
      <c r="E154" s="30" t="s">
        <v>817</v>
      </c>
      <c r="F154" s="23" t="s">
        <v>24</v>
      </c>
      <c r="G154" s="31" t="s">
        <v>32</v>
      </c>
      <c r="H154" s="31" t="s">
        <v>25</v>
      </c>
      <c r="I154" s="30" t="s">
        <v>67</v>
      </c>
      <c r="J154" s="31" t="s">
        <v>39</v>
      </c>
      <c r="K154" s="26" t="s">
        <v>88</v>
      </c>
      <c r="L154" s="26"/>
      <c r="M154" s="30" t="s">
        <v>68</v>
      </c>
      <c r="N154" s="2" t="s">
        <v>101</v>
      </c>
      <c r="O154" s="31" t="s">
        <v>105</v>
      </c>
      <c r="P154" s="27" t="s">
        <v>1031</v>
      </c>
      <c r="Q154" s="30" t="s">
        <v>30</v>
      </c>
      <c r="R154" s="31" t="s">
        <v>110</v>
      </c>
      <c r="S154" s="32">
        <v>11453001</v>
      </c>
      <c r="T154" s="27" t="s">
        <v>69</v>
      </c>
      <c r="U154" s="33">
        <v>1.5220947</v>
      </c>
      <c r="V154" s="33">
        <v>0.5220947265625</v>
      </c>
      <c r="W154" s="34">
        <v>2.6104736328124999E-2</v>
      </c>
      <c r="X154" s="35">
        <v>298977.57127075101</v>
      </c>
    </row>
    <row r="155" spans="1:24" x14ac:dyDescent="0.25">
      <c r="A155" s="30" t="s">
        <v>714</v>
      </c>
      <c r="B155" s="30" t="s">
        <v>792</v>
      </c>
      <c r="C155" s="30" t="s">
        <v>778</v>
      </c>
      <c r="D155" s="30" t="s">
        <v>829</v>
      </c>
      <c r="E155" s="30" t="s">
        <v>830</v>
      </c>
      <c r="F155" s="23" t="s">
        <v>24</v>
      </c>
      <c r="G155" s="31" t="s">
        <v>79</v>
      </c>
      <c r="H155" s="31" t="s">
        <v>25</v>
      </c>
      <c r="I155" s="30" t="s">
        <v>67</v>
      </c>
      <c r="J155" s="31" t="s">
        <v>39</v>
      </c>
      <c r="K155" s="26" t="s">
        <v>370</v>
      </c>
      <c r="L155" s="26"/>
      <c r="M155" s="30" t="s">
        <v>68</v>
      </c>
      <c r="N155" s="2" t="s">
        <v>101</v>
      </c>
      <c r="O155" s="31" t="s">
        <v>105</v>
      </c>
      <c r="P155" s="27" t="s">
        <v>1036</v>
      </c>
      <c r="Q155" s="30" t="s">
        <v>30</v>
      </c>
      <c r="R155" s="31" t="s">
        <v>110</v>
      </c>
      <c r="S155" s="32">
        <v>9110602</v>
      </c>
      <c r="T155" s="27" t="s">
        <v>69</v>
      </c>
      <c r="U155" s="33">
        <v>0</v>
      </c>
      <c r="V155" s="33">
        <v>-1</v>
      </c>
      <c r="W155" s="34">
        <v>0</v>
      </c>
      <c r="X155" s="35">
        <v>0</v>
      </c>
    </row>
    <row r="156" spans="1:24" x14ac:dyDescent="0.25">
      <c r="A156" s="30" t="s">
        <v>715</v>
      </c>
      <c r="B156" s="30" t="s">
        <v>792</v>
      </c>
      <c r="C156" s="30" t="s">
        <v>492</v>
      </c>
      <c r="D156" s="30" t="s">
        <v>831</v>
      </c>
      <c r="E156" s="30" t="s">
        <v>832</v>
      </c>
      <c r="F156" s="23" t="s">
        <v>24</v>
      </c>
      <c r="G156" s="31" t="s">
        <v>32</v>
      </c>
      <c r="H156" s="31" t="s">
        <v>25</v>
      </c>
      <c r="I156" s="30" t="s">
        <v>67</v>
      </c>
      <c r="J156" s="31" t="s">
        <v>39</v>
      </c>
      <c r="K156" s="26" t="s">
        <v>126</v>
      </c>
      <c r="L156" s="26"/>
      <c r="M156" s="30" t="s">
        <v>68</v>
      </c>
      <c r="N156" s="2" t="s">
        <v>101</v>
      </c>
      <c r="O156" s="31" t="s">
        <v>105</v>
      </c>
      <c r="P156" s="27" t="s">
        <v>1037</v>
      </c>
      <c r="Q156" s="30" t="s">
        <v>30</v>
      </c>
      <c r="R156" s="31" t="s">
        <v>110</v>
      </c>
      <c r="S156" s="32">
        <v>9010628</v>
      </c>
      <c r="T156" s="27" t="s">
        <v>69</v>
      </c>
      <c r="U156" s="33">
        <v>0</v>
      </c>
      <c r="V156" s="33">
        <v>-1</v>
      </c>
      <c r="W156" s="34">
        <v>0</v>
      </c>
      <c r="X156" s="35">
        <v>0</v>
      </c>
    </row>
    <row r="157" spans="1:24" x14ac:dyDescent="0.25">
      <c r="A157" s="30" t="s">
        <v>723</v>
      </c>
      <c r="B157" s="30" t="s">
        <v>792</v>
      </c>
      <c r="C157" s="30" t="s">
        <v>492</v>
      </c>
      <c r="D157" s="30" t="s">
        <v>847</v>
      </c>
      <c r="E157" s="30" t="s">
        <v>848</v>
      </c>
      <c r="F157" s="23" t="s">
        <v>24</v>
      </c>
      <c r="G157" s="31" t="s">
        <v>32</v>
      </c>
      <c r="H157" s="31" t="s">
        <v>65</v>
      </c>
      <c r="I157" s="30"/>
      <c r="J157" s="31" t="s">
        <v>36</v>
      </c>
      <c r="K157" s="26" t="s">
        <v>83</v>
      </c>
      <c r="L157" s="26"/>
      <c r="M157" s="30" t="s">
        <v>48</v>
      </c>
      <c r="N157" s="2" t="s">
        <v>35</v>
      </c>
      <c r="O157" s="31" t="s">
        <v>105</v>
      </c>
      <c r="P157" s="27" t="s">
        <v>1045</v>
      </c>
      <c r="Q157" s="30" t="s">
        <v>30</v>
      </c>
      <c r="R157" s="31" t="s">
        <v>110</v>
      </c>
      <c r="S157" s="32">
        <v>6836410</v>
      </c>
      <c r="T157" s="27" t="s">
        <v>112</v>
      </c>
      <c r="U157" s="33">
        <v>4.8264769999999997</v>
      </c>
      <c r="V157" s="33">
        <v>3.82647705078125</v>
      </c>
      <c r="W157" s="34">
        <v>0.17652954101562501</v>
      </c>
      <c r="X157" s="35">
        <v>1206828.31949462</v>
      </c>
    </row>
    <row r="158" spans="1:24" x14ac:dyDescent="0.25">
      <c r="A158" s="30" t="s">
        <v>2291</v>
      </c>
      <c r="B158" s="30" t="s">
        <v>792</v>
      </c>
      <c r="C158" s="30" t="s">
        <v>778</v>
      </c>
      <c r="D158" s="30" t="s">
        <v>2292</v>
      </c>
      <c r="E158" s="30" t="s">
        <v>2293</v>
      </c>
      <c r="F158" s="23" t="str">
        <f>HYPERLINK("https://mapwv.gov/flood/map/?wkid=102100&amp;x=-9077555&amp;y=4612885&amp;l=12&amp;v=2","FT")</f>
        <v>FT</v>
      </c>
      <c r="G158" s="31" t="s">
        <v>32</v>
      </c>
      <c r="H158" s="31" t="s">
        <v>25</v>
      </c>
      <c r="I158" s="30" t="s">
        <v>2294</v>
      </c>
      <c r="J158" s="31" t="s">
        <v>26</v>
      </c>
      <c r="K158" s="31">
        <v>9999</v>
      </c>
      <c r="L158" s="31"/>
      <c r="M158" s="30" t="s">
        <v>28</v>
      </c>
      <c r="N158" s="2" t="s">
        <v>102</v>
      </c>
      <c r="O158" s="31" t="s">
        <v>105</v>
      </c>
      <c r="P158" s="50">
        <v>10000</v>
      </c>
      <c r="Q158" s="30" t="s">
        <v>30</v>
      </c>
      <c r="R158" s="31" t="s">
        <v>110</v>
      </c>
      <c r="S158" s="32">
        <v>6000000</v>
      </c>
      <c r="T158" s="30" t="s">
        <v>29</v>
      </c>
      <c r="U158" s="33">
        <v>0.8</v>
      </c>
      <c r="V158" s="33"/>
      <c r="W158" s="34"/>
      <c r="X158" s="35"/>
    </row>
    <row r="159" spans="1:24" x14ac:dyDescent="0.25">
      <c r="A159" s="30" t="s">
        <v>737</v>
      </c>
      <c r="B159" s="30" t="s">
        <v>792</v>
      </c>
      <c r="C159" s="30" t="s">
        <v>877</v>
      </c>
      <c r="D159" s="30" t="s">
        <v>878</v>
      </c>
      <c r="E159" s="30" t="s">
        <v>879</v>
      </c>
      <c r="F159" s="23" t="s">
        <v>24</v>
      </c>
      <c r="G159" s="31" t="s">
        <v>32</v>
      </c>
      <c r="H159" s="31" t="s">
        <v>25</v>
      </c>
      <c r="I159" s="30" t="s">
        <v>980</v>
      </c>
      <c r="J159" s="31" t="s">
        <v>26</v>
      </c>
      <c r="K159" s="26" t="s">
        <v>90</v>
      </c>
      <c r="L159" s="26" t="s">
        <v>33</v>
      </c>
      <c r="M159" s="30" t="s">
        <v>48</v>
      </c>
      <c r="N159" s="2" t="s">
        <v>35</v>
      </c>
      <c r="O159" s="31" t="s">
        <v>105</v>
      </c>
      <c r="P159" s="27" t="s">
        <v>1059</v>
      </c>
      <c r="Q159" s="30" t="s">
        <v>43</v>
      </c>
      <c r="R159" s="31" t="s">
        <v>111</v>
      </c>
      <c r="S159" s="32">
        <v>4107700</v>
      </c>
      <c r="T159" s="27" t="s">
        <v>31</v>
      </c>
      <c r="U159" s="33">
        <v>0</v>
      </c>
      <c r="V159" s="33">
        <v>-4</v>
      </c>
      <c r="W159" s="34">
        <v>0</v>
      </c>
      <c r="X159" s="35">
        <v>0</v>
      </c>
    </row>
    <row r="160" spans="1:24" x14ac:dyDescent="0.25">
      <c r="A160" s="30" t="s">
        <v>750</v>
      </c>
      <c r="B160" s="30" t="s">
        <v>792</v>
      </c>
      <c r="C160" s="30" t="s">
        <v>492</v>
      </c>
      <c r="D160" s="30" t="s">
        <v>905</v>
      </c>
      <c r="E160" s="30" t="s">
        <v>906</v>
      </c>
      <c r="F160" s="23" t="s">
        <v>24</v>
      </c>
      <c r="G160" s="31" t="s">
        <v>32</v>
      </c>
      <c r="H160" s="31" t="s">
        <v>25</v>
      </c>
      <c r="I160" s="30" t="s">
        <v>987</v>
      </c>
      <c r="J160" s="31" t="s">
        <v>26</v>
      </c>
      <c r="K160" s="26" t="s">
        <v>116</v>
      </c>
      <c r="L160" s="26"/>
      <c r="M160" s="30" t="s">
        <v>68</v>
      </c>
      <c r="N160" s="2" t="s">
        <v>101</v>
      </c>
      <c r="O160" s="31" t="s">
        <v>105</v>
      </c>
      <c r="P160" s="27" t="s">
        <v>1072</v>
      </c>
      <c r="Q160" s="30" t="s">
        <v>30</v>
      </c>
      <c r="R160" s="31" t="s">
        <v>110</v>
      </c>
      <c r="S160" s="32">
        <v>3343500</v>
      </c>
      <c r="T160" s="27" t="s">
        <v>69</v>
      </c>
      <c r="U160" s="33">
        <v>0</v>
      </c>
      <c r="V160" s="33">
        <v>-1</v>
      </c>
      <c r="W160" s="34">
        <v>0</v>
      </c>
      <c r="X160" s="35">
        <v>0</v>
      </c>
    </row>
    <row r="161" spans="1:24" x14ac:dyDescent="0.25">
      <c r="A161" s="30" t="s">
        <v>751</v>
      </c>
      <c r="B161" s="30" t="s">
        <v>792</v>
      </c>
      <c r="C161" s="30" t="s">
        <v>907</v>
      </c>
      <c r="D161" s="30" t="s">
        <v>908</v>
      </c>
      <c r="E161" s="30" t="s">
        <v>909</v>
      </c>
      <c r="F161" s="23" t="s">
        <v>24</v>
      </c>
      <c r="G161" s="31" t="s">
        <v>32</v>
      </c>
      <c r="H161" s="31" t="s">
        <v>25</v>
      </c>
      <c r="I161" s="30" t="s">
        <v>67</v>
      </c>
      <c r="J161" s="31" t="s">
        <v>39</v>
      </c>
      <c r="K161" s="26" t="s">
        <v>371</v>
      </c>
      <c r="L161" s="26"/>
      <c r="M161" s="30" t="s">
        <v>68</v>
      </c>
      <c r="N161" s="2" t="s">
        <v>101</v>
      </c>
      <c r="O161" s="31" t="s">
        <v>105</v>
      </c>
      <c r="P161" s="27" t="s">
        <v>1073</v>
      </c>
      <c r="Q161" s="30" t="s">
        <v>30</v>
      </c>
      <c r="R161" s="31" t="s">
        <v>110</v>
      </c>
      <c r="S161" s="32">
        <v>3310702</v>
      </c>
      <c r="T161" s="27" t="s">
        <v>69</v>
      </c>
      <c r="U161" s="33">
        <v>0.97283936000000004</v>
      </c>
      <c r="V161" s="33">
        <v>-2.716064453125E-2</v>
      </c>
      <c r="W161" s="34">
        <v>0</v>
      </c>
      <c r="X161" s="35">
        <v>0</v>
      </c>
    </row>
    <row r="162" spans="1:24" x14ac:dyDescent="0.25">
      <c r="A162" s="30" t="s">
        <v>755</v>
      </c>
      <c r="B162" s="30" t="s">
        <v>792</v>
      </c>
      <c r="C162" s="30" t="s">
        <v>915</v>
      </c>
      <c r="D162" s="30" t="s">
        <v>916</v>
      </c>
      <c r="E162" s="30" t="s">
        <v>917</v>
      </c>
      <c r="F162" s="23" t="s">
        <v>24</v>
      </c>
      <c r="G162" s="31" t="s">
        <v>32</v>
      </c>
      <c r="H162" s="31" t="s">
        <v>25</v>
      </c>
      <c r="I162" s="30" t="s">
        <v>988</v>
      </c>
      <c r="J162" s="31" t="s">
        <v>26</v>
      </c>
      <c r="K162" s="26" t="s">
        <v>365</v>
      </c>
      <c r="L162" s="26" t="s">
        <v>33</v>
      </c>
      <c r="M162" s="30" t="s">
        <v>70</v>
      </c>
      <c r="N162" s="2" t="s">
        <v>35</v>
      </c>
      <c r="O162" s="31" t="s">
        <v>105</v>
      </c>
      <c r="P162" s="27" t="s">
        <v>1077</v>
      </c>
      <c r="Q162" s="30" t="s">
        <v>30</v>
      </c>
      <c r="R162" s="31" t="s">
        <v>110</v>
      </c>
      <c r="S162" s="32">
        <v>3088900</v>
      </c>
      <c r="T162" s="27" t="s">
        <v>31</v>
      </c>
      <c r="U162" s="33">
        <v>0</v>
      </c>
      <c r="V162" s="33">
        <v>-1</v>
      </c>
      <c r="W162" s="34">
        <v>0</v>
      </c>
      <c r="X162" s="35">
        <v>0</v>
      </c>
    </row>
    <row r="163" spans="1:24" x14ac:dyDescent="0.25">
      <c r="A163" s="30" t="s">
        <v>2295</v>
      </c>
      <c r="B163" s="30" t="s">
        <v>792</v>
      </c>
      <c r="C163" s="30" t="s">
        <v>877</v>
      </c>
      <c r="D163" s="30" t="s">
        <v>2296</v>
      </c>
      <c r="E163" s="30" t="s">
        <v>2298</v>
      </c>
      <c r="F163" s="23" t="str">
        <f>HYPERLINK("https://mapwv.gov/flood/map/?wkid=102100&amp;x=-9087199&amp;y=4653000&amp;l=12&amp;v=2","FT")</f>
        <v>FT</v>
      </c>
      <c r="G163" s="31" t="s">
        <v>32</v>
      </c>
      <c r="H163" s="31" t="s">
        <v>65</v>
      </c>
      <c r="I163" s="30" t="s">
        <v>2297</v>
      </c>
      <c r="J163" s="31" t="s">
        <v>26</v>
      </c>
      <c r="K163" s="31">
        <v>9999</v>
      </c>
      <c r="L163" s="31"/>
      <c r="M163" s="30" t="s">
        <v>28</v>
      </c>
      <c r="N163" s="2" t="s">
        <v>102</v>
      </c>
      <c r="O163" s="31">
        <v>1</v>
      </c>
      <c r="P163" s="50">
        <v>33000</v>
      </c>
      <c r="Q163" s="30" t="s">
        <v>30</v>
      </c>
      <c r="R163" s="31" t="s">
        <v>110</v>
      </c>
      <c r="S163" s="32">
        <v>3000000</v>
      </c>
      <c r="T163" s="30" t="s">
        <v>29</v>
      </c>
      <c r="U163" s="33"/>
      <c r="V163" s="33"/>
      <c r="W163" s="34"/>
      <c r="X163" s="35"/>
    </row>
    <row r="164" spans="1:24" x14ac:dyDescent="0.25">
      <c r="A164" s="30" t="s">
        <v>759</v>
      </c>
      <c r="B164" s="30" t="s">
        <v>792</v>
      </c>
      <c r="C164" s="30" t="s">
        <v>925</v>
      </c>
      <c r="D164" s="30" t="s">
        <v>926</v>
      </c>
      <c r="E164" s="30" t="s">
        <v>927</v>
      </c>
      <c r="F164" s="23" t="s">
        <v>24</v>
      </c>
      <c r="G164" s="31" t="s">
        <v>32</v>
      </c>
      <c r="H164" s="31" t="s">
        <v>25</v>
      </c>
      <c r="I164" s="30"/>
      <c r="J164" s="31" t="s">
        <v>39</v>
      </c>
      <c r="K164" s="26" t="s">
        <v>371</v>
      </c>
      <c r="L164" s="26"/>
      <c r="M164" s="30" t="s">
        <v>68</v>
      </c>
      <c r="N164" s="2" t="s">
        <v>101</v>
      </c>
      <c r="O164" s="31" t="s">
        <v>105</v>
      </c>
      <c r="P164" s="27" t="s">
        <v>1081</v>
      </c>
      <c r="Q164" s="30" t="s">
        <v>30</v>
      </c>
      <c r="R164" s="31" t="s">
        <v>110</v>
      </c>
      <c r="S164" s="32">
        <v>2754743</v>
      </c>
      <c r="T164" s="27" t="s">
        <v>69</v>
      </c>
      <c r="U164" s="33">
        <v>5.0037229999999999</v>
      </c>
      <c r="V164" s="33">
        <v>4.00372314453125</v>
      </c>
      <c r="W164" s="34">
        <v>9.0037231445312504E-2</v>
      </c>
      <c r="X164" s="35">
        <v>248029.43306335399</v>
      </c>
    </row>
    <row r="165" spans="1:24" x14ac:dyDescent="0.25">
      <c r="A165" s="30" t="s">
        <v>760</v>
      </c>
      <c r="B165" s="30" t="s">
        <v>792</v>
      </c>
      <c r="C165" s="30" t="s">
        <v>877</v>
      </c>
      <c r="D165" s="30" t="s">
        <v>928</v>
      </c>
      <c r="E165" s="30" t="s">
        <v>929</v>
      </c>
      <c r="F165" s="23" t="s">
        <v>24</v>
      </c>
      <c r="G165" s="31" t="s">
        <v>32</v>
      </c>
      <c r="H165" s="31" t="s">
        <v>25</v>
      </c>
      <c r="I165" s="30"/>
      <c r="J165" s="31" t="s">
        <v>39</v>
      </c>
      <c r="K165" s="26" t="s">
        <v>371</v>
      </c>
      <c r="L165" s="26"/>
      <c r="M165" s="30" t="s">
        <v>68</v>
      </c>
      <c r="N165" s="2" t="s">
        <v>101</v>
      </c>
      <c r="O165" s="31" t="s">
        <v>105</v>
      </c>
      <c r="P165" s="27" t="s">
        <v>1082</v>
      </c>
      <c r="Q165" s="30" t="s">
        <v>30</v>
      </c>
      <c r="R165" s="31" t="s">
        <v>110</v>
      </c>
      <c r="S165" s="32">
        <v>2715412</v>
      </c>
      <c r="T165" s="27" t="s">
        <v>69</v>
      </c>
      <c r="U165" s="33">
        <v>0.47540283</v>
      </c>
      <c r="V165" s="33">
        <v>-0.52459716796875</v>
      </c>
      <c r="W165" s="34">
        <v>0</v>
      </c>
      <c r="X165" s="35">
        <v>0</v>
      </c>
    </row>
    <row r="166" spans="1:24" x14ac:dyDescent="0.25">
      <c r="A166" s="30" t="s">
        <v>765</v>
      </c>
      <c r="B166" s="30" t="s">
        <v>792</v>
      </c>
      <c r="C166" s="30" t="s">
        <v>778</v>
      </c>
      <c r="D166" s="30" t="s">
        <v>936</v>
      </c>
      <c r="E166" s="30" t="s">
        <v>937</v>
      </c>
      <c r="F166" s="23" t="s">
        <v>24</v>
      </c>
      <c r="G166" s="31" t="s">
        <v>79</v>
      </c>
      <c r="H166" s="31" t="s">
        <v>25</v>
      </c>
      <c r="I166" s="30" t="s">
        <v>67</v>
      </c>
      <c r="J166" s="31" t="s">
        <v>39</v>
      </c>
      <c r="K166" s="26" t="s">
        <v>1004</v>
      </c>
      <c r="L166" s="26"/>
      <c r="M166" s="30" t="s">
        <v>68</v>
      </c>
      <c r="N166" s="2" t="s">
        <v>101</v>
      </c>
      <c r="O166" s="31" t="s">
        <v>105</v>
      </c>
      <c r="P166" s="27" t="s">
        <v>1087</v>
      </c>
      <c r="Q166" s="30" t="s">
        <v>30</v>
      </c>
      <c r="R166" s="31" t="s">
        <v>110</v>
      </c>
      <c r="S166" s="32">
        <v>2628980</v>
      </c>
      <c r="T166" s="27" t="s">
        <v>69</v>
      </c>
      <c r="U166" s="33">
        <v>0</v>
      </c>
      <c r="V166" s="33">
        <v>-1</v>
      </c>
      <c r="W166" s="34">
        <v>0</v>
      </c>
      <c r="X166" s="35">
        <v>0</v>
      </c>
    </row>
    <row r="167" spans="1:24" x14ac:dyDescent="0.25">
      <c r="A167" s="30" t="s">
        <v>774</v>
      </c>
      <c r="B167" s="30" t="s">
        <v>792</v>
      </c>
      <c r="C167" s="30" t="s">
        <v>952</v>
      </c>
      <c r="D167" s="30" t="s">
        <v>953</v>
      </c>
      <c r="E167" s="30" t="s">
        <v>954</v>
      </c>
      <c r="F167" s="23" t="s">
        <v>24</v>
      </c>
      <c r="G167" s="31" t="s">
        <v>32</v>
      </c>
      <c r="H167" s="31" t="s">
        <v>25</v>
      </c>
      <c r="I167" s="30" t="s">
        <v>67</v>
      </c>
      <c r="J167" s="31" t="s">
        <v>39</v>
      </c>
      <c r="K167" s="26" t="s">
        <v>998</v>
      </c>
      <c r="L167" s="26"/>
      <c r="M167" s="30" t="s">
        <v>68</v>
      </c>
      <c r="N167" s="2" t="s">
        <v>101</v>
      </c>
      <c r="O167" s="31" t="s">
        <v>105</v>
      </c>
      <c r="P167" s="27" t="s">
        <v>1096</v>
      </c>
      <c r="Q167" s="30" t="s">
        <v>30</v>
      </c>
      <c r="R167" s="31" t="s">
        <v>110</v>
      </c>
      <c r="S167" s="32">
        <v>2073379</v>
      </c>
      <c r="T167" s="27" t="s">
        <v>69</v>
      </c>
      <c r="U167" s="33">
        <v>0</v>
      </c>
      <c r="V167" s="33">
        <v>-1</v>
      </c>
      <c r="W167" s="34">
        <v>0</v>
      </c>
      <c r="X167" s="35">
        <v>0</v>
      </c>
    </row>
    <row r="168" spans="1:24" x14ac:dyDescent="0.25">
      <c r="A168" s="30" t="s">
        <v>1306</v>
      </c>
      <c r="B168" s="30" t="s">
        <v>792</v>
      </c>
      <c r="C168" s="30" t="s">
        <v>1328</v>
      </c>
      <c r="D168" s="30" t="s">
        <v>1329</v>
      </c>
      <c r="E168" s="30" t="s">
        <v>1330</v>
      </c>
      <c r="F168" s="23" t="str">
        <f>HYPERLINK("https://mapwv.gov/flood/map/?wkid=102100&amp;x=-9104051.437481575&amp;y=4639076.664952358&amp;l=13&amp;v=2","FT")</f>
        <v>FT</v>
      </c>
      <c r="G168" s="31" t="s">
        <v>32</v>
      </c>
      <c r="H168" s="31" t="s">
        <v>65</v>
      </c>
      <c r="I168" s="30" t="s">
        <v>1378</v>
      </c>
      <c r="J168" s="31" t="s">
        <v>39</v>
      </c>
      <c r="K168" s="26" t="s">
        <v>126</v>
      </c>
      <c r="L168" s="26" t="s">
        <v>57</v>
      </c>
      <c r="M168" s="30" t="s">
        <v>56</v>
      </c>
      <c r="N168" s="2" t="s">
        <v>35</v>
      </c>
      <c r="O168" s="31" t="s">
        <v>107</v>
      </c>
      <c r="P168" s="27" t="s">
        <v>1395</v>
      </c>
      <c r="Q168" s="30" t="s">
        <v>30</v>
      </c>
      <c r="R168" s="31" t="s">
        <v>110</v>
      </c>
      <c r="S168" s="32">
        <v>1941800</v>
      </c>
      <c r="T168" s="27" t="s">
        <v>44</v>
      </c>
      <c r="U168" s="33">
        <v>0.73699950000000003</v>
      </c>
      <c r="V168" s="33">
        <v>-0.26300048828125</v>
      </c>
      <c r="W168" s="34">
        <v>1.4739990234375E-2</v>
      </c>
      <c r="X168" s="35">
        <v>28622.113037109299</v>
      </c>
    </row>
    <row r="169" spans="1:24" x14ac:dyDescent="0.25">
      <c r="A169" s="30" t="s">
        <v>1307</v>
      </c>
      <c r="B169" s="30" t="s">
        <v>792</v>
      </c>
      <c r="C169" s="30" t="s">
        <v>1331</v>
      </c>
      <c r="D169" s="30" t="s">
        <v>1332</v>
      </c>
      <c r="E169" s="30" t="s">
        <v>1333</v>
      </c>
      <c r="F169" s="23" t="str">
        <f>HYPERLINK("https://mapwv.gov/flood/map/?wkid=102100&amp;x=-9063329.518299427&amp;y=4636355.092955613&amp;l=13&amp;v=2","FT")</f>
        <v>FT</v>
      </c>
      <c r="G169" s="31" t="s">
        <v>38</v>
      </c>
      <c r="H169" s="31" t="s">
        <v>25</v>
      </c>
      <c r="I169" s="30"/>
      <c r="J169" s="31" t="s">
        <v>36</v>
      </c>
      <c r="K169" s="26" t="s">
        <v>83</v>
      </c>
      <c r="L169" s="26"/>
      <c r="M169" s="30" t="s">
        <v>380</v>
      </c>
      <c r="N169" s="2" t="s">
        <v>104</v>
      </c>
      <c r="O169" s="31" t="s">
        <v>105</v>
      </c>
      <c r="P169" s="27" t="s">
        <v>1396</v>
      </c>
      <c r="Q169" s="30" t="s">
        <v>30</v>
      </c>
      <c r="R169" s="31" t="s">
        <v>110</v>
      </c>
      <c r="S169" s="32">
        <v>1924528</v>
      </c>
      <c r="T169" s="27" t="s">
        <v>112</v>
      </c>
      <c r="U169" s="33">
        <v>0.61508309999999999</v>
      </c>
      <c r="V169" s="33">
        <v>-0.384916901588439</v>
      </c>
      <c r="W169" s="34">
        <v>0</v>
      </c>
      <c r="X169" s="35">
        <v>0</v>
      </c>
    </row>
    <row r="170" spans="1:24" x14ac:dyDescent="0.25">
      <c r="A170" s="30" t="s">
        <v>1308</v>
      </c>
      <c r="B170" s="30" t="s">
        <v>792</v>
      </c>
      <c r="C170" s="30" t="s">
        <v>492</v>
      </c>
      <c r="D170" s="30" t="s">
        <v>1334</v>
      </c>
      <c r="E170" s="30" t="s">
        <v>1335</v>
      </c>
      <c r="F170" s="23" t="str">
        <f>HYPERLINK("https://mapwv.gov/flood/map/?wkid=102100&amp;x=-9068848.304506944&amp;y=4642448.991905204&amp;l=13&amp;v=2","FT")</f>
        <v>FT</v>
      </c>
      <c r="G170" s="31" t="s">
        <v>32</v>
      </c>
      <c r="H170" s="31" t="s">
        <v>65</v>
      </c>
      <c r="I170" s="30" t="s">
        <v>67</v>
      </c>
      <c r="J170" s="31" t="s">
        <v>39</v>
      </c>
      <c r="K170" s="26" t="s">
        <v>999</v>
      </c>
      <c r="L170" s="26"/>
      <c r="M170" s="30" t="s">
        <v>68</v>
      </c>
      <c r="N170" s="2" t="s">
        <v>101</v>
      </c>
      <c r="O170" s="31" t="s">
        <v>105</v>
      </c>
      <c r="P170" s="27" t="s">
        <v>1397</v>
      </c>
      <c r="Q170" s="30" t="s">
        <v>30</v>
      </c>
      <c r="R170" s="31" t="s">
        <v>110</v>
      </c>
      <c r="S170" s="32">
        <v>1904230</v>
      </c>
      <c r="T170" s="27" t="s">
        <v>69</v>
      </c>
      <c r="U170" s="33">
        <v>4.2136230000000001</v>
      </c>
      <c r="V170" s="33">
        <v>3.213623046875</v>
      </c>
      <c r="W170" s="34">
        <v>0.09</v>
      </c>
      <c r="X170" s="35">
        <v>171380.69999999899</v>
      </c>
    </row>
    <row r="171" spans="1:24" x14ac:dyDescent="0.25">
      <c r="A171" s="30" t="s">
        <v>1309</v>
      </c>
      <c r="B171" s="30" t="s">
        <v>792</v>
      </c>
      <c r="C171" s="30" t="s">
        <v>915</v>
      </c>
      <c r="D171" s="30" t="s">
        <v>1336</v>
      </c>
      <c r="E171" s="30" t="s">
        <v>1337</v>
      </c>
      <c r="F171" s="23" t="str">
        <f>HYPERLINK("https://mapwv.gov/flood/map/?wkid=102100&amp;x=-9096594.234962119&amp;y=4634321.418832645&amp;l=13&amp;v=2","FT")</f>
        <v>FT</v>
      </c>
      <c r="G171" s="31" t="s">
        <v>32</v>
      </c>
      <c r="H171" s="31" t="s">
        <v>65</v>
      </c>
      <c r="I171" s="30"/>
      <c r="J171" s="31" t="s">
        <v>39</v>
      </c>
      <c r="K171" s="26" t="s">
        <v>368</v>
      </c>
      <c r="L171" s="26"/>
      <c r="M171" s="30" t="s">
        <v>28</v>
      </c>
      <c r="N171" s="2" t="s">
        <v>102</v>
      </c>
      <c r="O171" s="31" t="s">
        <v>105</v>
      </c>
      <c r="P171" s="27" t="s">
        <v>1398</v>
      </c>
      <c r="Q171" s="30" t="s">
        <v>30</v>
      </c>
      <c r="R171" s="31" t="s">
        <v>110</v>
      </c>
      <c r="S171" s="32">
        <v>1847285</v>
      </c>
      <c r="T171" s="27" t="s">
        <v>69</v>
      </c>
      <c r="U171" s="33">
        <v>4.9186399999999999</v>
      </c>
      <c r="V171" s="33">
        <v>3.91864013671875</v>
      </c>
      <c r="W171" s="34">
        <v>0.13918640136718699</v>
      </c>
      <c r="X171" s="35">
        <v>257116.95144958401</v>
      </c>
    </row>
    <row r="172" spans="1:24" x14ac:dyDescent="0.25">
      <c r="A172" s="30" t="s">
        <v>1310</v>
      </c>
      <c r="B172" s="30" t="s">
        <v>792</v>
      </c>
      <c r="C172" s="30" t="s">
        <v>1338</v>
      </c>
      <c r="D172" s="30" t="s">
        <v>1339</v>
      </c>
      <c r="E172" s="30" t="s">
        <v>1340</v>
      </c>
      <c r="F172" s="23" t="str">
        <f>HYPERLINK("https://mapwv.gov/flood/map/?wkid=102100&amp;x=-9079031.197375085&amp;y=4634266.630402881&amp;l=13&amp;v=2","FT")</f>
        <v>FT</v>
      </c>
      <c r="G172" s="31" t="s">
        <v>32</v>
      </c>
      <c r="H172" s="31" t="s">
        <v>25</v>
      </c>
      <c r="I172" s="30" t="s">
        <v>1379</v>
      </c>
      <c r="J172" s="31" t="s">
        <v>26</v>
      </c>
      <c r="K172" s="26" t="s">
        <v>119</v>
      </c>
      <c r="L172" s="26" t="s">
        <v>50</v>
      </c>
      <c r="M172" s="30" t="s">
        <v>58</v>
      </c>
      <c r="N172" s="2" t="s">
        <v>42</v>
      </c>
      <c r="O172" s="31" t="s">
        <v>106</v>
      </c>
      <c r="P172" s="27" t="s">
        <v>1399</v>
      </c>
      <c r="Q172" s="30" t="s">
        <v>30</v>
      </c>
      <c r="R172" s="31" t="s">
        <v>110</v>
      </c>
      <c r="S172" s="32">
        <v>1828700</v>
      </c>
      <c r="T172" s="27" t="s">
        <v>31</v>
      </c>
      <c r="U172" s="33">
        <v>7.7392580000000002E-2</v>
      </c>
      <c r="V172" s="33">
        <v>-0.922607421875</v>
      </c>
      <c r="W172" s="34">
        <v>1.1608886718749999E-2</v>
      </c>
      <c r="X172" s="35">
        <v>21229.1711425781</v>
      </c>
    </row>
    <row r="173" spans="1:24" x14ac:dyDescent="0.25">
      <c r="A173" s="30" t="s">
        <v>1311</v>
      </c>
      <c r="B173" s="30" t="s">
        <v>792</v>
      </c>
      <c r="C173" s="30" t="s">
        <v>1341</v>
      </c>
      <c r="D173" s="30" t="s">
        <v>1342</v>
      </c>
      <c r="E173" s="30" t="s">
        <v>1343</v>
      </c>
      <c r="F173" s="23" t="str">
        <f>HYPERLINK("https://mapwv.gov/flood/map/?wkid=102100&amp;x=-9073724.126590163&amp;y=4591247.911707812&amp;l=13&amp;v=2","FT")</f>
        <v>FT</v>
      </c>
      <c r="G173" s="31" t="s">
        <v>38</v>
      </c>
      <c r="H173" s="31" t="s">
        <v>25</v>
      </c>
      <c r="I173" s="30" t="s">
        <v>1380</v>
      </c>
      <c r="J173" s="31" t="s">
        <v>39</v>
      </c>
      <c r="K173" s="26" t="s">
        <v>1000</v>
      </c>
      <c r="L173" s="26" t="s">
        <v>100</v>
      </c>
      <c r="M173" s="30" t="s">
        <v>380</v>
      </c>
      <c r="N173" s="2" t="s">
        <v>104</v>
      </c>
      <c r="O173" s="31" t="s">
        <v>105</v>
      </c>
      <c r="P173" s="27" t="s">
        <v>1400</v>
      </c>
      <c r="Q173" s="30" t="s">
        <v>30</v>
      </c>
      <c r="R173" s="31" t="s">
        <v>110</v>
      </c>
      <c r="S173" s="32">
        <v>1798540</v>
      </c>
      <c r="T173" s="27" t="s">
        <v>112</v>
      </c>
      <c r="U173" s="33">
        <v>0</v>
      </c>
      <c r="V173" s="33">
        <v>-1</v>
      </c>
      <c r="W173" s="34">
        <v>0</v>
      </c>
      <c r="X173" s="35">
        <v>0</v>
      </c>
    </row>
    <row r="174" spans="1:24" x14ac:dyDescent="0.25">
      <c r="A174" s="30" t="s">
        <v>1312</v>
      </c>
      <c r="B174" s="30" t="s">
        <v>792</v>
      </c>
      <c r="C174" s="30" t="s">
        <v>1331</v>
      </c>
      <c r="D174" s="30" t="s">
        <v>1332</v>
      </c>
      <c r="E174" s="30" t="s">
        <v>1344</v>
      </c>
      <c r="F174" s="23" t="str">
        <f>HYPERLINK("https://mapwv.gov/flood/map/?wkid=102100&amp;x=-9063179.431016732&amp;y=4636392.970369947&amp;l=13&amp;v=2","FT")</f>
        <v>FT</v>
      </c>
      <c r="G174" s="31" t="s">
        <v>38</v>
      </c>
      <c r="H174" s="31" t="s">
        <v>25</v>
      </c>
      <c r="I174" s="30"/>
      <c r="J174" s="31" t="s">
        <v>36</v>
      </c>
      <c r="K174" s="26" t="s">
        <v>83</v>
      </c>
      <c r="L174" s="26"/>
      <c r="M174" s="30" t="s">
        <v>380</v>
      </c>
      <c r="N174" s="2" t="s">
        <v>104</v>
      </c>
      <c r="O174" s="31" t="s">
        <v>105</v>
      </c>
      <c r="P174" s="27" t="s">
        <v>1401</v>
      </c>
      <c r="Q174" s="30" t="s">
        <v>30</v>
      </c>
      <c r="R174" s="31" t="s">
        <v>110</v>
      </c>
      <c r="S174" s="32">
        <v>1724360</v>
      </c>
      <c r="T174" s="27" t="s">
        <v>112</v>
      </c>
      <c r="U174" s="33">
        <v>1.1342312999999999</v>
      </c>
      <c r="V174" s="33">
        <v>0.13423132896423301</v>
      </c>
      <c r="W174" s="34">
        <v>1.3423132896423299E-2</v>
      </c>
      <c r="X174" s="35">
        <v>23146.313441276499</v>
      </c>
    </row>
    <row r="175" spans="1:24" x14ac:dyDescent="0.25">
      <c r="A175" s="30" t="s">
        <v>1313</v>
      </c>
      <c r="B175" s="30" t="s">
        <v>792</v>
      </c>
      <c r="C175" s="30" t="s">
        <v>778</v>
      </c>
      <c r="D175" s="30" t="s">
        <v>1345</v>
      </c>
      <c r="E175" s="30" t="s">
        <v>1346</v>
      </c>
      <c r="F175" s="23" t="str">
        <f>HYPERLINK("https://mapwv.gov/flood/map/?wkid=102100&amp;x=-9075231.14080213&amp;y=4610808.51687739&amp;l=13&amp;v=2","FT")</f>
        <v>FT</v>
      </c>
      <c r="G175" s="31" t="s">
        <v>32</v>
      </c>
      <c r="H175" s="31" t="s">
        <v>25</v>
      </c>
      <c r="I175" s="30" t="s">
        <v>1381</v>
      </c>
      <c r="J175" s="31" t="s">
        <v>26</v>
      </c>
      <c r="K175" s="26" t="s">
        <v>129</v>
      </c>
      <c r="L175" s="26" t="s">
        <v>57</v>
      </c>
      <c r="M175" s="30" t="s">
        <v>48</v>
      </c>
      <c r="N175" s="2" t="s">
        <v>35</v>
      </c>
      <c r="O175" s="31" t="s">
        <v>105</v>
      </c>
      <c r="P175" s="27" t="s">
        <v>1402</v>
      </c>
      <c r="Q175" s="30" t="s">
        <v>30</v>
      </c>
      <c r="R175" s="31" t="s">
        <v>110</v>
      </c>
      <c r="S175" s="32">
        <v>1722700</v>
      </c>
      <c r="T175" s="27" t="s">
        <v>44</v>
      </c>
      <c r="U175" s="33">
        <v>1.3366089000000001</v>
      </c>
      <c r="V175" s="33">
        <v>0.33660888671875</v>
      </c>
      <c r="W175" s="34">
        <v>3.6928710937499998E-2</v>
      </c>
      <c r="X175" s="35">
        <v>63617.090332031199</v>
      </c>
    </row>
    <row r="176" spans="1:24" x14ac:dyDescent="0.25">
      <c r="A176" s="30" t="s">
        <v>1314</v>
      </c>
      <c r="B176" s="30" t="s">
        <v>792</v>
      </c>
      <c r="C176" s="30" t="s">
        <v>492</v>
      </c>
      <c r="D176" s="30" t="s">
        <v>1347</v>
      </c>
      <c r="E176" s="30" t="s">
        <v>1348</v>
      </c>
      <c r="F176" s="23" t="str">
        <f>HYPERLINK("https://mapwv.gov/flood/map/?wkid=102100&amp;x=-9075897.68094743&amp;y=4636779.931679913&amp;l=13&amp;v=2","FT")</f>
        <v>FT</v>
      </c>
      <c r="G176" s="31" t="s">
        <v>32</v>
      </c>
      <c r="H176" s="31" t="s">
        <v>25</v>
      </c>
      <c r="I176" s="30" t="s">
        <v>1382</v>
      </c>
      <c r="J176" s="31" t="s">
        <v>26</v>
      </c>
      <c r="K176" s="26" t="s">
        <v>127</v>
      </c>
      <c r="L176" s="26" t="s">
        <v>37</v>
      </c>
      <c r="M176" s="30" t="s">
        <v>48</v>
      </c>
      <c r="N176" s="2" t="s">
        <v>35</v>
      </c>
      <c r="O176" s="31" t="s">
        <v>105</v>
      </c>
      <c r="P176" s="27" t="s">
        <v>1403</v>
      </c>
      <c r="Q176" s="30" t="s">
        <v>30</v>
      </c>
      <c r="R176" s="31" t="s">
        <v>110</v>
      </c>
      <c r="S176" s="32">
        <v>1586100</v>
      </c>
      <c r="T176" s="27" t="s">
        <v>31</v>
      </c>
      <c r="U176" s="33">
        <v>0</v>
      </c>
      <c r="V176" s="33">
        <v>-1</v>
      </c>
      <c r="W176" s="34">
        <v>0</v>
      </c>
      <c r="X176" s="35">
        <v>0</v>
      </c>
    </row>
    <row r="177" spans="1:24" x14ac:dyDescent="0.25">
      <c r="A177" s="30" t="s">
        <v>1315</v>
      </c>
      <c r="B177" s="30" t="s">
        <v>792</v>
      </c>
      <c r="C177" s="30" t="s">
        <v>778</v>
      </c>
      <c r="D177" s="30" t="s">
        <v>1349</v>
      </c>
      <c r="E177" s="30" t="s">
        <v>1350</v>
      </c>
      <c r="F177" s="23" t="str">
        <f>HYPERLINK("https://mapwv.gov/flood/map/?wkid=102100&amp;x=-9102666.881722603&amp;y=4632121.0237492&amp;l=13&amp;v=2","FT")</f>
        <v>FT</v>
      </c>
      <c r="G177" s="31" t="s">
        <v>32</v>
      </c>
      <c r="H177" s="31" t="s">
        <v>25</v>
      </c>
      <c r="I177" s="30" t="s">
        <v>1383</v>
      </c>
      <c r="J177" s="31" t="s">
        <v>39</v>
      </c>
      <c r="K177" s="26" t="s">
        <v>370</v>
      </c>
      <c r="L177" s="26" t="s">
        <v>57</v>
      </c>
      <c r="M177" s="30" t="s">
        <v>1394</v>
      </c>
      <c r="N177" s="2" t="s">
        <v>42</v>
      </c>
      <c r="O177" s="31" t="s">
        <v>105</v>
      </c>
      <c r="P177" s="27" t="s">
        <v>1404</v>
      </c>
      <c r="Q177" s="30" t="s">
        <v>30</v>
      </c>
      <c r="R177" s="31" t="s">
        <v>110</v>
      </c>
      <c r="S177" s="32">
        <v>1585400</v>
      </c>
      <c r="T177" s="27" t="s">
        <v>44</v>
      </c>
      <c r="U177" s="33">
        <v>2.6424560000000001</v>
      </c>
      <c r="V177" s="33">
        <v>1.6424560546875</v>
      </c>
      <c r="W177" s="34">
        <v>8.9273681640625005E-2</v>
      </c>
      <c r="X177" s="35">
        <v>141534.494873046</v>
      </c>
    </row>
    <row r="178" spans="1:24" x14ac:dyDescent="0.25">
      <c r="A178" s="30" t="s">
        <v>1316</v>
      </c>
      <c r="B178" s="30" t="s">
        <v>792</v>
      </c>
      <c r="C178" s="30" t="s">
        <v>492</v>
      </c>
      <c r="D178" s="30" t="s">
        <v>1351</v>
      </c>
      <c r="E178" s="30" t="s">
        <v>1352</v>
      </c>
      <c r="F178" s="23" t="str">
        <f>HYPERLINK("https://mapwv.gov/flood/map/?wkid=102100&amp;x=-9071705.920363402&amp;y=4638914.898984815&amp;l=13&amp;v=2","FT")</f>
        <v>FT</v>
      </c>
      <c r="G178" s="31" t="s">
        <v>32</v>
      </c>
      <c r="H178" s="31" t="s">
        <v>25</v>
      </c>
      <c r="I178" s="30" t="s">
        <v>1384</v>
      </c>
      <c r="J178" s="31" t="s">
        <v>26</v>
      </c>
      <c r="K178" s="26" t="s">
        <v>93</v>
      </c>
      <c r="L178" s="26" t="s">
        <v>37</v>
      </c>
      <c r="M178" s="30" t="s">
        <v>56</v>
      </c>
      <c r="N178" s="2" t="s">
        <v>35</v>
      </c>
      <c r="O178" s="31" t="s">
        <v>105</v>
      </c>
      <c r="P178" s="27" t="s">
        <v>1405</v>
      </c>
      <c r="Q178" s="30" t="s">
        <v>30</v>
      </c>
      <c r="R178" s="31" t="s">
        <v>110</v>
      </c>
      <c r="S178" s="32">
        <v>1491700</v>
      </c>
      <c r="T178" s="27" t="s">
        <v>31</v>
      </c>
      <c r="U178" s="33">
        <v>0</v>
      </c>
      <c r="V178" s="33">
        <v>-1</v>
      </c>
      <c r="W178" s="34">
        <v>0</v>
      </c>
      <c r="X178" s="35">
        <v>0</v>
      </c>
    </row>
    <row r="179" spans="1:24" x14ac:dyDescent="0.25">
      <c r="A179" s="30" t="s">
        <v>1317</v>
      </c>
      <c r="B179" s="30" t="s">
        <v>792</v>
      </c>
      <c r="C179" s="30" t="s">
        <v>1331</v>
      </c>
      <c r="D179" s="30" t="s">
        <v>1353</v>
      </c>
      <c r="E179" s="30" t="s">
        <v>1354</v>
      </c>
      <c r="F179" s="23" t="str">
        <f>HYPERLINK("https://mapwv.gov/flood/map/?wkid=102100&amp;x=-9063400.48146918&amp;y=4636279.085559814&amp;l=13&amp;v=2","FT")</f>
        <v>FT</v>
      </c>
      <c r="G179" s="31" t="s">
        <v>38</v>
      </c>
      <c r="H179" s="31" t="s">
        <v>25</v>
      </c>
      <c r="I179" s="30" t="s">
        <v>1385</v>
      </c>
      <c r="J179" s="31" t="s">
        <v>36</v>
      </c>
      <c r="K179" s="26" t="s">
        <v>83</v>
      </c>
      <c r="L179" s="26"/>
      <c r="M179" s="30" t="s">
        <v>380</v>
      </c>
      <c r="N179" s="2" t="s">
        <v>104</v>
      </c>
      <c r="O179" s="31" t="s">
        <v>105</v>
      </c>
      <c r="P179" s="27" t="s">
        <v>1406</v>
      </c>
      <c r="Q179" s="30" t="s">
        <v>30</v>
      </c>
      <c r="R179" s="31" t="s">
        <v>110</v>
      </c>
      <c r="S179" s="32">
        <v>1455721</v>
      </c>
      <c r="T179" s="27" t="s">
        <v>112</v>
      </c>
      <c r="U179" s="33">
        <v>2.5462696999999999</v>
      </c>
      <c r="V179" s="33">
        <v>1.54626965522766</v>
      </c>
      <c r="W179" s="34">
        <v>0.121850786209106</v>
      </c>
      <c r="X179" s="35">
        <v>177380.74835110601</v>
      </c>
    </row>
    <row r="180" spans="1:24" x14ac:dyDescent="0.25">
      <c r="A180" s="30" t="s">
        <v>1318</v>
      </c>
      <c r="B180" s="30" t="s">
        <v>792</v>
      </c>
      <c r="C180" s="30" t="s">
        <v>778</v>
      </c>
      <c r="D180" s="30" t="s">
        <v>1355</v>
      </c>
      <c r="E180" s="30" t="s">
        <v>1356</v>
      </c>
      <c r="F180" s="23" t="str">
        <f>HYPERLINK("https://mapwv.gov/flood/map/?wkid=102100&amp;x=-9081991.755819337&amp;y=4626334.657755875&amp;l=13&amp;v=2","FT")</f>
        <v>FT</v>
      </c>
      <c r="G180" s="31" t="s">
        <v>32</v>
      </c>
      <c r="H180" s="31" t="s">
        <v>25</v>
      </c>
      <c r="I180" s="30" t="s">
        <v>1386</v>
      </c>
      <c r="J180" s="31" t="s">
        <v>26</v>
      </c>
      <c r="K180" s="26" t="s">
        <v>97</v>
      </c>
      <c r="L180" s="26" t="s">
        <v>45</v>
      </c>
      <c r="M180" s="30" t="s">
        <v>28</v>
      </c>
      <c r="N180" s="2" t="s">
        <v>102</v>
      </c>
      <c r="O180" s="31" t="s">
        <v>105</v>
      </c>
      <c r="P180" s="27" t="s">
        <v>1407</v>
      </c>
      <c r="Q180" s="30" t="s">
        <v>43</v>
      </c>
      <c r="R180" s="31" t="s">
        <v>111</v>
      </c>
      <c r="S180" s="32">
        <v>1371400</v>
      </c>
      <c r="T180" s="27" t="s">
        <v>44</v>
      </c>
      <c r="U180" s="33">
        <v>3.0985718000000002</v>
      </c>
      <c r="V180" s="33">
        <v>-0.90142822265625</v>
      </c>
      <c r="W180" s="34">
        <v>0</v>
      </c>
      <c r="X180" s="35">
        <v>0</v>
      </c>
    </row>
    <row r="181" spans="1:24" x14ac:dyDescent="0.25">
      <c r="A181" s="30" t="s">
        <v>1319</v>
      </c>
      <c r="B181" s="30" t="s">
        <v>792</v>
      </c>
      <c r="C181" s="30" t="s">
        <v>1357</v>
      </c>
      <c r="D181" s="30" t="s">
        <v>1358</v>
      </c>
      <c r="E181" s="30" t="s">
        <v>1359</v>
      </c>
      <c r="F181" s="23" t="str">
        <f>HYPERLINK("https://mapwv.gov/flood/map/?wkid=102100&amp;x=-9105139.3143298&amp;y=4632636.054975635&amp;l=13&amp;v=2","FT")</f>
        <v>FT</v>
      </c>
      <c r="G181" s="31" t="s">
        <v>32</v>
      </c>
      <c r="H181" s="31" t="s">
        <v>25</v>
      </c>
      <c r="I181" s="30" t="s">
        <v>1387</v>
      </c>
      <c r="J181" s="31" t="s">
        <v>39</v>
      </c>
      <c r="K181" s="26" t="s">
        <v>640</v>
      </c>
      <c r="L181" s="26"/>
      <c r="M181" s="30" t="s">
        <v>66</v>
      </c>
      <c r="N181" s="2" t="s">
        <v>103</v>
      </c>
      <c r="O181" s="31" t="s">
        <v>105</v>
      </c>
      <c r="P181" s="27" t="s">
        <v>1408</v>
      </c>
      <c r="Q181" s="30" t="s">
        <v>30</v>
      </c>
      <c r="R181" s="31" t="s">
        <v>110</v>
      </c>
      <c r="S181" s="32">
        <v>1227000</v>
      </c>
      <c r="T181" s="27" t="s">
        <v>44</v>
      </c>
      <c r="U181" s="33">
        <v>1.7000122</v>
      </c>
      <c r="V181" s="33">
        <v>0.70001220703125</v>
      </c>
      <c r="W181" s="34">
        <v>7.0001220703125006E-2</v>
      </c>
      <c r="X181" s="35">
        <v>85891.497802734302</v>
      </c>
    </row>
    <row r="182" spans="1:24" x14ac:dyDescent="0.25">
      <c r="A182" s="30" t="s">
        <v>1320</v>
      </c>
      <c r="B182" s="30" t="s">
        <v>792</v>
      </c>
      <c r="C182" s="30" t="s">
        <v>203</v>
      </c>
      <c r="D182" s="30" t="s">
        <v>1360</v>
      </c>
      <c r="E182" s="30" t="s">
        <v>1361</v>
      </c>
      <c r="F182" s="23" t="str">
        <f>HYPERLINK("https://mapwv.gov/flood/map/?wkid=102100&amp;x=-9109590.168579618&amp;y=4610903.204461175&amp;l=13&amp;v=2","FT")</f>
        <v>FT</v>
      </c>
      <c r="G182" s="31" t="s">
        <v>38</v>
      </c>
      <c r="H182" s="31" t="s">
        <v>25</v>
      </c>
      <c r="I182" s="30" t="s">
        <v>1388</v>
      </c>
      <c r="J182" s="31" t="s">
        <v>26</v>
      </c>
      <c r="K182" s="26" t="s">
        <v>130</v>
      </c>
      <c r="L182" s="26"/>
      <c r="M182" s="30" t="s">
        <v>56</v>
      </c>
      <c r="N182" s="2" t="s">
        <v>35</v>
      </c>
      <c r="O182" s="31" t="s">
        <v>105</v>
      </c>
      <c r="P182" s="27" t="s">
        <v>1409</v>
      </c>
      <c r="Q182" s="30" t="s">
        <v>30</v>
      </c>
      <c r="R182" s="31" t="s">
        <v>110</v>
      </c>
      <c r="S182" s="32">
        <v>1131963</v>
      </c>
      <c r="T182" s="27" t="s">
        <v>112</v>
      </c>
      <c r="U182" s="33">
        <v>3.8959453000000002</v>
      </c>
      <c r="V182" s="33">
        <v>2.89594531059265</v>
      </c>
      <c r="W182" s="34">
        <v>0.21375671863555901</v>
      </c>
      <c r="X182" s="35">
        <v>241964.69649686301</v>
      </c>
    </row>
    <row r="183" spans="1:24" x14ac:dyDescent="0.25">
      <c r="A183" s="30" t="s">
        <v>1321</v>
      </c>
      <c r="B183" s="30" t="s">
        <v>792</v>
      </c>
      <c r="C183" s="30" t="s">
        <v>1362</v>
      </c>
      <c r="D183" s="30" t="s">
        <v>1363</v>
      </c>
      <c r="E183" s="30" t="s">
        <v>1364</v>
      </c>
      <c r="F183" s="23" t="str">
        <f>HYPERLINK("https://mapwv.gov/flood/map/?wkid=102100&amp;x=-9082872.28820477&amp;y=4630271.397665474&amp;l=13&amp;v=2","FT")</f>
        <v>FT</v>
      </c>
      <c r="G183" s="31" t="s">
        <v>32</v>
      </c>
      <c r="H183" s="31" t="s">
        <v>25</v>
      </c>
      <c r="I183" s="30" t="s">
        <v>1389</v>
      </c>
      <c r="J183" s="31" t="s">
        <v>39</v>
      </c>
      <c r="K183" s="26" t="s">
        <v>376</v>
      </c>
      <c r="L183" s="26" t="s">
        <v>57</v>
      </c>
      <c r="M183" s="30" t="s">
        <v>56</v>
      </c>
      <c r="N183" s="2" t="s">
        <v>35</v>
      </c>
      <c r="O183" s="31" t="s">
        <v>106</v>
      </c>
      <c r="P183" s="27" t="s">
        <v>1410</v>
      </c>
      <c r="Q183" s="30" t="s">
        <v>30</v>
      </c>
      <c r="R183" s="31" t="s">
        <v>110</v>
      </c>
      <c r="S183" s="32">
        <v>1119200</v>
      </c>
      <c r="T183" s="27" t="s">
        <v>44</v>
      </c>
      <c r="U183" s="33">
        <v>2.0016479999999999</v>
      </c>
      <c r="V183" s="33">
        <v>1.00164794921875</v>
      </c>
      <c r="W183" s="34">
        <v>0.11008239746093701</v>
      </c>
      <c r="X183" s="35">
        <v>123204.219238281</v>
      </c>
    </row>
    <row r="184" spans="1:24" x14ac:dyDescent="0.25">
      <c r="A184" s="30" t="s">
        <v>1322</v>
      </c>
      <c r="B184" s="30" t="s">
        <v>792</v>
      </c>
      <c r="C184" s="30" t="s">
        <v>778</v>
      </c>
      <c r="D184" s="30" t="s">
        <v>1365</v>
      </c>
      <c r="E184" s="30" t="s">
        <v>1366</v>
      </c>
      <c r="F184" s="23" t="str">
        <f>HYPERLINK("https://mapwv.gov/flood/map/?wkid=102100&amp;x=-9100755.991826428&amp;y=4629875.721139732&amp;l=13&amp;v=2","FT")</f>
        <v>FT</v>
      </c>
      <c r="G184" s="31" t="s">
        <v>32</v>
      </c>
      <c r="H184" s="31" t="s">
        <v>25</v>
      </c>
      <c r="I184" s="30" t="s">
        <v>1390</v>
      </c>
      <c r="J184" s="31" t="s">
        <v>26</v>
      </c>
      <c r="K184" s="26" t="s">
        <v>369</v>
      </c>
      <c r="L184" s="26" t="s">
        <v>33</v>
      </c>
      <c r="M184" s="30" t="s">
        <v>70</v>
      </c>
      <c r="N184" s="2" t="s">
        <v>35</v>
      </c>
      <c r="O184" s="31" t="s">
        <v>105</v>
      </c>
      <c r="P184" s="27" t="s">
        <v>1411</v>
      </c>
      <c r="Q184" s="30" t="s">
        <v>30</v>
      </c>
      <c r="R184" s="31" t="s">
        <v>110</v>
      </c>
      <c r="S184" s="32">
        <v>1117020</v>
      </c>
      <c r="T184" s="27" t="s">
        <v>31</v>
      </c>
      <c r="U184" s="33">
        <v>3.9577637000000001</v>
      </c>
      <c r="V184" s="33">
        <v>2.957763671875</v>
      </c>
      <c r="W184" s="34">
        <v>0.10873291015625</v>
      </c>
      <c r="X184" s="35">
        <v>121456.83530273401</v>
      </c>
    </row>
    <row r="185" spans="1:24" x14ac:dyDescent="0.25">
      <c r="A185" s="30" t="s">
        <v>1323</v>
      </c>
      <c r="B185" s="30" t="s">
        <v>792</v>
      </c>
      <c r="C185" s="30" t="s">
        <v>778</v>
      </c>
      <c r="D185" s="30" t="s">
        <v>1367</v>
      </c>
      <c r="E185" s="30" t="s">
        <v>1368</v>
      </c>
      <c r="F185" s="23" t="str">
        <f>HYPERLINK("https://mapwv.gov/flood/map/?wkid=102100&amp;x=-9070817.072189365&amp;y=4607189.265919677&amp;l=13&amp;v=2","FT")</f>
        <v>FT</v>
      </c>
      <c r="G185" s="31" t="s">
        <v>53</v>
      </c>
      <c r="H185" s="31" t="s">
        <v>25</v>
      </c>
      <c r="I185" s="30" t="s">
        <v>1391</v>
      </c>
      <c r="J185" s="31" t="s">
        <v>26</v>
      </c>
      <c r="K185" s="26" t="s">
        <v>365</v>
      </c>
      <c r="L185" s="26" t="s">
        <v>27</v>
      </c>
      <c r="M185" s="30" t="s">
        <v>58</v>
      </c>
      <c r="N185" s="2" t="s">
        <v>42</v>
      </c>
      <c r="O185" s="31" t="s">
        <v>106</v>
      </c>
      <c r="P185" s="27" t="s">
        <v>1412</v>
      </c>
      <c r="Q185" s="30" t="s">
        <v>30</v>
      </c>
      <c r="R185" s="31" t="s">
        <v>110</v>
      </c>
      <c r="S185" s="32">
        <v>1096000</v>
      </c>
      <c r="T185" s="27" t="s">
        <v>44</v>
      </c>
      <c r="U185" s="33">
        <v>9.6984860000000006E-2</v>
      </c>
      <c r="V185" s="33">
        <v>-0.90301513671875</v>
      </c>
      <c r="W185" s="34">
        <v>1.45477294921875E-2</v>
      </c>
      <c r="X185" s="35">
        <v>15944.3115234375</v>
      </c>
    </row>
    <row r="186" spans="1:24" x14ac:dyDescent="0.25">
      <c r="A186" s="30" t="s">
        <v>1324</v>
      </c>
      <c r="B186" s="30" t="s">
        <v>792</v>
      </c>
      <c r="C186" s="30" t="s">
        <v>1369</v>
      </c>
      <c r="D186" s="30" t="s">
        <v>1370</v>
      </c>
      <c r="E186" s="30" t="s">
        <v>1371</v>
      </c>
      <c r="F186" s="23" t="str">
        <f>HYPERLINK("https://mapwv.gov/flood/map/?wkid=102100&amp;x=-9076959.654195424&amp;y=4636932.03513768&amp;l=13&amp;v=2","FT")</f>
        <v>FT</v>
      </c>
      <c r="G186" s="31" t="s">
        <v>32</v>
      </c>
      <c r="H186" s="31" t="s">
        <v>25</v>
      </c>
      <c r="I186" s="30" t="s">
        <v>1392</v>
      </c>
      <c r="J186" s="31" t="s">
        <v>39</v>
      </c>
      <c r="K186" s="26" t="s">
        <v>81</v>
      </c>
      <c r="L186" s="26" t="s">
        <v>27</v>
      </c>
      <c r="M186" s="30" t="s">
        <v>56</v>
      </c>
      <c r="N186" s="2" t="s">
        <v>35</v>
      </c>
      <c r="O186" s="31" t="s">
        <v>106</v>
      </c>
      <c r="P186" s="27" t="s">
        <v>1413</v>
      </c>
      <c r="Q186" s="30" t="s">
        <v>43</v>
      </c>
      <c r="R186" s="31" t="s">
        <v>111</v>
      </c>
      <c r="S186" s="32">
        <v>1021600</v>
      </c>
      <c r="T186" s="27" t="s">
        <v>31</v>
      </c>
      <c r="U186" s="33">
        <v>0</v>
      </c>
      <c r="V186" s="33">
        <v>-4</v>
      </c>
      <c r="W186" s="34">
        <v>0</v>
      </c>
      <c r="X186" s="35">
        <v>0</v>
      </c>
    </row>
    <row r="187" spans="1:24" x14ac:dyDescent="0.25">
      <c r="A187" s="30" t="s">
        <v>1325</v>
      </c>
      <c r="B187" s="30" t="s">
        <v>792</v>
      </c>
      <c r="C187" s="30" t="s">
        <v>778</v>
      </c>
      <c r="D187" s="30" t="s">
        <v>1372</v>
      </c>
      <c r="E187" s="30" t="s">
        <v>1373</v>
      </c>
      <c r="F187" s="23" t="str">
        <f>HYPERLINK("https://mapwv.gov/flood/map/?wkid=102100&amp;x=-9111968.284635043&amp;y=4638043.170121304&amp;l=13&amp;v=2","FT")</f>
        <v>FT</v>
      </c>
      <c r="G187" s="31" t="s">
        <v>32</v>
      </c>
      <c r="H187" s="31" t="s">
        <v>25</v>
      </c>
      <c r="I187" s="30" t="s">
        <v>970</v>
      </c>
      <c r="J187" s="31" t="s">
        <v>26</v>
      </c>
      <c r="K187" s="26" t="s">
        <v>118</v>
      </c>
      <c r="L187" s="26" t="s">
        <v>1393</v>
      </c>
      <c r="M187" s="30" t="s">
        <v>70</v>
      </c>
      <c r="N187" s="2" t="s">
        <v>35</v>
      </c>
      <c r="O187" s="31" t="s">
        <v>106</v>
      </c>
      <c r="P187" s="27" t="s">
        <v>1414</v>
      </c>
      <c r="Q187" s="30" t="s">
        <v>30</v>
      </c>
      <c r="R187" s="31" t="s">
        <v>110</v>
      </c>
      <c r="S187" s="32">
        <v>1017400</v>
      </c>
      <c r="T187" s="27" t="s">
        <v>44</v>
      </c>
      <c r="U187" s="33">
        <v>0.58355710000000005</v>
      </c>
      <c r="V187" s="33">
        <v>-0.41644287109375</v>
      </c>
      <c r="W187" s="34">
        <v>0</v>
      </c>
      <c r="X187" s="35">
        <v>0</v>
      </c>
    </row>
    <row r="188" spans="1:24" x14ac:dyDescent="0.25">
      <c r="A188" s="30" t="s">
        <v>1326</v>
      </c>
      <c r="B188" s="30" t="s">
        <v>792</v>
      </c>
      <c r="C188" s="30" t="s">
        <v>492</v>
      </c>
      <c r="D188" s="30" t="s">
        <v>1374</v>
      </c>
      <c r="E188" s="30" t="s">
        <v>1375</v>
      </c>
      <c r="F188" s="23" t="str">
        <f>HYPERLINK("https://mapwv.gov/flood/map/?wkid=102100&amp;x=-9076290.338298626&amp;y=4636772.011305383&amp;l=13&amp;v=2","FT")</f>
        <v>FT</v>
      </c>
      <c r="G188" s="31" t="s">
        <v>32</v>
      </c>
      <c r="H188" s="31" t="s">
        <v>25</v>
      </c>
      <c r="I188" s="30" t="s">
        <v>1382</v>
      </c>
      <c r="J188" s="31" t="s">
        <v>39</v>
      </c>
      <c r="K188" s="26" t="s">
        <v>1004</v>
      </c>
      <c r="L188" s="26" t="s">
        <v>27</v>
      </c>
      <c r="M188" s="30" t="s">
        <v>56</v>
      </c>
      <c r="N188" s="2" t="s">
        <v>35</v>
      </c>
      <c r="O188" s="31" t="s">
        <v>105</v>
      </c>
      <c r="P188" s="27" t="s">
        <v>1415</v>
      </c>
      <c r="Q188" s="30" t="s">
        <v>30</v>
      </c>
      <c r="R188" s="31" t="s">
        <v>110</v>
      </c>
      <c r="S188" s="32">
        <v>1016200</v>
      </c>
      <c r="T188" s="27" t="s">
        <v>44</v>
      </c>
      <c r="U188" s="33">
        <v>0</v>
      </c>
      <c r="V188" s="33">
        <v>-1</v>
      </c>
      <c r="W188" s="34">
        <v>0</v>
      </c>
      <c r="X188" s="35">
        <v>0</v>
      </c>
    </row>
    <row r="189" spans="1:24" x14ac:dyDescent="0.25">
      <c r="A189" s="30" t="s">
        <v>1327</v>
      </c>
      <c r="B189" s="30" t="s">
        <v>792</v>
      </c>
      <c r="C189" s="30" t="s">
        <v>203</v>
      </c>
      <c r="D189" s="30" t="s">
        <v>1360</v>
      </c>
      <c r="E189" s="30" t="s">
        <v>1376</v>
      </c>
      <c r="F189" s="23" t="str">
        <f>HYPERLINK("https://mapwv.gov/flood/map/?wkid=102100&amp;x=-9109657.31438139&amp;y=4610900.380148787&amp;l=13&amp;v=2","FT")</f>
        <v>FT</v>
      </c>
      <c r="G189" s="31" t="s">
        <v>38</v>
      </c>
      <c r="H189" s="31" t="s">
        <v>25</v>
      </c>
      <c r="I189" s="30" t="s">
        <v>1388</v>
      </c>
      <c r="J189" s="31" t="s">
        <v>36</v>
      </c>
      <c r="K189" s="26" t="s">
        <v>83</v>
      </c>
      <c r="L189" s="26"/>
      <c r="M189" s="30" t="s">
        <v>56</v>
      </c>
      <c r="N189" s="2" t="s">
        <v>35</v>
      </c>
      <c r="O189" s="31" t="s">
        <v>105</v>
      </c>
      <c r="P189" s="27" t="s">
        <v>1416</v>
      </c>
      <c r="Q189" s="30" t="s">
        <v>30</v>
      </c>
      <c r="R189" s="31" t="s">
        <v>110</v>
      </c>
      <c r="S189" s="32">
        <v>1014917</v>
      </c>
      <c r="T189" s="27" t="s">
        <v>112</v>
      </c>
      <c r="U189" s="33">
        <v>5.9851039999999998</v>
      </c>
      <c r="V189" s="33">
        <v>4.9851040840148899</v>
      </c>
      <c r="W189" s="34">
        <v>0.34895728588104197</v>
      </c>
      <c r="X189" s="35">
        <v>354162.68171452999</v>
      </c>
    </row>
    <row r="191" spans="1:24" x14ac:dyDescent="0.25">
      <c r="A191" s="3" t="s">
        <v>59</v>
      </c>
      <c r="B191" s="3" t="s">
        <v>1</v>
      </c>
      <c r="C191" s="3" t="s">
        <v>60</v>
      </c>
      <c r="D191" s="3" t="s">
        <v>61</v>
      </c>
      <c r="E191" s="3" t="s">
        <v>62</v>
      </c>
    </row>
    <row r="192" spans="1:24" x14ac:dyDescent="0.25">
      <c r="A192" s="3">
        <v>540081</v>
      </c>
      <c r="B192" s="1" t="s">
        <v>1550</v>
      </c>
      <c r="C192" s="3" t="s">
        <v>690</v>
      </c>
      <c r="D192" s="1" t="s">
        <v>63</v>
      </c>
      <c r="E192" s="3">
        <v>3</v>
      </c>
      <c r="S192" s="37" t="s">
        <v>1100</v>
      </c>
    </row>
    <row r="193" spans="1:24" x14ac:dyDescent="0.25">
      <c r="A193" s="30" t="s">
        <v>707</v>
      </c>
      <c r="B193" s="30" t="s">
        <v>811</v>
      </c>
      <c r="C193" s="30" t="s">
        <v>778</v>
      </c>
      <c r="D193" s="30" t="s">
        <v>812</v>
      </c>
      <c r="E193" s="30" t="s">
        <v>813</v>
      </c>
      <c r="F193" s="23" t="s">
        <v>24</v>
      </c>
      <c r="G193" s="31" t="s">
        <v>79</v>
      </c>
      <c r="H193" s="31" t="s">
        <v>25</v>
      </c>
      <c r="I193" s="30"/>
      <c r="J193" s="31" t="s">
        <v>39</v>
      </c>
      <c r="K193" s="31" t="s">
        <v>999</v>
      </c>
      <c r="L193" s="31"/>
      <c r="M193" s="30" t="s">
        <v>68</v>
      </c>
      <c r="N193" s="2" t="s">
        <v>101</v>
      </c>
      <c r="O193" s="31" t="s">
        <v>105</v>
      </c>
      <c r="P193" s="30" t="s">
        <v>1029</v>
      </c>
      <c r="Q193" s="30" t="s">
        <v>30</v>
      </c>
      <c r="R193" s="31" t="s">
        <v>110</v>
      </c>
      <c r="S193" s="32">
        <v>12436721</v>
      </c>
      <c r="T193" s="48" t="s">
        <v>69</v>
      </c>
      <c r="U193" s="33">
        <v>0</v>
      </c>
      <c r="V193" s="33">
        <v>-1</v>
      </c>
      <c r="W193" s="34">
        <v>0</v>
      </c>
      <c r="X193" s="35">
        <v>0</v>
      </c>
    </row>
    <row r="194" spans="1:24" x14ac:dyDescent="0.25">
      <c r="A194" s="30" t="s">
        <v>1417</v>
      </c>
      <c r="B194" s="30" t="s">
        <v>811</v>
      </c>
      <c r="C194" s="30" t="s">
        <v>778</v>
      </c>
      <c r="D194" s="30" t="s">
        <v>1444</v>
      </c>
      <c r="E194" s="30" t="s">
        <v>1445</v>
      </c>
      <c r="F194" s="23" t="str">
        <f>HYPERLINK("https://mapwv.gov/flood/map/?wkid=102100&amp;x=-9108280.82705911&amp;y=4634872.850728025&amp;l=13&amp;v=2","FT")</f>
        <v>FT</v>
      </c>
      <c r="G194" s="31" t="s">
        <v>53</v>
      </c>
      <c r="H194" s="31" t="s">
        <v>25</v>
      </c>
      <c r="I194" s="30" t="s">
        <v>1498</v>
      </c>
      <c r="J194" s="31" t="s">
        <v>39</v>
      </c>
      <c r="K194" s="31" t="s">
        <v>136</v>
      </c>
      <c r="L194" s="31" t="s">
        <v>367</v>
      </c>
      <c r="M194" s="30" t="s">
        <v>70</v>
      </c>
      <c r="N194" s="2" t="s">
        <v>35</v>
      </c>
      <c r="O194" s="31" t="s">
        <v>105</v>
      </c>
      <c r="P194" s="30" t="s">
        <v>1525</v>
      </c>
      <c r="Q194" s="30" t="s">
        <v>30</v>
      </c>
      <c r="R194" s="31" t="s">
        <v>110</v>
      </c>
      <c r="S194" s="32">
        <v>874700</v>
      </c>
      <c r="T194" s="48" t="s">
        <v>44</v>
      </c>
      <c r="U194" s="33">
        <v>0.6687012</v>
      </c>
      <c r="V194" s="33">
        <v>-0.331298828125</v>
      </c>
      <c r="W194" s="34">
        <v>0</v>
      </c>
      <c r="X194" s="35">
        <v>0</v>
      </c>
    </row>
    <row r="195" spans="1:24" x14ac:dyDescent="0.25">
      <c r="A195" s="30" t="s">
        <v>1418</v>
      </c>
      <c r="B195" s="30" t="s">
        <v>811</v>
      </c>
      <c r="C195" s="30" t="s">
        <v>778</v>
      </c>
      <c r="D195" s="30" t="s">
        <v>1446</v>
      </c>
      <c r="E195" s="30" t="s">
        <v>1447</v>
      </c>
      <c r="F195" s="23" t="s">
        <v>24</v>
      </c>
      <c r="G195" s="31" t="s">
        <v>32</v>
      </c>
      <c r="H195" s="31" t="s">
        <v>25</v>
      </c>
      <c r="I195" s="30" t="s">
        <v>1499</v>
      </c>
      <c r="J195" s="31" t="s">
        <v>36</v>
      </c>
      <c r="K195" s="31" t="s">
        <v>83</v>
      </c>
      <c r="L195" s="31"/>
      <c r="M195" s="30" t="s">
        <v>66</v>
      </c>
      <c r="N195" s="2" t="s">
        <v>103</v>
      </c>
      <c r="O195" s="31" t="s">
        <v>105</v>
      </c>
      <c r="P195" s="30" t="s">
        <v>1526</v>
      </c>
      <c r="Q195" s="30" t="s">
        <v>30</v>
      </c>
      <c r="R195" s="31" t="s">
        <v>110</v>
      </c>
      <c r="S195" s="32">
        <v>522720</v>
      </c>
      <c r="T195" s="48" t="s">
        <v>31</v>
      </c>
      <c r="U195" s="33">
        <v>0</v>
      </c>
      <c r="V195" s="33">
        <v>-1</v>
      </c>
      <c r="W195" s="34">
        <v>0</v>
      </c>
      <c r="X195" s="35">
        <v>0</v>
      </c>
    </row>
    <row r="196" spans="1:24" x14ac:dyDescent="0.25">
      <c r="A196" s="30" t="s">
        <v>1419</v>
      </c>
      <c r="B196" s="30" t="s">
        <v>811</v>
      </c>
      <c r="C196" s="30" t="s">
        <v>778</v>
      </c>
      <c r="D196" s="30" t="s">
        <v>1448</v>
      </c>
      <c r="E196" s="30" t="s">
        <v>1449</v>
      </c>
      <c r="F196" s="23" t="s">
        <v>24</v>
      </c>
      <c r="G196" s="31" t="s">
        <v>32</v>
      </c>
      <c r="H196" s="31" t="s">
        <v>25</v>
      </c>
      <c r="I196" s="30" t="s">
        <v>1500</v>
      </c>
      <c r="J196" s="31" t="s">
        <v>26</v>
      </c>
      <c r="K196" s="31" t="s">
        <v>92</v>
      </c>
      <c r="L196" s="31" t="s">
        <v>51</v>
      </c>
      <c r="M196" s="30" t="s">
        <v>41</v>
      </c>
      <c r="N196" s="2" t="s">
        <v>42</v>
      </c>
      <c r="O196" s="31" t="s">
        <v>105</v>
      </c>
      <c r="P196" s="30" t="s">
        <v>1527</v>
      </c>
      <c r="Q196" s="30" t="s">
        <v>436</v>
      </c>
      <c r="R196" s="31" t="s">
        <v>111</v>
      </c>
      <c r="S196" s="32">
        <v>486800</v>
      </c>
      <c r="T196" s="48" t="s">
        <v>44</v>
      </c>
      <c r="U196" s="33">
        <v>1.1251221</v>
      </c>
      <c r="V196" s="33">
        <v>-2.8748779296875</v>
      </c>
      <c r="W196" s="34">
        <v>0</v>
      </c>
      <c r="X196" s="35">
        <v>0</v>
      </c>
    </row>
    <row r="197" spans="1:24" x14ac:dyDescent="0.25">
      <c r="A197" s="30" t="s">
        <v>1420</v>
      </c>
      <c r="B197" s="30" t="s">
        <v>811</v>
      </c>
      <c r="C197" s="30" t="s">
        <v>778</v>
      </c>
      <c r="D197" s="30" t="s">
        <v>1450</v>
      </c>
      <c r="E197" s="30" t="s">
        <v>1451</v>
      </c>
      <c r="F197" s="23" t="str">
        <f>HYPERLINK("https://mapwv.gov/flood/map/?wkid=102100&amp;x=-9111249.984043473&amp;y=4637975.366604762&amp;l=13&amp;v=2","FT")</f>
        <v>FT</v>
      </c>
      <c r="G197" s="31" t="s">
        <v>32</v>
      </c>
      <c r="H197" s="31" t="s">
        <v>25</v>
      </c>
      <c r="I197" s="30" t="s">
        <v>1501</v>
      </c>
      <c r="J197" s="31" t="s">
        <v>39</v>
      </c>
      <c r="K197" s="31" t="s">
        <v>126</v>
      </c>
      <c r="L197" s="31" t="s">
        <v>57</v>
      </c>
      <c r="M197" s="30" t="s">
        <v>58</v>
      </c>
      <c r="N197" s="2" t="s">
        <v>42</v>
      </c>
      <c r="O197" s="31" t="s">
        <v>106</v>
      </c>
      <c r="P197" s="30" t="s">
        <v>1528</v>
      </c>
      <c r="Q197" s="30" t="s">
        <v>43</v>
      </c>
      <c r="R197" s="31" t="s">
        <v>111</v>
      </c>
      <c r="S197" s="32">
        <v>442800</v>
      </c>
      <c r="T197" s="48" t="s">
        <v>31</v>
      </c>
      <c r="U197" s="33">
        <v>3.2106322999999999</v>
      </c>
      <c r="V197" s="33">
        <v>-0.78936767578125</v>
      </c>
      <c r="W197" s="34">
        <v>8.8425292968749999E-2</v>
      </c>
      <c r="X197" s="35">
        <v>39154.7197265625</v>
      </c>
    </row>
    <row r="198" spans="1:24" x14ac:dyDescent="0.25">
      <c r="A198" s="30" t="s">
        <v>1421</v>
      </c>
      <c r="B198" s="30" t="s">
        <v>811</v>
      </c>
      <c r="C198" s="30" t="s">
        <v>778</v>
      </c>
      <c r="D198" s="30" t="s">
        <v>1452</v>
      </c>
      <c r="E198" s="30" t="s">
        <v>1453</v>
      </c>
      <c r="F198" s="23" t="str">
        <f>HYPERLINK("https://mapwv.gov/flood/map/?wkid=102100&amp;x=-9109703.025281256&amp;y=4635845.184862173&amp;l=13&amp;v=2","FT")</f>
        <v>FT</v>
      </c>
      <c r="G198" s="31" t="s">
        <v>53</v>
      </c>
      <c r="H198" s="31" t="s">
        <v>25</v>
      </c>
      <c r="I198" s="30" t="s">
        <v>1502</v>
      </c>
      <c r="J198" s="31" t="s">
        <v>39</v>
      </c>
      <c r="K198" s="31" t="s">
        <v>1522</v>
      </c>
      <c r="L198" s="31" t="s">
        <v>50</v>
      </c>
      <c r="M198" s="30" t="s">
        <v>70</v>
      </c>
      <c r="N198" s="2" t="s">
        <v>35</v>
      </c>
      <c r="O198" s="31" t="s">
        <v>105</v>
      </c>
      <c r="P198" s="30" t="s">
        <v>1529</v>
      </c>
      <c r="Q198" s="30" t="s">
        <v>30</v>
      </c>
      <c r="R198" s="31" t="s">
        <v>110</v>
      </c>
      <c r="S198" s="32">
        <v>429200</v>
      </c>
      <c r="T198" s="48" t="s">
        <v>31</v>
      </c>
      <c r="U198" s="33">
        <v>0.73046875</v>
      </c>
      <c r="V198" s="33">
        <v>-0.26953125</v>
      </c>
      <c r="W198" s="34">
        <v>0</v>
      </c>
      <c r="X198" s="35">
        <v>0</v>
      </c>
    </row>
    <row r="199" spans="1:24" x14ac:dyDescent="0.25">
      <c r="A199" s="30" t="s">
        <v>1422</v>
      </c>
      <c r="B199" s="30" t="s">
        <v>811</v>
      </c>
      <c r="C199" s="30" t="s">
        <v>778</v>
      </c>
      <c r="D199" s="30" t="s">
        <v>1454</v>
      </c>
      <c r="E199" s="30" t="s">
        <v>1455</v>
      </c>
      <c r="F199" s="23" t="str">
        <f>HYPERLINK("https://mapwv.gov/flood/map/?wkid=102100&amp;x=-9110053.007526418&amp;y=4636031.094645466&amp;l=13&amp;v=2","FT")</f>
        <v>FT</v>
      </c>
      <c r="G199" s="31" t="s">
        <v>32</v>
      </c>
      <c r="H199" s="31" t="s">
        <v>25</v>
      </c>
      <c r="I199" s="30" t="s">
        <v>1503</v>
      </c>
      <c r="J199" s="31" t="s">
        <v>39</v>
      </c>
      <c r="K199" s="31" t="s">
        <v>374</v>
      </c>
      <c r="L199" s="31" t="s">
        <v>27</v>
      </c>
      <c r="M199" s="30" t="s">
        <v>70</v>
      </c>
      <c r="N199" s="2" t="s">
        <v>35</v>
      </c>
      <c r="O199" s="31" t="s">
        <v>105</v>
      </c>
      <c r="P199" s="30" t="s">
        <v>1529</v>
      </c>
      <c r="Q199" s="30" t="s">
        <v>30</v>
      </c>
      <c r="R199" s="31" t="s">
        <v>110</v>
      </c>
      <c r="S199" s="32">
        <v>429200</v>
      </c>
      <c r="T199" s="48" t="s">
        <v>31</v>
      </c>
      <c r="U199" s="33">
        <v>0.21392822</v>
      </c>
      <c r="V199" s="33">
        <v>-0.78607177734375</v>
      </c>
      <c r="W199" s="34">
        <v>0</v>
      </c>
      <c r="X199" s="35">
        <v>0</v>
      </c>
    </row>
    <row r="200" spans="1:24" x14ac:dyDescent="0.25">
      <c r="A200" s="30" t="s">
        <v>1423</v>
      </c>
      <c r="B200" s="30" t="s">
        <v>811</v>
      </c>
      <c r="C200" s="30" t="s">
        <v>778</v>
      </c>
      <c r="D200" s="30" t="s">
        <v>1456</v>
      </c>
      <c r="E200" s="30" t="s">
        <v>1457</v>
      </c>
      <c r="F200" s="23" t="str">
        <f>HYPERLINK("https://mapwv.gov/flood/map/?wkid=102100&amp;x=-9110805.172175005&amp;y=4637068.144508944&amp;l=13&amp;v=2","FT")</f>
        <v>FT</v>
      </c>
      <c r="G200" s="31" t="s">
        <v>32</v>
      </c>
      <c r="H200" s="31" t="s">
        <v>25</v>
      </c>
      <c r="I200" s="30" t="s">
        <v>1504</v>
      </c>
      <c r="J200" s="31" t="s">
        <v>39</v>
      </c>
      <c r="K200" s="31" t="s">
        <v>91</v>
      </c>
      <c r="L200" s="31" t="s">
        <v>50</v>
      </c>
      <c r="M200" s="30" t="s">
        <v>66</v>
      </c>
      <c r="N200" s="2" t="s">
        <v>103</v>
      </c>
      <c r="O200" s="31" t="s">
        <v>105</v>
      </c>
      <c r="P200" s="30" t="s">
        <v>1530</v>
      </c>
      <c r="Q200" s="30" t="s">
        <v>30</v>
      </c>
      <c r="R200" s="31" t="s">
        <v>110</v>
      </c>
      <c r="S200" s="32">
        <v>386100</v>
      </c>
      <c r="T200" s="48" t="s">
        <v>31</v>
      </c>
      <c r="U200" s="33">
        <v>3.1203612999999999</v>
      </c>
      <c r="V200" s="33">
        <v>2.120361328125</v>
      </c>
      <c r="W200" s="34">
        <v>0.11</v>
      </c>
      <c r="X200" s="35">
        <v>42471</v>
      </c>
    </row>
    <row r="201" spans="1:24" x14ac:dyDescent="0.25">
      <c r="A201" s="30" t="s">
        <v>1424</v>
      </c>
      <c r="B201" s="30" t="s">
        <v>811</v>
      </c>
      <c r="C201" s="30" t="s">
        <v>1458</v>
      </c>
      <c r="D201" s="30" t="s">
        <v>1459</v>
      </c>
      <c r="E201" s="30" t="s">
        <v>1460</v>
      </c>
      <c r="F201" s="23" t="str">
        <f>HYPERLINK("https://mapwv.gov/flood/map/?wkid=102100&amp;x=-9107563.584447984&amp;y=4640184.116243808&amp;l=13&amp;v=2","FT")</f>
        <v>FT</v>
      </c>
      <c r="G201" s="31" t="s">
        <v>32</v>
      </c>
      <c r="H201" s="31" t="s">
        <v>25</v>
      </c>
      <c r="I201" s="30" t="s">
        <v>1505</v>
      </c>
      <c r="J201" s="31" t="s">
        <v>26</v>
      </c>
      <c r="K201" s="31" t="s">
        <v>127</v>
      </c>
      <c r="L201" s="31" t="s">
        <v>57</v>
      </c>
      <c r="M201" s="30" t="s">
        <v>58</v>
      </c>
      <c r="N201" s="2" t="s">
        <v>42</v>
      </c>
      <c r="O201" s="31" t="s">
        <v>106</v>
      </c>
      <c r="P201" s="30" t="s">
        <v>1531</v>
      </c>
      <c r="Q201" s="30" t="s">
        <v>30</v>
      </c>
      <c r="R201" s="31" t="s">
        <v>110</v>
      </c>
      <c r="S201" s="32">
        <v>366500</v>
      </c>
      <c r="T201" s="48" t="s">
        <v>31</v>
      </c>
      <c r="U201" s="33">
        <v>0</v>
      </c>
      <c r="V201" s="33">
        <v>-1</v>
      </c>
      <c r="W201" s="34">
        <v>0</v>
      </c>
      <c r="X201" s="35">
        <v>0</v>
      </c>
    </row>
    <row r="202" spans="1:24" x14ac:dyDescent="0.25">
      <c r="A202" s="30" t="s">
        <v>1425</v>
      </c>
      <c r="B202" s="30" t="s">
        <v>811</v>
      </c>
      <c r="C202" s="30" t="s">
        <v>1458</v>
      </c>
      <c r="D202" s="30" t="s">
        <v>1459</v>
      </c>
      <c r="E202" s="30" t="s">
        <v>1461</v>
      </c>
      <c r="F202" s="23" t="str">
        <f>HYPERLINK("https://mapwv.gov/flood/map/?wkid=102100&amp;x=-9107550.455983832&amp;y=4640202.739641828&amp;l=13&amp;v=2","FT")</f>
        <v>FT</v>
      </c>
      <c r="G202" s="31" t="s">
        <v>32</v>
      </c>
      <c r="H202" s="31" t="s">
        <v>25</v>
      </c>
      <c r="I202" s="30" t="s">
        <v>1505</v>
      </c>
      <c r="J202" s="31" t="s">
        <v>26</v>
      </c>
      <c r="K202" s="31" t="s">
        <v>127</v>
      </c>
      <c r="L202" s="31" t="s">
        <v>57</v>
      </c>
      <c r="M202" s="30" t="s">
        <v>58</v>
      </c>
      <c r="N202" s="2" t="s">
        <v>42</v>
      </c>
      <c r="O202" s="31" t="s">
        <v>106</v>
      </c>
      <c r="P202" s="30" t="s">
        <v>1532</v>
      </c>
      <c r="Q202" s="30" t="s">
        <v>30</v>
      </c>
      <c r="R202" s="31" t="s">
        <v>110</v>
      </c>
      <c r="S202" s="32">
        <v>333200</v>
      </c>
      <c r="T202" s="48" t="s">
        <v>31</v>
      </c>
      <c r="U202" s="33">
        <v>0</v>
      </c>
      <c r="V202" s="33">
        <v>-1</v>
      </c>
      <c r="W202" s="34">
        <v>0</v>
      </c>
      <c r="X202" s="35">
        <v>0</v>
      </c>
    </row>
    <row r="203" spans="1:24" x14ac:dyDescent="0.25">
      <c r="A203" s="30" t="s">
        <v>1426</v>
      </c>
      <c r="B203" s="30" t="s">
        <v>811</v>
      </c>
      <c r="C203" s="30" t="s">
        <v>778</v>
      </c>
      <c r="D203" s="30" t="s">
        <v>1462</v>
      </c>
      <c r="E203" s="30" t="s">
        <v>1463</v>
      </c>
      <c r="F203" s="23" t="str">
        <f>HYPERLINK("https://mapwv.gov/flood/map/?wkid=102100&amp;x=-9110366.18587813&amp;y=4636315.310109101&amp;l=13&amp;v=2","FT")</f>
        <v>FT</v>
      </c>
      <c r="G203" s="31" t="s">
        <v>32</v>
      </c>
      <c r="H203" s="31" t="s">
        <v>25</v>
      </c>
      <c r="I203" s="30" t="s">
        <v>1506</v>
      </c>
      <c r="J203" s="31" t="s">
        <v>39</v>
      </c>
      <c r="K203" s="31" t="s">
        <v>135</v>
      </c>
      <c r="L203" s="31" t="s">
        <v>27</v>
      </c>
      <c r="M203" s="30" t="s">
        <v>58</v>
      </c>
      <c r="N203" s="2" t="s">
        <v>42</v>
      </c>
      <c r="O203" s="31" t="s">
        <v>106</v>
      </c>
      <c r="P203" s="30" t="s">
        <v>1533</v>
      </c>
      <c r="Q203" s="30" t="s">
        <v>43</v>
      </c>
      <c r="R203" s="31" t="s">
        <v>111</v>
      </c>
      <c r="S203" s="32">
        <v>322500</v>
      </c>
      <c r="T203" s="48" t="s">
        <v>44</v>
      </c>
      <c r="U203" s="33">
        <v>0</v>
      </c>
      <c r="V203" s="33">
        <v>-4</v>
      </c>
      <c r="W203" s="34">
        <v>0</v>
      </c>
      <c r="X203" s="35">
        <v>0</v>
      </c>
    </row>
    <row r="204" spans="1:24" x14ac:dyDescent="0.25">
      <c r="A204" s="30" t="s">
        <v>1427</v>
      </c>
      <c r="B204" s="30" t="s">
        <v>811</v>
      </c>
      <c r="C204" s="30" t="s">
        <v>778</v>
      </c>
      <c r="D204" s="30" t="s">
        <v>1464</v>
      </c>
      <c r="E204" s="30" t="s">
        <v>1465</v>
      </c>
      <c r="F204" s="23" t="str">
        <f>HYPERLINK("https://mapwv.gov/flood/map/?wkid=102100&amp;x=-9110885.890939653&amp;y=4637734.888155593&amp;l=13&amp;v=2","FT")</f>
        <v>FT</v>
      </c>
      <c r="G204" s="31" t="s">
        <v>53</v>
      </c>
      <c r="H204" s="31" t="s">
        <v>25</v>
      </c>
      <c r="I204" s="30"/>
      <c r="J204" s="31" t="s">
        <v>36</v>
      </c>
      <c r="K204" s="31" t="s">
        <v>83</v>
      </c>
      <c r="L204" s="31"/>
      <c r="M204" s="30" t="s">
        <v>55</v>
      </c>
      <c r="N204" s="2" t="s">
        <v>35</v>
      </c>
      <c r="O204" s="31" t="s">
        <v>105</v>
      </c>
      <c r="P204" s="30" t="s">
        <v>1534</v>
      </c>
      <c r="Q204" s="30" t="s">
        <v>30</v>
      </c>
      <c r="R204" s="31" t="s">
        <v>110</v>
      </c>
      <c r="S204" s="32">
        <v>310443</v>
      </c>
      <c r="T204" s="48" t="s">
        <v>112</v>
      </c>
      <c r="U204" s="33">
        <v>1.0012817000000001</v>
      </c>
      <c r="V204" s="33">
        <v>1.28173828125E-3</v>
      </c>
      <c r="W204" s="34">
        <v>2.01153564453125E-2</v>
      </c>
      <c r="X204" s="35">
        <v>6244.6716009521397</v>
      </c>
    </row>
    <row r="205" spans="1:24" x14ac:dyDescent="0.25">
      <c r="A205" s="30" t="s">
        <v>1428</v>
      </c>
      <c r="B205" s="30" t="s">
        <v>811</v>
      </c>
      <c r="C205" s="30" t="s">
        <v>778</v>
      </c>
      <c r="D205" s="30" t="s">
        <v>1466</v>
      </c>
      <c r="E205" s="30" t="s">
        <v>1467</v>
      </c>
      <c r="F205" s="23" t="s">
        <v>24</v>
      </c>
      <c r="G205" s="31" t="s">
        <v>32</v>
      </c>
      <c r="H205" s="31" t="s">
        <v>25</v>
      </c>
      <c r="I205" s="30" t="s">
        <v>1507</v>
      </c>
      <c r="J205" s="31" t="s">
        <v>36</v>
      </c>
      <c r="K205" s="31" t="s">
        <v>83</v>
      </c>
      <c r="L205" s="31"/>
      <c r="M205" s="30" t="s">
        <v>66</v>
      </c>
      <c r="N205" s="2" t="s">
        <v>103</v>
      </c>
      <c r="O205" s="31" t="s">
        <v>105</v>
      </c>
      <c r="P205" s="30" t="s">
        <v>1535</v>
      </c>
      <c r="Q205" s="30" t="s">
        <v>30</v>
      </c>
      <c r="R205" s="31" t="s">
        <v>110</v>
      </c>
      <c r="S205" s="32">
        <v>306770</v>
      </c>
      <c r="T205" s="48" t="s">
        <v>31</v>
      </c>
      <c r="U205" s="33">
        <v>5.5561522999999999</v>
      </c>
      <c r="V205" s="33">
        <v>4.55615234375</v>
      </c>
      <c r="W205" s="34">
        <v>0.12</v>
      </c>
      <c r="X205" s="35">
        <v>36812.400000000001</v>
      </c>
    </row>
    <row r="206" spans="1:24" x14ac:dyDescent="0.25">
      <c r="A206" s="30" t="s">
        <v>1429</v>
      </c>
      <c r="B206" s="30" t="s">
        <v>811</v>
      </c>
      <c r="C206" s="30" t="s">
        <v>778</v>
      </c>
      <c r="D206" s="30" t="s">
        <v>1468</v>
      </c>
      <c r="E206" s="30" t="s">
        <v>1469</v>
      </c>
      <c r="F206" s="23" t="str">
        <f>HYPERLINK("https://mapwv.gov/flood/map/?wkid=102100&amp;x=-9107723.068876814&amp;y=4634680.075390082&amp;l=13&amp;v=2","FT")</f>
        <v>FT</v>
      </c>
      <c r="G206" s="31" t="s">
        <v>32</v>
      </c>
      <c r="H206" s="31" t="s">
        <v>25</v>
      </c>
      <c r="I206" s="30" t="s">
        <v>1508</v>
      </c>
      <c r="J206" s="31" t="s">
        <v>26</v>
      </c>
      <c r="K206" s="31" t="s">
        <v>1005</v>
      </c>
      <c r="L206" s="31" t="s">
        <v>57</v>
      </c>
      <c r="M206" s="30" t="s">
        <v>41</v>
      </c>
      <c r="N206" s="2" t="s">
        <v>42</v>
      </c>
      <c r="O206" s="31" t="s">
        <v>105</v>
      </c>
      <c r="P206" s="30" t="s">
        <v>1536</v>
      </c>
      <c r="Q206" s="30" t="s">
        <v>43</v>
      </c>
      <c r="R206" s="31" t="s">
        <v>111</v>
      </c>
      <c r="S206" s="32">
        <v>276100</v>
      </c>
      <c r="T206" s="48" t="s">
        <v>44</v>
      </c>
      <c r="U206" s="33">
        <v>4.3141480000000003</v>
      </c>
      <c r="V206" s="33">
        <v>0.31414794921875</v>
      </c>
      <c r="W206" s="34">
        <v>0.27884887695312499</v>
      </c>
      <c r="X206" s="35">
        <v>76990.174926757798</v>
      </c>
    </row>
    <row r="207" spans="1:24" x14ac:dyDescent="0.25">
      <c r="A207" s="30" t="s">
        <v>1430</v>
      </c>
      <c r="B207" s="30" t="s">
        <v>811</v>
      </c>
      <c r="C207" s="30" t="s">
        <v>778</v>
      </c>
      <c r="D207" s="30" t="s">
        <v>1470</v>
      </c>
      <c r="E207" s="30" t="s">
        <v>1471</v>
      </c>
      <c r="F207" s="23" t="s">
        <v>24</v>
      </c>
      <c r="G207" s="31" t="s">
        <v>53</v>
      </c>
      <c r="H207" s="31" t="s">
        <v>25</v>
      </c>
      <c r="I207" s="30" t="s">
        <v>1509</v>
      </c>
      <c r="J207" s="31" t="s">
        <v>26</v>
      </c>
      <c r="K207" s="31" t="s">
        <v>85</v>
      </c>
      <c r="L207" s="31" t="s">
        <v>367</v>
      </c>
      <c r="M207" s="30" t="s">
        <v>138</v>
      </c>
      <c r="N207" s="2" t="s">
        <v>35</v>
      </c>
      <c r="O207" s="31" t="s">
        <v>105</v>
      </c>
      <c r="P207" s="30" t="s">
        <v>1537</v>
      </c>
      <c r="Q207" s="30" t="s">
        <v>30</v>
      </c>
      <c r="R207" s="31" t="s">
        <v>110</v>
      </c>
      <c r="S207" s="32">
        <v>263000</v>
      </c>
      <c r="T207" s="48" t="s">
        <v>44</v>
      </c>
      <c r="U207" s="33">
        <v>2.9874268000000002</v>
      </c>
      <c r="V207" s="33">
        <v>1.9874267578125</v>
      </c>
      <c r="W207" s="34">
        <v>0.11962280273437501</v>
      </c>
      <c r="X207" s="35">
        <v>31460.7971191406</v>
      </c>
    </row>
    <row r="208" spans="1:24" x14ac:dyDescent="0.25">
      <c r="A208" s="30" t="s">
        <v>1431</v>
      </c>
      <c r="B208" s="30" t="s">
        <v>811</v>
      </c>
      <c r="C208" s="30" t="s">
        <v>778</v>
      </c>
      <c r="D208" s="30" t="s">
        <v>1472</v>
      </c>
      <c r="E208" s="30" t="s">
        <v>1473</v>
      </c>
      <c r="F208" s="23" t="s">
        <v>24</v>
      </c>
      <c r="G208" s="31" t="s">
        <v>32</v>
      </c>
      <c r="H208" s="31" t="s">
        <v>25</v>
      </c>
      <c r="I208" s="30" t="s">
        <v>1510</v>
      </c>
      <c r="J208" s="31" t="s">
        <v>26</v>
      </c>
      <c r="K208" s="31" t="s">
        <v>375</v>
      </c>
      <c r="L208" s="31" t="s">
        <v>57</v>
      </c>
      <c r="M208" s="30" t="s">
        <v>41</v>
      </c>
      <c r="N208" s="2" t="s">
        <v>42</v>
      </c>
      <c r="O208" s="31" t="s">
        <v>106</v>
      </c>
      <c r="P208" s="30" t="s">
        <v>1538</v>
      </c>
      <c r="Q208" s="30" t="s">
        <v>436</v>
      </c>
      <c r="R208" s="31" t="s">
        <v>111</v>
      </c>
      <c r="S208" s="32">
        <v>249700</v>
      </c>
      <c r="T208" s="48" t="s">
        <v>44</v>
      </c>
      <c r="U208" s="33">
        <v>6.5028686999999996</v>
      </c>
      <c r="V208" s="33">
        <v>2.50286865234375</v>
      </c>
      <c r="W208" s="34">
        <v>0.16011474609375001</v>
      </c>
      <c r="X208" s="35">
        <v>39980.652099609302</v>
      </c>
    </row>
    <row r="209" spans="1:24" x14ac:dyDescent="0.25">
      <c r="A209" s="30" t="s">
        <v>1432</v>
      </c>
      <c r="B209" s="30" t="s">
        <v>811</v>
      </c>
      <c r="C209" s="30" t="s">
        <v>778</v>
      </c>
      <c r="D209" s="30" t="s">
        <v>1474</v>
      </c>
      <c r="E209" s="30" t="s">
        <v>1475</v>
      </c>
      <c r="F209" s="23" t="s">
        <v>24</v>
      </c>
      <c r="G209" s="31" t="s">
        <v>32</v>
      </c>
      <c r="H209" s="31" t="s">
        <v>25</v>
      </c>
      <c r="I209" s="30" t="s">
        <v>1511</v>
      </c>
      <c r="J209" s="31" t="s">
        <v>39</v>
      </c>
      <c r="K209" s="31" t="s">
        <v>125</v>
      </c>
      <c r="L209" s="31" t="s">
        <v>27</v>
      </c>
      <c r="M209" s="30" t="s">
        <v>41</v>
      </c>
      <c r="N209" s="2" t="s">
        <v>42</v>
      </c>
      <c r="O209" s="31" t="s">
        <v>105</v>
      </c>
      <c r="P209" s="30" t="s">
        <v>1539</v>
      </c>
      <c r="Q209" s="30" t="s">
        <v>43</v>
      </c>
      <c r="R209" s="31" t="s">
        <v>111</v>
      </c>
      <c r="S209" s="32">
        <v>244600</v>
      </c>
      <c r="T209" s="48" t="s">
        <v>44</v>
      </c>
      <c r="U209" s="33">
        <v>1.1781615999999999</v>
      </c>
      <c r="V209" s="33">
        <v>-2.82183837890625</v>
      </c>
      <c r="W209" s="34">
        <v>2.4942626953125002E-2</v>
      </c>
      <c r="X209" s="35">
        <v>6100.9665527343705</v>
      </c>
    </row>
    <row r="210" spans="1:24" x14ac:dyDescent="0.25">
      <c r="A210" s="30" t="s">
        <v>1433</v>
      </c>
      <c r="B210" s="30" t="s">
        <v>811</v>
      </c>
      <c r="C210" s="30" t="s">
        <v>778</v>
      </c>
      <c r="D210" s="30" t="s">
        <v>1476</v>
      </c>
      <c r="E210" s="30" t="s">
        <v>1477</v>
      </c>
      <c r="F210" s="23" t="str">
        <f>HYPERLINK("https://mapwv.gov/flood/map/?wkid=102100&amp;x=-9110909.431895016&amp;y=4637901.070803062&amp;l=13&amp;v=2","FT")</f>
        <v>FT</v>
      </c>
      <c r="G210" s="31" t="s">
        <v>53</v>
      </c>
      <c r="H210" s="31" t="s">
        <v>25</v>
      </c>
      <c r="I210" s="30" t="s">
        <v>1512</v>
      </c>
      <c r="J210" s="31" t="s">
        <v>26</v>
      </c>
      <c r="K210" s="31" t="s">
        <v>132</v>
      </c>
      <c r="L210" s="31" t="s">
        <v>57</v>
      </c>
      <c r="M210" s="30" t="s">
        <v>58</v>
      </c>
      <c r="N210" s="2" t="s">
        <v>42</v>
      </c>
      <c r="O210" s="31" t="s">
        <v>106</v>
      </c>
      <c r="P210" s="30" t="s">
        <v>1540</v>
      </c>
      <c r="Q210" s="30" t="s">
        <v>43</v>
      </c>
      <c r="R210" s="31" t="s">
        <v>111</v>
      </c>
      <c r="S210" s="32">
        <v>237700</v>
      </c>
      <c r="T210" s="48" t="s">
        <v>44</v>
      </c>
      <c r="U210" s="33">
        <v>0.39678954999999999</v>
      </c>
      <c r="V210" s="33">
        <v>-3.60321044921875</v>
      </c>
      <c r="W210" s="34">
        <v>0</v>
      </c>
      <c r="X210" s="35">
        <v>0</v>
      </c>
    </row>
    <row r="211" spans="1:24" x14ac:dyDescent="0.25">
      <c r="A211" s="30" t="s">
        <v>1434</v>
      </c>
      <c r="B211" s="30" t="s">
        <v>811</v>
      </c>
      <c r="C211" s="30" t="s">
        <v>1478</v>
      </c>
      <c r="D211" s="30" t="s">
        <v>1479</v>
      </c>
      <c r="E211" s="30" t="s">
        <v>1480</v>
      </c>
      <c r="F211" s="23" t="str">
        <f>HYPERLINK("https://mapwv.gov/flood/map/?wkid=102100&amp;x=-9108514.227295874&amp;y=4637808.187280588&amp;l=13&amp;v=2","FT")</f>
        <v>FT</v>
      </c>
      <c r="G211" s="31" t="s">
        <v>38</v>
      </c>
      <c r="H211" s="31" t="s">
        <v>25</v>
      </c>
      <c r="I211" s="30" t="s">
        <v>1513</v>
      </c>
      <c r="J211" s="31" t="s">
        <v>26</v>
      </c>
      <c r="K211" s="31" t="s">
        <v>93</v>
      </c>
      <c r="L211" s="31" t="s">
        <v>57</v>
      </c>
      <c r="M211" s="30" t="s">
        <v>41</v>
      </c>
      <c r="N211" s="2" t="s">
        <v>42</v>
      </c>
      <c r="O211" s="31" t="s">
        <v>106</v>
      </c>
      <c r="P211" s="30" t="s">
        <v>1541</v>
      </c>
      <c r="Q211" s="30" t="s">
        <v>436</v>
      </c>
      <c r="R211" s="31" t="s">
        <v>111</v>
      </c>
      <c r="S211" s="32">
        <v>228800</v>
      </c>
      <c r="T211" s="48" t="s">
        <v>44</v>
      </c>
      <c r="U211" s="33">
        <v>0</v>
      </c>
      <c r="V211" s="33">
        <v>-4</v>
      </c>
      <c r="W211" s="34">
        <v>0</v>
      </c>
      <c r="X211" s="35">
        <v>0</v>
      </c>
    </row>
    <row r="212" spans="1:24" x14ac:dyDescent="0.25">
      <c r="A212" s="30" t="s">
        <v>1435</v>
      </c>
      <c r="B212" s="30" t="s">
        <v>811</v>
      </c>
      <c r="C212" s="30" t="s">
        <v>778</v>
      </c>
      <c r="D212" s="30" t="s">
        <v>1481</v>
      </c>
      <c r="E212" s="30" t="s">
        <v>1482</v>
      </c>
      <c r="F212" s="23" t="s">
        <v>24</v>
      </c>
      <c r="G212" s="31" t="s">
        <v>32</v>
      </c>
      <c r="H212" s="31" t="s">
        <v>25</v>
      </c>
      <c r="I212" s="30" t="s">
        <v>1514</v>
      </c>
      <c r="J212" s="31" t="s">
        <v>39</v>
      </c>
      <c r="K212" s="31" t="s">
        <v>1523</v>
      </c>
      <c r="L212" s="31" t="s">
        <v>50</v>
      </c>
      <c r="M212" s="30" t="s">
        <v>41</v>
      </c>
      <c r="N212" s="2" t="s">
        <v>42</v>
      </c>
      <c r="O212" s="31" t="s">
        <v>106</v>
      </c>
      <c r="P212" s="30" t="s">
        <v>1542</v>
      </c>
      <c r="Q212" s="30" t="s">
        <v>43</v>
      </c>
      <c r="R212" s="31" t="s">
        <v>111</v>
      </c>
      <c r="S212" s="32">
        <v>225100</v>
      </c>
      <c r="T212" s="48" t="s">
        <v>44</v>
      </c>
      <c r="U212" s="33">
        <v>2.6236571999999998</v>
      </c>
      <c r="V212" s="33">
        <v>-1.3763427734375</v>
      </c>
      <c r="W212" s="34">
        <v>0.11741943359375</v>
      </c>
      <c r="X212" s="35">
        <v>26431.1145019531</v>
      </c>
    </row>
    <row r="213" spans="1:24" x14ac:dyDescent="0.25">
      <c r="A213" s="30" t="s">
        <v>1436</v>
      </c>
      <c r="B213" s="30" t="s">
        <v>811</v>
      </c>
      <c r="C213" s="30" t="s">
        <v>778</v>
      </c>
      <c r="D213" s="30" t="s">
        <v>1483</v>
      </c>
      <c r="E213" s="30" t="s">
        <v>1484</v>
      </c>
      <c r="F213" s="23" t="str">
        <f>HYPERLINK("https://mapwv.gov/flood/map/?wkid=102100&amp;x=-9110585.55418176&amp;y=4636554.484093165&amp;l=13&amp;v=2","FT")</f>
        <v>FT</v>
      </c>
      <c r="G213" s="31" t="s">
        <v>32</v>
      </c>
      <c r="H213" s="31" t="s">
        <v>25</v>
      </c>
      <c r="I213" s="30" t="s">
        <v>1515</v>
      </c>
      <c r="J213" s="31" t="s">
        <v>39</v>
      </c>
      <c r="K213" s="31" t="s">
        <v>136</v>
      </c>
      <c r="L213" s="31" t="s">
        <v>50</v>
      </c>
      <c r="M213" s="30" t="s">
        <v>138</v>
      </c>
      <c r="N213" s="2" t="s">
        <v>35</v>
      </c>
      <c r="O213" s="31" t="s">
        <v>105</v>
      </c>
      <c r="P213" s="30" t="s">
        <v>1543</v>
      </c>
      <c r="Q213" s="30" t="s">
        <v>43</v>
      </c>
      <c r="R213" s="31" t="s">
        <v>111</v>
      </c>
      <c r="S213" s="32">
        <v>223000</v>
      </c>
      <c r="T213" s="48" t="s">
        <v>44</v>
      </c>
      <c r="U213" s="33">
        <v>4.1824339999999998</v>
      </c>
      <c r="V213" s="33">
        <v>0.18243408203125</v>
      </c>
      <c r="W213" s="34">
        <v>1.6419067382812499E-2</v>
      </c>
      <c r="X213" s="35">
        <v>3661.4520263671802</v>
      </c>
    </row>
    <row r="214" spans="1:24" x14ac:dyDescent="0.25">
      <c r="A214" s="30" t="s">
        <v>1437</v>
      </c>
      <c r="B214" s="30" t="s">
        <v>811</v>
      </c>
      <c r="C214" s="30" t="s">
        <v>778</v>
      </c>
      <c r="D214" s="30" t="s">
        <v>1450</v>
      </c>
      <c r="E214" s="30" t="s">
        <v>1485</v>
      </c>
      <c r="F214" s="23" t="s">
        <v>24</v>
      </c>
      <c r="G214" s="31" t="s">
        <v>32</v>
      </c>
      <c r="H214" s="31" t="s">
        <v>25</v>
      </c>
      <c r="I214" s="30" t="s">
        <v>1501</v>
      </c>
      <c r="J214" s="31" t="s">
        <v>39</v>
      </c>
      <c r="K214" s="31" t="s">
        <v>126</v>
      </c>
      <c r="L214" s="31" t="s">
        <v>57</v>
      </c>
      <c r="M214" s="30" t="s">
        <v>58</v>
      </c>
      <c r="N214" s="2" t="s">
        <v>42</v>
      </c>
      <c r="O214" s="31" t="s">
        <v>106</v>
      </c>
      <c r="P214" s="30" t="s">
        <v>1544</v>
      </c>
      <c r="Q214" s="30" t="s">
        <v>43</v>
      </c>
      <c r="R214" s="31" t="s">
        <v>111</v>
      </c>
      <c r="S214" s="32">
        <v>220300</v>
      </c>
      <c r="T214" s="48" t="s">
        <v>31</v>
      </c>
      <c r="U214" s="33">
        <v>3.9626465</v>
      </c>
      <c r="V214" s="33">
        <v>-3.7353515625E-2</v>
      </c>
      <c r="W214" s="34">
        <v>0.11850585937499999</v>
      </c>
      <c r="X214" s="35">
        <v>26106.8408203125</v>
      </c>
    </row>
    <row r="215" spans="1:24" x14ac:dyDescent="0.25">
      <c r="A215" s="30" t="s">
        <v>1438</v>
      </c>
      <c r="B215" s="30" t="s">
        <v>811</v>
      </c>
      <c r="C215" s="30" t="s">
        <v>778</v>
      </c>
      <c r="D215" s="30" t="s">
        <v>1486</v>
      </c>
      <c r="E215" s="30" t="s">
        <v>1487</v>
      </c>
      <c r="F215" s="23" t="s">
        <v>24</v>
      </c>
      <c r="G215" s="31" t="s">
        <v>32</v>
      </c>
      <c r="H215" s="31" t="s">
        <v>25</v>
      </c>
      <c r="I215" s="30" t="s">
        <v>1516</v>
      </c>
      <c r="J215" s="31" t="s">
        <v>26</v>
      </c>
      <c r="K215" s="31" t="s">
        <v>98</v>
      </c>
      <c r="L215" s="31" t="s">
        <v>45</v>
      </c>
      <c r="M215" s="30" t="s">
        <v>41</v>
      </c>
      <c r="N215" s="2" t="s">
        <v>42</v>
      </c>
      <c r="O215" s="31" t="s">
        <v>105</v>
      </c>
      <c r="P215" s="30" t="s">
        <v>1545</v>
      </c>
      <c r="Q215" s="30" t="s">
        <v>436</v>
      </c>
      <c r="R215" s="31" t="s">
        <v>111</v>
      </c>
      <c r="S215" s="32">
        <v>218900</v>
      </c>
      <c r="T215" s="48" t="s">
        <v>44</v>
      </c>
      <c r="U215" s="33">
        <v>0</v>
      </c>
      <c r="V215" s="33">
        <v>-4</v>
      </c>
      <c r="W215" s="34">
        <v>0</v>
      </c>
      <c r="X215" s="35">
        <v>0</v>
      </c>
    </row>
    <row r="216" spans="1:24" x14ac:dyDescent="0.25">
      <c r="A216" s="30" t="s">
        <v>1439</v>
      </c>
      <c r="B216" s="30" t="s">
        <v>811</v>
      </c>
      <c r="C216" s="30" t="s">
        <v>778</v>
      </c>
      <c r="D216" s="30" t="s">
        <v>1488</v>
      </c>
      <c r="E216" s="30" t="s">
        <v>1489</v>
      </c>
      <c r="F216" s="23" t="s">
        <v>24</v>
      </c>
      <c r="G216" s="31" t="s">
        <v>32</v>
      </c>
      <c r="H216" s="31" t="s">
        <v>25</v>
      </c>
      <c r="I216" s="30" t="s">
        <v>1517</v>
      </c>
      <c r="J216" s="31" t="s">
        <v>26</v>
      </c>
      <c r="K216" s="31" t="s">
        <v>84</v>
      </c>
      <c r="L216" s="31" t="s">
        <v>27</v>
      </c>
      <c r="M216" s="30" t="s">
        <v>46</v>
      </c>
      <c r="N216" s="2" t="s">
        <v>35</v>
      </c>
      <c r="O216" s="31" t="s">
        <v>105</v>
      </c>
      <c r="P216" s="30" t="s">
        <v>1546</v>
      </c>
      <c r="Q216" s="30" t="s">
        <v>30</v>
      </c>
      <c r="R216" s="31" t="s">
        <v>110</v>
      </c>
      <c r="S216" s="32">
        <v>216739</v>
      </c>
      <c r="T216" s="48" t="s">
        <v>44</v>
      </c>
      <c r="U216" s="33">
        <v>0.78802490000000003</v>
      </c>
      <c r="V216" s="33">
        <v>-0.21197509765625</v>
      </c>
      <c r="W216" s="34">
        <v>0</v>
      </c>
      <c r="X216" s="35">
        <v>0</v>
      </c>
    </row>
    <row r="217" spans="1:24" x14ac:dyDescent="0.25">
      <c r="A217" s="30" t="s">
        <v>1440</v>
      </c>
      <c r="B217" s="30" t="s">
        <v>811</v>
      </c>
      <c r="C217" s="30" t="s">
        <v>778</v>
      </c>
      <c r="D217" s="30" t="s">
        <v>1490</v>
      </c>
      <c r="E217" s="30" t="s">
        <v>1491</v>
      </c>
      <c r="F217" s="23" t="str">
        <f>HYPERLINK("https://mapwv.gov/flood/map/?wkid=102100&amp;x=-9109913.267613031&amp;y=4635391.091032282&amp;l=13&amp;v=2","FT")</f>
        <v>FT</v>
      </c>
      <c r="G217" s="31" t="s">
        <v>32</v>
      </c>
      <c r="H217" s="31" t="s">
        <v>25</v>
      </c>
      <c r="I217" s="30" t="s">
        <v>1518</v>
      </c>
      <c r="J217" s="31" t="s">
        <v>39</v>
      </c>
      <c r="K217" s="31" t="s">
        <v>136</v>
      </c>
      <c r="L217" s="31" t="s">
        <v>27</v>
      </c>
      <c r="M217" s="30" t="s">
        <v>41</v>
      </c>
      <c r="N217" s="2" t="s">
        <v>42</v>
      </c>
      <c r="O217" s="31" t="s">
        <v>105</v>
      </c>
      <c r="P217" s="30" t="s">
        <v>1547</v>
      </c>
      <c r="Q217" s="30" t="s">
        <v>43</v>
      </c>
      <c r="R217" s="31" t="s">
        <v>111</v>
      </c>
      <c r="S217" s="32">
        <v>216200</v>
      </c>
      <c r="T217" s="48" t="s">
        <v>44</v>
      </c>
      <c r="U217" s="33">
        <v>2.3757324</v>
      </c>
      <c r="V217" s="33">
        <v>-1.624267578125</v>
      </c>
      <c r="W217" s="34">
        <v>0.15878662109375</v>
      </c>
      <c r="X217" s="35">
        <v>34329.667480468699</v>
      </c>
    </row>
    <row r="218" spans="1:24" x14ac:dyDescent="0.25">
      <c r="A218" s="30" t="s">
        <v>1441</v>
      </c>
      <c r="B218" s="30" t="s">
        <v>811</v>
      </c>
      <c r="C218" s="30" t="s">
        <v>778</v>
      </c>
      <c r="D218" s="30" t="s">
        <v>1492</v>
      </c>
      <c r="E218" s="30" t="s">
        <v>1493</v>
      </c>
      <c r="F218" s="23" t="str">
        <f>HYPERLINK("https://mapwv.gov/flood/map/?wkid=102100&amp;x=-9110547.807968823&amp;y=4636003.379218167&amp;l=13&amp;v=2","FT")</f>
        <v>FT</v>
      </c>
      <c r="G218" s="31" t="s">
        <v>32</v>
      </c>
      <c r="H218" s="31" t="s">
        <v>25</v>
      </c>
      <c r="I218" s="30" t="s">
        <v>1519</v>
      </c>
      <c r="J218" s="31" t="s">
        <v>39</v>
      </c>
      <c r="K218" s="31" t="s">
        <v>376</v>
      </c>
      <c r="L218" s="31" t="s">
        <v>27</v>
      </c>
      <c r="M218" s="30" t="s">
        <v>41</v>
      </c>
      <c r="N218" s="2" t="s">
        <v>42</v>
      </c>
      <c r="O218" s="31" t="s">
        <v>105</v>
      </c>
      <c r="P218" s="30" t="s">
        <v>678</v>
      </c>
      <c r="Q218" s="30" t="s">
        <v>436</v>
      </c>
      <c r="R218" s="31" t="s">
        <v>437</v>
      </c>
      <c r="S218" s="32">
        <v>213200</v>
      </c>
      <c r="T218" s="48" t="s">
        <v>44</v>
      </c>
      <c r="U218" s="33">
        <v>0</v>
      </c>
      <c r="V218" s="33">
        <v>-3</v>
      </c>
      <c r="W218" s="34">
        <v>0</v>
      </c>
      <c r="X218" s="35">
        <v>0</v>
      </c>
    </row>
    <row r="219" spans="1:24" x14ac:dyDescent="0.25">
      <c r="A219" s="30" t="s">
        <v>1442</v>
      </c>
      <c r="B219" s="30" t="s">
        <v>811</v>
      </c>
      <c r="C219" s="30" t="s">
        <v>778</v>
      </c>
      <c r="D219" s="30" t="s">
        <v>1494</v>
      </c>
      <c r="E219" s="30" t="s">
        <v>1495</v>
      </c>
      <c r="F219" s="23" t="str">
        <f>HYPERLINK("https://mapwv.gov/flood/map/?wkid=102100&amp;x=-9109748.97017469&amp;y=4635300.615954612&amp;l=13&amp;v=2","FT")</f>
        <v>FT</v>
      </c>
      <c r="G219" s="31" t="s">
        <v>32</v>
      </c>
      <c r="H219" s="31" t="s">
        <v>25</v>
      </c>
      <c r="I219" s="30" t="s">
        <v>1520</v>
      </c>
      <c r="J219" s="31" t="s">
        <v>39</v>
      </c>
      <c r="K219" s="31" t="s">
        <v>1524</v>
      </c>
      <c r="L219" s="31" t="s">
        <v>57</v>
      </c>
      <c r="M219" s="30" t="s">
        <v>41</v>
      </c>
      <c r="N219" s="2" t="s">
        <v>42</v>
      </c>
      <c r="O219" s="31" t="s">
        <v>105</v>
      </c>
      <c r="P219" s="30" t="s">
        <v>1548</v>
      </c>
      <c r="Q219" s="30" t="s">
        <v>43</v>
      </c>
      <c r="R219" s="31" t="s">
        <v>111</v>
      </c>
      <c r="S219" s="32">
        <v>210900</v>
      </c>
      <c r="T219" s="48" t="s">
        <v>44</v>
      </c>
      <c r="U219" s="33">
        <v>3.6239623999999999</v>
      </c>
      <c r="V219" s="33">
        <v>-0.37603759765625</v>
      </c>
      <c r="W219" s="34">
        <v>0.23367736816406201</v>
      </c>
      <c r="X219" s="35">
        <v>49282.556945800701</v>
      </c>
    </row>
    <row r="220" spans="1:24" x14ac:dyDescent="0.25">
      <c r="A220" s="30" t="s">
        <v>1443</v>
      </c>
      <c r="B220" s="30" t="s">
        <v>811</v>
      </c>
      <c r="C220" s="30" t="s">
        <v>778</v>
      </c>
      <c r="D220" s="30" t="s">
        <v>1496</v>
      </c>
      <c r="E220" s="30" t="s">
        <v>1497</v>
      </c>
      <c r="F220" s="23" t="str">
        <f>HYPERLINK("https://mapwv.gov/flood/map/?wkid=102100&amp;x=-9110754.831386197&amp;y=4637089.093576703&amp;l=13&amp;v=2","FT")</f>
        <v>FT</v>
      </c>
      <c r="G220" s="31" t="s">
        <v>32</v>
      </c>
      <c r="H220" s="31" t="s">
        <v>25</v>
      </c>
      <c r="I220" s="30" t="s">
        <v>1521</v>
      </c>
      <c r="J220" s="31" t="s">
        <v>39</v>
      </c>
      <c r="K220" s="31" t="s">
        <v>370</v>
      </c>
      <c r="L220" s="31" t="s">
        <v>367</v>
      </c>
      <c r="M220" s="30" t="s">
        <v>58</v>
      </c>
      <c r="N220" s="2" t="s">
        <v>42</v>
      </c>
      <c r="O220" s="31" t="s">
        <v>106</v>
      </c>
      <c r="P220" s="30" t="s">
        <v>1549</v>
      </c>
      <c r="Q220" s="30" t="s">
        <v>30</v>
      </c>
      <c r="R220" s="31" t="s">
        <v>110</v>
      </c>
      <c r="S220" s="32">
        <v>209400</v>
      </c>
      <c r="T220" s="48" t="s">
        <v>44</v>
      </c>
      <c r="U220" s="33">
        <v>1.2244873000000001</v>
      </c>
      <c r="V220" s="33">
        <v>0.2244873046875</v>
      </c>
      <c r="W220" s="34">
        <v>0.15224487304687501</v>
      </c>
      <c r="X220" s="35">
        <v>31880.0764160156</v>
      </c>
    </row>
    <row r="222" spans="1:24" x14ac:dyDescent="0.25">
      <c r="A222" s="3" t="s">
        <v>59</v>
      </c>
      <c r="B222" s="3" t="s">
        <v>1</v>
      </c>
      <c r="C222" s="3" t="s">
        <v>60</v>
      </c>
      <c r="D222" s="3" t="s">
        <v>61</v>
      </c>
      <c r="E222" s="3" t="s">
        <v>62</v>
      </c>
    </row>
    <row r="223" spans="1:24" x14ac:dyDescent="0.25">
      <c r="A223" s="3">
        <v>540223</v>
      </c>
      <c r="B223" s="1" t="s">
        <v>1626</v>
      </c>
      <c r="C223" s="3" t="s">
        <v>690</v>
      </c>
      <c r="D223" s="1" t="s">
        <v>63</v>
      </c>
      <c r="E223" s="3">
        <v>3</v>
      </c>
      <c r="S223" s="37" t="s">
        <v>1100</v>
      </c>
    </row>
    <row r="224" spans="1:24" x14ac:dyDescent="0.25">
      <c r="A224" s="30" t="s">
        <v>692</v>
      </c>
      <c r="B224" s="30" t="s">
        <v>777</v>
      </c>
      <c r="C224" s="30" t="s">
        <v>778</v>
      </c>
      <c r="D224" s="30" t="s">
        <v>779</v>
      </c>
      <c r="E224" s="30" t="s">
        <v>780</v>
      </c>
      <c r="F224" s="23" t="s">
        <v>24</v>
      </c>
      <c r="G224" s="31" t="s">
        <v>53</v>
      </c>
      <c r="H224" s="31" t="s">
        <v>25</v>
      </c>
      <c r="I224" s="30" t="s">
        <v>959</v>
      </c>
      <c r="J224" s="31" t="s">
        <v>26</v>
      </c>
      <c r="K224" s="31" t="s">
        <v>82</v>
      </c>
      <c r="L224" s="31" t="s">
        <v>37</v>
      </c>
      <c r="M224" s="30" t="s">
        <v>379</v>
      </c>
      <c r="N224" s="2" t="s">
        <v>35</v>
      </c>
      <c r="O224" s="31" t="s">
        <v>1006</v>
      </c>
      <c r="P224" s="30" t="s">
        <v>1014</v>
      </c>
      <c r="Q224" s="30" t="s">
        <v>43</v>
      </c>
      <c r="R224" s="31" t="s">
        <v>111</v>
      </c>
      <c r="S224" s="32">
        <v>98055300</v>
      </c>
      <c r="T224" s="48" t="s">
        <v>44</v>
      </c>
      <c r="U224" s="33">
        <v>1.4915160999999999</v>
      </c>
      <c r="V224" s="33">
        <v>-2.50848388671875</v>
      </c>
      <c r="W224" s="34">
        <v>0</v>
      </c>
      <c r="X224" s="35">
        <v>0</v>
      </c>
    </row>
    <row r="225" spans="1:24" x14ac:dyDescent="0.25">
      <c r="A225" s="30" t="s">
        <v>711</v>
      </c>
      <c r="B225" s="30" t="s">
        <v>777</v>
      </c>
      <c r="C225" s="30" t="s">
        <v>778</v>
      </c>
      <c r="D225" s="30" t="s">
        <v>821</v>
      </c>
      <c r="E225" s="30" t="s">
        <v>822</v>
      </c>
      <c r="F225" s="23" t="s">
        <v>24</v>
      </c>
      <c r="G225" s="31" t="s">
        <v>79</v>
      </c>
      <c r="H225" s="31" t="s">
        <v>25</v>
      </c>
      <c r="I225" s="30" t="s">
        <v>67</v>
      </c>
      <c r="J225" s="31" t="s">
        <v>26</v>
      </c>
      <c r="K225" s="31" t="s">
        <v>130</v>
      </c>
      <c r="L225" s="31"/>
      <c r="M225" s="30" t="s">
        <v>68</v>
      </c>
      <c r="N225" s="2" t="s">
        <v>101</v>
      </c>
      <c r="O225" s="31" t="s">
        <v>105</v>
      </c>
      <c r="P225" s="30" t="s">
        <v>1033</v>
      </c>
      <c r="Q225" s="30" t="s">
        <v>30</v>
      </c>
      <c r="R225" s="31" t="s">
        <v>110</v>
      </c>
      <c r="S225" s="32">
        <v>10905040</v>
      </c>
      <c r="T225" s="48" t="s">
        <v>69</v>
      </c>
      <c r="U225" s="33">
        <v>0</v>
      </c>
      <c r="V225" s="33">
        <v>-1</v>
      </c>
      <c r="W225" s="34">
        <v>0</v>
      </c>
      <c r="X225" s="35">
        <v>0</v>
      </c>
    </row>
    <row r="226" spans="1:24" x14ac:dyDescent="0.25">
      <c r="A226" s="30" t="s">
        <v>717</v>
      </c>
      <c r="B226" s="30" t="s">
        <v>777</v>
      </c>
      <c r="C226" s="30" t="s">
        <v>778</v>
      </c>
      <c r="D226" s="30" t="s">
        <v>835</v>
      </c>
      <c r="E226" s="30" t="s">
        <v>836</v>
      </c>
      <c r="F226" s="23" t="s">
        <v>24</v>
      </c>
      <c r="G226" s="31" t="s">
        <v>79</v>
      </c>
      <c r="H226" s="31" t="s">
        <v>25</v>
      </c>
      <c r="I226" s="30" t="s">
        <v>67</v>
      </c>
      <c r="J226" s="31" t="s">
        <v>39</v>
      </c>
      <c r="K226" s="31" t="s">
        <v>371</v>
      </c>
      <c r="L226" s="31"/>
      <c r="M226" s="30" t="s">
        <v>68</v>
      </c>
      <c r="N226" s="2" t="s">
        <v>101</v>
      </c>
      <c r="O226" s="31" t="s">
        <v>106</v>
      </c>
      <c r="P226" s="30" t="s">
        <v>1039</v>
      </c>
      <c r="Q226" s="30" t="s">
        <v>30</v>
      </c>
      <c r="R226" s="31" t="s">
        <v>110</v>
      </c>
      <c r="S226" s="32">
        <v>8451127</v>
      </c>
      <c r="T226" s="48" t="s">
        <v>69</v>
      </c>
      <c r="U226" s="33">
        <v>0</v>
      </c>
      <c r="V226" s="33">
        <v>-1</v>
      </c>
      <c r="W226" s="34">
        <v>0</v>
      </c>
      <c r="X226" s="35">
        <v>0</v>
      </c>
    </row>
    <row r="227" spans="1:24" x14ac:dyDescent="0.25">
      <c r="A227" s="30" t="s">
        <v>726</v>
      </c>
      <c r="B227" s="30" t="s">
        <v>777</v>
      </c>
      <c r="C227" s="30" t="s">
        <v>778</v>
      </c>
      <c r="D227" s="30" t="s">
        <v>854</v>
      </c>
      <c r="E227" s="30" t="s">
        <v>855</v>
      </c>
      <c r="F227" s="23" t="s">
        <v>24</v>
      </c>
      <c r="G227" s="31" t="s">
        <v>32</v>
      </c>
      <c r="H227" s="31" t="s">
        <v>65</v>
      </c>
      <c r="I227" s="30" t="s">
        <v>977</v>
      </c>
      <c r="J227" s="31" t="s">
        <v>26</v>
      </c>
      <c r="K227" s="31" t="s">
        <v>98</v>
      </c>
      <c r="L227" s="31" t="s">
        <v>1001</v>
      </c>
      <c r="M227" s="30" t="s">
        <v>34</v>
      </c>
      <c r="N227" s="2" t="s">
        <v>104</v>
      </c>
      <c r="O227" s="31" t="s">
        <v>1013</v>
      </c>
      <c r="P227" s="30" t="s">
        <v>1048</v>
      </c>
      <c r="Q227" s="30" t="s">
        <v>43</v>
      </c>
      <c r="R227" s="31" t="s">
        <v>111</v>
      </c>
      <c r="S227" s="32">
        <v>5212400</v>
      </c>
      <c r="T227" s="48" t="s">
        <v>31</v>
      </c>
      <c r="U227" s="33">
        <v>19.859985000000002</v>
      </c>
      <c r="V227" s="33">
        <v>15.8599853515625</v>
      </c>
      <c r="W227" s="34">
        <v>0.53579956054687505</v>
      </c>
      <c r="X227" s="35">
        <v>2792801.6293945299</v>
      </c>
    </row>
    <row r="228" spans="1:24" x14ac:dyDescent="0.25">
      <c r="A228" s="30" t="s">
        <v>738</v>
      </c>
      <c r="B228" s="30" t="s">
        <v>777</v>
      </c>
      <c r="C228" s="30" t="s">
        <v>778</v>
      </c>
      <c r="D228" s="30" t="s">
        <v>880</v>
      </c>
      <c r="E228" s="30" t="s">
        <v>881</v>
      </c>
      <c r="F228" s="23" t="s">
        <v>24</v>
      </c>
      <c r="G228" s="31" t="s">
        <v>32</v>
      </c>
      <c r="H228" s="31" t="s">
        <v>25</v>
      </c>
      <c r="I228" s="30" t="s">
        <v>968</v>
      </c>
      <c r="J228" s="31" t="s">
        <v>36</v>
      </c>
      <c r="K228" s="31" t="s">
        <v>83</v>
      </c>
      <c r="L228" s="31"/>
      <c r="M228" s="30" t="s">
        <v>71</v>
      </c>
      <c r="N228" s="2" t="s">
        <v>102</v>
      </c>
      <c r="O228" s="31" t="s">
        <v>105</v>
      </c>
      <c r="P228" s="30" t="s">
        <v>1060</v>
      </c>
      <c r="Q228" s="30" t="s">
        <v>30</v>
      </c>
      <c r="R228" s="31" t="s">
        <v>110</v>
      </c>
      <c r="S228" s="32">
        <v>4097580</v>
      </c>
      <c r="T228" s="48" t="s">
        <v>112</v>
      </c>
      <c r="U228" s="33">
        <v>0</v>
      </c>
      <c r="V228" s="33">
        <v>-1</v>
      </c>
      <c r="W228" s="34">
        <v>0</v>
      </c>
      <c r="X228" s="35">
        <v>0</v>
      </c>
    </row>
    <row r="229" spans="1:24" x14ac:dyDescent="0.25">
      <c r="A229" s="30" t="s">
        <v>768</v>
      </c>
      <c r="B229" s="30" t="s">
        <v>777</v>
      </c>
      <c r="C229" s="30" t="s">
        <v>778</v>
      </c>
      <c r="D229" s="30" t="s">
        <v>941</v>
      </c>
      <c r="E229" s="30" t="s">
        <v>942</v>
      </c>
      <c r="F229" s="23" t="s">
        <v>24</v>
      </c>
      <c r="G229" s="31" t="s">
        <v>53</v>
      </c>
      <c r="H229" s="31" t="s">
        <v>25</v>
      </c>
      <c r="I229" s="30" t="s">
        <v>991</v>
      </c>
      <c r="J229" s="31" t="s">
        <v>26</v>
      </c>
      <c r="K229" s="31" t="s">
        <v>92</v>
      </c>
      <c r="L229" s="31" t="s">
        <v>57</v>
      </c>
      <c r="M229" s="30" t="s">
        <v>381</v>
      </c>
      <c r="N229" s="2" t="s">
        <v>42</v>
      </c>
      <c r="O229" s="31" t="s">
        <v>107</v>
      </c>
      <c r="P229" s="30" t="s">
        <v>1090</v>
      </c>
      <c r="Q229" s="30" t="s">
        <v>30</v>
      </c>
      <c r="R229" s="31" t="s">
        <v>110</v>
      </c>
      <c r="S229" s="32">
        <v>2553200</v>
      </c>
      <c r="T229" s="48" t="s">
        <v>44</v>
      </c>
      <c r="U229" s="33">
        <v>0.17999267999999999</v>
      </c>
      <c r="V229" s="33">
        <v>-0.82000732421875</v>
      </c>
      <c r="W229" s="34">
        <v>0</v>
      </c>
      <c r="X229" s="35">
        <v>0</v>
      </c>
    </row>
    <row r="230" spans="1:24" x14ac:dyDescent="0.25">
      <c r="A230" s="30" t="s">
        <v>1551</v>
      </c>
      <c r="B230" s="30" t="s">
        <v>777</v>
      </c>
      <c r="C230" s="30" t="s">
        <v>778</v>
      </c>
      <c r="D230" s="30" t="s">
        <v>1576</v>
      </c>
      <c r="E230" s="30" t="s">
        <v>1577</v>
      </c>
      <c r="F230" s="23" t="str">
        <f>HYPERLINK("https://mapwv.gov/flood/map/?wkid=102100&amp;x=-9096444.70127125&amp;y=4629702.736825964&amp;l=13&amp;v=2","FT")</f>
        <v>FT</v>
      </c>
      <c r="G230" s="31" t="s">
        <v>53</v>
      </c>
      <c r="H230" s="31" t="s">
        <v>25</v>
      </c>
      <c r="I230" s="30" t="s">
        <v>1627</v>
      </c>
      <c r="J230" s="31" t="s">
        <v>39</v>
      </c>
      <c r="K230" s="31" t="s">
        <v>134</v>
      </c>
      <c r="L230" s="31"/>
      <c r="M230" s="30" t="s">
        <v>71</v>
      </c>
      <c r="N230" s="2" t="s">
        <v>102</v>
      </c>
      <c r="O230" s="31" t="s">
        <v>105</v>
      </c>
      <c r="P230" s="30" t="s">
        <v>1651</v>
      </c>
      <c r="Q230" s="30" t="s">
        <v>30</v>
      </c>
      <c r="R230" s="31" t="s">
        <v>110</v>
      </c>
      <c r="S230" s="32">
        <v>1853395</v>
      </c>
      <c r="T230" s="48" t="s">
        <v>112</v>
      </c>
      <c r="U230" s="33">
        <v>0.52001953000000001</v>
      </c>
      <c r="V230" s="33">
        <v>-0.47998046875</v>
      </c>
      <c r="W230" s="34">
        <v>0</v>
      </c>
      <c r="X230" s="35">
        <v>0</v>
      </c>
    </row>
    <row r="231" spans="1:24" x14ac:dyDescent="0.25">
      <c r="A231" s="30" t="s">
        <v>1552</v>
      </c>
      <c r="B231" s="30" t="s">
        <v>777</v>
      </c>
      <c r="C231" s="30" t="s">
        <v>778</v>
      </c>
      <c r="D231" s="30" t="s">
        <v>1578</v>
      </c>
      <c r="E231" s="30" t="s">
        <v>1579</v>
      </c>
      <c r="F231" s="23" t="str">
        <f>HYPERLINK("https://mapwv.gov/flood/map/?wkid=102100&amp;x=-9094692.855201367&amp;y=4631507.48066865&amp;l=13&amp;v=2","FT")</f>
        <v>FT</v>
      </c>
      <c r="G231" s="31" t="s">
        <v>79</v>
      </c>
      <c r="H231" s="31" t="s">
        <v>25</v>
      </c>
      <c r="I231" s="30" t="s">
        <v>1628</v>
      </c>
      <c r="J231" s="31" t="s">
        <v>39</v>
      </c>
      <c r="K231" s="31" t="s">
        <v>1648</v>
      </c>
      <c r="L231" s="31"/>
      <c r="M231" s="30" t="s">
        <v>68</v>
      </c>
      <c r="N231" s="2" t="s">
        <v>101</v>
      </c>
      <c r="O231" s="31" t="s">
        <v>107</v>
      </c>
      <c r="P231" s="30" t="s">
        <v>1652</v>
      </c>
      <c r="Q231" s="30" t="s">
        <v>30</v>
      </c>
      <c r="R231" s="31" t="s">
        <v>110</v>
      </c>
      <c r="S231" s="32">
        <v>848170</v>
      </c>
      <c r="T231" s="48" t="s">
        <v>31</v>
      </c>
      <c r="U231" s="33">
        <v>0</v>
      </c>
      <c r="V231" s="33">
        <v>-1</v>
      </c>
      <c r="W231" s="34">
        <v>0</v>
      </c>
      <c r="X231" s="35">
        <v>0</v>
      </c>
    </row>
    <row r="232" spans="1:24" x14ac:dyDescent="0.25">
      <c r="A232" s="30" t="s">
        <v>1553</v>
      </c>
      <c r="B232" s="30" t="s">
        <v>777</v>
      </c>
      <c r="C232" s="30" t="s">
        <v>778</v>
      </c>
      <c r="D232" s="30" t="s">
        <v>1580</v>
      </c>
      <c r="E232" s="30" t="s">
        <v>1581</v>
      </c>
      <c r="F232" s="23" t="str">
        <f>HYPERLINK("https://mapwv.gov/flood/map/?wkid=102100&amp;x=-9098797.030389272&amp;y=4629625.3573748255&amp;l=13&amp;v=2","FT")</f>
        <v>FT</v>
      </c>
      <c r="G232" s="31" t="s">
        <v>32</v>
      </c>
      <c r="H232" s="31" t="s">
        <v>25</v>
      </c>
      <c r="I232" s="30" t="s">
        <v>1629</v>
      </c>
      <c r="J232" s="31" t="s">
        <v>26</v>
      </c>
      <c r="K232" s="31" t="s">
        <v>365</v>
      </c>
      <c r="L232" s="31" t="s">
        <v>47</v>
      </c>
      <c r="M232" s="30" t="s">
        <v>48</v>
      </c>
      <c r="N232" s="2" t="s">
        <v>35</v>
      </c>
      <c r="O232" s="31" t="s">
        <v>105</v>
      </c>
      <c r="P232" s="30" t="s">
        <v>1653</v>
      </c>
      <c r="Q232" s="30" t="s">
        <v>30</v>
      </c>
      <c r="R232" s="31" t="s">
        <v>110</v>
      </c>
      <c r="S232" s="32">
        <v>842800</v>
      </c>
      <c r="T232" s="48" t="s">
        <v>44</v>
      </c>
      <c r="U232" s="33">
        <v>0</v>
      </c>
      <c r="V232" s="33">
        <v>-1</v>
      </c>
      <c r="W232" s="34">
        <v>0</v>
      </c>
      <c r="X232" s="35">
        <v>0</v>
      </c>
    </row>
    <row r="233" spans="1:24" x14ac:dyDescent="0.25">
      <c r="A233" s="30" t="s">
        <v>1554</v>
      </c>
      <c r="B233" s="30" t="s">
        <v>777</v>
      </c>
      <c r="C233" s="30" t="s">
        <v>778</v>
      </c>
      <c r="D233" s="30" t="s">
        <v>1582</v>
      </c>
      <c r="E233" s="30" t="s">
        <v>1583</v>
      </c>
      <c r="F233" s="23" t="str">
        <f>HYPERLINK("https://mapwv.gov/flood/map/?wkid=102100&amp;x=-9094123.17759591&amp;y=4631361.499447636&amp;l=13&amp;v=2","FT")</f>
        <v>FT</v>
      </c>
      <c r="G233" s="31" t="s">
        <v>79</v>
      </c>
      <c r="H233" s="31" t="s">
        <v>25</v>
      </c>
      <c r="I233" s="30" t="s">
        <v>1630</v>
      </c>
      <c r="J233" s="31" t="s">
        <v>26</v>
      </c>
      <c r="K233" s="31" t="s">
        <v>129</v>
      </c>
      <c r="L233" s="31" t="s">
        <v>27</v>
      </c>
      <c r="M233" s="30" t="s">
        <v>71</v>
      </c>
      <c r="N233" s="2" t="s">
        <v>102</v>
      </c>
      <c r="O233" s="31" t="s">
        <v>105</v>
      </c>
      <c r="P233" s="30" t="s">
        <v>1654</v>
      </c>
      <c r="Q233" s="30" t="s">
        <v>30</v>
      </c>
      <c r="R233" s="31" t="s">
        <v>110</v>
      </c>
      <c r="S233" s="32">
        <v>739300</v>
      </c>
      <c r="T233" s="48" t="s">
        <v>44</v>
      </c>
      <c r="U233" s="33">
        <v>0</v>
      </c>
      <c r="V233" s="33">
        <v>-1</v>
      </c>
      <c r="W233" s="34">
        <v>0</v>
      </c>
      <c r="X233" s="35">
        <v>0</v>
      </c>
    </row>
    <row r="234" spans="1:24" x14ac:dyDescent="0.25">
      <c r="A234" s="30" t="s">
        <v>1555</v>
      </c>
      <c r="B234" s="30" t="s">
        <v>777</v>
      </c>
      <c r="C234" s="30" t="s">
        <v>778</v>
      </c>
      <c r="D234" s="30" t="s">
        <v>1584</v>
      </c>
      <c r="E234" s="30" t="s">
        <v>1585</v>
      </c>
      <c r="F234" s="23" t="str">
        <f>HYPERLINK("https://mapwv.gov/flood/map/?wkid=102100&amp;x=-9099277.065414418&amp;y=4629384.070722884&amp;l=13&amp;v=2","FT")</f>
        <v>FT</v>
      </c>
      <c r="G234" s="31" t="s">
        <v>32</v>
      </c>
      <c r="H234" s="31" t="s">
        <v>25</v>
      </c>
      <c r="I234" s="30" t="s">
        <v>1631</v>
      </c>
      <c r="J234" s="31" t="s">
        <v>39</v>
      </c>
      <c r="K234" s="31" t="s">
        <v>1004</v>
      </c>
      <c r="L234" s="31" t="s">
        <v>27</v>
      </c>
      <c r="M234" s="30" t="s">
        <v>48</v>
      </c>
      <c r="N234" s="2" t="s">
        <v>35</v>
      </c>
      <c r="O234" s="31" t="s">
        <v>105</v>
      </c>
      <c r="P234" s="30" t="s">
        <v>405</v>
      </c>
      <c r="Q234" s="30" t="s">
        <v>30</v>
      </c>
      <c r="R234" s="31" t="s">
        <v>110</v>
      </c>
      <c r="S234" s="32">
        <v>646484</v>
      </c>
      <c r="T234" s="48" t="s">
        <v>44</v>
      </c>
      <c r="U234" s="33">
        <v>2.8430176</v>
      </c>
      <c r="V234" s="33">
        <v>1.843017578125</v>
      </c>
      <c r="W234" s="34">
        <v>0.13215087890624999</v>
      </c>
      <c r="X234" s="35">
        <v>85433.428798828099</v>
      </c>
    </row>
    <row r="235" spans="1:24" x14ac:dyDescent="0.25">
      <c r="A235" s="30" t="s">
        <v>1556</v>
      </c>
      <c r="B235" s="30" t="s">
        <v>777</v>
      </c>
      <c r="C235" s="30" t="s">
        <v>778</v>
      </c>
      <c r="D235" s="30" t="s">
        <v>1586</v>
      </c>
      <c r="E235" s="30" t="s">
        <v>1587</v>
      </c>
      <c r="F235" s="23" t="str">
        <f>HYPERLINK("https://mapwv.gov/flood/map/?wkid=102100&amp;x=-9097203.599969793&amp;y=4630725.922427429&amp;l=13&amp;v=2","FT")</f>
        <v>FT</v>
      </c>
      <c r="G235" s="31" t="s">
        <v>32</v>
      </c>
      <c r="H235" s="31" t="s">
        <v>25</v>
      </c>
      <c r="I235" s="30" t="s">
        <v>1632</v>
      </c>
      <c r="J235" s="31" t="s">
        <v>26</v>
      </c>
      <c r="K235" s="31" t="s">
        <v>373</v>
      </c>
      <c r="L235" s="31" t="s">
        <v>367</v>
      </c>
      <c r="M235" s="30" t="s">
        <v>56</v>
      </c>
      <c r="N235" s="2" t="s">
        <v>35</v>
      </c>
      <c r="O235" s="31" t="s">
        <v>106</v>
      </c>
      <c r="P235" s="30" t="s">
        <v>1655</v>
      </c>
      <c r="Q235" s="30" t="s">
        <v>30</v>
      </c>
      <c r="R235" s="31" t="s">
        <v>110</v>
      </c>
      <c r="S235" s="32">
        <v>574360</v>
      </c>
      <c r="T235" s="48" t="s">
        <v>31</v>
      </c>
      <c r="U235" s="33">
        <v>1.8812865999999999</v>
      </c>
      <c r="V235" s="33">
        <v>0.88128662109375</v>
      </c>
      <c r="W235" s="34">
        <v>9.9315795898437503E-2</v>
      </c>
      <c r="X235" s="35">
        <v>57043.020532226503</v>
      </c>
    </row>
    <row r="236" spans="1:24" x14ac:dyDescent="0.25">
      <c r="A236" s="30" t="s">
        <v>1557</v>
      </c>
      <c r="B236" s="30" t="s">
        <v>777</v>
      </c>
      <c r="C236" s="30" t="s">
        <v>778</v>
      </c>
      <c r="D236" s="30" t="s">
        <v>1588</v>
      </c>
      <c r="E236" s="30" t="s">
        <v>1589</v>
      </c>
      <c r="F236" s="23" t="str">
        <f>HYPERLINK("https://mapwv.gov/flood/map/?wkid=102100&amp;x=-9099388.15881532&amp;y=4629569.028504557&amp;l=13&amp;v=2","FT")</f>
        <v>FT</v>
      </c>
      <c r="G236" s="31" t="s">
        <v>32</v>
      </c>
      <c r="H236" s="31" t="s">
        <v>25</v>
      </c>
      <c r="I236" s="30" t="s">
        <v>1633</v>
      </c>
      <c r="J236" s="31" t="s">
        <v>26</v>
      </c>
      <c r="K236" s="31" t="s">
        <v>1649</v>
      </c>
      <c r="L236" s="31" t="s">
        <v>27</v>
      </c>
      <c r="M236" s="30" t="s">
        <v>48</v>
      </c>
      <c r="N236" s="2" t="s">
        <v>35</v>
      </c>
      <c r="O236" s="31" t="s">
        <v>105</v>
      </c>
      <c r="P236" s="30" t="s">
        <v>1656</v>
      </c>
      <c r="Q236" s="30" t="s">
        <v>30</v>
      </c>
      <c r="R236" s="31" t="s">
        <v>110</v>
      </c>
      <c r="S236" s="32">
        <v>566588</v>
      </c>
      <c r="T236" s="48" t="s">
        <v>44</v>
      </c>
      <c r="U236" s="33">
        <v>0</v>
      </c>
      <c r="V236" s="33">
        <v>-1</v>
      </c>
      <c r="W236" s="34">
        <v>0</v>
      </c>
      <c r="X236" s="35">
        <v>0</v>
      </c>
    </row>
    <row r="237" spans="1:24" x14ac:dyDescent="0.25">
      <c r="A237" s="30" t="s">
        <v>1558</v>
      </c>
      <c r="B237" s="30" t="s">
        <v>777</v>
      </c>
      <c r="C237" s="30" t="s">
        <v>778</v>
      </c>
      <c r="D237" s="30" t="s">
        <v>1590</v>
      </c>
      <c r="E237" s="30" t="s">
        <v>1591</v>
      </c>
      <c r="F237" s="23" t="s">
        <v>24</v>
      </c>
      <c r="G237" s="31" t="s">
        <v>32</v>
      </c>
      <c r="H237" s="31" t="s">
        <v>25</v>
      </c>
      <c r="I237" s="30" t="s">
        <v>1634</v>
      </c>
      <c r="J237" s="31" t="s">
        <v>26</v>
      </c>
      <c r="K237" s="31" t="s">
        <v>92</v>
      </c>
      <c r="L237" s="31" t="s">
        <v>57</v>
      </c>
      <c r="M237" s="30" t="s">
        <v>48</v>
      </c>
      <c r="N237" s="2" t="s">
        <v>35</v>
      </c>
      <c r="O237" s="31" t="s">
        <v>106</v>
      </c>
      <c r="P237" s="30" t="s">
        <v>1657</v>
      </c>
      <c r="Q237" s="30" t="s">
        <v>43</v>
      </c>
      <c r="R237" s="31" t="s">
        <v>111</v>
      </c>
      <c r="S237" s="32">
        <v>512702</v>
      </c>
      <c r="T237" s="48" t="s">
        <v>31</v>
      </c>
      <c r="U237" s="33">
        <v>1.7285155999999999</v>
      </c>
      <c r="V237" s="33">
        <v>-2.271484375</v>
      </c>
      <c r="W237" s="34">
        <v>0</v>
      </c>
      <c r="X237" s="35">
        <v>0</v>
      </c>
    </row>
    <row r="238" spans="1:24" x14ac:dyDescent="0.25">
      <c r="A238" s="30" t="s">
        <v>1559</v>
      </c>
      <c r="B238" s="30" t="s">
        <v>777</v>
      </c>
      <c r="C238" s="30" t="s">
        <v>778</v>
      </c>
      <c r="D238" s="30" t="s">
        <v>1592</v>
      </c>
      <c r="E238" s="30" t="s">
        <v>1593</v>
      </c>
      <c r="F238" s="23" t="str">
        <f>HYPERLINK("https://mapwv.gov/flood/map/?wkid=102100&amp;x=-9094314.481031395&amp;y=4631287.889382463&amp;l=13&amp;v=2","FT")</f>
        <v>FT</v>
      </c>
      <c r="G238" s="31" t="s">
        <v>79</v>
      </c>
      <c r="H238" s="31" t="s">
        <v>25</v>
      </c>
      <c r="I238" s="30" t="s">
        <v>1635</v>
      </c>
      <c r="J238" s="31" t="s">
        <v>26</v>
      </c>
      <c r="K238" s="31" t="s">
        <v>84</v>
      </c>
      <c r="L238" s="31" t="s">
        <v>57</v>
      </c>
      <c r="M238" s="30" t="s">
        <v>71</v>
      </c>
      <c r="N238" s="2" t="s">
        <v>102</v>
      </c>
      <c r="O238" s="31" t="s">
        <v>106</v>
      </c>
      <c r="P238" s="30" t="s">
        <v>1658</v>
      </c>
      <c r="Q238" s="30" t="s">
        <v>30</v>
      </c>
      <c r="R238" s="31" t="s">
        <v>110</v>
      </c>
      <c r="S238" s="32">
        <v>476900</v>
      </c>
      <c r="T238" s="48" t="s">
        <v>44</v>
      </c>
      <c r="U238" s="33">
        <v>0</v>
      </c>
      <c r="V238" s="33">
        <v>-1</v>
      </c>
      <c r="W238" s="34">
        <v>0</v>
      </c>
      <c r="X238" s="35">
        <v>0</v>
      </c>
    </row>
    <row r="239" spans="1:24" x14ac:dyDescent="0.25">
      <c r="A239" s="30" t="s">
        <v>1560</v>
      </c>
      <c r="B239" s="30" t="s">
        <v>777</v>
      </c>
      <c r="C239" s="30" t="s">
        <v>778</v>
      </c>
      <c r="D239" s="30" t="s">
        <v>1594</v>
      </c>
      <c r="E239" s="30" t="s">
        <v>1595</v>
      </c>
      <c r="F239" s="23" t="str">
        <f>HYPERLINK("https://mapwv.gov/flood/map/?wkid=102100&amp;x=-9100556.302471062&amp;y=4629685.63492272&amp;l=13&amp;v=2","FT")</f>
        <v>FT</v>
      </c>
      <c r="G239" s="31" t="s">
        <v>32</v>
      </c>
      <c r="H239" s="31" t="s">
        <v>25</v>
      </c>
      <c r="I239" s="30" t="s">
        <v>1636</v>
      </c>
      <c r="J239" s="31" t="s">
        <v>26</v>
      </c>
      <c r="K239" s="31" t="s">
        <v>94</v>
      </c>
      <c r="L239" s="31" t="s">
        <v>27</v>
      </c>
      <c r="M239" s="30" t="s">
        <v>70</v>
      </c>
      <c r="N239" s="2" t="s">
        <v>35</v>
      </c>
      <c r="O239" s="31" t="s">
        <v>106</v>
      </c>
      <c r="P239" s="30" t="s">
        <v>1659</v>
      </c>
      <c r="Q239" s="30" t="s">
        <v>30</v>
      </c>
      <c r="R239" s="31" t="s">
        <v>110</v>
      </c>
      <c r="S239" s="32">
        <v>470839</v>
      </c>
      <c r="T239" s="48" t="s">
        <v>44</v>
      </c>
      <c r="U239" s="33">
        <v>0.67321779999999998</v>
      </c>
      <c r="V239" s="33">
        <v>-0.3267822265625</v>
      </c>
      <c r="W239" s="34">
        <v>0</v>
      </c>
      <c r="X239" s="35">
        <v>0</v>
      </c>
    </row>
    <row r="240" spans="1:24" x14ac:dyDescent="0.25">
      <c r="A240" s="30" t="s">
        <v>1561</v>
      </c>
      <c r="B240" s="30" t="s">
        <v>777</v>
      </c>
      <c r="C240" s="30" t="s">
        <v>778</v>
      </c>
      <c r="D240" s="30" t="s">
        <v>1596</v>
      </c>
      <c r="E240" s="30" t="s">
        <v>1597</v>
      </c>
      <c r="F240" s="23" t="str">
        <f>HYPERLINK("https://mapwv.gov/flood/map/?wkid=102100&amp;x=-9098426.775862958&amp;y=4629651.338788407&amp;l=13&amp;v=2","FT")</f>
        <v>FT</v>
      </c>
      <c r="G240" s="31" t="s">
        <v>53</v>
      </c>
      <c r="H240" s="31" t="s">
        <v>25</v>
      </c>
      <c r="I240" s="30" t="s">
        <v>1637</v>
      </c>
      <c r="J240" s="31" t="s">
        <v>39</v>
      </c>
      <c r="K240" s="31" t="s">
        <v>371</v>
      </c>
      <c r="L240" s="31" t="s">
        <v>27</v>
      </c>
      <c r="M240" s="30" t="s">
        <v>48</v>
      </c>
      <c r="N240" s="2" t="s">
        <v>35</v>
      </c>
      <c r="O240" s="31" t="s">
        <v>106</v>
      </c>
      <c r="P240" s="30" t="s">
        <v>1660</v>
      </c>
      <c r="Q240" s="30" t="s">
        <v>43</v>
      </c>
      <c r="R240" s="31" t="s">
        <v>111</v>
      </c>
      <c r="S240" s="32">
        <v>441700</v>
      </c>
      <c r="T240" s="48" t="s">
        <v>44</v>
      </c>
      <c r="U240" s="33">
        <v>0.11645508</v>
      </c>
      <c r="V240" s="33">
        <v>-3.883544921875</v>
      </c>
      <c r="W240" s="34">
        <v>0</v>
      </c>
      <c r="X240" s="35">
        <v>0</v>
      </c>
    </row>
    <row r="241" spans="1:24" x14ac:dyDescent="0.25">
      <c r="A241" s="30" t="s">
        <v>1562</v>
      </c>
      <c r="B241" s="30" t="s">
        <v>777</v>
      </c>
      <c r="C241" s="30" t="s">
        <v>778</v>
      </c>
      <c r="D241" s="30" t="s">
        <v>1598</v>
      </c>
      <c r="E241" s="30" t="s">
        <v>1599</v>
      </c>
      <c r="F241" s="23" t="s">
        <v>24</v>
      </c>
      <c r="G241" s="31" t="s">
        <v>32</v>
      </c>
      <c r="H241" s="31" t="s">
        <v>25</v>
      </c>
      <c r="I241" s="30" t="s">
        <v>1638</v>
      </c>
      <c r="J241" s="31" t="s">
        <v>26</v>
      </c>
      <c r="K241" s="31" t="s">
        <v>373</v>
      </c>
      <c r="L241" s="31" t="s">
        <v>57</v>
      </c>
      <c r="M241" s="30" t="s">
        <v>48</v>
      </c>
      <c r="N241" s="2" t="s">
        <v>35</v>
      </c>
      <c r="O241" s="31" t="s">
        <v>105</v>
      </c>
      <c r="P241" s="30" t="s">
        <v>1661</v>
      </c>
      <c r="Q241" s="30" t="s">
        <v>43</v>
      </c>
      <c r="R241" s="31" t="s">
        <v>111</v>
      </c>
      <c r="S241" s="32">
        <v>401500</v>
      </c>
      <c r="T241" s="48" t="s">
        <v>44</v>
      </c>
      <c r="U241" s="33">
        <v>2.2961426</v>
      </c>
      <c r="V241" s="33">
        <v>-1.703857421875</v>
      </c>
      <c r="W241" s="34">
        <v>0</v>
      </c>
      <c r="X241" s="35">
        <v>0</v>
      </c>
    </row>
    <row r="242" spans="1:24" x14ac:dyDescent="0.25">
      <c r="A242" s="30" t="s">
        <v>1563</v>
      </c>
      <c r="B242" s="30" t="s">
        <v>777</v>
      </c>
      <c r="C242" s="30" t="s">
        <v>778</v>
      </c>
      <c r="D242" s="30" t="s">
        <v>1600</v>
      </c>
      <c r="E242" s="30" t="s">
        <v>1601</v>
      </c>
      <c r="F242" s="23" t="str">
        <f>HYPERLINK("https://mapwv.gov/flood/map/?wkid=102100&amp;x=-9099494.125174442&amp;y=4629228.275572559&amp;l=13&amp;v=2","FT")</f>
        <v>FT</v>
      </c>
      <c r="G242" s="31" t="s">
        <v>32</v>
      </c>
      <c r="H242" s="31" t="s">
        <v>25</v>
      </c>
      <c r="I242" s="30" t="s">
        <v>1639</v>
      </c>
      <c r="J242" s="31" t="s">
        <v>26</v>
      </c>
      <c r="K242" s="31" t="s">
        <v>98</v>
      </c>
      <c r="L242" s="31" t="s">
        <v>27</v>
      </c>
      <c r="M242" s="30" t="s">
        <v>58</v>
      </c>
      <c r="N242" s="2" t="s">
        <v>42</v>
      </c>
      <c r="O242" s="31" t="s">
        <v>106</v>
      </c>
      <c r="P242" s="30" t="s">
        <v>1662</v>
      </c>
      <c r="Q242" s="30" t="s">
        <v>43</v>
      </c>
      <c r="R242" s="31" t="s">
        <v>111</v>
      </c>
      <c r="S242" s="32">
        <v>373061</v>
      </c>
      <c r="T242" s="48" t="s">
        <v>44</v>
      </c>
      <c r="U242" s="33">
        <v>1</v>
      </c>
      <c r="V242" s="33">
        <v>-3</v>
      </c>
      <c r="W242" s="34">
        <v>0</v>
      </c>
      <c r="X242" s="35">
        <v>0</v>
      </c>
    </row>
    <row r="243" spans="1:24" x14ac:dyDescent="0.25">
      <c r="A243" s="30" t="s">
        <v>1564</v>
      </c>
      <c r="B243" s="30" t="s">
        <v>777</v>
      </c>
      <c r="C243" s="30" t="s">
        <v>778</v>
      </c>
      <c r="D243" s="30" t="s">
        <v>1602</v>
      </c>
      <c r="E243" s="30" t="s">
        <v>1603</v>
      </c>
      <c r="F243" s="23" t="str">
        <f>HYPERLINK("https://mapwv.gov/flood/map/?wkid=102100&amp;x=-9100441.404615242&amp;y=4629679.199340507&amp;l=13&amp;v=2","FT")</f>
        <v>FT</v>
      </c>
      <c r="G243" s="31" t="s">
        <v>32</v>
      </c>
      <c r="H243" s="31" t="s">
        <v>25</v>
      </c>
      <c r="I243" s="30" t="s">
        <v>1640</v>
      </c>
      <c r="J243" s="31" t="s">
        <v>26</v>
      </c>
      <c r="K243" s="31" t="s">
        <v>127</v>
      </c>
      <c r="L243" s="31" t="s">
        <v>37</v>
      </c>
      <c r="M243" s="30" t="s">
        <v>48</v>
      </c>
      <c r="N243" s="2" t="s">
        <v>35</v>
      </c>
      <c r="O243" s="31" t="s">
        <v>105</v>
      </c>
      <c r="P243" s="30" t="s">
        <v>1663</v>
      </c>
      <c r="Q243" s="30" t="s">
        <v>30</v>
      </c>
      <c r="R243" s="31" t="s">
        <v>110</v>
      </c>
      <c r="S243" s="32">
        <v>361850</v>
      </c>
      <c r="T243" s="48" t="s">
        <v>31</v>
      </c>
      <c r="U243" s="33">
        <v>1.3775634999999999</v>
      </c>
      <c r="V243" s="33">
        <v>0.3775634765625</v>
      </c>
      <c r="W243" s="34">
        <v>4.0205078125000002E-2</v>
      </c>
      <c r="X243" s="35">
        <v>14548.207519531201</v>
      </c>
    </row>
    <row r="244" spans="1:24" x14ac:dyDescent="0.25">
      <c r="A244" s="30" t="s">
        <v>1565</v>
      </c>
      <c r="B244" s="30" t="s">
        <v>777</v>
      </c>
      <c r="C244" s="30" t="s">
        <v>778</v>
      </c>
      <c r="D244" s="30" t="s">
        <v>1604</v>
      </c>
      <c r="E244" s="30" t="s">
        <v>1605</v>
      </c>
      <c r="F244" s="23" t="str">
        <f>HYPERLINK("https://mapwv.gov/flood/map/?wkid=102100&amp;x=-9099463.40823075&amp;y=4629281.619908693&amp;l=13&amp;v=2","FT")</f>
        <v>FT</v>
      </c>
      <c r="G244" s="31" t="s">
        <v>32</v>
      </c>
      <c r="H244" s="31" t="s">
        <v>25</v>
      </c>
      <c r="I244" s="30" t="s">
        <v>1639</v>
      </c>
      <c r="J244" s="31" t="s">
        <v>26</v>
      </c>
      <c r="K244" s="31" t="s">
        <v>366</v>
      </c>
      <c r="L244" s="31" t="s">
        <v>57</v>
      </c>
      <c r="M244" s="30" t="s">
        <v>58</v>
      </c>
      <c r="N244" s="2" t="s">
        <v>42</v>
      </c>
      <c r="O244" s="31" t="s">
        <v>106</v>
      </c>
      <c r="P244" s="30" t="s">
        <v>1664</v>
      </c>
      <c r="Q244" s="30" t="s">
        <v>43</v>
      </c>
      <c r="R244" s="31" t="s">
        <v>111</v>
      </c>
      <c r="S244" s="32">
        <v>356376</v>
      </c>
      <c r="T244" s="48" t="s">
        <v>44</v>
      </c>
      <c r="U244" s="33">
        <v>0.79705809999999999</v>
      </c>
      <c r="V244" s="33">
        <v>-3.20294189453125</v>
      </c>
      <c r="W244" s="34">
        <v>0</v>
      </c>
      <c r="X244" s="35">
        <v>0</v>
      </c>
    </row>
    <row r="245" spans="1:24" x14ac:dyDescent="0.25">
      <c r="A245" s="30" t="s">
        <v>1566</v>
      </c>
      <c r="B245" s="30" t="s">
        <v>777</v>
      </c>
      <c r="C245" s="30" t="s">
        <v>778</v>
      </c>
      <c r="D245" s="30" t="s">
        <v>1606</v>
      </c>
      <c r="E245" s="30" t="s">
        <v>1607</v>
      </c>
      <c r="F245" s="23" t="str">
        <f>HYPERLINK("https://mapwv.gov/flood/map/?wkid=102100&amp;x=-9092898.879379638&amp;y=4631268.403868851&amp;l=13&amp;v=2","FT")</f>
        <v>FT</v>
      </c>
      <c r="G245" s="31" t="s">
        <v>53</v>
      </c>
      <c r="H245" s="31" t="s">
        <v>25</v>
      </c>
      <c r="I245" s="30" t="s">
        <v>1641</v>
      </c>
      <c r="J245" s="31" t="s">
        <v>39</v>
      </c>
      <c r="K245" s="31" t="s">
        <v>998</v>
      </c>
      <c r="L245" s="31" t="s">
        <v>37</v>
      </c>
      <c r="M245" s="30" t="s">
        <v>70</v>
      </c>
      <c r="N245" s="2" t="s">
        <v>35</v>
      </c>
      <c r="O245" s="31" t="s">
        <v>105</v>
      </c>
      <c r="P245" s="30" t="s">
        <v>1665</v>
      </c>
      <c r="Q245" s="30" t="s">
        <v>43</v>
      </c>
      <c r="R245" s="31" t="s">
        <v>111</v>
      </c>
      <c r="S245" s="32">
        <v>350700</v>
      </c>
      <c r="T245" s="48" t="s">
        <v>44</v>
      </c>
      <c r="U245" s="33">
        <v>0</v>
      </c>
      <c r="V245" s="33">
        <v>-4</v>
      </c>
      <c r="W245" s="34">
        <v>0</v>
      </c>
      <c r="X245" s="35">
        <v>0</v>
      </c>
    </row>
    <row r="246" spans="1:24" x14ac:dyDescent="0.25">
      <c r="A246" s="30" t="s">
        <v>1567</v>
      </c>
      <c r="B246" s="30" t="s">
        <v>777</v>
      </c>
      <c r="C246" s="30" t="s">
        <v>778</v>
      </c>
      <c r="D246" s="30" t="s">
        <v>1608</v>
      </c>
      <c r="E246" s="30" t="s">
        <v>1609</v>
      </c>
      <c r="F246" s="23" t="s">
        <v>24</v>
      </c>
      <c r="G246" s="31" t="s">
        <v>32</v>
      </c>
      <c r="H246" s="31" t="s">
        <v>25</v>
      </c>
      <c r="I246" s="30" t="s">
        <v>1635</v>
      </c>
      <c r="J246" s="31" t="s">
        <v>26</v>
      </c>
      <c r="K246" s="31" t="s">
        <v>1649</v>
      </c>
      <c r="L246" s="31" t="s">
        <v>57</v>
      </c>
      <c r="M246" s="30" t="s">
        <v>56</v>
      </c>
      <c r="N246" s="2" t="s">
        <v>35</v>
      </c>
      <c r="O246" s="31" t="s">
        <v>105</v>
      </c>
      <c r="P246" s="30" t="s">
        <v>1666</v>
      </c>
      <c r="Q246" s="30" t="s">
        <v>43</v>
      </c>
      <c r="R246" s="31" t="s">
        <v>111</v>
      </c>
      <c r="S246" s="32">
        <v>257100</v>
      </c>
      <c r="T246" s="48" t="s">
        <v>44</v>
      </c>
      <c r="U246" s="33">
        <v>2.538208</v>
      </c>
      <c r="V246" s="33">
        <v>-1.4617919921875</v>
      </c>
      <c r="W246" s="34">
        <v>0</v>
      </c>
      <c r="X246" s="35">
        <v>0</v>
      </c>
    </row>
    <row r="247" spans="1:24" x14ac:dyDescent="0.25">
      <c r="A247" s="30" t="s">
        <v>1568</v>
      </c>
      <c r="B247" s="30" t="s">
        <v>777</v>
      </c>
      <c r="C247" s="30" t="s">
        <v>778</v>
      </c>
      <c r="D247" s="30" t="s">
        <v>1610</v>
      </c>
      <c r="E247" s="30" t="s">
        <v>1611</v>
      </c>
      <c r="F247" s="23" t="s">
        <v>24</v>
      </c>
      <c r="G247" s="31" t="s">
        <v>32</v>
      </c>
      <c r="H247" s="31" t="s">
        <v>25</v>
      </c>
      <c r="I247" s="30" t="s">
        <v>1639</v>
      </c>
      <c r="J247" s="31" t="s">
        <v>26</v>
      </c>
      <c r="K247" s="31" t="s">
        <v>130</v>
      </c>
      <c r="L247" s="31" t="s">
        <v>57</v>
      </c>
      <c r="M247" s="30" t="s">
        <v>58</v>
      </c>
      <c r="N247" s="2" t="s">
        <v>42</v>
      </c>
      <c r="O247" s="31" t="s">
        <v>106</v>
      </c>
      <c r="P247" s="30" t="s">
        <v>1667</v>
      </c>
      <c r="Q247" s="30" t="s">
        <v>43</v>
      </c>
      <c r="R247" s="31" t="s">
        <v>111</v>
      </c>
      <c r="S247" s="32">
        <v>255551</v>
      </c>
      <c r="T247" s="48" t="s">
        <v>44</v>
      </c>
      <c r="U247" s="33">
        <v>0.95452879999999996</v>
      </c>
      <c r="V247" s="33">
        <v>-3.04547119140625</v>
      </c>
      <c r="W247" s="34">
        <v>0</v>
      </c>
      <c r="X247" s="35">
        <v>0</v>
      </c>
    </row>
    <row r="248" spans="1:24" x14ac:dyDescent="0.25">
      <c r="A248" s="30" t="s">
        <v>1569</v>
      </c>
      <c r="B248" s="30" t="s">
        <v>777</v>
      </c>
      <c r="C248" s="30" t="s">
        <v>778</v>
      </c>
      <c r="D248" s="30" t="s">
        <v>1612</v>
      </c>
      <c r="E248" s="30" t="s">
        <v>1613</v>
      </c>
      <c r="F248" s="23" t="s">
        <v>24</v>
      </c>
      <c r="G248" s="31" t="s">
        <v>32</v>
      </c>
      <c r="H248" s="31" t="s">
        <v>25</v>
      </c>
      <c r="I248" s="30" t="s">
        <v>1639</v>
      </c>
      <c r="J248" s="31" t="s">
        <v>26</v>
      </c>
      <c r="K248" s="31" t="s">
        <v>641</v>
      </c>
      <c r="L248" s="31" t="s">
        <v>27</v>
      </c>
      <c r="M248" s="30" t="s">
        <v>58</v>
      </c>
      <c r="N248" s="2" t="s">
        <v>42</v>
      </c>
      <c r="O248" s="31" t="s">
        <v>106</v>
      </c>
      <c r="P248" s="30" t="s">
        <v>1531</v>
      </c>
      <c r="Q248" s="30" t="s">
        <v>30</v>
      </c>
      <c r="R248" s="31" t="s">
        <v>110</v>
      </c>
      <c r="S248" s="32">
        <v>252896</v>
      </c>
      <c r="T248" s="48" t="s">
        <v>44</v>
      </c>
      <c r="U248" s="33">
        <v>2.3795166000000001</v>
      </c>
      <c r="V248" s="33">
        <v>1.3795166015625</v>
      </c>
      <c r="W248" s="34">
        <v>0.194156494140625</v>
      </c>
      <c r="X248" s="35">
        <v>49101.400742187499</v>
      </c>
    </row>
    <row r="249" spans="1:24" x14ac:dyDescent="0.25">
      <c r="A249" s="30" t="s">
        <v>1570</v>
      </c>
      <c r="B249" s="30" t="s">
        <v>777</v>
      </c>
      <c r="C249" s="30" t="s">
        <v>778</v>
      </c>
      <c r="D249" s="30" t="s">
        <v>1614</v>
      </c>
      <c r="E249" s="30" t="s">
        <v>1615</v>
      </c>
      <c r="F249" s="23" t="s">
        <v>24</v>
      </c>
      <c r="G249" s="31" t="s">
        <v>79</v>
      </c>
      <c r="H249" s="31" t="s">
        <v>25</v>
      </c>
      <c r="I249" s="30" t="s">
        <v>1642</v>
      </c>
      <c r="J249" s="31" t="s">
        <v>39</v>
      </c>
      <c r="K249" s="31" t="s">
        <v>998</v>
      </c>
      <c r="L249" s="31" t="s">
        <v>27</v>
      </c>
      <c r="M249" s="30" t="s">
        <v>68</v>
      </c>
      <c r="N249" s="2" t="s">
        <v>101</v>
      </c>
      <c r="O249" s="31" t="s">
        <v>106</v>
      </c>
      <c r="P249" s="30" t="s">
        <v>1668</v>
      </c>
      <c r="Q249" s="30" t="s">
        <v>30</v>
      </c>
      <c r="R249" s="31" t="s">
        <v>110</v>
      </c>
      <c r="S249" s="32">
        <v>251600</v>
      </c>
      <c r="T249" s="48" t="s">
        <v>44</v>
      </c>
      <c r="U249" s="33">
        <v>0</v>
      </c>
      <c r="V249" s="33">
        <v>-1</v>
      </c>
      <c r="W249" s="34">
        <v>0</v>
      </c>
      <c r="X249" s="35">
        <v>0</v>
      </c>
    </row>
    <row r="250" spans="1:24" x14ac:dyDescent="0.25">
      <c r="A250" s="30" t="s">
        <v>1571</v>
      </c>
      <c r="B250" s="30" t="s">
        <v>777</v>
      </c>
      <c r="C250" s="30" t="s">
        <v>778</v>
      </c>
      <c r="D250" s="30" t="s">
        <v>1616</v>
      </c>
      <c r="E250" s="30" t="s">
        <v>1617</v>
      </c>
      <c r="F250" s="23" t="s">
        <v>24</v>
      </c>
      <c r="G250" s="31" t="s">
        <v>53</v>
      </c>
      <c r="H250" s="31" t="s">
        <v>25</v>
      </c>
      <c r="I250" s="30" t="s">
        <v>1643</v>
      </c>
      <c r="J250" s="31" t="s">
        <v>36</v>
      </c>
      <c r="K250" s="31" t="s">
        <v>83</v>
      </c>
      <c r="L250" s="31"/>
      <c r="M250" s="30" t="s">
        <v>66</v>
      </c>
      <c r="N250" s="2" t="s">
        <v>103</v>
      </c>
      <c r="O250" s="31" t="s">
        <v>105</v>
      </c>
      <c r="P250" s="30" t="s">
        <v>1669</v>
      </c>
      <c r="Q250" s="30" t="s">
        <v>30</v>
      </c>
      <c r="R250" s="31" t="s">
        <v>110</v>
      </c>
      <c r="S250" s="32">
        <v>250000</v>
      </c>
      <c r="T250" s="48" t="s">
        <v>44</v>
      </c>
      <c r="U250" s="33">
        <v>0</v>
      </c>
      <c r="V250" s="33">
        <v>-1</v>
      </c>
      <c r="W250" s="34">
        <v>0</v>
      </c>
      <c r="X250" s="35">
        <v>0</v>
      </c>
    </row>
    <row r="251" spans="1:24" x14ac:dyDescent="0.25">
      <c r="A251" s="30" t="s">
        <v>1572</v>
      </c>
      <c r="B251" s="30" t="s">
        <v>777</v>
      </c>
      <c r="C251" s="30" t="s">
        <v>778</v>
      </c>
      <c r="D251" s="30" t="s">
        <v>1618</v>
      </c>
      <c r="E251" s="30" t="s">
        <v>1619</v>
      </c>
      <c r="F251" s="23" t="s">
        <v>24</v>
      </c>
      <c r="G251" s="31" t="s">
        <v>32</v>
      </c>
      <c r="H251" s="31" t="s">
        <v>25</v>
      </c>
      <c r="I251" s="30" t="s">
        <v>1644</v>
      </c>
      <c r="J251" s="31" t="s">
        <v>39</v>
      </c>
      <c r="K251" s="31" t="s">
        <v>999</v>
      </c>
      <c r="L251" s="31" t="s">
        <v>45</v>
      </c>
      <c r="M251" s="30" t="s">
        <v>41</v>
      </c>
      <c r="N251" s="2" t="s">
        <v>42</v>
      </c>
      <c r="O251" s="31" t="s">
        <v>105</v>
      </c>
      <c r="P251" s="30" t="s">
        <v>1670</v>
      </c>
      <c r="Q251" s="30" t="s">
        <v>43</v>
      </c>
      <c r="R251" s="31" t="s">
        <v>111</v>
      </c>
      <c r="S251" s="32">
        <v>220300</v>
      </c>
      <c r="T251" s="48" t="s">
        <v>44</v>
      </c>
      <c r="U251" s="33">
        <v>0</v>
      </c>
      <c r="V251" s="33">
        <v>-4</v>
      </c>
      <c r="W251" s="34">
        <v>0</v>
      </c>
      <c r="X251" s="35">
        <v>0</v>
      </c>
    </row>
    <row r="252" spans="1:24" x14ac:dyDescent="0.25">
      <c r="A252" s="30" t="s">
        <v>1573</v>
      </c>
      <c r="B252" s="30" t="s">
        <v>777</v>
      </c>
      <c r="C252" s="30" t="s">
        <v>778</v>
      </c>
      <c r="D252" s="30" t="s">
        <v>1620</v>
      </c>
      <c r="E252" s="30" t="s">
        <v>1621</v>
      </c>
      <c r="F252" s="23" t="s">
        <v>24</v>
      </c>
      <c r="G252" s="31" t="s">
        <v>32</v>
      </c>
      <c r="H252" s="31" t="s">
        <v>25</v>
      </c>
      <c r="I252" s="30" t="s">
        <v>1645</v>
      </c>
      <c r="J252" s="31" t="s">
        <v>39</v>
      </c>
      <c r="K252" s="31" t="s">
        <v>1650</v>
      </c>
      <c r="L252" s="31" t="s">
        <v>50</v>
      </c>
      <c r="M252" s="30" t="s">
        <v>48</v>
      </c>
      <c r="N252" s="2" t="s">
        <v>35</v>
      </c>
      <c r="O252" s="31" t="s">
        <v>105</v>
      </c>
      <c r="P252" s="30" t="s">
        <v>1671</v>
      </c>
      <c r="Q252" s="30" t="s">
        <v>43</v>
      </c>
      <c r="R252" s="31" t="s">
        <v>111</v>
      </c>
      <c r="S252" s="32">
        <v>219386</v>
      </c>
      <c r="T252" s="48" t="s">
        <v>44</v>
      </c>
      <c r="U252" s="33">
        <v>1.8605957</v>
      </c>
      <c r="V252" s="33">
        <v>-2.139404296875</v>
      </c>
      <c r="W252" s="34">
        <v>0</v>
      </c>
      <c r="X252" s="35">
        <v>0</v>
      </c>
    </row>
    <row r="253" spans="1:24" x14ac:dyDescent="0.25">
      <c r="A253" s="30" t="s">
        <v>1574</v>
      </c>
      <c r="B253" s="30" t="s">
        <v>777</v>
      </c>
      <c r="C253" s="30" t="s">
        <v>778</v>
      </c>
      <c r="D253" s="30" t="s">
        <v>1622</v>
      </c>
      <c r="E253" s="30" t="s">
        <v>1623</v>
      </c>
      <c r="F253" s="23" t="str">
        <f>HYPERLINK("https://mapwv.gov/flood/map/?wkid=102100&amp;x=-9095894.155144801&amp;y=4631305.741043413&amp;l=13&amp;v=2","FT")</f>
        <v>FT</v>
      </c>
      <c r="G253" s="31" t="s">
        <v>32</v>
      </c>
      <c r="H253" s="31" t="s">
        <v>25</v>
      </c>
      <c r="I253" s="30" t="s">
        <v>1646</v>
      </c>
      <c r="J253" s="31" t="s">
        <v>26</v>
      </c>
      <c r="K253" s="31" t="s">
        <v>1649</v>
      </c>
      <c r="L253" s="31" t="s">
        <v>57</v>
      </c>
      <c r="M253" s="30" t="s">
        <v>48</v>
      </c>
      <c r="N253" s="2" t="s">
        <v>35</v>
      </c>
      <c r="O253" s="31" t="s">
        <v>105</v>
      </c>
      <c r="P253" s="30" t="s">
        <v>1672</v>
      </c>
      <c r="Q253" s="30" t="s">
        <v>30</v>
      </c>
      <c r="R253" s="31" t="s">
        <v>110</v>
      </c>
      <c r="S253" s="32">
        <v>210500</v>
      </c>
      <c r="T253" s="48" t="s">
        <v>31</v>
      </c>
      <c r="U253" s="33">
        <v>0</v>
      </c>
      <c r="V253" s="33">
        <v>-1</v>
      </c>
      <c r="W253" s="34">
        <v>0</v>
      </c>
      <c r="X253" s="35">
        <v>0</v>
      </c>
    </row>
    <row r="254" spans="1:24" x14ac:dyDescent="0.25">
      <c r="A254" s="30" t="s">
        <v>1575</v>
      </c>
      <c r="B254" s="30" t="s">
        <v>777</v>
      </c>
      <c r="C254" s="30" t="s">
        <v>778</v>
      </c>
      <c r="D254" s="30" t="s">
        <v>1624</v>
      </c>
      <c r="E254" s="30" t="s">
        <v>1625</v>
      </c>
      <c r="F254" s="23" t="str">
        <f>HYPERLINK("https://mapwv.gov/flood/map/?wkid=102100&amp;x=-9099334.461743867&amp;y=4629290.196284723&amp;l=13&amp;v=2","FT")</f>
        <v>FT</v>
      </c>
      <c r="G254" s="31" t="s">
        <v>32</v>
      </c>
      <c r="H254" s="31" t="s">
        <v>25</v>
      </c>
      <c r="I254" s="30" t="s">
        <v>1647</v>
      </c>
      <c r="J254" s="31" t="s">
        <v>36</v>
      </c>
      <c r="K254" s="31" t="s">
        <v>83</v>
      </c>
      <c r="L254" s="31"/>
      <c r="M254" s="30" t="s">
        <v>66</v>
      </c>
      <c r="N254" s="2" t="s">
        <v>103</v>
      </c>
      <c r="O254" s="31" t="s">
        <v>105</v>
      </c>
      <c r="P254" s="30" t="s">
        <v>1673</v>
      </c>
      <c r="Q254" s="30" t="s">
        <v>30</v>
      </c>
      <c r="R254" s="31" t="s">
        <v>110</v>
      </c>
      <c r="S254" s="32">
        <v>207430</v>
      </c>
      <c r="T254" s="48" t="s">
        <v>31</v>
      </c>
      <c r="U254" s="33">
        <v>0</v>
      </c>
      <c r="V254" s="33">
        <v>-1</v>
      </c>
      <c r="W254" s="34">
        <v>0</v>
      </c>
      <c r="X254" s="35">
        <v>0</v>
      </c>
    </row>
    <row r="256" spans="1:24" x14ac:dyDescent="0.25">
      <c r="A256" s="3" t="s">
        <v>59</v>
      </c>
      <c r="B256" s="3" t="s">
        <v>1</v>
      </c>
      <c r="C256" s="3" t="s">
        <v>60</v>
      </c>
      <c r="D256" s="3" t="s">
        <v>61</v>
      </c>
      <c r="E256" s="3" t="s">
        <v>62</v>
      </c>
    </row>
    <row r="257" spans="1:24" x14ac:dyDescent="0.25">
      <c r="A257" s="3">
        <v>540083</v>
      </c>
      <c r="B257" s="1" t="s">
        <v>1752</v>
      </c>
      <c r="C257" s="3" t="s">
        <v>690</v>
      </c>
      <c r="D257" s="1" t="s">
        <v>63</v>
      </c>
      <c r="E257" s="3">
        <v>3</v>
      </c>
      <c r="S257" s="37" t="s">
        <v>1100</v>
      </c>
    </row>
    <row r="258" spans="1:24" x14ac:dyDescent="0.25">
      <c r="A258" s="30" t="s">
        <v>2284</v>
      </c>
      <c r="B258" s="30" t="s">
        <v>890</v>
      </c>
      <c r="C258" s="30" t="s">
        <v>778</v>
      </c>
      <c r="D258" s="30" t="s">
        <v>1722</v>
      </c>
      <c r="E258" s="30" t="s">
        <v>2285</v>
      </c>
      <c r="F258" s="23" t="str">
        <f>HYPERLINK("https://mapwv.gov/flood/map/?wkid=102100&amp;x=-9108280&amp;y=4634136&amp;l=12&amp;v=2","FT")</f>
        <v>FT</v>
      </c>
      <c r="G258" s="31" t="s">
        <v>32</v>
      </c>
      <c r="H258" s="31" t="s">
        <v>25</v>
      </c>
      <c r="I258" s="30" t="s">
        <v>1760</v>
      </c>
      <c r="J258" s="31" t="s">
        <v>26</v>
      </c>
      <c r="K258" s="31">
        <v>9999</v>
      </c>
      <c r="L258" s="31"/>
      <c r="M258" s="30" t="s">
        <v>28</v>
      </c>
      <c r="N258" s="2" t="s">
        <v>102</v>
      </c>
      <c r="O258" s="31" t="s">
        <v>105</v>
      </c>
      <c r="P258" s="50">
        <v>55000</v>
      </c>
      <c r="Q258" s="30" t="s">
        <v>30</v>
      </c>
      <c r="R258" s="49" t="s">
        <v>110</v>
      </c>
      <c r="S258" s="32">
        <v>28000000</v>
      </c>
      <c r="T258" s="30" t="s">
        <v>29</v>
      </c>
      <c r="U258" s="33">
        <v>0</v>
      </c>
      <c r="V258" s="33">
        <v>0</v>
      </c>
      <c r="W258" s="34">
        <v>0</v>
      </c>
      <c r="X258" s="35">
        <v>0</v>
      </c>
    </row>
    <row r="259" spans="1:24" x14ac:dyDescent="0.25">
      <c r="A259" s="30" t="s">
        <v>743</v>
      </c>
      <c r="B259" s="30" t="s">
        <v>890</v>
      </c>
      <c r="C259" s="30" t="s">
        <v>778</v>
      </c>
      <c r="D259" s="30" t="s">
        <v>891</v>
      </c>
      <c r="E259" s="30" t="s">
        <v>892</v>
      </c>
      <c r="F259" s="23" t="s">
        <v>24</v>
      </c>
      <c r="G259" s="31" t="s">
        <v>53</v>
      </c>
      <c r="H259" s="31" t="s">
        <v>25</v>
      </c>
      <c r="I259" s="31" t="s">
        <v>982</v>
      </c>
      <c r="J259" s="31" t="s">
        <v>39</v>
      </c>
      <c r="K259" s="31" t="s">
        <v>640</v>
      </c>
      <c r="L259" s="31" t="s">
        <v>50</v>
      </c>
      <c r="M259" s="30" t="s">
        <v>48</v>
      </c>
      <c r="N259" s="2" t="s">
        <v>35</v>
      </c>
      <c r="O259" s="31" t="s">
        <v>105</v>
      </c>
      <c r="P259" s="30" t="s">
        <v>1065</v>
      </c>
      <c r="Q259" s="30" t="s">
        <v>30</v>
      </c>
      <c r="R259" s="31" t="s">
        <v>110</v>
      </c>
      <c r="S259" s="32">
        <v>3933700</v>
      </c>
      <c r="T259" s="48" t="s">
        <v>31</v>
      </c>
      <c r="U259" s="33">
        <v>1</v>
      </c>
      <c r="V259" s="33">
        <v>0</v>
      </c>
      <c r="W259" s="34">
        <v>0.01</v>
      </c>
      <c r="X259" s="35">
        <v>39337</v>
      </c>
    </row>
    <row r="260" spans="1:24" x14ac:dyDescent="0.25">
      <c r="A260" s="30" t="s">
        <v>747</v>
      </c>
      <c r="B260" s="30" t="s">
        <v>890</v>
      </c>
      <c r="C260" s="30" t="s">
        <v>778</v>
      </c>
      <c r="D260" s="30" t="s">
        <v>898</v>
      </c>
      <c r="E260" s="30" t="s">
        <v>899</v>
      </c>
      <c r="F260" s="23" t="s">
        <v>24</v>
      </c>
      <c r="G260" s="31" t="s">
        <v>53</v>
      </c>
      <c r="H260" s="31" t="s">
        <v>25</v>
      </c>
      <c r="I260" s="31" t="s">
        <v>985</v>
      </c>
      <c r="J260" s="31" t="s">
        <v>39</v>
      </c>
      <c r="K260" s="31" t="s">
        <v>999</v>
      </c>
      <c r="L260" s="31"/>
      <c r="M260" s="30" t="s">
        <v>68</v>
      </c>
      <c r="N260" s="2" t="s">
        <v>101</v>
      </c>
      <c r="O260" s="31" t="s">
        <v>105</v>
      </c>
      <c r="P260" s="30" t="s">
        <v>1069</v>
      </c>
      <c r="Q260" s="30" t="s">
        <v>30</v>
      </c>
      <c r="R260" s="31" t="s">
        <v>110</v>
      </c>
      <c r="S260" s="32">
        <v>3591331</v>
      </c>
      <c r="T260" s="48" t="s">
        <v>69</v>
      </c>
      <c r="U260" s="33">
        <v>1.1170654</v>
      </c>
      <c r="V260" s="33">
        <v>0.1170654296875</v>
      </c>
      <c r="W260" s="34">
        <v>5.8532714843750003E-3</v>
      </c>
      <c r="X260" s="35">
        <v>21021.035333251901</v>
      </c>
    </row>
    <row r="261" spans="1:24" x14ac:dyDescent="0.25">
      <c r="A261" s="30" t="s">
        <v>775</v>
      </c>
      <c r="B261" s="30" t="s">
        <v>890</v>
      </c>
      <c r="C261" s="30" t="s">
        <v>778</v>
      </c>
      <c r="D261" s="30" t="s">
        <v>955</v>
      </c>
      <c r="E261" s="30" t="s">
        <v>956</v>
      </c>
      <c r="F261" s="23" t="s">
        <v>24</v>
      </c>
      <c r="G261" s="31" t="s">
        <v>53</v>
      </c>
      <c r="H261" s="31" t="s">
        <v>25</v>
      </c>
      <c r="I261" s="31" t="s">
        <v>996</v>
      </c>
      <c r="J261" s="31" t="s">
        <v>26</v>
      </c>
      <c r="K261" s="31" t="s">
        <v>118</v>
      </c>
      <c r="L261" s="31" t="s">
        <v>45</v>
      </c>
      <c r="M261" s="30" t="s">
        <v>48</v>
      </c>
      <c r="N261" s="2" t="s">
        <v>35</v>
      </c>
      <c r="O261" s="31" t="s">
        <v>106</v>
      </c>
      <c r="P261" s="30" t="s">
        <v>1097</v>
      </c>
      <c r="Q261" s="30" t="s">
        <v>30</v>
      </c>
      <c r="R261" s="31" t="s">
        <v>110</v>
      </c>
      <c r="S261" s="32">
        <v>2054800</v>
      </c>
      <c r="T261" s="48" t="s">
        <v>31</v>
      </c>
      <c r="U261" s="33">
        <v>3.7153320000000001</v>
      </c>
      <c r="V261" s="33">
        <v>2.71533203125</v>
      </c>
      <c r="W261" s="34">
        <v>0.15430664062499999</v>
      </c>
      <c r="X261" s="35">
        <v>317069.28515625</v>
      </c>
    </row>
    <row r="262" spans="1:24" x14ac:dyDescent="0.25">
      <c r="A262" s="30" t="s">
        <v>1674</v>
      </c>
      <c r="B262" s="30" t="s">
        <v>890</v>
      </c>
      <c r="C262" s="30" t="s">
        <v>778</v>
      </c>
      <c r="D262" s="30" t="s">
        <v>1701</v>
      </c>
      <c r="E262" s="30" t="s">
        <v>1702</v>
      </c>
      <c r="F262" s="23" t="str">
        <f>HYPERLINK("https://mapwv.gov/flood/map/?wkid=102100&amp;x=-9108693.74934437&amp;y=4633745.644929068&amp;l=13&amp;v=2","FT")</f>
        <v>FT</v>
      </c>
      <c r="G262" s="31" t="s">
        <v>79</v>
      </c>
      <c r="H262" s="31" t="s">
        <v>25</v>
      </c>
      <c r="I262" s="31" t="s">
        <v>1753</v>
      </c>
      <c r="J262" s="31" t="s">
        <v>39</v>
      </c>
      <c r="K262" s="31" t="s">
        <v>1279</v>
      </c>
      <c r="L262" s="31"/>
      <c r="M262" s="30" t="s">
        <v>68</v>
      </c>
      <c r="N262" s="2" t="s">
        <v>101</v>
      </c>
      <c r="O262" s="31" t="s">
        <v>106</v>
      </c>
      <c r="P262" s="30" t="s">
        <v>1773</v>
      </c>
      <c r="Q262" s="30" t="s">
        <v>30</v>
      </c>
      <c r="R262" s="31" t="s">
        <v>110</v>
      </c>
      <c r="S262" s="32">
        <v>1668056</v>
      </c>
      <c r="T262" s="48" t="s">
        <v>112</v>
      </c>
      <c r="U262" s="33">
        <v>0</v>
      </c>
      <c r="V262" s="33">
        <v>-1</v>
      </c>
      <c r="W262" s="34">
        <v>0</v>
      </c>
      <c r="X262" s="35">
        <v>0</v>
      </c>
    </row>
    <row r="263" spans="1:24" x14ac:dyDescent="0.25">
      <c r="A263" s="30" t="s">
        <v>1675</v>
      </c>
      <c r="B263" s="30" t="s">
        <v>890</v>
      </c>
      <c r="C263" s="30" t="s">
        <v>778</v>
      </c>
      <c r="D263" s="30" t="s">
        <v>1703</v>
      </c>
      <c r="E263" s="30" t="s">
        <v>1704</v>
      </c>
      <c r="F263" s="23" t="str">
        <f>HYPERLINK("https://mapwv.gov/flood/map/?wkid=102100&amp;x=-9107867.782879014&amp;y=4634184.961844618&amp;l=13&amp;v=2","FT")</f>
        <v>FT</v>
      </c>
      <c r="G263" s="31" t="s">
        <v>53</v>
      </c>
      <c r="H263" s="31" t="s">
        <v>25</v>
      </c>
      <c r="I263" s="31" t="s">
        <v>1754</v>
      </c>
      <c r="J263" s="31" t="s">
        <v>26</v>
      </c>
      <c r="K263" s="31" t="s">
        <v>108</v>
      </c>
      <c r="L263" s="31"/>
      <c r="M263" s="30" t="s">
        <v>66</v>
      </c>
      <c r="N263" s="2" t="s">
        <v>103</v>
      </c>
      <c r="O263" s="31" t="s">
        <v>105</v>
      </c>
      <c r="P263" s="30" t="s">
        <v>1774</v>
      </c>
      <c r="Q263" s="30" t="s">
        <v>30</v>
      </c>
      <c r="R263" s="31" t="s">
        <v>110</v>
      </c>
      <c r="S263" s="32">
        <v>1304100</v>
      </c>
      <c r="T263" s="48" t="s">
        <v>44</v>
      </c>
      <c r="U263" s="33">
        <v>0.13342285000000001</v>
      </c>
      <c r="V263" s="33">
        <v>-0.8665771484375</v>
      </c>
      <c r="W263" s="34">
        <v>0</v>
      </c>
      <c r="X263" s="35">
        <v>0</v>
      </c>
    </row>
    <row r="264" spans="1:24" x14ac:dyDescent="0.25">
      <c r="A264" s="30" t="s">
        <v>1676</v>
      </c>
      <c r="B264" s="30" t="s">
        <v>890</v>
      </c>
      <c r="C264" s="30" t="s">
        <v>778</v>
      </c>
      <c r="D264" s="30" t="s">
        <v>1705</v>
      </c>
      <c r="E264" s="30" t="s">
        <v>1706</v>
      </c>
      <c r="F264" s="23" t="str">
        <f>HYPERLINK("https://mapwv.gov/flood/map/?wkid=102100&amp;x=-9107067.266164321&amp;y=4633727.38841215&amp;l=13&amp;v=2","FT")</f>
        <v>FT</v>
      </c>
      <c r="G264" s="31" t="s">
        <v>53</v>
      </c>
      <c r="H264" s="31" t="s">
        <v>25</v>
      </c>
      <c r="I264" s="31" t="s">
        <v>1755</v>
      </c>
      <c r="J264" s="31" t="s">
        <v>26</v>
      </c>
      <c r="K264" s="31" t="s">
        <v>375</v>
      </c>
      <c r="L264" s="31" t="s">
        <v>57</v>
      </c>
      <c r="M264" s="30" t="s">
        <v>56</v>
      </c>
      <c r="N264" s="2" t="s">
        <v>35</v>
      </c>
      <c r="O264" s="31" t="s">
        <v>105</v>
      </c>
      <c r="P264" s="30" t="s">
        <v>1775</v>
      </c>
      <c r="Q264" s="30" t="s">
        <v>30</v>
      </c>
      <c r="R264" s="31" t="s">
        <v>110</v>
      </c>
      <c r="S264" s="32">
        <v>577843</v>
      </c>
      <c r="T264" s="48" t="s">
        <v>44</v>
      </c>
      <c r="U264" s="33">
        <v>0.77130127000000004</v>
      </c>
      <c r="V264" s="33">
        <v>-0.22869873046875</v>
      </c>
      <c r="W264" s="34">
        <v>1.5426025390625001E-2</v>
      </c>
      <c r="X264" s="35">
        <v>8913.8207897949196</v>
      </c>
    </row>
    <row r="265" spans="1:24" x14ac:dyDescent="0.25">
      <c r="A265" s="30" t="s">
        <v>1677</v>
      </c>
      <c r="B265" s="30" t="s">
        <v>890</v>
      </c>
      <c r="C265" s="30" t="s">
        <v>778</v>
      </c>
      <c r="D265" s="30" t="s">
        <v>1707</v>
      </c>
      <c r="E265" s="30" t="s">
        <v>1708</v>
      </c>
      <c r="F265" s="23" t="str">
        <f>HYPERLINK("https://mapwv.gov/flood/map/?wkid=102100&amp;x=-9110176.502252562&amp;y=4634212.325555156&amp;l=13&amp;v=2","FT")</f>
        <v>FT</v>
      </c>
      <c r="G265" s="31" t="s">
        <v>79</v>
      </c>
      <c r="H265" s="31" t="s">
        <v>25</v>
      </c>
      <c r="I265" s="31" t="s">
        <v>1756</v>
      </c>
      <c r="J265" s="31" t="s">
        <v>39</v>
      </c>
      <c r="K265" s="31" t="s">
        <v>134</v>
      </c>
      <c r="L265" s="31"/>
      <c r="M265" s="30" t="s">
        <v>71</v>
      </c>
      <c r="N265" s="2" t="s">
        <v>102</v>
      </c>
      <c r="O265" s="31" t="s">
        <v>106</v>
      </c>
      <c r="P265" s="30" t="s">
        <v>140</v>
      </c>
      <c r="Q265" s="30" t="s">
        <v>30</v>
      </c>
      <c r="R265" s="31" t="s">
        <v>110</v>
      </c>
      <c r="S265" s="32">
        <v>556019</v>
      </c>
      <c r="T265" s="48" t="s">
        <v>112</v>
      </c>
      <c r="U265" s="33">
        <v>0</v>
      </c>
      <c r="V265" s="33">
        <v>-1</v>
      </c>
      <c r="W265" s="34">
        <v>0</v>
      </c>
      <c r="X265" s="35">
        <v>0</v>
      </c>
    </row>
    <row r="266" spans="1:24" x14ac:dyDescent="0.25">
      <c r="A266" s="30" t="s">
        <v>1678</v>
      </c>
      <c r="B266" s="30" t="s">
        <v>890</v>
      </c>
      <c r="C266" s="30" t="s">
        <v>1709</v>
      </c>
      <c r="D266" s="30" t="s">
        <v>1710</v>
      </c>
      <c r="E266" s="30" t="s">
        <v>1711</v>
      </c>
      <c r="F266" s="23" t="s">
        <v>24</v>
      </c>
      <c r="G266" s="31" t="s">
        <v>38</v>
      </c>
      <c r="H266" s="31" t="s">
        <v>25</v>
      </c>
      <c r="I266" s="31" t="s">
        <v>1757</v>
      </c>
      <c r="J266" s="31" t="s">
        <v>26</v>
      </c>
      <c r="K266" s="31" t="s">
        <v>132</v>
      </c>
      <c r="L266" s="31" t="s">
        <v>57</v>
      </c>
      <c r="M266" s="30" t="s">
        <v>58</v>
      </c>
      <c r="N266" s="2" t="s">
        <v>42</v>
      </c>
      <c r="O266" s="31" t="s">
        <v>106</v>
      </c>
      <c r="P266" s="30" t="s">
        <v>1776</v>
      </c>
      <c r="Q266" s="30" t="s">
        <v>43</v>
      </c>
      <c r="R266" s="31" t="s">
        <v>111</v>
      </c>
      <c r="S266" s="32">
        <v>518400</v>
      </c>
      <c r="T266" s="48" t="s">
        <v>31</v>
      </c>
      <c r="U266" s="33">
        <v>0</v>
      </c>
      <c r="V266" s="33">
        <v>-4</v>
      </c>
      <c r="W266" s="34">
        <v>0</v>
      </c>
      <c r="X266" s="35">
        <v>0</v>
      </c>
    </row>
    <row r="267" spans="1:24" x14ac:dyDescent="0.25">
      <c r="A267" s="30" t="s">
        <v>1679</v>
      </c>
      <c r="B267" s="30" t="s">
        <v>890</v>
      </c>
      <c r="C267" s="30" t="s">
        <v>778</v>
      </c>
      <c r="D267" s="30" t="s">
        <v>1712</v>
      </c>
      <c r="E267" s="30" t="s">
        <v>1713</v>
      </c>
      <c r="F267" s="23" t="s">
        <v>24</v>
      </c>
      <c r="G267" s="31" t="s">
        <v>53</v>
      </c>
      <c r="H267" s="31" t="s">
        <v>25</v>
      </c>
      <c r="I267" s="31" t="s">
        <v>982</v>
      </c>
      <c r="J267" s="31" t="s">
        <v>26</v>
      </c>
      <c r="K267" s="31" t="s">
        <v>108</v>
      </c>
      <c r="L267" s="31" t="s">
        <v>40</v>
      </c>
      <c r="M267" s="30" t="s">
        <v>48</v>
      </c>
      <c r="N267" s="2" t="s">
        <v>35</v>
      </c>
      <c r="O267" s="31" t="s">
        <v>105</v>
      </c>
      <c r="P267" s="30" t="s">
        <v>1777</v>
      </c>
      <c r="Q267" s="30" t="s">
        <v>30</v>
      </c>
      <c r="R267" s="31" t="s">
        <v>110</v>
      </c>
      <c r="S267" s="32">
        <v>515500</v>
      </c>
      <c r="T267" s="48" t="s">
        <v>44</v>
      </c>
      <c r="U267" s="33">
        <v>2.4182130000000002</v>
      </c>
      <c r="V267" s="33">
        <v>1.418212890625</v>
      </c>
      <c r="W267" s="34">
        <v>0.11091064453125</v>
      </c>
      <c r="X267" s="35">
        <v>57174.437255859302</v>
      </c>
    </row>
    <row r="268" spans="1:24" x14ac:dyDescent="0.25">
      <c r="A268" s="30" t="s">
        <v>1680</v>
      </c>
      <c r="B268" s="30" t="s">
        <v>890</v>
      </c>
      <c r="C268" s="30" t="s">
        <v>1709</v>
      </c>
      <c r="D268" s="30" t="s">
        <v>1710</v>
      </c>
      <c r="E268" s="30" t="s">
        <v>1714</v>
      </c>
      <c r="F268" s="23" t="s">
        <v>24</v>
      </c>
      <c r="G268" s="31" t="s">
        <v>38</v>
      </c>
      <c r="H268" s="31" t="s">
        <v>25</v>
      </c>
      <c r="I268" s="31" t="s">
        <v>1757</v>
      </c>
      <c r="J268" s="31" t="s">
        <v>26</v>
      </c>
      <c r="K268" s="31" t="s">
        <v>132</v>
      </c>
      <c r="L268" s="31" t="s">
        <v>57</v>
      </c>
      <c r="M268" s="30" t="s">
        <v>58</v>
      </c>
      <c r="N268" s="2" t="s">
        <v>42</v>
      </c>
      <c r="O268" s="31" t="s">
        <v>106</v>
      </c>
      <c r="P268" s="30" t="s">
        <v>1776</v>
      </c>
      <c r="Q268" s="30" t="s">
        <v>43</v>
      </c>
      <c r="R268" s="31" t="s">
        <v>111</v>
      </c>
      <c r="S268" s="32">
        <v>503500</v>
      </c>
      <c r="T268" s="48" t="s">
        <v>31</v>
      </c>
      <c r="U268" s="33">
        <v>0</v>
      </c>
      <c r="V268" s="33">
        <v>-4</v>
      </c>
      <c r="W268" s="34">
        <v>0</v>
      </c>
      <c r="X268" s="35">
        <v>0</v>
      </c>
    </row>
    <row r="269" spans="1:24" x14ac:dyDescent="0.25">
      <c r="A269" s="30" t="s">
        <v>1681</v>
      </c>
      <c r="B269" s="30" t="s">
        <v>890</v>
      </c>
      <c r="C269" s="30" t="s">
        <v>778</v>
      </c>
      <c r="D269" s="30" t="s">
        <v>891</v>
      </c>
      <c r="E269" s="30" t="s">
        <v>1715</v>
      </c>
      <c r="F269" s="23" t="str">
        <f>HYPERLINK("https://mapwv.gov/flood/map/?wkid=102100&amp;x=-9108408.076702995&amp;y=4634313.202963889&amp;l=13&amp;v=2","FT")</f>
        <v>FT</v>
      </c>
      <c r="G269" s="31" t="s">
        <v>53</v>
      </c>
      <c r="H269" s="31" t="s">
        <v>25</v>
      </c>
      <c r="I269" s="31" t="s">
        <v>982</v>
      </c>
      <c r="J269" s="31" t="s">
        <v>39</v>
      </c>
      <c r="K269" s="31" t="s">
        <v>640</v>
      </c>
      <c r="L269" s="31" t="s">
        <v>50</v>
      </c>
      <c r="M269" s="30" t="s">
        <v>48</v>
      </c>
      <c r="N269" s="2" t="s">
        <v>35</v>
      </c>
      <c r="O269" s="31" t="s">
        <v>105</v>
      </c>
      <c r="P269" s="30" t="s">
        <v>1778</v>
      </c>
      <c r="Q269" s="30" t="s">
        <v>30</v>
      </c>
      <c r="R269" s="31" t="s">
        <v>110</v>
      </c>
      <c r="S269" s="32">
        <v>452200</v>
      </c>
      <c r="T269" s="48" t="s">
        <v>31</v>
      </c>
      <c r="U269" s="33">
        <v>2.4647827000000002</v>
      </c>
      <c r="V269" s="33">
        <v>1.46478271484375</v>
      </c>
      <c r="W269" s="34">
        <v>0.113239135742187</v>
      </c>
      <c r="X269" s="35">
        <v>51206.7371826171</v>
      </c>
    </row>
    <row r="270" spans="1:24" x14ac:dyDescent="0.25">
      <c r="A270" s="30" t="s">
        <v>1682</v>
      </c>
      <c r="B270" s="30" t="s">
        <v>890</v>
      </c>
      <c r="C270" s="30" t="s">
        <v>778</v>
      </c>
      <c r="D270" s="30" t="s">
        <v>1716</v>
      </c>
      <c r="E270" s="30" t="s">
        <v>1717</v>
      </c>
      <c r="F270" s="23" t="str">
        <f>HYPERLINK("https://mapwv.gov/flood/map/?wkid=102100&amp;x=-9108492.27921111&amp;y=4634153.332555363&amp;l=13&amp;v=2","FT")</f>
        <v>FT</v>
      </c>
      <c r="G270" s="31" t="s">
        <v>53</v>
      </c>
      <c r="H270" s="31" t="s">
        <v>25</v>
      </c>
      <c r="I270" s="31" t="s">
        <v>982</v>
      </c>
      <c r="J270" s="31" t="s">
        <v>39</v>
      </c>
      <c r="K270" s="31" t="s">
        <v>640</v>
      </c>
      <c r="L270" s="31" t="s">
        <v>50</v>
      </c>
      <c r="M270" s="30" t="s">
        <v>48</v>
      </c>
      <c r="N270" s="2" t="s">
        <v>35</v>
      </c>
      <c r="O270" s="31" t="s">
        <v>105</v>
      </c>
      <c r="P270" s="30" t="s">
        <v>1779</v>
      </c>
      <c r="Q270" s="30" t="s">
        <v>30</v>
      </c>
      <c r="R270" s="31" t="s">
        <v>110</v>
      </c>
      <c r="S270" s="32">
        <v>451644</v>
      </c>
      <c r="T270" s="48" t="s">
        <v>44</v>
      </c>
      <c r="U270" s="33">
        <v>3.9033812999999999</v>
      </c>
      <c r="V270" s="33">
        <v>2.90338134765625</v>
      </c>
      <c r="W270" s="34">
        <v>0.15806762695312501</v>
      </c>
      <c r="X270" s="35">
        <v>71390.295307617198</v>
      </c>
    </row>
    <row r="271" spans="1:24" x14ac:dyDescent="0.25">
      <c r="A271" s="30" t="s">
        <v>1683</v>
      </c>
      <c r="B271" s="30" t="s">
        <v>890</v>
      </c>
      <c r="C271" s="30" t="s">
        <v>778</v>
      </c>
      <c r="D271" s="30" t="s">
        <v>1718</v>
      </c>
      <c r="E271" s="30" t="s">
        <v>1719</v>
      </c>
      <c r="F271" s="23" t="str">
        <f>HYPERLINK("https://mapwv.gov/flood/map/?wkid=102100&amp;x=-9106583.69084541&amp;y=4633889.423163409&amp;l=13&amp;v=2","FT")</f>
        <v>FT</v>
      </c>
      <c r="G271" s="31" t="s">
        <v>53</v>
      </c>
      <c r="H271" s="31" t="s">
        <v>25</v>
      </c>
      <c r="I271" s="31" t="s">
        <v>1758</v>
      </c>
      <c r="J271" s="31" t="s">
        <v>26</v>
      </c>
      <c r="K271" s="31" t="s">
        <v>94</v>
      </c>
      <c r="L271" s="31" t="s">
        <v>47</v>
      </c>
      <c r="M271" s="30" t="s">
        <v>46</v>
      </c>
      <c r="N271" s="2" t="s">
        <v>35</v>
      </c>
      <c r="O271" s="31" t="s">
        <v>105</v>
      </c>
      <c r="P271" s="30" t="s">
        <v>1780</v>
      </c>
      <c r="Q271" s="30" t="s">
        <v>30</v>
      </c>
      <c r="R271" s="31" t="s">
        <v>110</v>
      </c>
      <c r="S271" s="32">
        <v>447800</v>
      </c>
      <c r="T271" s="48" t="s">
        <v>44</v>
      </c>
      <c r="U271" s="33">
        <v>0.29248046999999999</v>
      </c>
      <c r="V271" s="33">
        <v>-0.70751953125</v>
      </c>
      <c r="W271" s="34">
        <v>0</v>
      </c>
      <c r="X271" s="35">
        <v>0</v>
      </c>
    </row>
    <row r="272" spans="1:24" x14ac:dyDescent="0.25">
      <c r="A272" s="30" t="s">
        <v>1684</v>
      </c>
      <c r="B272" s="30" t="s">
        <v>890</v>
      </c>
      <c r="C272" s="30" t="s">
        <v>778</v>
      </c>
      <c r="D272" s="30" t="s">
        <v>1720</v>
      </c>
      <c r="E272" s="30" t="s">
        <v>1721</v>
      </c>
      <c r="F272" s="23" t="str">
        <f>HYPERLINK("https://mapwv.gov/flood/map/?wkid=102100&amp;x=-9106226.213681573&amp;y=4633671.093570917&amp;l=13&amp;v=2","FT")</f>
        <v>FT</v>
      </c>
      <c r="G272" s="31" t="s">
        <v>53</v>
      </c>
      <c r="H272" s="31" t="s">
        <v>25</v>
      </c>
      <c r="I272" s="31" t="s">
        <v>1759</v>
      </c>
      <c r="J272" s="31" t="s">
        <v>26</v>
      </c>
      <c r="K272" s="31" t="s">
        <v>92</v>
      </c>
      <c r="L272" s="31" t="s">
        <v>50</v>
      </c>
      <c r="M272" s="30" t="s">
        <v>48</v>
      </c>
      <c r="N272" s="2" t="s">
        <v>35</v>
      </c>
      <c r="O272" s="31" t="s">
        <v>105</v>
      </c>
      <c r="P272" s="30" t="s">
        <v>1781</v>
      </c>
      <c r="Q272" s="30" t="s">
        <v>30</v>
      </c>
      <c r="R272" s="31" t="s">
        <v>110</v>
      </c>
      <c r="S272" s="32">
        <v>445470</v>
      </c>
      <c r="T272" s="48" t="s">
        <v>44</v>
      </c>
      <c r="U272" s="33">
        <v>0.67163086000000005</v>
      </c>
      <c r="V272" s="33">
        <v>-0.328369140625</v>
      </c>
      <c r="W272" s="34">
        <v>6.7163085937500004E-3</v>
      </c>
      <c r="X272" s="35">
        <v>2991.91398925781</v>
      </c>
    </row>
    <row r="273" spans="1:24" x14ac:dyDescent="0.25">
      <c r="A273" s="30" t="s">
        <v>1685</v>
      </c>
      <c r="B273" s="30" t="s">
        <v>890</v>
      </c>
      <c r="C273" s="30" t="s">
        <v>778</v>
      </c>
      <c r="D273" s="30" t="s">
        <v>1722</v>
      </c>
      <c r="E273" s="30" t="s">
        <v>1723</v>
      </c>
      <c r="F273" s="23" t="str">
        <f>HYPERLINK("https://mapwv.gov/flood/map/?wkid=102100&amp;x=-9108300.363629745&amp;y=4634285.327997484&amp;l=13&amp;v=2","FT")</f>
        <v>FT</v>
      </c>
      <c r="G273" s="31" t="s">
        <v>53</v>
      </c>
      <c r="H273" s="31" t="s">
        <v>25</v>
      </c>
      <c r="I273" s="31" t="s">
        <v>1760</v>
      </c>
      <c r="J273" s="31" t="s">
        <v>39</v>
      </c>
      <c r="K273" s="31" t="s">
        <v>134</v>
      </c>
      <c r="L273" s="31"/>
      <c r="M273" s="30" t="s">
        <v>28</v>
      </c>
      <c r="N273" s="2" t="s">
        <v>102</v>
      </c>
      <c r="O273" s="31" t="s">
        <v>105</v>
      </c>
      <c r="P273" s="30" t="s">
        <v>1782</v>
      </c>
      <c r="Q273" s="30" t="s">
        <v>30</v>
      </c>
      <c r="R273" s="31" t="s">
        <v>110</v>
      </c>
      <c r="S273" s="32">
        <v>389743</v>
      </c>
      <c r="T273" s="48" t="s">
        <v>112</v>
      </c>
      <c r="U273" s="33">
        <v>1.4890137000000001</v>
      </c>
      <c r="V273" s="33">
        <v>0.489013671875</v>
      </c>
      <c r="W273" s="34">
        <v>2.4450683593750001E-2</v>
      </c>
      <c r="X273" s="35">
        <v>9529.4827758788997</v>
      </c>
    </row>
    <row r="274" spans="1:24" x14ac:dyDescent="0.25">
      <c r="A274" s="30" t="s">
        <v>1686</v>
      </c>
      <c r="B274" s="30" t="s">
        <v>890</v>
      </c>
      <c r="C274" s="30" t="s">
        <v>1724</v>
      </c>
      <c r="D274" s="30" t="s">
        <v>1725</v>
      </c>
      <c r="E274" s="30" t="s">
        <v>1726</v>
      </c>
      <c r="F274" s="23" t="str">
        <f>HYPERLINK("https://mapwv.gov/flood/map/?wkid=102100&amp;x=-9106674.250141729&amp;y=4632948.845673353&amp;l=13&amp;v=2","FT")</f>
        <v>FT</v>
      </c>
      <c r="G274" s="31" t="s">
        <v>38</v>
      </c>
      <c r="H274" s="31" t="s">
        <v>25</v>
      </c>
      <c r="I274" s="31" t="s">
        <v>1761</v>
      </c>
      <c r="J274" s="31" t="s">
        <v>26</v>
      </c>
      <c r="K274" s="31" t="s">
        <v>93</v>
      </c>
      <c r="L274" s="31" t="s">
        <v>45</v>
      </c>
      <c r="M274" s="30" t="s">
        <v>52</v>
      </c>
      <c r="N274" s="2" t="s">
        <v>35</v>
      </c>
      <c r="O274" s="31" t="s">
        <v>106</v>
      </c>
      <c r="P274" s="30" t="s">
        <v>1783</v>
      </c>
      <c r="Q274" s="30" t="s">
        <v>30</v>
      </c>
      <c r="R274" s="31" t="s">
        <v>110</v>
      </c>
      <c r="S274" s="32">
        <v>384600</v>
      </c>
      <c r="T274" s="48" t="s">
        <v>31</v>
      </c>
      <c r="U274" s="33">
        <v>0</v>
      </c>
      <c r="V274" s="33">
        <v>-1</v>
      </c>
      <c r="W274" s="34">
        <v>0</v>
      </c>
      <c r="X274" s="35">
        <v>0</v>
      </c>
    </row>
    <row r="275" spans="1:24" x14ac:dyDescent="0.25">
      <c r="A275" s="30" t="s">
        <v>1687</v>
      </c>
      <c r="B275" s="30" t="s">
        <v>890</v>
      </c>
      <c r="C275" s="30" t="s">
        <v>778</v>
      </c>
      <c r="D275" s="30" t="s">
        <v>1727</v>
      </c>
      <c r="E275" s="30" t="s">
        <v>1728</v>
      </c>
      <c r="F275" s="23" t="str">
        <f>HYPERLINK("https://mapwv.gov/flood/map/?wkid=102100&amp;x=-9108106.590905316&amp;y=4633986.990708309&amp;l=13&amp;v=2","FT")</f>
        <v>FT</v>
      </c>
      <c r="G275" s="31" t="s">
        <v>53</v>
      </c>
      <c r="H275" s="31" t="s">
        <v>25</v>
      </c>
      <c r="I275" s="31" t="s">
        <v>1762</v>
      </c>
      <c r="J275" s="31" t="s">
        <v>26</v>
      </c>
      <c r="K275" s="31" t="s">
        <v>93</v>
      </c>
      <c r="L275" s="31" t="s">
        <v>27</v>
      </c>
      <c r="M275" s="30" t="s">
        <v>41</v>
      </c>
      <c r="N275" s="2" t="s">
        <v>42</v>
      </c>
      <c r="O275" s="31" t="s">
        <v>106</v>
      </c>
      <c r="P275" s="30" t="s">
        <v>1784</v>
      </c>
      <c r="Q275" s="30" t="s">
        <v>43</v>
      </c>
      <c r="R275" s="31" t="s">
        <v>111</v>
      </c>
      <c r="S275" s="32">
        <v>348500</v>
      </c>
      <c r="T275" s="48" t="s">
        <v>31</v>
      </c>
      <c r="U275" s="33">
        <v>6.814514</v>
      </c>
      <c r="V275" s="33">
        <v>2.81451416015625</v>
      </c>
      <c r="W275" s="34">
        <v>0.28443542480468698</v>
      </c>
      <c r="X275" s="35">
        <v>99125.745544433506</v>
      </c>
    </row>
    <row r="276" spans="1:24" x14ac:dyDescent="0.25">
      <c r="A276" s="30" t="s">
        <v>1688</v>
      </c>
      <c r="B276" s="30" t="s">
        <v>890</v>
      </c>
      <c r="C276" s="30" t="s">
        <v>778</v>
      </c>
      <c r="D276" s="30" t="s">
        <v>1729</v>
      </c>
      <c r="E276" s="30" t="s">
        <v>1730</v>
      </c>
      <c r="F276" s="23" t="str">
        <f>HYPERLINK("https://mapwv.gov/flood/map/?wkid=102100&amp;x=-9107346.079298675&amp;y=4633956.107892513&amp;l=13&amp;v=2","FT")</f>
        <v>FT</v>
      </c>
      <c r="G276" s="31" t="s">
        <v>53</v>
      </c>
      <c r="H276" s="31" t="s">
        <v>25</v>
      </c>
      <c r="I276" s="31" t="s">
        <v>1763</v>
      </c>
      <c r="J276" s="31" t="s">
        <v>39</v>
      </c>
      <c r="K276" s="31" t="s">
        <v>1004</v>
      </c>
      <c r="L276" s="31"/>
      <c r="M276" s="30" t="s">
        <v>66</v>
      </c>
      <c r="N276" s="2" t="s">
        <v>103</v>
      </c>
      <c r="O276" s="31" t="s">
        <v>105</v>
      </c>
      <c r="P276" s="30" t="s">
        <v>1785</v>
      </c>
      <c r="Q276" s="30" t="s">
        <v>30</v>
      </c>
      <c r="R276" s="31" t="s">
        <v>110</v>
      </c>
      <c r="S276" s="32">
        <v>322100</v>
      </c>
      <c r="T276" s="48" t="s">
        <v>44</v>
      </c>
      <c r="U276" s="33">
        <v>1.8817748999999999</v>
      </c>
      <c r="V276" s="33">
        <v>0.88177490234375</v>
      </c>
      <c r="W276" s="34">
        <v>8.8177490234375003E-2</v>
      </c>
      <c r="X276" s="35">
        <v>28401.9696044921</v>
      </c>
    </row>
    <row r="277" spans="1:24" x14ac:dyDescent="0.25">
      <c r="A277" s="30" t="s">
        <v>1689</v>
      </c>
      <c r="B277" s="30" t="s">
        <v>890</v>
      </c>
      <c r="C277" s="30" t="s">
        <v>778</v>
      </c>
      <c r="D277" s="30" t="s">
        <v>1731</v>
      </c>
      <c r="E277" s="30" t="s">
        <v>1732</v>
      </c>
      <c r="F277" s="23" t="str">
        <f>HYPERLINK("https://mapwv.gov/flood/map/?wkid=102100&amp;x=-9110141.210411757&amp;y=4634423.967487632&amp;l=13&amp;v=2","FT")</f>
        <v>FT</v>
      </c>
      <c r="G277" s="31" t="s">
        <v>53</v>
      </c>
      <c r="H277" s="31" t="s">
        <v>25</v>
      </c>
      <c r="I277" s="31" t="s">
        <v>1764</v>
      </c>
      <c r="J277" s="31" t="s">
        <v>36</v>
      </c>
      <c r="K277" s="31" t="s">
        <v>83</v>
      </c>
      <c r="L277" s="31"/>
      <c r="M277" s="30" t="s">
        <v>66</v>
      </c>
      <c r="N277" s="2" t="s">
        <v>103</v>
      </c>
      <c r="O277" s="31" t="s">
        <v>105</v>
      </c>
      <c r="P277" s="30" t="s">
        <v>1786</v>
      </c>
      <c r="Q277" s="30" t="s">
        <v>30</v>
      </c>
      <c r="R277" s="31" t="s">
        <v>110</v>
      </c>
      <c r="S277" s="32">
        <v>318610</v>
      </c>
      <c r="T277" s="48" t="s">
        <v>31</v>
      </c>
      <c r="U277" s="33">
        <v>6.0972900000000001</v>
      </c>
      <c r="V277" s="33">
        <v>5.0972900390625</v>
      </c>
      <c r="W277" s="34">
        <v>0.120972900390625</v>
      </c>
      <c r="X277" s="35">
        <v>38543.175793456998</v>
      </c>
    </row>
    <row r="278" spans="1:24" x14ac:dyDescent="0.25">
      <c r="A278" s="30" t="s">
        <v>1690</v>
      </c>
      <c r="B278" s="30" t="s">
        <v>890</v>
      </c>
      <c r="C278" s="30" t="s">
        <v>778</v>
      </c>
      <c r="D278" s="30" t="s">
        <v>1733</v>
      </c>
      <c r="E278" s="30" t="s">
        <v>1734</v>
      </c>
      <c r="F278" s="23" t="s">
        <v>24</v>
      </c>
      <c r="G278" s="31" t="s">
        <v>53</v>
      </c>
      <c r="H278" s="31" t="s">
        <v>25</v>
      </c>
      <c r="I278" s="31" t="s">
        <v>1762</v>
      </c>
      <c r="J278" s="31" t="s">
        <v>26</v>
      </c>
      <c r="K278" s="31" t="s">
        <v>93</v>
      </c>
      <c r="L278" s="31" t="s">
        <v>27</v>
      </c>
      <c r="M278" s="30" t="s">
        <v>41</v>
      </c>
      <c r="N278" s="2" t="s">
        <v>42</v>
      </c>
      <c r="O278" s="31" t="s">
        <v>106</v>
      </c>
      <c r="P278" s="30" t="s">
        <v>1784</v>
      </c>
      <c r="Q278" s="30" t="s">
        <v>43</v>
      </c>
      <c r="R278" s="31" t="s">
        <v>111</v>
      </c>
      <c r="S278" s="32">
        <v>286300</v>
      </c>
      <c r="T278" s="48" t="s">
        <v>31</v>
      </c>
      <c r="U278" s="33">
        <v>6.6186522999999999</v>
      </c>
      <c r="V278" s="33">
        <v>2.61865234375</v>
      </c>
      <c r="W278" s="34">
        <v>0.2785595703125</v>
      </c>
      <c r="X278" s="35">
        <v>79751.604980468706</v>
      </c>
    </row>
    <row r="279" spans="1:24" x14ac:dyDescent="0.25">
      <c r="A279" s="30" t="s">
        <v>1691</v>
      </c>
      <c r="B279" s="30" t="s">
        <v>890</v>
      </c>
      <c r="C279" s="30" t="s">
        <v>778</v>
      </c>
      <c r="D279" s="30" t="s">
        <v>1733</v>
      </c>
      <c r="E279" s="30" t="s">
        <v>1735</v>
      </c>
      <c r="F279" s="23" t="str">
        <f>HYPERLINK("https://mapwv.gov/flood/map/?wkid=102100&amp;x=-9108145.82724096&amp;y=4634060.948457314&amp;l=13&amp;v=2","FT")</f>
        <v>FT</v>
      </c>
      <c r="G279" s="31" t="s">
        <v>53</v>
      </c>
      <c r="H279" s="31" t="s">
        <v>25</v>
      </c>
      <c r="I279" s="31" t="s">
        <v>1762</v>
      </c>
      <c r="J279" s="31" t="s">
        <v>26</v>
      </c>
      <c r="K279" s="31" t="s">
        <v>93</v>
      </c>
      <c r="L279" s="31" t="s">
        <v>27</v>
      </c>
      <c r="M279" s="30" t="s">
        <v>41</v>
      </c>
      <c r="N279" s="2" t="s">
        <v>42</v>
      </c>
      <c r="O279" s="31" t="s">
        <v>106</v>
      </c>
      <c r="P279" s="30" t="s">
        <v>1787</v>
      </c>
      <c r="Q279" s="30" t="s">
        <v>43</v>
      </c>
      <c r="R279" s="31" t="s">
        <v>111</v>
      </c>
      <c r="S279" s="32">
        <v>280200</v>
      </c>
      <c r="T279" s="48" t="s">
        <v>31</v>
      </c>
      <c r="U279" s="33">
        <v>3.2886962999999998</v>
      </c>
      <c r="V279" s="33">
        <v>-0.7113037109375</v>
      </c>
      <c r="W279" s="34">
        <v>0.15443481445312501</v>
      </c>
      <c r="X279" s="35">
        <v>43272.635009765603</v>
      </c>
    </row>
    <row r="280" spans="1:24" x14ac:dyDescent="0.25">
      <c r="A280" s="30" t="s">
        <v>1692</v>
      </c>
      <c r="B280" s="30" t="s">
        <v>890</v>
      </c>
      <c r="C280" s="30" t="s">
        <v>778</v>
      </c>
      <c r="D280" s="30" t="s">
        <v>1727</v>
      </c>
      <c r="E280" s="30" t="s">
        <v>1736</v>
      </c>
      <c r="F280" s="23" t="str">
        <f>HYPERLINK("https://mapwv.gov/flood/map/?wkid=102100&amp;x=-9108099.501523545&amp;y=4634043.578556511&amp;l=13&amp;v=2","FT")</f>
        <v>FT</v>
      </c>
      <c r="G280" s="31" t="s">
        <v>53</v>
      </c>
      <c r="H280" s="31" t="s">
        <v>25</v>
      </c>
      <c r="I280" s="31" t="s">
        <v>1762</v>
      </c>
      <c r="J280" s="31" t="s">
        <v>26</v>
      </c>
      <c r="K280" s="31" t="s">
        <v>93</v>
      </c>
      <c r="L280" s="31" t="s">
        <v>27</v>
      </c>
      <c r="M280" s="30" t="s">
        <v>41</v>
      </c>
      <c r="N280" s="2" t="s">
        <v>42</v>
      </c>
      <c r="O280" s="31" t="s">
        <v>106</v>
      </c>
      <c r="P280" s="30" t="s">
        <v>1787</v>
      </c>
      <c r="Q280" s="30" t="s">
        <v>43</v>
      </c>
      <c r="R280" s="31" t="s">
        <v>111</v>
      </c>
      <c r="S280" s="32">
        <v>274400</v>
      </c>
      <c r="T280" s="48" t="s">
        <v>31</v>
      </c>
      <c r="U280" s="33">
        <v>3.4243774</v>
      </c>
      <c r="V280" s="33">
        <v>-0.57562255859375</v>
      </c>
      <c r="W280" s="34">
        <v>0.16121887207031199</v>
      </c>
      <c r="X280" s="35">
        <v>44238.458496093699</v>
      </c>
    </row>
    <row r="281" spans="1:24" x14ac:dyDescent="0.25">
      <c r="A281" s="30" t="s">
        <v>1693</v>
      </c>
      <c r="B281" s="30" t="s">
        <v>890</v>
      </c>
      <c r="C281" s="30" t="s">
        <v>778</v>
      </c>
      <c r="D281" s="30" t="s">
        <v>1737</v>
      </c>
      <c r="E281" s="30" t="s">
        <v>1738</v>
      </c>
      <c r="F281" s="23" t="str">
        <f>HYPERLINK("https://mapwv.gov/flood/map/?wkid=102100&amp;x=-9106652.5963857&amp;y=4633914.892037219&amp;l=13&amp;v=2","FT")</f>
        <v>FT</v>
      </c>
      <c r="G281" s="31" t="s">
        <v>53</v>
      </c>
      <c r="H281" s="31" t="s">
        <v>25</v>
      </c>
      <c r="I281" s="31" t="s">
        <v>1765</v>
      </c>
      <c r="J281" s="31" t="s">
        <v>39</v>
      </c>
      <c r="K281" s="31" t="s">
        <v>126</v>
      </c>
      <c r="L281" s="31" t="s">
        <v>47</v>
      </c>
      <c r="M281" s="30" t="s">
        <v>56</v>
      </c>
      <c r="N281" s="2" t="s">
        <v>35</v>
      </c>
      <c r="O281" s="31" t="s">
        <v>106</v>
      </c>
      <c r="P281" s="30" t="s">
        <v>1788</v>
      </c>
      <c r="Q281" s="30" t="s">
        <v>30</v>
      </c>
      <c r="R281" s="31" t="s">
        <v>110</v>
      </c>
      <c r="S281" s="32">
        <v>270355</v>
      </c>
      <c r="T281" s="48" t="s">
        <v>44</v>
      </c>
      <c r="U281" s="33">
        <v>1.1893309999999999</v>
      </c>
      <c r="V281" s="33">
        <v>0.1893310546875</v>
      </c>
      <c r="W281" s="34">
        <v>3.7039794921875001E-2</v>
      </c>
      <c r="X281" s="35">
        <v>10013.8937561035</v>
      </c>
    </row>
    <row r="282" spans="1:24" x14ac:dyDescent="0.25">
      <c r="A282" s="30" t="s">
        <v>1694</v>
      </c>
      <c r="B282" s="30" t="s">
        <v>890</v>
      </c>
      <c r="C282" s="30" t="s">
        <v>925</v>
      </c>
      <c r="D282" s="30" t="s">
        <v>1739</v>
      </c>
      <c r="E282" s="30" t="s">
        <v>1740</v>
      </c>
      <c r="F282" s="23" t="str">
        <f>HYPERLINK("https://mapwv.gov/flood/map/?wkid=102100&amp;x=-9110370.219651202&amp;y=4634251.99885406&amp;l=13&amp;v=2","FT")</f>
        <v>FT</v>
      </c>
      <c r="G282" s="31" t="s">
        <v>32</v>
      </c>
      <c r="H282" s="31" t="s">
        <v>25</v>
      </c>
      <c r="I282" s="31" t="s">
        <v>1766</v>
      </c>
      <c r="J282" s="31" t="s">
        <v>39</v>
      </c>
      <c r="K282" s="31" t="s">
        <v>376</v>
      </c>
      <c r="L282" s="31" t="s">
        <v>49</v>
      </c>
      <c r="M282" s="30" t="s">
        <v>52</v>
      </c>
      <c r="N282" s="2" t="s">
        <v>35</v>
      </c>
      <c r="O282" s="31" t="s">
        <v>106</v>
      </c>
      <c r="P282" s="30" t="s">
        <v>1789</v>
      </c>
      <c r="Q282" s="30" t="s">
        <v>43</v>
      </c>
      <c r="R282" s="31" t="s">
        <v>111</v>
      </c>
      <c r="S282" s="32">
        <v>236333</v>
      </c>
      <c r="T282" s="48" t="s">
        <v>44</v>
      </c>
      <c r="U282" s="33">
        <v>0.6374512</v>
      </c>
      <c r="V282" s="33">
        <v>-3.362548828125</v>
      </c>
      <c r="W282" s="34">
        <v>0</v>
      </c>
      <c r="X282" s="35">
        <v>0</v>
      </c>
    </row>
    <row r="283" spans="1:24" x14ac:dyDescent="0.25">
      <c r="A283" s="30" t="s">
        <v>1695</v>
      </c>
      <c r="B283" s="30" t="s">
        <v>890</v>
      </c>
      <c r="C283" s="30" t="s">
        <v>778</v>
      </c>
      <c r="D283" s="30" t="s">
        <v>1741</v>
      </c>
      <c r="E283" s="30" t="s">
        <v>1742</v>
      </c>
      <c r="F283" s="23" t="str">
        <f>HYPERLINK("https://mapwv.gov/flood/map/?wkid=102100&amp;x=-9107869.016298968&amp;y=4634213.920851917&amp;l=13&amp;v=2","FT")</f>
        <v>FT</v>
      </c>
      <c r="G283" s="31" t="s">
        <v>53</v>
      </c>
      <c r="H283" s="31" t="s">
        <v>25</v>
      </c>
      <c r="I283" s="31" t="s">
        <v>1767</v>
      </c>
      <c r="J283" s="31" t="s">
        <v>26</v>
      </c>
      <c r="K283" s="31" t="s">
        <v>131</v>
      </c>
      <c r="L283" s="31" t="s">
        <v>27</v>
      </c>
      <c r="M283" s="30" t="s">
        <v>48</v>
      </c>
      <c r="N283" s="2" t="s">
        <v>35</v>
      </c>
      <c r="O283" s="31" t="s">
        <v>105</v>
      </c>
      <c r="P283" s="30" t="s">
        <v>1790</v>
      </c>
      <c r="Q283" s="30" t="s">
        <v>30</v>
      </c>
      <c r="R283" s="31" t="s">
        <v>110</v>
      </c>
      <c r="S283" s="32">
        <v>236310</v>
      </c>
      <c r="T283" s="48" t="s">
        <v>44</v>
      </c>
      <c r="U283" s="33">
        <v>0.34136962999999998</v>
      </c>
      <c r="V283" s="33">
        <v>-0.65863037109375</v>
      </c>
      <c r="W283" s="34">
        <v>3.4136962890625E-3</v>
      </c>
      <c r="X283" s="35">
        <v>806.69057006835897</v>
      </c>
    </row>
    <row r="284" spans="1:24" x14ac:dyDescent="0.25">
      <c r="A284" s="30" t="s">
        <v>1696</v>
      </c>
      <c r="B284" s="30" t="s">
        <v>890</v>
      </c>
      <c r="C284" s="30" t="s">
        <v>778</v>
      </c>
      <c r="D284" s="30" t="s">
        <v>1743</v>
      </c>
      <c r="E284" s="30" t="s">
        <v>1744</v>
      </c>
      <c r="F284" s="23" t="s">
        <v>24</v>
      </c>
      <c r="G284" s="31" t="s">
        <v>38</v>
      </c>
      <c r="H284" s="31" t="s">
        <v>25</v>
      </c>
      <c r="I284" s="31" t="s">
        <v>1768</v>
      </c>
      <c r="J284" s="31" t="s">
        <v>39</v>
      </c>
      <c r="K284" s="31" t="s">
        <v>128</v>
      </c>
      <c r="L284" s="31" t="s">
        <v>27</v>
      </c>
      <c r="M284" s="30" t="s">
        <v>48</v>
      </c>
      <c r="N284" s="2" t="s">
        <v>35</v>
      </c>
      <c r="O284" s="31" t="s">
        <v>106</v>
      </c>
      <c r="P284" s="30" t="s">
        <v>1791</v>
      </c>
      <c r="Q284" s="30" t="s">
        <v>30</v>
      </c>
      <c r="R284" s="31" t="s">
        <v>110</v>
      </c>
      <c r="S284" s="32">
        <v>227400</v>
      </c>
      <c r="T284" s="48" t="s">
        <v>44</v>
      </c>
      <c r="U284" s="33">
        <v>0</v>
      </c>
      <c r="V284" s="33">
        <v>-1</v>
      </c>
      <c r="W284" s="34">
        <v>0</v>
      </c>
      <c r="X284" s="35">
        <v>0</v>
      </c>
    </row>
    <row r="285" spans="1:24" x14ac:dyDescent="0.25">
      <c r="A285" s="30" t="s">
        <v>1697</v>
      </c>
      <c r="B285" s="30" t="s">
        <v>890</v>
      </c>
      <c r="C285" s="30" t="s">
        <v>778</v>
      </c>
      <c r="D285" s="30" t="s">
        <v>1745</v>
      </c>
      <c r="E285" s="30" t="s">
        <v>1746</v>
      </c>
      <c r="F285" s="23" t="s">
        <v>24</v>
      </c>
      <c r="G285" s="31" t="s">
        <v>53</v>
      </c>
      <c r="H285" s="31" t="s">
        <v>25</v>
      </c>
      <c r="I285" s="31" t="s">
        <v>1769</v>
      </c>
      <c r="J285" s="31" t="s">
        <v>26</v>
      </c>
      <c r="K285" s="31" t="s">
        <v>119</v>
      </c>
      <c r="L285" s="31" t="s">
        <v>57</v>
      </c>
      <c r="M285" s="30" t="s">
        <v>41</v>
      </c>
      <c r="N285" s="2" t="s">
        <v>42</v>
      </c>
      <c r="O285" s="31" t="s">
        <v>106</v>
      </c>
      <c r="P285" s="30" t="s">
        <v>141</v>
      </c>
      <c r="Q285" s="30" t="s">
        <v>436</v>
      </c>
      <c r="R285" s="31" t="s">
        <v>111</v>
      </c>
      <c r="S285" s="32">
        <v>226400</v>
      </c>
      <c r="T285" s="48" t="s">
        <v>44</v>
      </c>
      <c r="U285" s="33">
        <v>1.9048461999999999</v>
      </c>
      <c r="V285" s="33">
        <v>-2.09515380859375</v>
      </c>
      <c r="W285" s="34">
        <v>0</v>
      </c>
      <c r="X285" s="35">
        <v>0</v>
      </c>
    </row>
    <row r="286" spans="1:24" x14ac:dyDescent="0.25">
      <c r="A286" s="30" t="s">
        <v>1698</v>
      </c>
      <c r="B286" s="30" t="s">
        <v>890</v>
      </c>
      <c r="C286" s="30" t="s">
        <v>1709</v>
      </c>
      <c r="D286" s="30" t="s">
        <v>1747</v>
      </c>
      <c r="E286" s="30" t="s">
        <v>1748</v>
      </c>
      <c r="F286" s="23" t="s">
        <v>24</v>
      </c>
      <c r="G286" s="31" t="s">
        <v>38</v>
      </c>
      <c r="H286" s="31" t="s">
        <v>25</v>
      </c>
      <c r="I286" s="31" t="s">
        <v>1770</v>
      </c>
      <c r="J286" s="31" t="s">
        <v>26</v>
      </c>
      <c r="K286" s="31" t="s">
        <v>108</v>
      </c>
      <c r="L286" s="31" t="s">
        <v>27</v>
      </c>
      <c r="M286" s="30" t="s">
        <v>41</v>
      </c>
      <c r="N286" s="2" t="s">
        <v>42</v>
      </c>
      <c r="O286" s="31" t="s">
        <v>105</v>
      </c>
      <c r="P286" s="30" t="s">
        <v>1792</v>
      </c>
      <c r="Q286" s="30" t="s">
        <v>43</v>
      </c>
      <c r="R286" s="31" t="s">
        <v>111</v>
      </c>
      <c r="S286" s="32">
        <v>225500</v>
      </c>
      <c r="T286" s="48" t="s">
        <v>44</v>
      </c>
      <c r="U286" s="33">
        <v>0</v>
      </c>
      <c r="V286" s="33">
        <v>-4</v>
      </c>
      <c r="W286" s="34">
        <v>0</v>
      </c>
      <c r="X286" s="35">
        <v>0</v>
      </c>
    </row>
    <row r="287" spans="1:24" x14ac:dyDescent="0.25">
      <c r="A287" s="30" t="s">
        <v>1699</v>
      </c>
      <c r="B287" s="30" t="s">
        <v>890</v>
      </c>
      <c r="C287" s="30" t="s">
        <v>778</v>
      </c>
      <c r="D287" s="30" t="s">
        <v>1749</v>
      </c>
      <c r="E287" s="30" t="s">
        <v>1704</v>
      </c>
      <c r="F287" s="23" t="s">
        <v>24</v>
      </c>
      <c r="G287" s="31" t="s">
        <v>32</v>
      </c>
      <c r="H287" s="31" t="s">
        <v>25</v>
      </c>
      <c r="I287" s="31" t="s">
        <v>1771</v>
      </c>
      <c r="J287" s="31" t="s">
        <v>39</v>
      </c>
      <c r="K287" s="31" t="s">
        <v>122</v>
      </c>
      <c r="L287" s="31" t="s">
        <v>37</v>
      </c>
      <c r="M287" s="30" t="s">
        <v>138</v>
      </c>
      <c r="N287" s="2" t="s">
        <v>35</v>
      </c>
      <c r="O287" s="31" t="s">
        <v>105</v>
      </c>
      <c r="P287" s="30" t="s">
        <v>1793</v>
      </c>
      <c r="Q287" s="30" t="s">
        <v>30</v>
      </c>
      <c r="R287" s="31" t="s">
        <v>110</v>
      </c>
      <c r="S287" s="32">
        <v>220600</v>
      </c>
      <c r="T287" s="48" t="s">
        <v>44</v>
      </c>
      <c r="U287" s="33">
        <v>0.30920409999999998</v>
      </c>
      <c r="V287" s="33">
        <v>-0.6907958984375</v>
      </c>
      <c r="W287" s="34">
        <v>0</v>
      </c>
      <c r="X287" s="35">
        <v>0</v>
      </c>
    </row>
    <row r="288" spans="1:24" x14ac:dyDescent="0.25">
      <c r="A288" s="30" t="s">
        <v>1700</v>
      </c>
      <c r="B288" s="30" t="s">
        <v>890</v>
      </c>
      <c r="C288" s="30" t="s">
        <v>778</v>
      </c>
      <c r="D288" s="30" t="s">
        <v>1750</v>
      </c>
      <c r="E288" s="30" t="s">
        <v>1751</v>
      </c>
      <c r="F288" s="23" t="str">
        <f>HYPERLINK("https://mapwv.gov/flood/map/?wkid=102100&amp;x=-9105248.648103511&amp;y=4633142.9486368215&amp;l=13&amp;v=2","FT")</f>
        <v>FT</v>
      </c>
      <c r="G288" s="31" t="s">
        <v>32</v>
      </c>
      <c r="H288" s="31" t="s">
        <v>25</v>
      </c>
      <c r="I288" s="31" t="s">
        <v>1772</v>
      </c>
      <c r="J288" s="31" t="s">
        <v>26</v>
      </c>
      <c r="K288" s="31" t="s">
        <v>373</v>
      </c>
      <c r="L288" s="31" t="s">
        <v>27</v>
      </c>
      <c r="M288" s="30" t="s">
        <v>58</v>
      </c>
      <c r="N288" s="2" t="s">
        <v>42</v>
      </c>
      <c r="O288" s="31" t="s">
        <v>106</v>
      </c>
      <c r="P288" s="30" t="s">
        <v>1794</v>
      </c>
      <c r="Q288" s="30" t="s">
        <v>436</v>
      </c>
      <c r="R288" s="31" t="s">
        <v>111</v>
      </c>
      <c r="S288" s="32">
        <v>200800</v>
      </c>
      <c r="T288" s="48" t="s">
        <v>44</v>
      </c>
      <c r="U288" s="33">
        <v>6.6799926999999997</v>
      </c>
      <c r="V288" s="33">
        <v>2.67999267578125</v>
      </c>
      <c r="W288" s="34">
        <v>0.27039978027343703</v>
      </c>
      <c r="X288" s="35">
        <v>54296.275878906199</v>
      </c>
    </row>
  </sheetData>
  <conditionalFormatting sqref="A100:A115">
    <cfRule type="duplicateValues" dxfId="12" priority="11"/>
  </conditionalFormatting>
  <conditionalFormatting sqref="A119:A148">
    <cfRule type="duplicateValues" dxfId="11" priority="10"/>
  </conditionalFormatting>
  <conditionalFormatting sqref="A152 A154:A157 A159:A162 A164:A189">
    <cfRule type="duplicateValues" dxfId="10" priority="9"/>
  </conditionalFormatting>
  <conditionalFormatting sqref="A193:A220">
    <cfRule type="duplicateValues" dxfId="9" priority="8"/>
  </conditionalFormatting>
  <conditionalFormatting sqref="A224:A254">
    <cfRule type="duplicateValues" dxfId="8" priority="7"/>
  </conditionalFormatting>
  <conditionalFormatting sqref="A259:A288">
    <cfRule type="duplicateValues" dxfId="7" priority="6"/>
  </conditionalFormatting>
  <conditionalFormatting sqref="A7:A10 A13:A96">
    <cfRule type="duplicateValues" dxfId="6" priority="13"/>
  </conditionalFormatting>
  <conditionalFormatting sqref="A11:A12">
    <cfRule type="duplicateValues" dxfId="5" priority="5"/>
  </conditionalFormatting>
  <conditionalFormatting sqref="A258">
    <cfRule type="duplicateValues" dxfId="4" priority="4"/>
  </conditionalFormatting>
  <conditionalFormatting sqref="A153">
    <cfRule type="duplicateValues" dxfId="3" priority="3"/>
  </conditionalFormatting>
  <conditionalFormatting sqref="A158">
    <cfRule type="duplicateValues" dxfId="2" priority="2"/>
  </conditionalFormatting>
  <conditionalFormatting sqref="A163">
    <cfRule type="duplicateValues" dxfId="1" priority="1"/>
  </conditionalFormatting>
  <hyperlinks>
    <hyperlink ref="J3" r:id="rId1" xr:uid="{AFF32AD6-FC21-4286-9124-11C034F703ED}"/>
    <hyperlink ref="M3" r:id="rId2" xr:uid="{F819ADBF-7F67-4F6F-82D7-68C2083C0E3C}"/>
    <hyperlink ref="Q3" r:id="rId3" xr:uid="{961FA012-1A46-46D4-BC92-E2141013EB1E}"/>
  </hyperlinks>
  <pageMargins left="0.7" right="0.7" top="0.75" bottom="0.75" header="0.3" footer="0.3"/>
  <pageSetup orientation="portrait" horizontalDpi="4294967295" verticalDpi="4294967295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5A49-0F7F-4D4B-95D1-6CD0E84F9F99}">
  <dimension ref="B1:G26"/>
  <sheetViews>
    <sheetView workbookViewId="0">
      <selection activeCell="K3" sqref="K3"/>
    </sheetView>
  </sheetViews>
  <sheetFormatPr defaultRowHeight="15" x14ac:dyDescent="0.25"/>
  <cols>
    <col min="2" max="2" width="14.7109375" style="44" bestFit="1" customWidth="1"/>
    <col min="3" max="3" width="9.140625" style="44"/>
    <col min="4" max="4" width="42.5703125" style="44" bestFit="1" customWidth="1"/>
    <col min="5" max="5" width="9.140625" style="44"/>
    <col min="6" max="6" width="10.42578125" style="44" bestFit="1" customWidth="1"/>
    <col min="7" max="7" width="12.5703125" style="44" bestFit="1" customWidth="1"/>
  </cols>
  <sheetData>
    <row r="1" spans="2:7" x14ac:dyDescent="0.25">
      <c r="B1" t="s">
        <v>2283</v>
      </c>
      <c r="G1" s="37" t="s">
        <v>2265</v>
      </c>
    </row>
    <row r="2" spans="2:7" ht="36" x14ac:dyDescent="0.25">
      <c r="B2" s="45" t="s">
        <v>1</v>
      </c>
      <c r="C2" s="45" t="s">
        <v>5</v>
      </c>
      <c r="D2" s="45" t="s">
        <v>144</v>
      </c>
      <c r="E2" s="46" t="s">
        <v>12</v>
      </c>
      <c r="F2" s="38" t="s">
        <v>13</v>
      </c>
      <c r="G2" s="39" t="s">
        <v>18</v>
      </c>
    </row>
    <row r="3" spans="2:7" x14ac:dyDescent="0.25">
      <c r="B3" s="41" t="s">
        <v>1626</v>
      </c>
      <c r="C3" s="40" t="str">
        <f>HYPERLINK("https://mapwv.gov/flood/map/?wkid=102100&amp;x=-9097743.186803686&amp;y=4629628.286198345&amp;l=13&amp;v=2","FT")</f>
        <v>FT</v>
      </c>
      <c r="D3" s="41" t="s">
        <v>959</v>
      </c>
      <c r="E3" s="41" t="s">
        <v>379</v>
      </c>
      <c r="F3" s="42" t="s">
        <v>35</v>
      </c>
      <c r="G3" s="43">
        <v>98055300</v>
      </c>
    </row>
    <row r="4" spans="2:7" x14ac:dyDescent="0.25">
      <c r="B4" s="41" t="s">
        <v>2266</v>
      </c>
      <c r="C4" s="40" t="str">
        <f>HYPERLINK("https://mapwv.gov/flood/map/?wkid=102100&amp;x=-9088019.411583096&amp;y=4629353.93207921&amp;l=13&amp;v=2","FT")</f>
        <v>FT</v>
      </c>
      <c r="D4" s="41" t="s">
        <v>960</v>
      </c>
      <c r="E4" s="41" t="s">
        <v>28</v>
      </c>
      <c r="F4" s="42" t="s">
        <v>29</v>
      </c>
      <c r="G4" s="43">
        <v>58489500</v>
      </c>
    </row>
    <row r="5" spans="2:7" x14ac:dyDescent="0.25">
      <c r="B5" s="41" t="s">
        <v>2266</v>
      </c>
      <c r="C5" s="40" t="str">
        <f>HYPERLINK("https://mapwv.gov/flood/map/?wkid=102100&amp;x=-9087871.331724772&amp;y=4629520.494771567&amp;l=13&amp;v=2","FT")</f>
        <v>FT</v>
      </c>
      <c r="D5" s="41" t="s">
        <v>961</v>
      </c>
      <c r="E5" s="41" t="s">
        <v>48</v>
      </c>
      <c r="F5" s="42" t="s">
        <v>35</v>
      </c>
      <c r="G5" s="43">
        <v>54730600</v>
      </c>
    </row>
    <row r="6" spans="2:7" x14ac:dyDescent="0.25">
      <c r="B6" s="41" t="s">
        <v>2266</v>
      </c>
      <c r="C6" s="40" t="str">
        <f>HYPERLINK("https://mapwv.gov/flood/map/?wkid=102100&amp;x=-9088097.363390481&amp;y=4629720.106204042&amp;l=13&amp;v=2","FT")</f>
        <v>FT</v>
      </c>
      <c r="D6" s="41" t="s">
        <v>962</v>
      </c>
      <c r="E6" s="41" t="s">
        <v>52</v>
      </c>
      <c r="F6" s="42" t="s">
        <v>35</v>
      </c>
      <c r="G6" s="43">
        <v>30083200</v>
      </c>
    </row>
    <row r="7" spans="2:7" x14ac:dyDescent="0.25">
      <c r="B7" s="41" t="s">
        <v>1256</v>
      </c>
      <c r="C7" s="40" t="str">
        <f>HYPERLINK("https://mapwv.gov/flood/map/?wkid=102100&amp;x=-9101321.089636715&amp;y=4631624.071741702&amp;l=13&amp;v=2","FT")</f>
        <v>FT</v>
      </c>
      <c r="D7" s="41" t="s">
        <v>1258</v>
      </c>
      <c r="E7" s="41" t="s">
        <v>28</v>
      </c>
      <c r="F7" s="42" t="s">
        <v>102</v>
      </c>
      <c r="G7" s="43">
        <v>29000000</v>
      </c>
    </row>
    <row r="8" spans="2:7" x14ac:dyDescent="0.25">
      <c r="B8" s="41" t="s">
        <v>2286</v>
      </c>
      <c r="C8" s="40" t="str">
        <f>HYPERLINK("https://mapwv.gov/flood/map/?wkid=102100&amp;x=-9108280&amp;y=4634136&amp;l=12&amp;v=2","FT")</f>
        <v>FT</v>
      </c>
      <c r="D8" s="41" t="s">
        <v>1760</v>
      </c>
      <c r="E8" s="41" t="s">
        <v>28</v>
      </c>
      <c r="F8" s="42" t="s">
        <v>102</v>
      </c>
      <c r="G8" s="43">
        <v>28000000</v>
      </c>
    </row>
    <row r="9" spans="2:7" x14ac:dyDescent="0.25">
      <c r="B9" s="41" t="s">
        <v>2266</v>
      </c>
      <c r="C9" s="40" t="str">
        <f>HYPERLINK("https://mapwv.gov/flood/map/?wkid=102100&amp;x=-9083609.953823641&amp;y=4625824.548033129&amp;l=13&amp;v=2","FT")</f>
        <v>FT</v>
      </c>
      <c r="D9" s="41" t="s">
        <v>963</v>
      </c>
      <c r="E9" s="41" t="s">
        <v>55</v>
      </c>
      <c r="F9" s="42" t="s">
        <v>35</v>
      </c>
      <c r="G9" s="43">
        <v>27206300</v>
      </c>
    </row>
    <row r="10" spans="2:7" x14ac:dyDescent="0.25">
      <c r="B10" s="41" t="s">
        <v>2266</v>
      </c>
      <c r="C10" s="40" t="str">
        <f>HYPERLINK("https://mapwv.gov/flood/map/?wkid=102100&amp;x=-9087554.21867434&amp;y=4629459.554419502&amp;l=13&amp;v=2","FT")</f>
        <v>FT</v>
      </c>
      <c r="D10" s="41" t="s">
        <v>964</v>
      </c>
      <c r="E10" s="41" t="s">
        <v>56</v>
      </c>
      <c r="F10" s="42" t="s">
        <v>35</v>
      </c>
      <c r="G10" s="43">
        <v>26439000</v>
      </c>
    </row>
    <row r="11" spans="2:7" x14ac:dyDescent="0.25">
      <c r="B11" s="41" t="s">
        <v>1377</v>
      </c>
      <c r="C11" s="40" t="str">
        <f>HYPERLINK("https://mapwv.gov/flood/map/?wkid=102100&amp;x=-9074020.730471566&amp;y=4608787.445937277&amp;l=13&amp;v=2","FT")</f>
        <v>FT</v>
      </c>
      <c r="D11" s="41" t="s">
        <v>67</v>
      </c>
      <c r="E11" s="41" t="s">
        <v>68</v>
      </c>
      <c r="F11" s="42" t="s">
        <v>29</v>
      </c>
      <c r="G11" s="43">
        <v>25000000</v>
      </c>
    </row>
    <row r="12" spans="2:7" x14ac:dyDescent="0.25">
      <c r="B12" s="41" t="s">
        <v>1377</v>
      </c>
      <c r="C12" s="40" t="str">
        <f>HYPERLINK("https://mapwv.gov/flood/map/?wkid=102100&amp;x=-9075307&amp;y=4636746&amp;l=12&amp;v=2","FT")</f>
        <v>FT</v>
      </c>
      <c r="D12" s="41" t="s">
        <v>2290</v>
      </c>
      <c r="E12" s="41" t="s">
        <v>28</v>
      </c>
      <c r="F12" s="42" t="s">
        <v>102</v>
      </c>
      <c r="G12" s="43">
        <v>24000000</v>
      </c>
    </row>
    <row r="13" spans="2:7" x14ac:dyDescent="0.25">
      <c r="B13" s="41" t="s">
        <v>2266</v>
      </c>
      <c r="C13" s="40" t="str">
        <f>HYPERLINK("https://mapwv.gov/flood/map/?wkid=102100&amp;x=-9084329.35414046&amp;y=4626239.287482889&amp;l=13&amp;v=2","FT")</f>
        <v>FT</v>
      </c>
      <c r="D13" s="41" t="s">
        <v>965</v>
      </c>
      <c r="E13" s="41" t="s">
        <v>55</v>
      </c>
      <c r="F13" s="42" t="s">
        <v>35</v>
      </c>
      <c r="G13" s="43">
        <v>23717099</v>
      </c>
    </row>
    <row r="14" spans="2:7" x14ac:dyDescent="0.25">
      <c r="B14" s="41" t="s">
        <v>2266</v>
      </c>
      <c r="C14" s="40" t="str">
        <f>HYPERLINK("https://mapwv.gov/flood/map/?wkid=102100&amp;x=-9091705.136248512&amp;y=4632010.09322111&amp;l=13&amp;v=2","FT")</f>
        <v>FT</v>
      </c>
      <c r="D14" s="41" t="s">
        <v>967</v>
      </c>
      <c r="E14" s="41" t="s">
        <v>48</v>
      </c>
      <c r="F14" s="42" t="s">
        <v>35</v>
      </c>
      <c r="G14" s="43">
        <v>18588900</v>
      </c>
    </row>
    <row r="15" spans="2:7" x14ac:dyDescent="0.25">
      <c r="B15" s="41" t="s">
        <v>2266</v>
      </c>
      <c r="C15" s="40" t="str">
        <f>HYPERLINK("https://mapwv.gov/flood/map/?wkid=102100&amp;x=-9087615.528106535&amp;y=4630226.667086968&amp;l=13&amp;v=2","FT")</f>
        <v>FT</v>
      </c>
      <c r="D15" s="41" t="s">
        <v>969</v>
      </c>
      <c r="E15" s="41" t="s">
        <v>56</v>
      </c>
      <c r="F15" s="42" t="s">
        <v>35</v>
      </c>
      <c r="G15" s="43">
        <v>15407700</v>
      </c>
    </row>
    <row r="16" spans="2:7" x14ac:dyDescent="0.25">
      <c r="B16" s="41" t="s">
        <v>2266</v>
      </c>
      <c r="C16" s="40" t="str">
        <f>HYPERLINK("https://mapwv.gov/flood/map/?wkid=102100&amp;x=-9086347.120543908&amp;y=4626995.6242457265&amp;l=13&amp;v=2","FT")</f>
        <v>FT</v>
      </c>
      <c r="D16" s="41" t="s">
        <v>970</v>
      </c>
      <c r="E16" s="41" t="s">
        <v>56</v>
      </c>
      <c r="F16" s="42" t="s">
        <v>35</v>
      </c>
      <c r="G16" s="43">
        <v>14700590</v>
      </c>
    </row>
    <row r="17" spans="2:7" x14ac:dyDescent="0.25">
      <c r="B17" s="41" t="s">
        <v>2266</v>
      </c>
      <c r="C17" s="40" t="str">
        <f>HYPERLINK("https://mapwv.gov/flood/map/?wkid=102100&amp;x=-9087840.89252321&amp;y=4629416.186284928&amp;l=13&amp;v=2","FT")</f>
        <v>FT</v>
      </c>
      <c r="D17" s="41" t="s">
        <v>971</v>
      </c>
      <c r="E17" s="41" t="s">
        <v>56</v>
      </c>
      <c r="F17" s="42" t="s">
        <v>35</v>
      </c>
      <c r="G17" s="43">
        <v>14590286</v>
      </c>
    </row>
    <row r="18" spans="2:7" x14ac:dyDescent="0.25">
      <c r="B18" s="41" t="s">
        <v>2266</v>
      </c>
      <c r="C18" s="40" t="str">
        <f>HYPERLINK("https://mapwv.gov/flood/map/?wkid=102100&amp;x=-9085339.74015531&amp;y=4626419.649955223&amp;l=13&amp;v=2","FT")</f>
        <v>FT</v>
      </c>
      <c r="D18" s="41" t="s">
        <v>972</v>
      </c>
      <c r="E18" s="41" t="s">
        <v>1011</v>
      </c>
      <c r="F18" s="42" t="s">
        <v>29</v>
      </c>
      <c r="G18" s="43">
        <v>12665070</v>
      </c>
    </row>
    <row r="19" spans="2:7" x14ac:dyDescent="0.25">
      <c r="B19" s="41" t="s">
        <v>2266</v>
      </c>
      <c r="C19" s="40" t="str">
        <f>HYPERLINK("https://mapwv.gov/flood/map/?wkid=102100&amp;x=-9084095.038300889&amp;y=4626048.593013376&amp;l=13&amp;v=2","FT")</f>
        <v>FT</v>
      </c>
      <c r="D19" s="41" t="s">
        <v>965</v>
      </c>
      <c r="E19" s="41" t="s">
        <v>56</v>
      </c>
      <c r="F19" s="42" t="s">
        <v>35</v>
      </c>
      <c r="G19" s="43">
        <v>12599200</v>
      </c>
    </row>
    <row r="20" spans="2:7" x14ac:dyDescent="0.25">
      <c r="B20" s="41" t="s">
        <v>1550</v>
      </c>
      <c r="C20" s="40" t="str">
        <f>HYPERLINK("https://mapwv.gov/flood/map/?wkid=102100&amp;x=-9111023.133177632&amp;y=4638860.939673389&amp;l=13&amp;v=2","FT")</f>
        <v>FT</v>
      </c>
      <c r="D20" s="41" t="s">
        <v>707</v>
      </c>
      <c r="E20" s="41" t="s">
        <v>68</v>
      </c>
      <c r="F20" s="42" t="s">
        <v>29</v>
      </c>
      <c r="G20" s="43">
        <v>12436721</v>
      </c>
    </row>
    <row r="21" spans="2:7" x14ac:dyDescent="0.25">
      <c r="B21" s="41" t="s">
        <v>2266</v>
      </c>
      <c r="C21" s="40" t="str">
        <f>HYPERLINK("https://mapwv.gov/flood/map/?wkid=102100&amp;x=-9083864.521461576&amp;y=4626148.488787731&amp;l=13&amp;v=2","FT")</f>
        <v>FT</v>
      </c>
      <c r="D21" s="41" t="s">
        <v>973</v>
      </c>
      <c r="E21" s="41" t="s">
        <v>379</v>
      </c>
      <c r="F21" s="42" t="s">
        <v>35</v>
      </c>
      <c r="G21" s="43">
        <v>11583720</v>
      </c>
    </row>
    <row r="22" spans="2:7" x14ac:dyDescent="0.25">
      <c r="B22" s="41" t="s">
        <v>1377</v>
      </c>
      <c r="C22" s="40" t="str">
        <f>HYPERLINK("https://mapwv.gov/flood/map/?wkid=102100&amp;x=-9070077.382559512&amp;y=4642138.735002994&amp;l=13&amp;v=2","FT")</f>
        <v>FT</v>
      </c>
      <c r="D22" s="41" t="s">
        <v>67</v>
      </c>
      <c r="E22" s="41" t="s">
        <v>68</v>
      </c>
      <c r="F22" s="42" t="s">
        <v>29</v>
      </c>
      <c r="G22" s="43">
        <v>11453001</v>
      </c>
    </row>
    <row r="23" spans="2:7" x14ac:dyDescent="0.25">
      <c r="B23" s="41" t="s">
        <v>2267</v>
      </c>
      <c r="C23" s="40" t="str">
        <f>HYPERLINK("https://mapwv.gov/flood/map/?wkid=102100&amp;x=-9064610.708345225&amp;y=4610127.307289232&amp;l=13&amp;v=2","FT")</f>
        <v>FT</v>
      </c>
      <c r="D23" s="41" t="s">
        <v>67</v>
      </c>
      <c r="E23" s="41" t="s">
        <v>68</v>
      </c>
      <c r="F23" s="42" t="s">
        <v>29</v>
      </c>
      <c r="G23" s="43">
        <v>10953599</v>
      </c>
    </row>
    <row r="24" spans="2:7" x14ac:dyDescent="0.25">
      <c r="B24" s="41" t="s">
        <v>1626</v>
      </c>
      <c r="C24" s="40" t="str">
        <f>HYPERLINK("https://mapwv.gov/flood/map/?wkid=102100&amp;x=-9093848.752119288&amp;y=4631291.176039374&amp;l=13&amp;v=2","FT")</f>
        <v>FT</v>
      </c>
      <c r="D24" s="41" t="s">
        <v>67</v>
      </c>
      <c r="E24" s="41" t="s">
        <v>68</v>
      </c>
      <c r="F24" s="42" t="s">
        <v>29</v>
      </c>
      <c r="G24" s="43">
        <v>10905040</v>
      </c>
    </row>
    <row r="25" spans="2:7" x14ac:dyDescent="0.25">
      <c r="B25" s="41" t="s">
        <v>2268</v>
      </c>
      <c r="C25" s="40" t="str">
        <f>HYPERLINK("https://mapwv.gov/flood/map/?wkid=102100&amp;x=-9067186.888714088&amp;y=4609817.642805586&amp;l=13&amp;v=2","FT")</f>
        <v>FT</v>
      </c>
      <c r="D25" s="41" t="s">
        <v>67</v>
      </c>
      <c r="E25" s="41" t="s">
        <v>68</v>
      </c>
      <c r="F25" s="42" t="s">
        <v>29</v>
      </c>
      <c r="G25" s="43">
        <v>10503035</v>
      </c>
    </row>
    <row r="26" spans="2:7" x14ac:dyDescent="0.25">
      <c r="B26" s="41" t="s">
        <v>1256</v>
      </c>
      <c r="C26" s="40" t="str">
        <f>HYPERLINK("https://mapwv.gov/flood/map/?wkid=102100&amp;x=-9101033.875999631&amp;y=4631165.72045245&amp;l=13&amp;v=2","FT")</f>
        <v>FT</v>
      </c>
      <c r="D26" s="41" t="s">
        <v>67</v>
      </c>
      <c r="E26" s="41" t="s">
        <v>68</v>
      </c>
      <c r="F26" s="42" t="s">
        <v>29</v>
      </c>
      <c r="G26" s="43">
        <v>10091730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5EC8-93CB-4C7F-8DC1-11C194961537}">
  <dimension ref="A1:X100"/>
  <sheetViews>
    <sheetView workbookViewId="0">
      <pane ySplit="6" topLeftCell="A7" activePane="bottomLeft" state="frozen"/>
      <selection pane="bottomLeft" activeCell="E3" sqref="E3"/>
    </sheetView>
  </sheetViews>
  <sheetFormatPr defaultRowHeight="15" x14ac:dyDescent="0.25"/>
  <cols>
    <col min="1" max="1" width="37" bestFit="1" customWidth="1"/>
    <col min="2" max="2" width="22.85546875" bestFit="1" customWidth="1"/>
    <col min="3" max="3" width="13.28515625" customWidth="1"/>
    <col min="4" max="4" width="20.42578125" bestFit="1" customWidth="1"/>
    <col min="5" max="5" width="18.140625" customWidth="1"/>
    <col min="7" max="7" width="11.5703125" customWidth="1"/>
    <col min="8" max="8" width="10.5703125" customWidth="1"/>
    <col min="9" max="9" width="25.140625" customWidth="1"/>
    <col min="10" max="10" width="9.140625" style="7"/>
    <col min="13" max="13" width="10.85546875" customWidth="1"/>
    <col min="14" max="14" width="11.28515625" customWidth="1"/>
    <col min="15" max="15" width="9.140625" style="7"/>
    <col min="17" max="17" width="11.42578125" customWidth="1"/>
    <col min="18" max="18" width="9.140625" style="7"/>
    <col min="19" max="19" width="22.5703125" bestFit="1" customWidth="1"/>
    <col min="24" max="24" width="13.7109375" bestFit="1" customWidth="1"/>
  </cols>
  <sheetData>
    <row r="1" spans="1:24" ht="14.25" customHeight="1" x14ac:dyDescent="0.25">
      <c r="A1" s="4" t="s">
        <v>72</v>
      </c>
      <c r="B1" s="4"/>
      <c r="C1" s="4"/>
      <c r="D1" s="4"/>
      <c r="F1" s="18" t="s">
        <v>73</v>
      </c>
      <c r="G1" s="7"/>
      <c r="H1" s="7"/>
      <c r="K1" s="7"/>
      <c r="L1" s="7"/>
      <c r="N1" s="6" t="s">
        <v>74</v>
      </c>
      <c r="P1" s="7"/>
      <c r="S1" s="8" t="s">
        <v>75</v>
      </c>
      <c r="U1" s="9"/>
      <c r="V1" s="9"/>
      <c r="W1" s="10"/>
      <c r="X1" s="11"/>
    </row>
    <row r="2" spans="1:24" x14ac:dyDescent="0.25">
      <c r="A2" s="12">
        <v>44482</v>
      </c>
      <c r="B2" s="13" t="s">
        <v>76</v>
      </c>
      <c r="F2" s="7"/>
      <c r="G2" s="7"/>
      <c r="H2" s="7"/>
      <c r="K2" s="7"/>
      <c r="L2" s="7"/>
      <c r="N2" s="14" t="s">
        <v>42</v>
      </c>
      <c r="P2" s="7"/>
      <c r="S2" s="8"/>
      <c r="U2" s="9"/>
      <c r="V2" s="9"/>
      <c r="W2" s="10"/>
      <c r="X2" s="11"/>
    </row>
    <row r="3" spans="1:24" x14ac:dyDescent="0.25">
      <c r="A3" t="s">
        <v>78</v>
      </c>
      <c r="B3" t="s">
        <v>2283</v>
      </c>
      <c r="F3" s="7"/>
      <c r="G3" s="7"/>
      <c r="H3" s="7"/>
      <c r="J3" s="17" t="s">
        <v>77</v>
      </c>
      <c r="K3" s="7"/>
      <c r="L3" s="7"/>
      <c r="M3" s="15" t="s">
        <v>77</v>
      </c>
      <c r="N3" s="6"/>
      <c r="P3" s="7"/>
      <c r="Q3" s="15" t="s">
        <v>77</v>
      </c>
      <c r="R3" s="16"/>
      <c r="S3" s="8"/>
      <c r="U3" s="9"/>
      <c r="V3" s="9"/>
      <c r="W3" s="10"/>
      <c r="X3" s="11"/>
    </row>
    <row r="4" spans="1:24" x14ac:dyDescent="0.25">
      <c r="F4" s="7"/>
      <c r="G4" s="7"/>
      <c r="H4" s="7"/>
      <c r="K4" s="7"/>
      <c r="L4" s="7"/>
      <c r="N4" s="6"/>
      <c r="P4" s="7"/>
      <c r="S4" s="8"/>
      <c r="U4" s="9"/>
      <c r="V4" s="9"/>
      <c r="W4" s="10"/>
      <c r="X4" s="11"/>
    </row>
    <row r="5" spans="1:24" x14ac:dyDescent="0.25">
      <c r="A5" s="1" t="s">
        <v>1795</v>
      </c>
      <c r="F5" s="7"/>
      <c r="G5" s="7"/>
      <c r="H5" s="7"/>
      <c r="K5" s="7"/>
      <c r="L5" s="7"/>
      <c r="P5" s="7"/>
      <c r="S5" s="37" t="s">
        <v>143</v>
      </c>
      <c r="U5" s="7"/>
      <c r="V5" s="7"/>
      <c r="W5" s="10"/>
      <c r="X5" s="11"/>
    </row>
    <row r="6" spans="1:24" ht="45" x14ac:dyDescent="0.25">
      <c r="A6" s="24" t="s">
        <v>0</v>
      </c>
      <c r="B6" s="19" t="s">
        <v>1</v>
      </c>
      <c r="C6" s="19" t="s">
        <v>2</v>
      </c>
      <c r="D6" s="25" t="s">
        <v>3</v>
      </c>
      <c r="E6" s="25" t="s">
        <v>4</v>
      </c>
      <c r="F6" s="19" t="s">
        <v>5</v>
      </c>
      <c r="G6" s="19" t="s">
        <v>6</v>
      </c>
      <c r="H6" s="24" t="s">
        <v>7</v>
      </c>
      <c r="I6" s="19" t="s">
        <v>8</v>
      </c>
      <c r="J6" s="24" t="s">
        <v>9</v>
      </c>
      <c r="K6" s="25" t="s">
        <v>10</v>
      </c>
      <c r="L6" s="19" t="s">
        <v>11</v>
      </c>
      <c r="M6" s="25" t="s">
        <v>12</v>
      </c>
      <c r="N6" s="20" t="s">
        <v>13</v>
      </c>
      <c r="O6" s="25" t="s">
        <v>14</v>
      </c>
      <c r="P6" s="25" t="s">
        <v>15</v>
      </c>
      <c r="Q6" s="25" t="s">
        <v>16</v>
      </c>
      <c r="R6" s="25" t="s">
        <v>17</v>
      </c>
      <c r="S6" s="21" t="s">
        <v>18</v>
      </c>
      <c r="T6" s="19" t="s">
        <v>19</v>
      </c>
      <c r="U6" s="28" t="s">
        <v>20</v>
      </c>
      <c r="V6" s="28" t="s">
        <v>21</v>
      </c>
      <c r="W6" s="29" t="s">
        <v>22</v>
      </c>
      <c r="X6" s="22" t="s">
        <v>23</v>
      </c>
    </row>
    <row r="7" spans="1:24" x14ac:dyDescent="0.25">
      <c r="A7" s="30" t="s">
        <v>2000</v>
      </c>
      <c r="B7" s="30" t="s">
        <v>2086</v>
      </c>
      <c r="C7" s="30" t="s">
        <v>778</v>
      </c>
      <c r="D7" s="30" t="s">
        <v>2087</v>
      </c>
      <c r="E7" s="30" t="s">
        <v>2088</v>
      </c>
      <c r="F7" s="23" t="str">
        <f>HYPERLINK("https://mapwv.gov/flood/map/?wkid=102100&amp;x=-9114593.478975702&amp;y=4655746.76684202&amp;l=13&amp;v=2","FT")</f>
        <v>FT</v>
      </c>
      <c r="G7" s="31" t="s">
        <v>79</v>
      </c>
      <c r="H7" s="31" t="s">
        <v>25</v>
      </c>
      <c r="I7" s="30" t="s">
        <v>1823</v>
      </c>
      <c r="J7" s="31" t="s">
        <v>39</v>
      </c>
      <c r="K7" s="27" t="s">
        <v>125</v>
      </c>
      <c r="L7" s="27" t="s">
        <v>27</v>
      </c>
      <c r="M7" s="30" t="s">
        <v>68</v>
      </c>
      <c r="N7" s="2" t="s">
        <v>101</v>
      </c>
      <c r="O7" s="31" t="s">
        <v>106</v>
      </c>
      <c r="P7" s="30" t="s">
        <v>1912</v>
      </c>
      <c r="Q7" s="30" t="s">
        <v>30</v>
      </c>
      <c r="R7" s="31" t="s">
        <v>110</v>
      </c>
      <c r="S7" s="32">
        <v>23207687</v>
      </c>
      <c r="T7" s="48" t="s">
        <v>69</v>
      </c>
      <c r="U7" s="33">
        <v>0</v>
      </c>
      <c r="V7" s="33">
        <v>-1</v>
      </c>
      <c r="W7" s="34">
        <v>0</v>
      </c>
      <c r="X7" s="35">
        <v>0</v>
      </c>
    </row>
    <row r="8" spans="1:24" x14ac:dyDescent="0.25">
      <c r="A8" s="30" t="s">
        <v>2001</v>
      </c>
      <c r="B8" s="30" t="s">
        <v>1822</v>
      </c>
      <c r="C8" s="30" t="s">
        <v>778</v>
      </c>
      <c r="D8" s="30" t="s">
        <v>2089</v>
      </c>
      <c r="E8" s="30" t="s">
        <v>2090</v>
      </c>
      <c r="F8" s="23" t="str">
        <f>HYPERLINK("https://mapwv.gov/flood/map/?wkid=102100&amp;x=-9127381.942784669&amp;y=4665413.748745657&amp;l=13&amp;v=2","FT")</f>
        <v>FT</v>
      </c>
      <c r="G8" s="31" t="s">
        <v>32</v>
      </c>
      <c r="H8" s="31" t="s">
        <v>25</v>
      </c>
      <c r="I8" s="30" t="s">
        <v>1824</v>
      </c>
      <c r="J8" s="31" t="s">
        <v>26</v>
      </c>
      <c r="K8" s="27" t="s">
        <v>130</v>
      </c>
      <c r="L8" s="27" t="s">
        <v>27</v>
      </c>
      <c r="M8" s="30" t="s">
        <v>68</v>
      </c>
      <c r="N8" s="2" t="s">
        <v>101</v>
      </c>
      <c r="O8" s="31" t="s">
        <v>105</v>
      </c>
      <c r="P8" s="30" t="s">
        <v>1913</v>
      </c>
      <c r="Q8" s="30" t="s">
        <v>30</v>
      </c>
      <c r="R8" s="31" t="s">
        <v>110</v>
      </c>
      <c r="S8" s="32">
        <v>19010743</v>
      </c>
      <c r="T8" s="48" t="s">
        <v>69</v>
      </c>
      <c r="U8" s="33">
        <v>0</v>
      </c>
      <c r="V8" s="33">
        <v>-1</v>
      </c>
      <c r="W8" s="34">
        <v>0</v>
      </c>
      <c r="X8" s="35">
        <v>0</v>
      </c>
    </row>
    <row r="9" spans="1:24" x14ac:dyDescent="0.25">
      <c r="A9" s="30" t="s">
        <v>2002</v>
      </c>
      <c r="B9" s="30" t="s">
        <v>2091</v>
      </c>
      <c r="C9" s="30" t="s">
        <v>778</v>
      </c>
      <c r="D9" s="30" t="s">
        <v>2092</v>
      </c>
      <c r="E9" s="30" t="s">
        <v>2093</v>
      </c>
      <c r="F9" s="23" t="str">
        <f>HYPERLINK("https://mapwv.gov/flood/map/?wkid=102100&amp;x=-9107709.812283935&amp;y=4644399.67059819&amp;l=13&amp;v=2","FT")</f>
        <v>FT</v>
      </c>
      <c r="G9" s="31" t="s">
        <v>79</v>
      </c>
      <c r="H9" s="31" t="s">
        <v>25</v>
      </c>
      <c r="I9" s="30" t="s">
        <v>1825</v>
      </c>
      <c r="J9" s="31" t="s">
        <v>39</v>
      </c>
      <c r="K9" s="27" t="s">
        <v>370</v>
      </c>
      <c r="L9" s="27" t="s">
        <v>27</v>
      </c>
      <c r="M9" s="30" t="s">
        <v>68</v>
      </c>
      <c r="N9" s="2" t="s">
        <v>101</v>
      </c>
      <c r="O9" s="31" t="s">
        <v>106</v>
      </c>
      <c r="P9" s="30" t="s">
        <v>1914</v>
      </c>
      <c r="Q9" s="30" t="s">
        <v>43</v>
      </c>
      <c r="R9" s="31" t="s">
        <v>111</v>
      </c>
      <c r="S9" s="32">
        <v>15593688</v>
      </c>
      <c r="T9" s="48" t="s">
        <v>69</v>
      </c>
      <c r="U9" s="33">
        <v>0</v>
      </c>
      <c r="V9" s="33">
        <v>-4</v>
      </c>
      <c r="W9" s="34">
        <v>0</v>
      </c>
      <c r="X9" s="35">
        <v>0</v>
      </c>
    </row>
    <row r="10" spans="1:24" x14ac:dyDescent="0.25">
      <c r="A10" s="30" t="s">
        <v>2003</v>
      </c>
      <c r="B10" s="30" t="s">
        <v>2094</v>
      </c>
      <c r="C10" s="30" t="s">
        <v>778</v>
      </c>
      <c r="D10" s="30" t="s">
        <v>2095</v>
      </c>
      <c r="E10" s="30" t="s">
        <v>2096</v>
      </c>
      <c r="F10" s="23" t="str">
        <f>HYPERLINK("https://mapwv.gov/flood/map/?wkid=102100&amp;x=-9120768.844349163&amp;y=4655067.203163772&amp;l=13&amp;v=2","FT")</f>
        <v>FT</v>
      </c>
      <c r="G10" s="31" t="s">
        <v>32</v>
      </c>
      <c r="H10" s="31" t="s">
        <v>25</v>
      </c>
      <c r="I10" s="30" t="s">
        <v>960</v>
      </c>
      <c r="J10" s="31" t="s">
        <v>26</v>
      </c>
      <c r="K10" s="27" t="s">
        <v>89</v>
      </c>
      <c r="L10" s="27" t="s">
        <v>38</v>
      </c>
      <c r="M10" s="30" t="s">
        <v>28</v>
      </c>
      <c r="N10" s="2" t="s">
        <v>102</v>
      </c>
      <c r="O10" s="31" t="s">
        <v>107</v>
      </c>
      <c r="P10" s="30" t="s">
        <v>1915</v>
      </c>
      <c r="Q10" s="30" t="s">
        <v>30</v>
      </c>
      <c r="R10" s="31" t="s">
        <v>110</v>
      </c>
      <c r="S10" s="32">
        <v>7270200</v>
      </c>
      <c r="T10" s="48" t="s">
        <v>31</v>
      </c>
      <c r="U10" s="33">
        <v>0</v>
      </c>
      <c r="V10" s="33">
        <v>-1</v>
      </c>
      <c r="W10" s="34">
        <v>0</v>
      </c>
      <c r="X10" s="35">
        <v>0</v>
      </c>
    </row>
    <row r="11" spans="1:24" x14ac:dyDescent="0.25">
      <c r="A11" s="30" t="s">
        <v>2004</v>
      </c>
      <c r="B11" s="30" t="s">
        <v>2094</v>
      </c>
      <c r="C11" s="30" t="s">
        <v>778</v>
      </c>
      <c r="D11" s="30" t="s">
        <v>2095</v>
      </c>
      <c r="E11" s="30" t="s">
        <v>2097</v>
      </c>
      <c r="F11" s="23" t="str">
        <f>HYPERLINK("https://mapwv.gov/flood/map/?wkid=102100&amp;x=-9120668.438064646&amp;y=4655202.878105901&amp;l=13&amp;v=2","FT")</f>
        <v>FT</v>
      </c>
      <c r="G11" s="31" t="s">
        <v>32</v>
      </c>
      <c r="H11" s="31" t="s">
        <v>25</v>
      </c>
      <c r="I11" s="30" t="s">
        <v>960</v>
      </c>
      <c r="J11" s="31" t="s">
        <v>26</v>
      </c>
      <c r="K11" s="27" t="s">
        <v>127</v>
      </c>
      <c r="L11" s="27" t="s">
        <v>38</v>
      </c>
      <c r="M11" s="30" t="s">
        <v>28</v>
      </c>
      <c r="N11" s="2" t="s">
        <v>102</v>
      </c>
      <c r="O11" s="31" t="s">
        <v>107</v>
      </c>
      <c r="P11" s="30" t="s">
        <v>1916</v>
      </c>
      <c r="Q11" s="30" t="s">
        <v>30</v>
      </c>
      <c r="R11" s="31" t="s">
        <v>110</v>
      </c>
      <c r="S11" s="32">
        <v>6236900</v>
      </c>
      <c r="T11" s="48" t="s">
        <v>31</v>
      </c>
      <c r="U11" s="33">
        <v>0</v>
      </c>
      <c r="V11" s="33">
        <v>-1</v>
      </c>
      <c r="W11" s="34">
        <v>0</v>
      </c>
      <c r="X11" s="35">
        <v>0</v>
      </c>
    </row>
    <row r="12" spans="1:24" x14ac:dyDescent="0.25">
      <c r="A12" s="30" t="s">
        <v>2005</v>
      </c>
      <c r="B12" s="30" t="s">
        <v>1803</v>
      </c>
      <c r="C12" s="30" t="s">
        <v>778</v>
      </c>
      <c r="D12" s="30" t="s">
        <v>2098</v>
      </c>
      <c r="E12" s="30" t="s">
        <v>2099</v>
      </c>
      <c r="F12" s="23" t="str">
        <f>HYPERLINK("https://mapwv.gov/flood/map/?wkid=102100&amp;x=-9125279.600841489&amp;y=4658767.140703643&amp;l=13&amp;v=2","FT")</f>
        <v>FT</v>
      </c>
      <c r="G12" s="31" t="s">
        <v>32</v>
      </c>
      <c r="H12" s="31" t="s">
        <v>25</v>
      </c>
      <c r="I12" s="30" t="s">
        <v>1826</v>
      </c>
      <c r="J12" s="31" t="s">
        <v>26</v>
      </c>
      <c r="K12" s="27" t="s">
        <v>1005</v>
      </c>
      <c r="L12" s="27" t="s">
        <v>45</v>
      </c>
      <c r="M12" s="30" t="s">
        <v>34</v>
      </c>
      <c r="N12" s="2" t="s">
        <v>104</v>
      </c>
      <c r="O12" s="31" t="s">
        <v>107</v>
      </c>
      <c r="P12" s="30" t="s">
        <v>1055</v>
      </c>
      <c r="Q12" s="30" t="s">
        <v>30</v>
      </c>
      <c r="R12" s="31" t="s">
        <v>110</v>
      </c>
      <c r="S12" s="32">
        <v>5165400</v>
      </c>
      <c r="T12" s="48" t="s">
        <v>31</v>
      </c>
      <c r="U12" s="33">
        <v>0</v>
      </c>
      <c r="V12" s="33">
        <v>-1</v>
      </c>
      <c r="W12" s="34">
        <v>0</v>
      </c>
      <c r="X12" s="35">
        <v>0</v>
      </c>
    </row>
    <row r="13" spans="1:24" x14ac:dyDescent="0.25">
      <c r="A13" s="30" t="s">
        <v>2006</v>
      </c>
      <c r="B13" s="30" t="s">
        <v>1822</v>
      </c>
      <c r="C13" s="30" t="s">
        <v>778</v>
      </c>
      <c r="D13" s="30" t="s">
        <v>2100</v>
      </c>
      <c r="E13" s="30" t="s">
        <v>2101</v>
      </c>
      <c r="F13" s="23" t="str">
        <f>HYPERLINK("https://mapwv.gov/flood/map/?wkid=102100&amp;x=-9126726.24103895&amp;y=4665887.331262224&amp;l=13&amp;v=2","FT")</f>
        <v>FT</v>
      </c>
      <c r="G13" s="31" t="s">
        <v>79</v>
      </c>
      <c r="H13" s="31" t="s">
        <v>25</v>
      </c>
      <c r="I13" s="30" t="s">
        <v>1827</v>
      </c>
      <c r="J13" s="31" t="s">
        <v>39</v>
      </c>
      <c r="K13" s="27" t="s">
        <v>121</v>
      </c>
      <c r="L13" s="27" t="s">
        <v>45</v>
      </c>
      <c r="M13" s="30" t="s">
        <v>68</v>
      </c>
      <c r="N13" s="2" t="s">
        <v>101</v>
      </c>
      <c r="O13" s="31" t="s">
        <v>106</v>
      </c>
      <c r="P13" s="30" t="s">
        <v>1917</v>
      </c>
      <c r="Q13" s="30" t="s">
        <v>30</v>
      </c>
      <c r="R13" s="31" t="s">
        <v>110</v>
      </c>
      <c r="S13" s="32">
        <v>4153559</v>
      </c>
      <c r="T13" s="48" t="s">
        <v>69</v>
      </c>
      <c r="U13" s="33">
        <v>0</v>
      </c>
      <c r="V13" s="33">
        <v>-1</v>
      </c>
      <c r="W13" s="34">
        <v>0</v>
      </c>
      <c r="X13" s="35">
        <v>0</v>
      </c>
    </row>
    <row r="14" spans="1:24" x14ac:dyDescent="0.25">
      <c r="A14" s="30" t="s">
        <v>2007</v>
      </c>
      <c r="B14" s="30" t="s">
        <v>1803</v>
      </c>
      <c r="C14" s="30" t="s">
        <v>778</v>
      </c>
      <c r="D14" s="30" t="s">
        <v>2102</v>
      </c>
      <c r="E14" s="30" t="s">
        <v>2103</v>
      </c>
      <c r="F14" s="23" t="str">
        <f>HYPERLINK("https://mapwv.gov/flood/map/?wkid=102100&amp;x=-9125647.914512478&amp;y=4658633.5036168005&amp;l=13&amp;v=2","FT")</f>
        <v>FT</v>
      </c>
      <c r="G14" s="31" t="s">
        <v>32</v>
      </c>
      <c r="H14" s="31" t="s">
        <v>25</v>
      </c>
      <c r="I14" s="30" t="s">
        <v>1828</v>
      </c>
      <c r="J14" s="31" t="s">
        <v>26</v>
      </c>
      <c r="K14" s="27" t="s">
        <v>1910</v>
      </c>
      <c r="L14" s="27" t="s">
        <v>27</v>
      </c>
      <c r="M14" s="30" t="s">
        <v>34</v>
      </c>
      <c r="N14" s="2" t="s">
        <v>104</v>
      </c>
      <c r="O14" s="31" t="s">
        <v>105</v>
      </c>
      <c r="P14" s="30" t="s">
        <v>1918</v>
      </c>
      <c r="Q14" s="30" t="s">
        <v>30</v>
      </c>
      <c r="R14" s="31" t="s">
        <v>110</v>
      </c>
      <c r="S14" s="32">
        <v>3590400</v>
      </c>
      <c r="T14" s="48" t="s">
        <v>44</v>
      </c>
      <c r="U14" s="33">
        <v>0</v>
      </c>
      <c r="V14" s="33">
        <v>-1</v>
      </c>
      <c r="W14" s="34">
        <v>0</v>
      </c>
      <c r="X14" s="35">
        <v>0</v>
      </c>
    </row>
    <row r="15" spans="1:24" x14ac:dyDescent="0.25">
      <c r="A15" s="30" t="s">
        <v>2299</v>
      </c>
      <c r="B15" s="30" t="s">
        <v>1803</v>
      </c>
      <c r="C15" s="30" t="s">
        <v>778</v>
      </c>
      <c r="D15" s="30" t="s">
        <v>2300</v>
      </c>
      <c r="E15" s="30" t="s">
        <v>2301</v>
      </c>
      <c r="F15" s="23" t="str">
        <f>HYPERLINK("https://mapwv.gov/flood/map/?wkid=102100&amp;x=-9113398.009947196&amp;y=4655698.748239265&amp;l=13&amp;v=2","FT")</f>
        <v>FT</v>
      </c>
      <c r="G15" s="31" t="s">
        <v>32</v>
      </c>
      <c r="H15" s="31" t="s">
        <v>25</v>
      </c>
      <c r="I15" s="30" t="s">
        <v>2302</v>
      </c>
      <c r="J15" s="31" t="s">
        <v>26</v>
      </c>
      <c r="K15" s="27">
        <v>9999</v>
      </c>
      <c r="L15" s="27"/>
      <c r="M15" s="30" t="s">
        <v>28</v>
      </c>
      <c r="N15" s="2" t="s">
        <v>102</v>
      </c>
      <c r="O15" s="31">
        <v>1</v>
      </c>
      <c r="P15" s="50">
        <v>3400</v>
      </c>
      <c r="Q15" s="30" t="s">
        <v>30</v>
      </c>
      <c r="R15" s="31" t="s">
        <v>110</v>
      </c>
      <c r="S15" s="32">
        <v>3000000</v>
      </c>
      <c r="T15" s="48" t="s">
        <v>29</v>
      </c>
      <c r="U15" s="33">
        <v>0.6</v>
      </c>
      <c r="V15" s="33"/>
      <c r="W15" s="34">
        <v>1.0999999999999999E-2</v>
      </c>
      <c r="X15" s="35">
        <v>33000</v>
      </c>
    </row>
    <row r="16" spans="1:24" x14ac:dyDescent="0.25">
      <c r="A16" s="30" t="s">
        <v>2008</v>
      </c>
      <c r="B16" s="30" t="s">
        <v>1803</v>
      </c>
      <c r="C16" s="30" t="s">
        <v>778</v>
      </c>
      <c r="D16" s="30" t="s">
        <v>2104</v>
      </c>
      <c r="E16" s="30" t="s">
        <v>2105</v>
      </c>
      <c r="F16" s="23" t="str">
        <f>HYPERLINK("https://mapwv.gov/flood/map/?wkid=102100&amp;x=-9122043.946554644&amp;y=4656121.453770192&amp;l=13&amp;v=2","FT")</f>
        <v>FT</v>
      </c>
      <c r="G16" s="31" t="s">
        <v>32</v>
      </c>
      <c r="H16" s="31" t="s">
        <v>25</v>
      </c>
      <c r="I16" s="30" t="s">
        <v>1829</v>
      </c>
      <c r="J16" s="31" t="s">
        <v>26</v>
      </c>
      <c r="K16" s="27" t="s">
        <v>643</v>
      </c>
      <c r="L16" s="27"/>
      <c r="M16" s="30" t="s">
        <v>48</v>
      </c>
      <c r="N16" s="2" t="s">
        <v>35</v>
      </c>
      <c r="O16" s="31" t="s">
        <v>105</v>
      </c>
      <c r="P16" s="30" t="s">
        <v>1919</v>
      </c>
      <c r="Q16" s="30" t="s">
        <v>30</v>
      </c>
      <c r="R16" s="31" t="s">
        <v>110</v>
      </c>
      <c r="S16" s="32">
        <v>1907400</v>
      </c>
      <c r="T16" s="48" t="s">
        <v>31</v>
      </c>
      <c r="U16" s="33">
        <v>3.1738280000000001E-2</v>
      </c>
      <c r="V16" s="33">
        <v>-0.96826171875</v>
      </c>
      <c r="W16" s="34">
        <v>3.1738281250000001E-4</v>
      </c>
      <c r="X16" s="35">
        <v>605.3759765625</v>
      </c>
    </row>
    <row r="17" spans="1:24" x14ac:dyDescent="0.25">
      <c r="A17" s="30" t="s">
        <v>1802</v>
      </c>
      <c r="B17" s="30" t="s">
        <v>1803</v>
      </c>
      <c r="C17" s="30" t="s">
        <v>778</v>
      </c>
      <c r="D17" s="30" t="s">
        <v>1819</v>
      </c>
      <c r="E17" s="30" t="s">
        <v>1820</v>
      </c>
      <c r="F17" s="23" t="str">
        <f>HYPERLINK("https://mapwv.gov/flood/map/?wkid=102100&amp;x=-9110650.968854133&amp;y=4641970.216238091&amp;l=13&amp;v=2","FT")</f>
        <v>FT</v>
      </c>
      <c r="G17" s="31" t="s">
        <v>53</v>
      </c>
      <c r="H17" s="31" t="s">
        <v>25</v>
      </c>
      <c r="I17" s="30" t="s">
        <v>1830</v>
      </c>
      <c r="J17" s="31" t="s">
        <v>39</v>
      </c>
      <c r="K17" s="27" t="s">
        <v>81</v>
      </c>
      <c r="L17" s="27" t="s">
        <v>50</v>
      </c>
      <c r="M17" s="30" t="s">
        <v>28</v>
      </c>
      <c r="N17" s="2" t="s">
        <v>102</v>
      </c>
      <c r="O17" s="31" t="s">
        <v>105</v>
      </c>
      <c r="P17" s="30" t="s">
        <v>1920</v>
      </c>
      <c r="Q17" s="30" t="s">
        <v>30</v>
      </c>
      <c r="R17" s="31" t="s">
        <v>110</v>
      </c>
      <c r="S17" s="32">
        <v>1799200</v>
      </c>
      <c r="T17" s="48" t="s">
        <v>44</v>
      </c>
      <c r="U17" s="33">
        <v>3.8818360000000003E-2</v>
      </c>
      <c r="V17" s="33">
        <v>-0.961181640625</v>
      </c>
      <c r="W17" s="34">
        <v>0</v>
      </c>
      <c r="X17" s="35">
        <v>0</v>
      </c>
    </row>
    <row r="18" spans="1:24" x14ac:dyDescent="0.25">
      <c r="A18" s="30" t="s">
        <v>2009</v>
      </c>
      <c r="B18" s="30" t="s">
        <v>1803</v>
      </c>
      <c r="C18" s="30" t="s">
        <v>1807</v>
      </c>
      <c r="D18" s="30" t="s">
        <v>2106</v>
      </c>
      <c r="E18" s="30" t="s">
        <v>2107</v>
      </c>
      <c r="F18" s="23" t="str">
        <f>HYPERLINK("https://mapwv.gov/flood/map/?wkid=102100&amp;x=-9117649.539635623&amp;y=4642782.584756453&amp;l=13&amp;v=2","FT")</f>
        <v>FT</v>
      </c>
      <c r="G18" s="31" t="s">
        <v>32</v>
      </c>
      <c r="H18" s="31" t="s">
        <v>25</v>
      </c>
      <c r="I18" s="30" t="s">
        <v>1831</v>
      </c>
      <c r="J18" s="31" t="s">
        <v>26</v>
      </c>
      <c r="K18" s="27" t="s">
        <v>643</v>
      </c>
      <c r="L18" s="27" t="s">
        <v>45</v>
      </c>
      <c r="M18" s="30" t="s">
        <v>1394</v>
      </c>
      <c r="N18" s="2" t="s">
        <v>42</v>
      </c>
      <c r="O18" s="31" t="s">
        <v>105</v>
      </c>
      <c r="P18" s="30" t="s">
        <v>1921</v>
      </c>
      <c r="Q18" s="30" t="s">
        <v>30</v>
      </c>
      <c r="R18" s="31" t="s">
        <v>110</v>
      </c>
      <c r="S18" s="32">
        <v>1740800</v>
      </c>
      <c r="T18" s="48" t="s">
        <v>31</v>
      </c>
      <c r="U18" s="33">
        <v>0</v>
      </c>
      <c r="V18" s="33">
        <v>-1</v>
      </c>
      <c r="W18" s="34">
        <v>0</v>
      </c>
      <c r="X18" s="35">
        <v>0</v>
      </c>
    </row>
    <row r="19" spans="1:24" x14ac:dyDescent="0.25">
      <c r="A19" s="30" t="s">
        <v>2010</v>
      </c>
      <c r="B19" s="30" t="s">
        <v>1803</v>
      </c>
      <c r="C19" s="30" t="s">
        <v>778</v>
      </c>
      <c r="D19" s="30" t="s">
        <v>2108</v>
      </c>
      <c r="E19" s="30" t="s">
        <v>2109</v>
      </c>
      <c r="F19" s="23" t="str">
        <f>HYPERLINK("https://mapwv.gov/flood/map/?wkid=102100&amp;x=-9109788.061794998&amp;y=4649209.198334305&amp;l=13&amp;v=2","FT")</f>
        <v>FT</v>
      </c>
      <c r="G19" s="31" t="s">
        <v>32</v>
      </c>
      <c r="H19" s="31" t="s">
        <v>25</v>
      </c>
      <c r="I19" s="30" t="s">
        <v>1832</v>
      </c>
      <c r="J19" s="31" t="s">
        <v>39</v>
      </c>
      <c r="K19" s="27" t="s">
        <v>640</v>
      </c>
      <c r="L19" s="27" t="s">
        <v>367</v>
      </c>
      <c r="M19" s="30" t="s">
        <v>139</v>
      </c>
      <c r="N19" s="2" t="s">
        <v>104</v>
      </c>
      <c r="O19" s="31" t="s">
        <v>105</v>
      </c>
      <c r="P19" s="30" t="s">
        <v>1922</v>
      </c>
      <c r="Q19" s="30" t="s">
        <v>30</v>
      </c>
      <c r="R19" s="31" t="s">
        <v>110</v>
      </c>
      <c r="S19" s="32">
        <v>1232800</v>
      </c>
      <c r="T19" s="48" t="s">
        <v>44</v>
      </c>
      <c r="U19" s="33">
        <v>2.1920776000000002</v>
      </c>
      <c r="V19" s="33">
        <v>1.19207763671875</v>
      </c>
      <c r="W19" s="34">
        <v>0.237286987304687</v>
      </c>
      <c r="X19" s="35">
        <v>292527.39794921799</v>
      </c>
    </row>
    <row r="20" spans="1:24" x14ac:dyDescent="0.25">
      <c r="A20" s="30" t="s">
        <v>2011</v>
      </c>
      <c r="B20" s="30" t="s">
        <v>1803</v>
      </c>
      <c r="C20" s="30" t="s">
        <v>2110</v>
      </c>
      <c r="D20" s="30" t="s">
        <v>2111</v>
      </c>
      <c r="E20" s="30" t="s">
        <v>2112</v>
      </c>
      <c r="F20" s="23" t="str">
        <f>HYPERLINK("https://mapwv.gov/flood/map/?wkid=102100&amp;x=-9120459.166216193&amp;y=4643327.900066115&amp;l=13&amp;v=2","FT")</f>
        <v>FT</v>
      </c>
      <c r="G20" s="31" t="s">
        <v>32</v>
      </c>
      <c r="H20" s="31" t="s">
        <v>25</v>
      </c>
      <c r="I20" s="30" t="s">
        <v>1833</v>
      </c>
      <c r="J20" s="31" t="s">
        <v>26</v>
      </c>
      <c r="K20" s="27" t="s">
        <v>119</v>
      </c>
      <c r="L20" s="27" t="s">
        <v>45</v>
      </c>
      <c r="M20" s="30" t="s">
        <v>56</v>
      </c>
      <c r="N20" s="2" t="s">
        <v>35</v>
      </c>
      <c r="O20" s="31" t="s">
        <v>106</v>
      </c>
      <c r="P20" s="30" t="s">
        <v>1923</v>
      </c>
      <c r="Q20" s="30" t="s">
        <v>30</v>
      </c>
      <c r="R20" s="31" t="s">
        <v>110</v>
      </c>
      <c r="S20" s="32">
        <v>1208000</v>
      </c>
      <c r="T20" s="48" t="s">
        <v>44</v>
      </c>
      <c r="U20" s="33">
        <v>0</v>
      </c>
      <c r="V20" s="33">
        <v>-1</v>
      </c>
      <c r="W20" s="34">
        <v>0</v>
      </c>
      <c r="X20" s="35">
        <v>0</v>
      </c>
    </row>
    <row r="21" spans="1:24" x14ac:dyDescent="0.25">
      <c r="A21" s="30" t="s">
        <v>1796</v>
      </c>
      <c r="B21" s="30" t="s">
        <v>1803</v>
      </c>
      <c r="C21" s="30" t="s">
        <v>778</v>
      </c>
      <c r="D21" s="30" t="s">
        <v>1804</v>
      </c>
      <c r="E21" s="30" t="s">
        <v>1805</v>
      </c>
      <c r="F21" s="23" t="str">
        <f>HYPERLINK("https://mapwv.gov/flood/map/?wkid=102100&amp;x=-9108339.073646838&amp;y=4643999.610470243&amp;l=13&amp;v=2","FT")</f>
        <v>FT</v>
      </c>
      <c r="G21" s="31" t="s">
        <v>53</v>
      </c>
      <c r="H21" s="31" t="s">
        <v>25</v>
      </c>
      <c r="I21" s="30" t="s">
        <v>1834</v>
      </c>
      <c r="J21" s="31" t="s">
        <v>39</v>
      </c>
      <c r="K21" s="27" t="s">
        <v>137</v>
      </c>
      <c r="L21" s="27" t="s">
        <v>367</v>
      </c>
      <c r="M21" s="30" t="s">
        <v>644</v>
      </c>
      <c r="N21" s="2" t="s">
        <v>104</v>
      </c>
      <c r="O21" s="31" t="s">
        <v>106</v>
      </c>
      <c r="P21" s="30" t="s">
        <v>1924</v>
      </c>
      <c r="Q21" s="30" t="s">
        <v>30</v>
      </c>
      <c r="R21" s="31" t="s">
        <v>110</v>
      </c>
      <c r="S21" s="32">
        <v>1144200</v>
      </c>
      <c r="T21" s="48" t="s">
        <v>31</v>
      </c>
      <c r="U21" s="33">
        <v>0.21160888999999999</v>
      </c>
      <c r="V21" s="33">
        <v>-0.78839111328125</v>
      </c>
      <c r="W21" s="34">
        <v>2.1160888671875001E-3</v>
      </c>
      <c r="X21" s="35">
        <v>2421.2288818359302</v>
      </c>
    </row>
    <row r="22" spans="1:24" x14ac:dyDescent="0.25">
      <c r="A22" s="30" t="s">
        <v>2012</v>
      </c>
      <c r="B22" s="30" t="s">
        <v>2086</v>
      </c>
      <c r="C22" s="30" t="s">
        <v>778</v>
      </c>
      <c r="D22" s="30" t="s">
        <v>2113</v>
      </c>
      <c r="E22" s="30" t="s">
        <v>2114</v>
      </c>
      <c r="F22" s="23" t="str">
        <f>HYPERLINK("https://mapwv.gov/flood/map/?wkid=102100&amp;x=-9113826.48512379&amp;y=4655229.838012467&amp;l=13&amp;v=2","FT")</f>
        <v>FT</v>
      </c>
      <c r="G22" s="31" t="s">
        <v>32</v>
      </c>
      <c r="H22" s="31" t="s">
        <v>25</v>
      </c>
      <c r="I22" s="30" t="s">
        <v>1835</v>
      </c>
      <c r="J22" s="31" t="s">
        <v>26</v>
      </c>
      <c r="K22" s="27" t="s">
        <v>375</v>
      </c>
      <c r="L22" s="27" t="s">
        <v>27</v>
      </c>
      <c r="M22" s="30" t="s">
        <v>66</v>
      </c>
      <c r="N22" s="2" t="s">
        <v>103</v>
      </c>
      <c r="O22" s="31" t="s">
        <v>106</v>
      </c>
      <c r="P22" s="30" t="s">
        <v>1925</v>
      </c>
      <c r="Q22" s="30" t="s">
        <v>30</v>
      </c>
      <c r="R22" s="31" t="s">
        <v>110</v>
      </c>
      <c r="S22" s="32">
        <v>1006900</v>
      </c>
      <c r="T22" s="48" t="s">
        <v>44</v>
      </c>
      <c r="U22" s="33">
        <v>4.0562133999999999</v>
      </c>
      <c r="V22" s="33">
        <v>3.05621337890625</v>
      </c>
      <c r="W22" s="34">
        <v>0.110562133789062</v>
      </c>
      <c r="X22" s="35">
        <v>111325.012512207</v>
      </c>
    </row>
    <row r="23" spans="1:24" x14ac:dyDescent="0.25">
      <c r="A23" s="30" t="s">
        <v>1797</v>
      </c>
      <c r="B23" s="30" t="s">
        <v>1803</v>
      </c>
      <c r="C23" s="30" t="s">
        <v>778</v>
      </c>
      <c r="D23" s="30" t="s">
        <v>1808</v>
      </c>
      <c r="E23" s="30" t="s">
        <v>1809</v>
      </c>
      <c r="F23" s="23" t="str">
        <f>HYPERLINK("https://mapwv.gov/flood/map/?wkid=102100&amp;x=-9111915.50082869&amp;y=4639741.366017537&amp;l=13&amp;v=2","FT")</f>
        <v>FT</v>
      </c>
      <c r="G23" s="31" t="s">
        <v>53</v>
      </c>
      <c r="H23" s="31" t="s">
        <v>25</v>
      </c>
      <c r="I23" s="30" t="s">
        <v>1836</v>
      </c>
      <c r="J23" s="31" t="s">
        <v>26</v>
      </c>
      <c r="K23" s="27" t="s">
        <v>133</v>
      </c>
      <c r="L23" s="27" t="s">
        <v>27</v>
      </c>
      <c r="M23" s="30" t="s">
        <v>70</v>
      </c>
      <c r="N23" s="2" t="s">
        <v>35</v>
      </c>
      <c r="O23" s="31" t="s">
        <v>105</v>
      </c>
      <c r="P23" s="30" t="s">
        <v>1926</v>
      </c>
      <c r="Q23" s="30" t="s">
        <v>30</v>
      </c>
      <c r="R23" s="31" t="s">
        <v>110</v>
      </c>
      <c r="S23" s="32">
        <v>904600</v>
      </c>
      <c r="T23" s="48" t="s">
        <v>44</v>
      </c>
      <c r="U23" s="33">
        <v>0.10888672000000001</v>
      </c>
      <c r="V23" s="33">
        <v>-0.89111328125</v>
      </c>
      <c r="W23" s="34">
        <v>0</v>
      </c>
      <c r="X23" s="35">
        <v>0</v>
      </c>
    </row>
    <row r="24" spans="1:24" x14ac:dyDescent="0.25">
      <c r="A24" s="30" t="s">
        <v>2013</v>
      </c>
      <c r="B24" s="30" t="s">
        <v>2091</v>
      </c>
      <c r="C24" s="30" t="s">
        <v>778</v>
      </c>
      <c r="D24" s="30" t="s">
        <v>2115</v>
      </c>
      <c r="E24" s="30" t="s">
        <v>2116</v>
      </c>
      <c r="F24" s="23" t="str">
        <f>HYPERLINK("https://mapwv.gov/flood/map/?wkid=102100&amp;x=-9107584.677265096&amp;y=4646078.850969327&amp;l=13&amp;v=2","FT")</f>
        <v>FT</v>
      </c>
      <c r="G24" s="31" t="s">
        <v>53</v>
      </c>
      <c r="H24" s="31" t="s">
        <v>25</v>
      </c>
      <c r="I24" s="30" t="s">
        <v>1837</v>
      </c>
      <c r="J24" s="31" t="s">
        <v>26</v>
      </c>
      <c r="K24" s="27" t="s">
        <v>126</v>
      </c>
      <c r="L24" s="27" t="s">
        <v>367</v>
      </c>
      <c r="M24" s="30" t="s">
        <v>71</v>
      </c>
      <c r="N24" s="2" t="s">
        <v>102</v>
      </c>
      <c r="O24" s="31" t="s">
        <v>106</v>
      </c>
      <c r="P24" s="30" t="s">
        <v>1927</v>
      </c>
      <c r="Q24" s="30" t="s">
        <v>30</v>
      </c>
      <c r="R24" s="31" t="s">
        <v>110</v>
      </c>
      <c r="S24" s="32">
        <v>840000</v>
      </c>
      <c r="T24" s="48" t="s">
        <v>69</v>
      </c>
      <c r="U24" s="33">
        <v>9.5031740000000003E-2</v>
      </c>
      <c r="V24" s="33">
        <v>-0.90496826171875</v>
      </c>
      <c r="W24" s="34">
        <v>0</v>
      </c>
      <c r="X24" s="35">
        <v>0</v>
      </c>
    </row>
    <row r="25" spans="1:24" x14ac:dyDescent="0.25">
      <c r="A25" s="30" t="s">
        <v>1800</v>
      </c>
      <c r="B25" s="30" t="s">
        <v>1803</v>
      </c>
      <c r="C25" s="30" t="s">
        <v>778</v>
      </c>
      <c r="D25" s="30" t="s">
        <v>1814</v>
      </c>
      <c r="E25" s="30" t="s">
        <v>1815</v>
      </c>
      <c r="F25" s="23" t="str">
        <f>HYPERLINK("https://mapwv.gov/flood/map/?wkid=102100&amp;x=-9111895.89969275&amp;y=4639194.141945325&amp;l=13&amp;v=2","FT")</f>
        <v>FT</v>
      </c>
      <c r="G25" s="31" t="s">
        <v>53</v>
      </c>
      <c r="H25" s="31" t="s">
        <v>25</v>
      </c>
      <c r="I25" s="30" t="s">
        <v>1838</v>
      </c>
      <c r="J25" s="31" t="s">
        <v>26</v>
      </c>
      <c r="K25" s="27" t="s">
        <v>369</v>
      </c>
      <c r="L25" s="27" t="s">
        <v>27</v>
      </c>
      <c r="M25" s="30" t="s">
        <v>70</v>
      </c>
      <c r="N25" s="2" t="s">
        <v>35</v>
      </c>
      <c r="O25" s="31" t="s">
        <v>105</v>
      </c>
      <c r="P25" s="30" t="s">
        <v>1928</v>
      </c>
      <c r="Q25" s="30" t="s">
        <v>30</v>
      </c>
      <c r="R25" s="31" t="s">
        <v>110</v>
      </c>
      <c r="S25" s="32">
        <v>767600</v>
      </c>
      <c r="T25" s="48" t="s">
        <v>31</v>
      </c>
      <c r="U25" s="33">
        <v>0.96704100000000004</v>
      </c>
      <c r="V25" s="33">
        <v>-3.2958984375E-2</v>
      </c>
      <c r="W25" s="34">
        <v>0</v>
      </c>
      <c r="X25" s="35">
        <v>0</v>
      </c>
    </row>
    <row r="26" spans="1:24" x14ac:dyDescent="0.25">
      <c r="A26" s="30" t="s">
        <v>2014</v>
      </c>
      <c r="B26" s="30" t="s">
        <v>1803</v>
      </c>
      <c r="C26" s="30" t="s">
        <v>1807</v>
      </c>
      <c r="D26" s="30" t="s">
        <v>2117</v>
      </c>
      <c r="E26" s="30" t="s">
        <v>2118</v>
      </c>
      <c r="F26" s="23" t="str">
        <f>HYPERLINK("https://mapwv.gov/flood/map/?wkid=102100&amp;x=-9117555.385498988&amp;y=4643216.470413549&amp;l=13&amp;v=2","FT")</f>
        <v>FT</v>
      </c>
      <c r="G26" s="31" t="s">
        <v>32</v>
      </c>
      <c r="H26" s="31" t="s">
        <v>25</v>
      </c>
      <c r="I26" s="30" t="s">
        <v>1839</v>
      </c>
      <c r="J26" s="31" t="s">
        <v>26</v>
      </c>
      <c r="K26" s="27" t="s">
        <v>130</v>
      </c>
      <c r="L26" s="27" t="s">
        <v>45</v>
      </c>
      <c r="M26" s="30" t="s">
        <v>48</v>
      </c>
      <c r="N26" s="2" t="s">
        <v>35</v>
      </c>
      <c r="O26" s="31" t="s">
        <v>105</v>
      </c>
      <c r="P26" s="30" t="s">
        <v>1929</v>
      </c>
      <c r="Q26" s="30" t="s">
        <v>30</v>
      </c>
      <c r="R26" s="31" t="s">
        <v>110</v>
      </c>
      <c r="S26" s="32">
        <v>763800</v>
      </c>
      <c r="T26" s="48" t="s">
        <v>44</v>
      </c>
      <c r="U26" s="33">
        <v>0</v>
      </c>
      <c r="V26" s="33">
        <v>-1</v>
      </c>
      <c r="W26" s="34">
        <v>0</v>
      </c>
      <c r="X26" s="35">
        <v>0</v>
      </c>
    </row>
    <row r="27" spans="1:24" x14ac:dyDescent="0.25">
      <c r="A27" s="30" t="s">
        <v>2015</v>
      </c>
      <c r="B27" s="30" t="s">
        <v>1803</v>
      </c>
      <c r="C27" s="30" t="s">
        <v>2110</v>
      </c>
      <c r="D27" s="30" t="s">
        <v>2119</v>
      </c>
      <c r="E27" s="30" t="s">
        <v>2120</v>
      </c>
      <c r="F27" s="23" t="str">
        <f>HYPERLINK("https://mapwv.gov/flood/map/?wkid=102100&amp;x=-9120047.86852759&amp;y=4642747.972941759&amp;l=13&amp;v=2","FT")</f>
        <v>FT</v>
      </c>
      <c r="G27" s="31" t="s">
        <v>32</v>
      </c>
      <c r="H27" s="31" t="s">
        <v>25</v>
      </c>
      <c r="I27" s="30" t="s">
        <v>1840</v>
      </c>
      <c r="J27" s="31" t="s">
        <v>26</v>
      </c>
      <c r="K27" s="27" t="s">
        <v>118</v>
      </c>
      <c r="L27" s="27" t="s">
        <v>54</v>
      </c>
      <c r="M27" s="30" t="s">
        <v>41</v>
      </c>
      <c r="N27" s="2" t="s">
        <v>42</v>
      </c>
      <c r="O27" s="31" t="s">
        <v>106</v>
      </c>
      <c r="P27" s="30" t="s">
        <v>1930</v>
      </c>
      <c r="Q27" s="30" t="s">
        <v>436</v>
      </c>
      <c r="R27" s="31" t="s">
        <v>111</v>
      </c>
      <c r="S27" s="32">
        <v>751500</v>
      </c>
      <c r="T27" s="48" t="s">
        <v>44</v>
      </c>
      <c r="U27" s="33">
        <v>0</v>
      </c>
      <c r="V27" s="33">
        <v>-4</v>
      </c>
      <c r="W27" s="34">
        <v>0</v>
      </c>
      <c r="X27" s="35">
        <v>0</v>
      </c>
    </row>
    <row r="28" spans="1:24" x14ac:dyDescent="0.25">
      <c r="A28" s="30" t="s">
        <v>2016</v>
      </c>
      <c r="B28" s="30" t="s">
        <v>1803</v>
      </c>
      <c r="C28" s="30" t="s">
        <v>1458</v>
      </c>
      <c r="D28" s="30" t="s">
        <v>2121</v>
      </c>
      <c r="E28" s="30" t="s">
        <v>2122</v>
      </c>
      <c r="F28" s="23" t="str">
        <f>HYPERLINK("https://mapwv.gov/flood/map/?wkid=102100&amp;x=-9109330.365919983&amp;y=4642193.181432846&amp;l=13&amp;v=2","FT")</f>
        <v>FT</v>
      </c>
      <c r="G28" s="31" t="s">
        <v>32</v>
      </c>
      <c r="H28" s="31" t="s">
        <v>25</v>
      </c>
      <c r="I28" s="30" t="s">
        <v>1841</v>
      </c>
      <c r="J28" s="31" t="s">
        <v>39</v>
      </c>
      <c r="K28" s="27" t="s">
        <v>121</v>
      </c>
      <c r="L28" s="27" t="s">
        <v>27</v>
      </c>
      <c r="M28" s="30" t="s">
        <v>56</v>
      </c>
      <c r="N28" s="2" t="s">
        <v>35</v>
      </c>
      <c r="O28" s="31" t="s">
        <v>106</v>
      </c>
      <c r="P28" s="30" t="s">
        <v>1931</v>
      </c>
      <c r="Q28" s="30" t="s">
        <v>30</v>
      </c>
      <c r="R28" s="31" t="s">
        <v>110</v>
      </c>
      <c r="S28" s="32">
        <v>712800</v>
      </c>
      <c r="T28" s="48" t="s">
        <v>44</v>
      </c>
      <c r="U28" s="33">
        <v>0.13342285000000001</v>
      </c>
      <c r="V28" s="33">
        <v>-0.8665771484375</v>
      </c>
      <c r="W28" s="34">
        <v>2.6684570312499999E-3</v>
      </c>
      <c r="X28" s="35">
        <v>1902.076171875</v>
      </c>
    </row>
    <row r="29" spans="1:24" x14ac:dyDescent="0.25">
      <c r="A29" s="30" t="s">
        <v>2017</v>
      </c>
      <c r="B29" s="30" t="s">
        <v>1803</v>
      </c>
      <c r="C29" s="30" t="s">
        <v>778</v>
      </c>
      <c r="D29" s="30" t="s">
        <v>2123</v>
      </c>
      <c r="E29" s="30" t="s">
        <v>2124</v>
      </c>
      <c r="F29" s="23" t="str">
        <f>HYPERLINK("https://mapwv.gov/flood/map/?wkid=102100&amp;x=-9125578.152034748&amp;y=4658759.676807303&amp;l=13&amp;v=2","FT")</f>
        <v>FT</v>
      </c>
      <c r="G29" s="31" t="s">
        <v>32</v>
      </c>
      <c r="H29" s="31" t="s">
        <v>25</v>
      </c>
      <c r="I29" s="30" t="s">
        <v>1842</v>
      </c>
      <c r="J29" s="31" t="s">
        <v>26</v>
      </c>
      <c r="K29" s="27" t="s">
        <v>366</v>
      </c>
      <c r="L29" s="27" t="s">
        <v>57</v>
      </c>
      <c r="M29" s="30" t="s">
        <v>1911</v>
      </c>
      <c r="N29" s="2" t="s">
        <v>104</v>
      </c>
      <c r="O29" s="31" t="s">
        <v>105</v>
      </c>
      <c r="P29" s="30" t="s">
        <v>1932</v>
      </c>
      <c r="Q29" s="30" t="s">
        <v>30</v>
      </c>
      <c r="R29" s="31" t="s">
        <v>110</v>
      </c>
      <c r="S29" s="32">
        <v>711600</v>
      </c>
      <c r="T29" s="48" t="s">
        <v>44</v>
      </c>
      <c r="U29" s="33">
        <v>0</v>
      </c>
      <c r="V29" s="33">
        <v>-1</v>
      </c>
      <c r="W29" s="34">
        <v>0</v>
      </c>
      <c r="X29" s="35">
        <v>0</v>
      </c>
    </row>
    <row r="30" spans="1:24" x14ac:dyDescent="0.25">
      <c r="A30" s="30" t="s">
        <v>2018</v>
      </c>
      <c r="B30" s="30" t="s">
        <v>1803</v>
      </c>
      <c r="C30" s="30" t="s">
        <v>2125</v>
      </c>
      <c r="D30" s="30" t="s">
        <v>2126</v>
      </c>
      <c r="E30" s="30" t="s">
        <v>2127</v>
      </c>
      <c r="F30" s="23" t="str">
        <f>HYPERLINK("https://mapwv.gov/flood/map/?wkid=102100&amp;x=-9115112.14075096&amp;y=4640266.763310155&amp;l=13&amp;v=2","FT")</f>
        <v>FT</v>
      </c>
      <c r="G30" s="31" t="s">
        <v>38</v>
      </c>
      <c r="H30" s="31" t="s">
        <v>25</v>
      </c>
      <c r="I30" s="30" t="s">
        <v>1843</v>
      </c>
      <c r="J30" s="31" t="s">
        <v>26</v>
      </c>
      <c r="K30" s="27" t="s">
        <v>375</v>
      </c>
      <c r="L30" s="27" t="s">
        <v>27</v>
      </c>
      <c r="M30" s="30" t="s">
        <v>66</v>
      </c>
      <c r="N30" s="2" t="s">
        <v>103</v>
      </c>
      <c r="O30" s="31" t="s">
        <v>105</v>
      </c>
      <c r="P30" s="30" t="s">
        <v>1933</v>
      </c>
      <c r="Q30" s="30" t="s">
        <v>30</v>
      </c>
      <c r="R30" s="31" t="s">
        <v>110</v>
      </c>
      <c r="S30" s="32">
        <v>658600</v>
      </c>
      <c r="T30" s="48" t="s">
        <v>44</v>
      </c>
      <c r="U30" s="33">
        <v>0.25142421999999998</v>
      </c>
      <c r="V30" s="33">
        <v>-0.74857577681541398</v>
      </c>
      <c r="W30" s="34">
        <v>0</v>
      </c>
      <c r="X30" s="35">
        <v>0</v>
      </c>
    </row>
    <row r="31" spans="1:24" x14ac:dyDescent="0.25">
      <c r="A31" s="30" t="s">
        <v>2019</v>
      </c>
      <c r="B31" s="30" t="s">
        <v>1822</v>
      </c>
      <c r="C31" s="30" t="s">
        <v>778</v>
      </c>
      <c r="D31" s="30" t="s">
        <v>2128</v>
      </c>
      <c r="E31" s="30" t="s">
        <v>2129</v>
      </c>
      <c r="F31" s="23" t="str">
        <f>HYPERLINK("https://mapwv.gov/flood/map/?wkid=102100&amp;x=-9127288.897946758&amp;y=4665685.136260963&amp;l=13&amp;v=2","FT")</f>
        <v>FT</v>
      </c>
      <c r="G31" s="31" t="s">
        <v>32</v>
      </c>
      <c r="H31" s="31" t="s">
        <v>25</v>
      </c>
      <c r="I31" s="30" t="s">
        <v>1844</v>
      </c>
      <c r="J31" s="31" t="s">
        <v>26</v>
      </c>
      <c r="K31" s="27" t="s">
        <v>90</v>
      </c>
      <c r="L31" s="27" t="s">
        <v>57</v>
      </c>
      <c r="M31" s="30" t="s">
        <v>41</v>
      </c>
      <c r="N31" s="2" t="s">
        <v>42</v>
      </c>
      <c r="O31" s="31" t="s">
        <v>106</v>
      </c>
      <c r="P31" s="30" t="s">
        <v>1934</v>
      </c>
      <c r="Q31" s="30" t="s">
        <v>30</v>
      </c>
      <c r="R31" s="31" t="s">
        <v>110</v>
      </c>
      <c r="S31" s="32">
        <v>601700</v>
      </c>
      <c r="T31" s="48" t="s">
        <v>44</v>
      </c>
      <c r="U31" s="33">
        <v>3.72052</v>
      </c>
      <c r="V31" s="33">
        <v>2.72052001953125</v>
      </c>
      <c r="W31" s="34">
        <v>0.16882080078125</v>
      </c>
      <c r="X31" s="35">
        <v>101579.47583007799</v>
      </c>
    </row>
    <row r="32" spans="1:24" x14ac:dyDescent="0.25">
      <c r="A32" s="30" t="s">
        <v>2020</v>
      </c>
      <c r="B32" s="30" t="s">
        <v>2086</v>
      </c>
      <c r="C32" s="30" t="s">
        <v>778</v>
      </c>
      <c r="D32" s="30" t="s">
        <v>2130</v>
      </c>
      <c r="E32" s="30" t="s">
        <v>2131</v>
      </c>
      <c r="F32" s="23" t="str">
        <f>HYPERLINK("https://mapwv.gov/flood/map/?wkid=102100&amp;x=-9113045.763240948&amp;y=4654348.60325526&amp;l=13&amp;v=2","FT")</f>
        <v>FT</v>
      </c>
      <c r="G32" s="31" t="s">
        <v>32</v>
      </c>
      <c r="H32" s="31" t="s">
        <v>25</v>
      </c>
      <c r="I32" s="30" t="s">
        <v>1845</v>
      </c>
      <c r="J32" s="31" t="s">
        <v>26</v>
      </c>
      <c r="K32" s="27" t="s">
        <v>132</v>
      </c>
      <c r="L32" s="27" t="s">
        <v>40</v>
      </c>
      <c r="M32" s="30" t="s">
        <v>41</v>
      </c>
      <c r="N32" s="2" t="s">
        <v>42</v>
      </c>
      <c r="O32" s="31" t="s">
        <v>106</v>
      </c>
      <c r="P32" s="30" t="s">
        <v>1935</v>
      </c>
      <c r="Q32" s="30" t="s">
        <v>436</v>
      </c>
      <c r="R32" s="31" t="s">
        <v>111</v>
      </c>
      <c r="S32" s="32">
        <v>584900</v>
      </c>
      <c r="T32" s="48" t="s">
        <v>44</v>
      </c>
      <c r="U32" s="33">
        <v>1.3779296999999999</v>
      </c>
      <c r="V32" s="33">
        <v>-2.6220703125</v>
      </c>
      <c r="W32" s="34">
        <v>0</v>
      </c>
      <c r="X32" s="35">
        <v>0</v>
      </c>
    </row>
    <row r="33" spans="1:24" x14ac:dyDescent="0.25">
      <c r="A33" s="30" t="s">
        <v>2021</v>
      </c>
      <c r="B33" s="30" t="s">
        <v>1803</v>
      </c>
      <c r="C33" s="30" t="s">
        <v>778</v>
      </c>
      <c r="D33" s="30" t="s">
        <v>2132</v>
      </c>
      <c r="E33" s="30" t="s">
        <v>2133</v>
      </c>
      <c r="F33" s="23" t="str">
        <f>HYPERLINK("https://mapwv.gov/flood/map/?wkid=102100&amp;x=-9110102.84025307&amp;y=4650550.434240501&amp;l=13&amp;v=2","FT")</f>
        <v>FT</v>
      </c>
      <c r="G33" s="31" t="s">
        <v>32</v>
      </c>
      <c r="H33" s="31" t="s">
        <v>25</v>
      </c>
      <c r="I33" s="30" t="s">
        <v>1846</v>
      </c>
      <c r="J33" s="31" t="s">
        <v>26</v>
      </c>
      <c r="K33" s="27" t="s">
        <v>133</v>
      </c>
      <c r="L33" s="27" t="s">
        <v>37</v>
      </c>
      <c r="M33" s="30" t="s">
        <v>70</v>
      </c>
      <c r="N33" s="2" t="s">
        <v>35</v>
      </c>
      <c r="O33" s="31" t="s">
        <v>105</v>
      </c>
      <c r="P33" s="30" t="s">
        <v>1936</v>
      </c>
      <c r="Q33" s="30" t="s">
        <v>30</v>
      </c>
      <c r="R33" s="31" t="s">
        <v>110</v>
      </c>
      <c r="S33" s="32">
        <v>580100</v>
      </c>
      <c r="T33" s="48" t="s">
        <v>31</v>
      </c>
      <c r="U33" s="33">
        <v>0</v>
      </c>
      <c r="V33" s="33">
        <v>-1</v>
      </c>
      <c r="W33" s="34">
        <v>0</v>
      </c>
      <c r="X33" s="35">
        <v>0</v>
      </c>
    </row>
    <row r="34" spans="1:24" x14ac:dyDescent="0.25">
      <c r="A34" s="30" t="s">
        <v>2022</v>
      </c>
      <c r="B34" s="30" t="s">
        <v>1803</v>
      </c>
      <c r="C34" s="30" t="s">
        <v>778</v>
      </c>
      <c r="D34" s="30" t="s">
        <v>2134</v>
      </c>
      <c r="E34" s="30" t="s">
        <v>2135</v>
      </c>
      <c r="F34" s="23" t="str">
        <f>HYPERLINK("https://mapwv.gov/flood/map/?wkid=102100&amp;x=-9109363.409774993&amp;y=4642272.733735407&amp;l=13&amp;v=2","FT")</f>
        <v>FT</v>
      </c>
      <c r="G34" s="31" t="s">
        <v>32</v>
      </c>
      <c r="H34" s="31" t="s">
        <v>25</v>
      </c>
      <c r="I34" s="30" t="s">
        <v>1847</v>
      </c>
      <c r="J34" s="31" t="s">
        <v>26</v>
      </c>
      <c r="K34" s="27" t="s">
        <v>373</v>
      </c>
      <c r="L34" s="27" t="s">
        <v>45</v>
      </c>
      <c r="M34" s="30" t="s">
        <v>56</v>
      </c>
      <c r="N34" s="2" t="s">
        <v>35</v>
      </c>
      <c r="O34" s="31" t="s">
        <v>105</v>
      </c>
      <c r="P34" s="30" t="s">
        <v>1937</v>
      </c>
      <c r="Q34" s="30" t="s">
        <v>30</v>
      </c>
      <c r="R34" s="31" t="s">
        <v>110</v>
      </c>
      <c r="S34" s="32">
        <v>558000</v>
      </c>
      <c r="T34" s="48" t="s">
        <v>44</v>
      </c>
      <c r="U34" s="33">
        <v>0</v>
      </c>
      <c r="V34" s="33">
        <v>-1</v>
      </c>
      <c r="W34" s="34">
        <v>0</v>
      </c>
      <c r="X34" s="35">
        <v>0</v>
      </c>
    </row>
    <row r="35" spans="1:24" x14ac:dyDescent="0.25">
      <c r="A35" s="30" t="s">
        <v>1798</v>
      </c>
      <c r="B35" s="30" t="s">
        <v>1803</v>
      </c>
      <c r="C35" s="30" t="s">
        <v>778</v>
      </c>
      <c r="D35" s="30" t="s">
        <v>1810</v>
      </c>
      <c r="E35" s="30" t="s">
        <v>1811</v>
      </c>
      <c r="F35" s="23" t="str">
        <f>HYPERLINK("https://mapwv.gov/flood/map/?wkid=102100&amp;x=-9111885.097583324&amp;y=4639606.663158828&amp;l=13&amp;v=2","FT")</f>
        <v>FT</v>
      </c>
      <c r="G35" s="31" t="s">
        <v>53</v>
      </c>
      <c r="H35" s="31" t="s">
        <v>25</v>
      </c>
      <c r="I35" s="30" t="s">
        <v>1848</v>
      </c>
      <c r="J35" s="31" t="s">
        <v>39</v>
      </c>
      <c r="K35" s="27" t="s">
        <v>137</v>
      </c>
      <c r="L35" s="27" t="s">
        <v>27</v>
      </c>
      <c r="M35" s="30" t="s">
        <v>70</v>
      </c>
      <c r="N35" s="2" t="s">
        <v>35</v>
      </c>
      <c r="O35" s="31" t="s">
        <v>106</v>
      </c>
      <c r="P35" s="30" t="s">
        <v>1938</v>
      </c>
      <c r="Q35" s="30" t="s">
        <v>30</v>
      </c>
      <c r="R35" s="31" t="s">
        <v>110</v>
      </c>
      <c r="S35" s="32">
        <v>535500</v>
      </c>
      <c r="T35" s="48" t="s">
        <v>44</v>
      </c>
      <c r="U35" s="33">
        <v>2.8535767000000001</v>
      </c>
      <c r="V35" s="33">
        <v>1.85357666015625</v>
      </c>
      <c r="W35" s="34">
        <v>7.56072998046875E-2</v>
      </c>
      <c r="X35" s="35">
        <v>40487.709045410098</v>
      </c>
    </row>
    <row r="36" spans="1:24" x14ac:dyDescent="0.25">
      <c r="A36" s="30" t="s">
        <v>2023</v>
      </c>
      <c r="B36" s="30" t="s">
        <v>1803</v>
      </c>
      <c r="C36" s="30" t="s">
        <v>778</v>
      </c>
      <c r="D36" s="30" t="s">
        <v>2136</v>
      </c>
      <c r="E36" s="30" t="s">
        <v>2137</v>
      </c>
      <c r="F36" s="23" t="str">
        <f>HYPERLINK("https://mapwv.gov/flood/map/?wkid=102100&amp;x=-9111456.484259238&amp;y=4650809.930606735&amp;l=13&amp;v=2","FT")</f>
        <v>FT</v>
      </c>
      <c r="G36" s="31" t="s">
        <v>32</v>
      </c>
      <c r="H36" s="31" t="s">
        <v>25</v>
      </c>
      <c r="I36" s="30" t="s">
        <v>1849</v>
      </c>
      <c r="J36" s="31" t="s">
        <v>26</v>
      </c>
      <c r="K36" s="27" t="s">
        <v>113</v>
      </c>
      <c r="L36" s="27" t="s">
        <v>47</v>
      </c>
      <c r="M36" s="30" t="s">
        <v>48</v>
      </c>
      <c r="N36" s="2" t="s">
        <v>35</v>
      </c>
      <c r="O36" s="31" t="s">
        <v>105</v>
      </c>
      <c r="P36" s="30" t="s">
        <v>1939</v>
      </c>
      <c r="Q36" s="30" t="s">
        <v>30</v>
      </c>
      <c r="R36" s="31" t="s">
        <v>110</v>
      </c>
      <c r="S36" s="32">
        <v>515475</v>
      </c>
      <c r="T36" s="48" t="s">
        <v>112</v>
      </c>
      <c r="U36" s="33">
        <v>0</v>
      </c>
      <c r="V36" s="33">
        <v>-1</v>
      </c>
      <c r="W36" s="34">
        <v>0</v>
      </c>
      <c r="X36" s="35">
        <v>0</v>
      </c>
    </row>
    <row r="37" spans="1:24" x14ac:dyDescent="0.25">
      <c r="A37" s="30" t="s">
        <v>2024</v>
      </c>
      <c r="B37" s="30" t="s">
        <v>1803</v>
      </c>
      <c r="C37" s="30" t="s">
        <v>778</v>
      </c>
      <c r="D37" s="30" t="s">
        <v>2138</v>
      </c>
      <c r="E37" s="30" t="s">
        <v>2139</v>
      </c>
      <c r="F37" s="23" t="str">
        <f>HYPERLINK("https://mapwv.gov/flood/map/?wkid=102100&amp;x=-9108494.842008427&amp;y=4643715.75838479&amp;l=13&amp;v=2","FT")</f>
        <v>FT</v>
      </c>
      <c r="G37" s="31" t="s">
        <v>32</v>
      </c>
      <c r="H37" s="31" t="s">
        <v>25</v>
      </c>
      <c r="I37" s="30" t="s">
        <v>1850</v>
      </c>
      <c r="J37" s="31" t="s">
        <v>26</v>
      </c>
      <c r="K37" s="27" t="s">
        <v>1649</v>
      </c>
      <c r="L37" s="27" t="s">
        <v>50</v>
      </c>
      <c r="M37" s="30" t="s">
        <v>56</v>
      </c>
      <c r="N37" s="2" t="s">
        <v>35</v>
      </c>
      <c r="O37" s="31" t="s">
        <v>106</v>
      </c>
      <c r="P37" s="30" t="s">
        <v>1940</v>
      </c>
      <c r="Q37" s="30" t="s">
        <v>30</v>
      </c>
      <c r="R37" s="31" t="s">
        <v>110</v>
      </c>
      <c r="S37" s="32">
        <v>507700</v>
      </c>
      <c r="T37" s="48" t="s">
        <v>31</v>
      </c>
      <c r="U37" s="33">
        <v>0</v>
      </c>
      <c r="V37" s="33">
        <v>-1</v>
      </c>
      <c r="W37" s="34">
        <v>0</v>
      </c>
      <c r="X37" s="35">
        <v>0</v>
      </c>
    </row>
    <row r="38" spans="1:24" x14ac:dyDescent="0.25">
      <c r="A38" s="30" t="s">
        <v>2025</v>
      </c>
      <c r="B38" s="30" t="s">
        <v>2086</v>
      </c>
      <c r="C38" s="30" t="s">
        <v>778</v>
      </c>
      <c r="D38" s="30" t="s">
        <v>2140</v>
      </c>
      <c r="E38" s="30" t="s">
        <v>2141</v>
      </c>
      <c r="F38" s="23" t="str">
        <f>HYPERLINK("https://mapwv.gov/flood/map/?wkid=102100&amp;x=-9114015.297006432&amp;y=4655580.590241491&amp;l=13&amp;v=2","FT")</f>
        <v>FT</v>
      </c>
      <c r="G38" s="31" t="s">
        <v>32</v>
      </c>
      <c r="H38" s="31" t="s">
        <v>25</v>
      </c>
      <c r="I38" s="30" t="s">
        <v>1851</v>
      </c>
      <c r="J38" s="31" t="s">
        <v>26</v>
      </c>
      <c r="K38" s="27" t="s">
        <v>124</v>
      </c>
      <c r="L38" s="27" t="s">
        <v>38</v>
      </c>
      <c r="M38" s="30" t="s">
        <v>41</v>
      </c>
      <c r="N38" s="2" t="s">
        <v>42</v>
      </c>
      <c r="O38" s="31" t="s">
        <v>106</v>
      </c>
      <c r="P38" s="30" t="s">
        <v>1941</v>
      </c>
      <c r="Q38" s="30" t="s">
        <v>436</v>
      </c>
      <c r="R38" s="31" t="s">
        <v>111</v>
      </c>
      <c r="S38" s="32">
        <v>493800</v>
      </c>
      <c r="T38" s="48" t="s">
        <v>44</v>
      </c>
      <c r="U38" s="33">
        <v>1</v>
      </c>
      <c r="V38" s="33">
        <v>-3</v>
      </c>
      <c r="W38" s="34">
        <v>0</v>
      </c>
      <c r="X38" s="35">
        <v>0</v>
      </c>
    </row>
    <row r="39" spans="1:24" x14ac:dyDescent="0.25">
      <c r="A39" s="30" t="s">
        <v>2026</v>
      </c>
      <c r="B39" s="30" t="s">
        <v>1803</v>
      </c>
      <c r="C39" s="30" t="s">
        <v>778</v>
      </c>
      <c r="D39" s="30" t="s">
        <v>2142</v>
      </c>
      <c r="E39" s="30" t="s">
        <v>2143</v>
      </c>
      <c r="F39" s="23" t="str">
        <f>HYPERLINK("https://mapwv.gov/flood/map/?wkid=102100&amp;x=-9124927.876891574&amp;y=4668453.75913308&amp;l=13&amp;v=2","FT")</f>
        <v>FT</v>
      </c>
      <c r="G39" s="31" t="s">
        <v>32</v>
      </c>
      <c r="H39" s="31" t="s">
        <v>25</v>
      </c>
      <c r="I39" s="30" t="s">
        <v>1852</v>
      </c>
      <c r="J39" s="31" t="s">
        <v>36</v>
      </c>
      <c r="K39" s="27" t="s">
        <v>83</v>
      </c>
      <c r="L39" s="27"/>
      <c r="M39" s="30" t="s">
        <v>28</v>
      </c>
      <c r="N39" s="2" t="s">
        <v>102</v>
      </c>
      <c r="O39" s="31" t="s">
        <v>105</v>
      </c>
      <c r="P39" s="30" t="s">
        <v>1942</v>
      </c>
      <c r="Q39" s="30" t="s">
        <v>30</v>
      </c>
      <c r="R39" s="31" t="s">
        <v>110</v>
      </c>
      <c r="S39" s="32">
        <v>493500</v>
      </c>
      <c r="T39" s="48" t="s">
        <v>44</v>
      </c>
      <c r="U39" s="33">
        <v>1</v>
      </c>
      <c r="V39" s="33">
        <v>0</v>
      </c>
      <c r="W39" s="34">
        <v>0</v>
      </c>
      <c r="X39" s="35">
        <v>0</v>
      </c>
    </row>
    <row r="40" spans="1:24" x14ac:dyDescent="0.25">
      <c r="A40" s="30" t="s">
        <v>2027</v>
      </c>
      <c r="B40" s="30" t="s">
        <v>1803</v>
      </c>
      <c r="C40" s="30" t="s">
        <v>1458</v>
      </c>
      <c r="D40" s="30" t="s">
        <v>2144</v>
      </c>
      <c r="E40" s="30" t="s">
        <v>2145</v>
      </c>
      <c r="F40" s="23" t="str">
        <f>HYPERLINK("https://mapwv.gov/flood/map/?wkid=102100&amp;x=-9109670.053672599&amp;y=4641413.514364354&amp;l=13&amp;v=2","FT")</f>
        <v>FT</v>
      </c>
      <c r="G40" s="31" t="s">
        <v>32</v>
      </c>
      <c r="H40" s="31" t="s">
        <v>25</v>
      </c>
      <c r="I40" s="30" t="s">
        <v>1853</v>
      </c>
      <c r="J40" s="31" t="s">
        <v>39</v>
      </c>
      <c r="K40" s="27" t="s">
        <v>81</v>
      </c>
      <c r="L40" s="27" t="s">
        <v>27</v>
      </c>
      <c r="M40" s="30" t="s">
        <v>48</v>
      </c>
      <c r="N40" s="2" t="s">
        <v>35</v>
      </c>
      <c r="O40" s="31" t="s">
        <v>105</v>
      </c>
      <c r="P40" s="30" t="s">
        <v>1943</v>
      </c>
      <c r="Q40" s="30" t="s">
        <v>30</v>
      </c>
      <c r="R40" s="31" t="s">
        <v>110</v>
      </c>
      <c r="S40" s="32">
        <v>471700</v>
      </c>
      <c r="T40" s="48" t="s">
        <v>44</v>
      </c>
      <c r="U40" s="33">
        <v>6.5393065999999997</v>
      </c>
      <c r="V40" s="33">
        <v>5.539306640625</v>
      </c>
      <c r="W40" s="34">
        <v>0.21617919921875001</v>
      </c>
      <c r="X40" s="35">
        <v>101971.728271484</v>
      </c>
    </row>
    <row r="41" spans="1:24" x14ac:dyDescent="0.25">
      <c r="A41" s="30" t="s">
        <v>2028</v>
      </c>
      <c r="B41" s="30" t="s">
        <v>1803</v>
      </c>
      <c r="C41" s="30" t="s">
        <v>778</v>
      </c>
      <c r="D41" s="30" t="s">
        <v>1804</v>
      </c>
      <c r="E41" s="30" t="s">
        <v>2146</v>
      </c>
      <c r="F41" s="23" t="str">
        <f>HYPERLINK("https://mapwv.gov/flood/map/?wkid=102100&amp;x=-9108419.4617926&amp;y=4643939.517071424&amp;l=13&amp;v=2","FT")</f>
        <v>FT</v>
      </c>
      <c r="G41" s="31" t="s">
        <v>32</v>
      </c>
      <c r="H41" s="31" t="s">
        <v>25</v>
      </c>
      <c r="I41" s="30" t="s">
        <v>1834</v>
      </c>
      <c r="J41" s="31" t="s">
        <v>39</v>
      </c>
      <c r="K41" s="27" t="s">
        <v>137</v>
      </c>
      <c r="L41" s="27" t="s">
        <v>367</v>
      </c>
      <c r="M41" s="30" t="s">
        <v>644</v>
      </c>
      <c r="N41" s="2" t="s">
        <v>104</v>
      </c>
      <c r="O41" s="31" t="s">
        <v>106</v>
      </c>
      <c r="P41" s="30" t="s">
        <v>1944</v>
      </c>
      <c r="Q41" s="30" t="s">
        <v>30</v>
      </c>
      <c r="R41" s="31" t="s">
        <v>110</v>
      </c>
      <c r="S41" s="32">
        <v>462500</v>
      </c>
      <c r="T41" s="48" t="s">
        <v>31</v>
      </c>
      <c r="U41" s="33">
        <v>0</v>
      </c>
      <c r="V41" s="33">
        <v>-1</v>
      </c>
      <c r="W41" s="34">
        <v>0</v>
      </c>
      <c r="X41" s="35">
        <v>0</v>
      </c>
    </row>
    <row r="42" spans="1:24" x14ac:dyDescent="0.25">
      <c r="A42" s="30" t="s">
        <v>2029</v>
      </c>
      <c r="B42" s="30" t="s">
        <v>1803</v>
      </c>
      <c r="C42" s="30" t="s">
        <v>2147</v>
      </c>
      <c r="D42" s="30" t="s">
        <v>2148</v>
      </c>
      <c r="E42" s="30" t="s">
        <v>2149</v>
      </c>
      <c r="F42" s="23" t="str">
        <f>HYPERLINK("https://mapwv.gov/flood/map/?wkid=102100&amp;x=-9121307.975775026&amp;y=4646989.387584115&amp;l=13&amp;v=2","FT")</f>
        <v>FT</v>
      </c>
      <c r="G42" s="31" t="s">
        <v>38</v>
      </c>
      <c r="H42" s="31" t="s">
        <v>25</v>
      </c>
      <c r="I42" s="30" t="s">
        <v>1854</v>
      </c>
      <c r="J42" s="31" t="s">
        <v>26</v>
      </c>
      <c r="K42" s="27" t="s">
        <v>89</v>
      </c>
      <c r="L42" s="27" t="s">
        <v>40</v>
      </c>
      <c r="M42" s="30" t="s">
        <v>41</v>
      </c>
      <c r="N42" s="2" t="s">
        <v>42</v>
      </c>
      <c r="O42" s="31" t="s">
        <v>106</v>
      </c>
      <c r="P42" s="30" t="s">
        <v>1945</v>
      </c>
      <c r="Q42" s="30" t="s">
        <v>436</v>
      </c>
      <c r="R42" s="31" t="s">
        <v>111</v>
      </c>
      <c r="S42" s="32">
        <v>460800</v>
      </c>
      <c r="T42" s="48" t="s">
        <v>44</v>
      </c>
      <c r="U42" s="33">
        <v>0.51213025999999995</v>
      </c>
      <c r="V42" s="33">
        <v>-3.4878697395324698</v>
      </c>
      <c r="W42" s="34">
        <v>0</v>
      </c>
      <c r="X42" s="35">
        <v>0</v>
      </c>
    </row>
    <row r="43" spans="1:24" x14ac:dyDescent="0.25">
      <c r="A43" s="30" t="s">
        <v>2030</v>
      </c>
      <c r="B43" s="30" t="s">
        <v>1803</v>
      </c>
      <c r="C43" s="30" t="s">
        <v>778</v>
      </c>
      <c r="D43" s="30" t="s">
        <v>2150</v>
      </c>
      <c r="E43" s="30" t="s">
        <v>2151</v>
      </c>
      <c r="F43" s="23" t="str">
        <f>HYPERLINK("https://mapwv.gov/flood/map/?wkid=102100&amp;x=-9125355.226294154&amp;y=4658578.349645586&amp;l=13&amp;v=2","FT")</f>
        <v>FT</v>
      </c>
      <c r="G43" s="31" t="s">
        <v>32</v>
      </c>
      <c r="H43" s="31" t="s">
        <v>25</v>
      </c>
      <c r="I43" s="30" t="s">
        <v>1855</v>
      </c>
      <c r="J43" s="31" t="s">
        <v>26</v>
      </c>
      <c r="K43" s="27" t="s">
        <v>93</v>
      </c>
      <c r="L43" s="27" t="s">
        <v>45</v>
      </c>
      <c r="M43" s="30" t="s">
        <v>70</v>
      </c>
      <c r="N43" s="2" t="s">
        <v>35</v>
      </c>
      <c r="O43" s="31" t="s">
        <v>105</v>
      </c>
      <c r="P43" s="30" t="s">
        <v>1946</v>
      </c>
      <c r="Q43" s="30" t="s">
        <v>30</v>
      </c>
      <c r="R43" s="31" t="s">
        <v>110</v>
      </c>
      <c r="S43" s="32">
        <v>460300</v>
      </c>
      <c r="T43" s="48" t="s">
        <v>44</v>
      </c>
      <c r="U43" s="33">
        <v>0</v>
      </c>
      <c r="V43" s="33">
        <v>-1</v>
      </c>
      <c r="W43" s="34">
        <v>0</v>
      </c>
      <c r="X43" s="35">
        <v>0</v>
      </c>
    </row>
    <row r="44" spans="1:24" x14ac:dyDescent="0.25">
      <c r="A44" s="30" t="s">
        <v>2031</v>
      </c>
      <c r="B44" s="30" t="s">
        <v>1803</v>
      </c>
      <c r="C44" s="30" t="s">
        <v>1458</v>
      </c>
      <c r="D44" s="30" t="s">
        <v>2152</v>
      </c>
      <c r="E44" s="30" t="s">
        <v>2153</v>
      </c>
      <c r="F44" s="23" t="str">
        <f>HYPERLINK("https://mapwv.gov/flood/map/?wkid=102100&amp;x=-9109223.63301485&amp;y=4642282.847591431&amp;l=13&amp;v=2","FT")</f>
        <v>FT</v>
      </c>
      <c r="G44" s="31" t="s">
        <v>32</v>
      </c>
      <c r="H44" s="31" t="s">
        <v>25</v>
      </c>
      <c r="I44" s="30" t="s">
        <v>1841</v>
      </c>
      <c r="J44" s="31" t="s">
        <v>39</v>
      </c>
      <c r="K44" s="27" t="s">
        <v>125</v>
      </c>
      <c r="L44" s="27" t="s">
        <v>367</v>
      </c>
      <c r="M44" s="30" t="s">
        <v>70</v>
      </c>
      <c r="N44" s="2" t="s">
        <v>35</v>
      </c>
      <c r="O44" s="31" t="s">
        <v>105</v>
      </c>
      <c r="P44" s="30" t="s">
        <v>1947</v>
      </c>
      <c r="Q44" s="30" t="s">
        <v>30</v>
      </c>
      <c r="R44" s="31" t="s">
        <v>110</v>
      </c>
      <c r="S44" s="32">
        <v>457900</v>
      </c>
      <c r="T44" s="48" t="s">
        <v>31</v>
      </c>
      <c r="U44" s="33">
        <v>3.5737915</v>
      </c>
      <c r="V44" s="33">
        <v>2.57379150390625</v>
      </c>
      <c r="W44" s="34">
        <v>9.72137451171875E-2</v>
      </c>
      <c r="X44" s="35">
        <v>44514.173889160098</v>
      </c>
    </row>
    <row r="45" spans="1:24" x14ac:dyDescent="0.25">
      <c r="A45" s="30" t="s">
        <v>2032</v>
      </c>
      <c r="B45" s="30" t="s">
        <v>2086</v>
      </c>
      <c r="C45" s="30" t="s">
        <v>778</v>
      </c>
      <c r="D45" s="30" t="s">
        <v>2154</v>
      </c>
      <c r="E45" s="30" t="s">
        <v>2155</v>
      </c>
      <c r="F45" s="23" t="str">
        <f>HYPERLINK("https://mapwv.gov/flood/map/?wkid=102100&amp;x=-9116215.171187503&amp;y=4655608.432786548&amp;l=13&amp;v=2","FT")</f>
        <v>FT</v>
      </c>
      <c r="G45" s="31" t="s">
        <v>32</v>
      </c>
      <c r="H45" s="31" t="s">
        <v>25</v>
      </c>
      <c r="I45" s="30" t="s">
        <v>1856</v>
      </c>
      <c r="J45" s="31" t="s">
        <v>26</v>
      </c>
      <c r="K45" s="27" t="s">
        <v>641</v>
      </c>
      <c r="L45" s="27" t="s">
        <v>45</v>
      </c>
      <c r="M45" s="30" t="s">
        <v>41</v>
      </c>
      <c r="N45" s="2" t="s">
        <v>42</v>
      </c>
      <c r="O45" s="31" t="s">
        <v>105</v>
      </c>
      <c r="P45" s="30" t="s">
        <v>1948</v>
      </c>
      <c r="Q45" s="30" t="s">
        <v>436</v>
      </c>
      <c r="R45" s="31" t="s">
        <v>111</v>
      </c>
      <c r="S45" s="32">
        <v>415400</v>
      </c>
      <c r="T45" s="48" t="s">
        <v>44</v>
      </c>
      <c r="U45" s="33">
        <v>0</v>
      </c>
      <c r="V45" s="33">
        <v>-4</v>
      </c>
      <c r="W45" s="34">
        <v>0</v>
      </c>
      <c r="X45" s="35">
        <v>0</v>
      </c>
    </row>
    <row r="46" spans="1:24" x14ac:dyDescent="0.25">
      <c r="A46" s="30" t="s">
        <v>2033</v>
      </c>
      <c r="B46" s="30" t="s">
        <v>1803</v>
      </c>
      <c r="C46" s="30" t="s">
        <v>212</v>
      </c>
      <c r="D46" s="30" t="s">
        <v>2156</v>
      </c>
      <c r="E46" s="30" t="s">
        <v>2157</v>
      </c>
      <c r="F46" s="23" t="str">
        <f>HYPERLINK("https://mapwv.gov/flood/map/?wkid=102100&amp;x=-9128348.286801456&amp;y=4628415.682518839&amp;l=13&amp;v=2","FT")</f>
        <v>FT</v>
      </c>
      <c r="G46" s="31" t="s">
        <v>38</v>
      </c>
      <c r="H46" s="31" t="s">
        <v>25</v>
      </c>
      <c r="I46" s="30" t="s">
        <v>1857</v>
      </c>
      <c r="J46" s="31" t="s">
        <v>26</v>
      </c>
      <c r="K46" s="27" t="s">
        <v>130</v>
      </c>
      <c r="L46" s="27" t="s">
        <v>51</v>
      </c>
      <c r="M46" s="30" t="s">
        <v>41</v>
      </c>
      <c r="N46" s="2" t="s">
        <v>42</v>
      </c>
      <c r="O46" s="31" t="s">
        <v>105</v>
      </c>
      <c r="P46" s="30" t="s">
        <v>1949</v>
      </c>
      <c r="Q46" s="30" t="s">
        <v>436</v>
      </c>
      <c r="R46" s="31" t="s">
        <v>111</v>
      </c>
      <c r="S46" s="32">
        <v>412000</v>
      </c>
      <c r="T46" s="48" t="s">
        <v>44</v>
      </c>
      <c r="U46" s="33">
        <v>0</v>
      </c>
      <c r="V46" s="33">
        <v>-4</v>
      </c>
      <c r="W46" s="34">
        <v>0</v>
      </c>
      <c r="X46" s="35">
        <v>0</v>
      </c>
    </row>
    <row r="47" spans="1:24" x14ac:dyDescent="0.25">
      <c r="A47" s="30" t="s">
        <v>2034</v>
      </c>
      <c r="B47" s="30" t="s">
        <v>1803</v>
      </c>
      <c r="C47" s="30" t="s">
        <v>778</v>
      </c>
      <c r="D47" s="30" t="s">
        <v>2158</v>
      </c>
      <c r="E47" s="30" t="s">
        <v>2159</v>
      </c>
      <c r="F47" s="23" t="str">
        <f>HYPERLINK("https://mapwv.gov/flood/map/?wkid=102100&amp;x=-9127136.710844506&amp;y=4661055.467731681&amp;l=13&amp;v=2","FT")</f>
        <v>FT</v>
      </c>
      <c r="G47" s="31" t="s">
        <v>32</v>
      </c>
      <c r="H47" s="31" t="s">
        <v>25</v>
      </c>
      <c r="I47" s="30" t="s">
        <v>1858</v>
      </c>
      <c r="J47" s="31" t="s">
        <v>26</v>
      </c>
      <c r="K47" s="27" t="s">
        <v>85</v>
      </c>
      <c r="L47" s="27" t="s">
        <v>51</v>
      </c>
      <c r="M47" s="30" t="s">
        <v>56</v>
      </c>
      <c r="N47" s="2" t="s">
        <v>35</v>
      </c>
      <c r="O47" s="31" t="s">
        <v>106</v>
      </c>
      <c r="P47" s="30" t="s">
        <v>1950</v>
      </c>
      <c r="Q47" s="30" t="s">
        <v>30</v>
      </c>
      <c r="R47" s="31" t="s">
        <v>110</v>
      </c>
      <c r="S47" s="32">
        <v>406500</v>
      </c>
      <c r="T47" s="48" t="s">
        <v>44</v>
      </c>
      <c r="U47" s="33">
        <v>1.2797852000000001</v>
      </c>
      <c r="V47" s="33">
        <v>0.27978515625</v>
      </c>
      <c r="W47" s="34">
        <v>4.5180664062500001E-2</v>
      </c>
      <c r="X47" s="35">
        <v>18365.939941406199</v>
      </c>
    </row>
    <row r="48" spans="1:24" x14ac:dyDescent="0.25">
      <c r="A48" s="30" t="s">
        <v>2035</v>
      </c>
      <c r="B48" s="30" t="s">
        <v>2086</v>
      </c>
      <c r="C48" s="30" t="s">
        <v>778</v>
      </c>
      <c r="D48" s="30" t="s">
        <v>2160</v>
      </c>
      <c r="E48" s="30" t="s">
        <v>2161</v>
      </c>
      <c r="F48" s="23" t="str">
        <f>HYPERLINK("https://mapwv.gov/flood/map/?wkid=102100&amp;x=-9113756.256328715&amp;y=4655169.770933979&amp;l=13&amp;v=2","FT")</f>
        <v>FT</v>
      </c>
      <c r="G48" s="31" t="s">
        <v>32</v>
      </c>
      <c r="H48" s="31" t="s">
        <v>25</v>
      </c>
      <c r="I48" s="30" t="s">
        <v>1859</v>
      </c>
      <c r="J48" s="31" t="s">
        <v>26</v>
      </c>
      <c r="K48" s="27" t="s">
        <v>95</v>
      </c>
      <c r="L48" s="27" t="s">
        <v>45</v>
      </c>
      <c r="M48" s="30" t="s">
        <v>41</v>
      </c>
      <c r="N48" s="2" t="s">
        <v>42</v>
      </c>
      <c r="O48" s="31" t="s">
        <v>106</v>
      </c>
      <c r="P48" s="30" t="s">
        <v>1951</v>
      </c>
      <c r="Q48" s="30" t="s">
        <v>436</v>
      </c>
      <c r="R48" s="31" t="s">
        <v>111</v>
      </c>
      <c r="S48" s="32">
        <v>402400</v>
      </c>
      <c r="T48" s="48" t="s">
        <v>44</v>
      </c>
      <c r="U48" s="33">
        <v>3.7393800000000001</v>
      </c>
      <c r="V48" s="33">
        <v>-0.2606201171875</v>
      </c>
      <c r="W48" s="34">
        <v>8.1331787109374998E-2</v>
      </c>
      <c r="X48" s="35">
        <v>32727.9111328125</v>
      </c>
    </row>
    <row r="49" spans="1:24" x14ac:dyDescent="0.25">
      <c r="A49" s="30" t="s">
        <v>2036</v>
      </c>
      <c r="B49" s="30" t="s">
        <v>1803</v>
      </c>
      <c r="C49" s="30" t="s">
        <v>877</v>
      </c>
      <c r="D49" s="30" t="s">
        <v>2162</v>
      </c>
      <c r="E49" s="30" t="s">
        <v>2163</v>
      </c>
      <c r="F49" s="23" t="str">
        <f>HYPERLINK("https://mapwv.gov/flood/map/?wkid=102100&amp;x=-9103946.11633022&amp;y=4643103.057813668&amp;l=13&amp;v=2","FT")</f>
        <v>FT</v>
      </c>
      <c r="G49" s="31" t="s">
        <v>32</v>
      </c>
      <c r="H49" s="31" t="s">
        <v>25</v>
      </c>
      <c r="I49" s="30" t="s">
        <v>1860</v>
      </c>
      <c r="J49" s="31" t="s">
        <v>26</v>
      </c>
      <c r="K49" s="27" t="s">
        <v>124</v>
      </c>
      <c r="L49" s="27" t="s">
        <v>51</v>
      </c>
      <c r="M49" s="30" t="s">
        <v>41</v>
      </c>
      <c r="N49" s="2" t="s">
        <v>42</v>
      </c>
      <c r="O49" s="31" t="s">
        <v>105</v>
      </c>
      <c r="P49" s="30" t="s">
        <v>1952</v>
      </c>
      <c r="Q49" s="30" t="s">
        <v>43</v>
      </c>
      <c r="R49" s="31" t="s">
        <v>111</v>
      </c>
      <c r="S49" s="32">
        <v>396200</v>
      </c>
      <c r="T49" s="48" t="s">
        <v>44</v>
      </c>
      <c r="U49" s="33">
        <v>1.1401367</v>
      </c>
      <c r="V49" s="33">
        <v>-2.85986328125</v>
      </c>
      <c r="W49" s="34">
        <v>1.9619140625E-2</v>
      </c>
      <c r="X49" s="35">
        <v>7773.103515625</v>
      </c>
    </row>
    <row r="50" spans="1:24" x14ac:dyDescent="0.25">
      <c r="A50" s="30" t="s">
        <v>2037</v>
      </c>
      <c r="B50" s="30" t="s">
        <v>1803</v>
      </c>
      <c r="C50" s="30" t="s">
        <v>877</v>
      </c>
      <c r="D50" s="30" t="s">
        <v>2164</v>
      </c>
      <c r="E50" s="30" t="s">
        <v>2165</v>
      </c>
      <c r="F50" s="23" t="str">
        <f>HYPERLINK("https://mapwv.gov/flood/map/?wkid=102100&amp;x=-9104010.229455108&amp;y=4642837.964329313&amp;l=13&amp;v=2","FT")</f>
        <v>FT</v>
      </c>
      <c r="G50" s="31" t="s">
        <v>32</v>
      </c>
      <c r="H50" s="31" t="s">
        <v>25</v>
      </c>
      <c r="I50" s="30" t="s">
        <v>1861</v>
      </c>
      <c r="J50" s="31" t="s">
        <v>26</v>
      </c>
      <c r="K50" s="27" t="s">
        <v>118</v>
      </c>
      <c r="L50" s="27" t="s">
        <v>51</v>
      </c>
      <c r="M50" s="30" t="s">
        <v>41</v>
      </c>
      <c r="N50" s="2" t="s">
        <v>42</v>
      </c>
      <c r="O50" s="31" t="s">
        <v>105</v>
      </c>
      <c r="P50" s="30" t="s">
        <v>1953</v>
      </c>
      <c r="Q50" s="30" t="s">
        <v>43</v>
      </c>
      <c r="R50" s="31" t="s">
        <v>111</v>
      </c>
      <c r="S50" s="32">
        <v>394500</v>
      </c>
      <c r="T50" s="48" t="s">
        <v>44</v>
      </c>
      <c r="U50" s="33">
        <v>0.51257324000000004</v>
      </c>
      <c r="V50" s="33">
        <v>-3.4874267578125</v>
      </c>
      <c r="W50" s="34">
        <v>0</v>
      </c>
      <c r="X50" s="35">
        <v>0</v>
      </c>
    </row>
    <row r="51" spans="1:24" x14ac:dyDescent="0.25">
      <c r="A51" s="30" t="s">
        <v>2038</v>
      </c>
      <c r="B51" s="30" t="s">
        <v>1803</v>
      </c>
      <c r="C51" s="30" t="s">
        <v>1806</v>
      </c>
      <c r="D51" s="30" t="s">
        <v>2166</v>
      </c>
      <c r="E51" s="30" t="s">
        <v>2167</v>
      </c>
      <c r="F51" s="23" t="str">
        <f>HYPERLINK("https://mapwv.gov/flood/map/?wkid=102100&amp;x=-9118687.206940716&amp;y=4653545.949879903&amp;l=13&amp;v=2","FT")</f>
        <v>FT</v>
      </c>
      <c r="G51" s="31" t="s">
        <v>32</v>
      </c>
      <c r="H51" s="31" t="s">
        <v>25</v>
      </c>
      <c r="I51" s="30" t="s">
        <v>1862</v>
      </c>
      <c r="J51" s="31" t="s">
        <v>26</v>
      </c>
      <c r="K51" s="27" t="s">
        <v>127</v>
      </c>
      <c r="L51" s="27" t="s">
        <v>27</v>
      </c>
      <c r="M51" s="30" t="s">
        <v>70</v>
      </c>
      <c r="N51" s="2" t="s">
        <v>35</v>
      </c>
      <c r="O51" s="31" t="s">
        <v>105</v>
      </c>
      <c r="P51" s="30" t="s">
        <v>1954</v>
      </c>
      <c r="Q51" s="30" t="s">
        <v>30</v>
      </c>
      <c r="R51" s="31" t="s">
        <v>110</v>
      </c>
      <c r="S51" s="32">
        <v>390700</v>
      </c>
      <c r="T51" s="48" t="s">
        <v>44</v>
      </c>
      <c r="U51" s="33">
        <v>0</v>
      </c>
      <c r="V51" s="33">
        <v>-1</v>
      </c>
      <c r="W51" s="34">
        <v>0</v>
      </c>
      <c r="X51" s="35">
        <v>0</v>
      </c>
    </row>
    <row r="52" spans="1:24" x14ac:dyDescent="0.25">
      <c r="A52" s="30" t="s">
        <v>2039</v>
      </c>
      <c r="B52" s="30" t="s">
        <v>1803</v>
      </c>
      <c r="C52" s="30" t="s">
        <v>778</v>
      </c>
      <c r="D52" s="30" t="s">
        <v>2168</v>
      </c>
      <c r="E52" s="30" t="s">
        <v>2169</v>
      </c>
      <c r="F52" s="23" t="str">
        <f>HYPERLINK("https://mapwv.gov/flood/map/?wkid=102100&amp;x=-9123606.760551931&amp;y=4657404.017027565&amp;l=13&amp;v=2","FT")</f>
        <v>FT</v>
      </c>
      <c r="G52" s="31" t="s">
        <v>32</v>
      </c>
      <c r="H52" s="31" t="s">
        <v>25</v>
      </c>
      <c r="I52" s="30" t="s">
        <v>1863</v>
      </c>
      <c r="J52" s="31" t="s">
        <v>26</v>
      </c>
      <c r="K52" s="27" t="s">
        <v>1005</v>
      </c>
      <c r="L52" s="27" t="s">
        <v>40</v>
      </c>
      <c r="M52" s="30" t="s">
        <v>41</v>
      </c>
      <c r="N52" s="2" t="s">
        <v>42</v>
      </c>
      <c r="O52" s="31" t="s">
        <v>106</v>
      </c>
      <c r="P52" s="30" t="s">
        <v>1955</v>
      </c>
      <c r="Q52" s="30" t="s">
        <v>436</v>
      </c>
      <c r="R52" s="31" t="s">
        <v>111</v>
      </c>
      <c r="S52" s="32">
        <v>387000</v>
      </c>
      <c r="T52" s="48" t="s">
        <v>44</v>
      </c>
      <c r="U52" s="33">
        <v>0</v>
      </c>
      <c r="V52" s="33">
        <v>-4</v>
      </c>
      <c r="W52" s="34">
        <v>0</v>
      </c>
      <c r="X52" s="35">
        <v>0</v>
      </c>
    </row>
    <row r="53" spans="1:24" x14ac:dyDescent="0.25">
      <c r="A53" s="30" t="s">
        <v>2040</v>
      </c>
      <c r="B53" s="30" t="s">
        <v>1803</v>
      </c>
      <c r="C53" s="30" t="s">
        <v>1821</v>
      </c>
      <c r="D53" s="30" t="s">
        <v>2170</v>
      </c>
      <c r="E53" s="30" t="s">
        <v>2171</v>
      </c>
      <c r="F53" s="23" t="str">
        <f>HYPERLINK("https://mapwv.gov/flood/map/?wkid=102100&amp;x=-9131973.019740507&amp;y=4646018.608746985&amp;l=13&amp;v=2","FT")</f>
        <v>FT</v>
      </c>
      <c r="G53" s="31" t="s">
        <v>53</v>
      </c>
      <c r="H53" s="31" t="s">
        <v>25</v>
      </c>
      <c r="I53" s="30" t="s">
        <v>1864</v>
      </c>
      <c r="J53" s="31" t="s">
        <v>26</v>
      </c>
      <c r="K53" s="27" t="s">
        <v>95</v>
      </c>
      <c r="L53" s="27" t="s">
        <v>45</v>
      </c>
      <c r="M53" s="30" t="s">
        <v>41</v>
      </c>
      <c r="N53" s="2" t="s">
        <v>42</v>
      </c>
      <c r="O53" s="31" t="s">
        <v>106</v>
      </c>
      <c r="P53" s="30" t="s">
        <v>1956</v>
      </c>
      <c r="Q53" s="30" t="s">
        <v>43</v>
      </c>
      <c r="R53" s="31" t="s">
        <v>111</v>
      </c>
      <c r="S53" s="32">
        <v>386100</v>
      </c>
      <c r="T53" s="48" t="s">
        <v>44</v>
      </c>
      <c r="U53" s="33">
        <v>9.9365233999999997E-2</v>
      </c>
      <c r="V53" s="33">
        <v>-3.900634765625</v>
      </c>
      <c r="W53" s="34">
        <v>0.04</v>
      </c>
      <c r="X53" s="35">
        <v>15444</v>
      </c>
    </row>
    <row r="54" spans="1:24" x14ac:dyDescent="0.25">
      <c r="A54" s="30" t="s">
        <v>2041</v>
      </c>
      <c r="B54" s="30" t="s">
        <v>1803</v>
      </c>
      <c r="C54" s="30" t="s">
        <v>778</v>
      </c>
      <c r="D54" s="30" t="s">
        <v>2172</v>
      </c>
      <c r="E54" s="30" t="s">
        <v>2173</v>
      </c>
      <c r="F54" s="23" t="str">
        <f>HYPERLINK("https://mapwv.gov/flood/map/?wkid=102100&amp;x=-9123680.884861264&amp;y=4657496.478894398&amp;l=13&amp;v=2","FT")</f>
        <v>FT</v>
      </c>
      <c r="G54" s="31" t="s">
        <v>32</v>
      </c>
      <c r="H54" s="31" t="s">
        <v>25</v>
      </c>
      <c r="I54" s="30" t="s">
        <v>1865</v>
      </c>
      <c r="J54" s="31" t="s">
        <v>26</v>
      </c>
      <c r="K54" s="27" t="s">
        <v>132</v>
      </c>
      <c r="L54" s="27" t="s">
        <v>38</v>
      </c>
      <c r="M54" s="30" t="s">
        <v>41</v>
      </c>
      <c r="N54" s="2" t="s">
        <v>42</v>
      </c>
      <c r="O54" s="31" t="s">
        <v>106</v>
      </c>
      <c r="P54" s="30" t="s">
        <v>1539</v>
      </c>
      <c r="Q54" s="30" t="s">
        <v>436</v>
      </c>
      <c r="R54" s="31" t="s">
        <v>111</v>
      </c>
      <c r="S54" s="32">
        <v>380900</v>
      </c>
      <c r="T54" s="48" t="s">
        <v>44</v>
      </c>
      <c r="U54" s="33">
        <v>3.3081054999999998E-2</v>
      </c>
      <c r="V54" s="33">
        <v>-3.9669189453125</v>
      </c>
      <c r="W54" s="34">
        <v>0</v>
      </c>
      <c r="X54" s="35">
        <v>0</v>
      </c>
    </row>
    <row r="55" spans="1:24" x14ac:dyDescent="0.25">
      <c r="A55" s="30" t="s">
        <v>2042</v>
      </c>
      <c r="B55" s="30" t="s">
        <v>1803</v>
      </c>
      <c r="C55" s="30" t="s">
        <v>2110</v>
      </c>
      <c r="D55" s="30" t="s">
        <v>2174</v>
      </c>
      <c r="E55" s="30" t="s">
        <v>2175</v>
      </c>
      <c r="F55" s="23" t="str">
        <f>HYPERLINK("https://mapwv.gov/flood/map/?wkid=102100&amp;x=-9120305.081227947&amp;y=4640173.220768045&amp;l=13&amp;v=2","FT")</f>
        <v>FT</v>
      </c>
      <c r="G55" s="31" t="s">
        <v>32</v>
      </c>
      <c r="H55" s="31" t="s">
        <v>25</v>
      </c>
      <c r="I55" s="30" t="s">
        <v>1866</v>
      </c>
      <c r="J55" s="31" t="s">
        <v>39</v>
      </c>
      <c r="K55" s="27" t="s">
        <v>114</v>
      </c>
      <c r="L55" s="27" t="s">
        <v>45</v>
      </c>
      <c r="M55" s="30" t="s">
        <v>41</v>
      </c>
      <c r="N55" s="2" t="s">
        <v>42</v>
      </c>
      <c r="O55" s="31" t="s">
        <v>105</v>
      </c>
      <c r="P55" s="30" t="s">
        <v>1957</v>
      </c>
      <c r="Q55" s="30" t="s">
        <v>43</v>
      </c>
      <c r="R55" s="31" t="s">
        <v>111</v>
      </c>
      <c r="S55" s="32">
        <v>367000</v>
      </c>
      <c r="T55" s="48" t="s">
        <v>44</v>
      </c>
      <c r="U55" s="33">
        <v>8.2092285000000001E-2</v>
      </c>
      <c r="V55" s="33">
        <v>-3.91790771484375</v>
      </c>
      <c r="W55" s="34">
        <v>0</v>
      </c>
      <c r="X55" s="35">
        <v>0</v>
      </c>
    </row>
    <row r="56" spans="1:24" x14ac:dyDescent="0.25">
      <c r="A56" s="30" t="s">
        <v>1799</v>
      </c>
      <c r="B56" s="30" t="s">
        <v>1803</v>
      </c>
      <c r="C56" s="30" t="s">
        <v>778</v>
      </c>
      <c r="D56" s="30" t="s">
        <v>1812</v>
      </c>
      <c r="E56" s="30" t="s">
        <v>1813</v>
      </c>
      <c r="F56" s="23" t="str">
        <f>HYPERLINK("https://mapwv.gov/flood/map/?wkid=102100&amp;x=-9111813.95407599&amp;y=4639524.489033987&amp;l=13&amp;v=2","FT")</f>
        <v>FT</v>
      </c>
      <c r="G56" s="31" t="s">
        <v>53</v>
      </c>
      <c r="H56" s="31" t="s">
        <v>25</v>
      </c>
      <c r="I56" s="30" t="s">
        <v>1867</v>
      </c>
      <c r="J56" s="31" t="s">
        <v>39</v>
      </c>
      <c r="K56" s="27" t="s">
        <v>137</v>
      </c>
      <c r="L56" s="27" t="s">
        <v>27</v>
      </c>
      <c r="M56" s="30" t="s">
        <v>70</v>
      </c>
      <c r="N56" s="2" t="s">
        <v>35</v>
      </c>
      <c r="O56" s="31" t="s">
        <v>105</v>
      </c>
      <c r="P56" s="30" t="s">
        <v>1958</v>
      </c>
      <c r="Q56" s="30" t="s">
        <v>30</v>
      </c>
      <c r="R56" s="31" t="s">
        <v>110</v>
      </c>
      <c r="S56" s="32">
        <v>366000</v>
      </c>
      <c r="T56" s="48" t="s">
        <v>31</v>
      </c>
      <c r="U56" s="33">
        <v>0.44067382999999999</v>
      </c>
      <c r="V56" s="33">
        <v>-0.559326171875</v>
      </c>
      <c r="W56" s="34">
        <v>0</v>
      </c>
      <c r="X56" s="35">
        <v>0</v>
      </c>
    </row>
    <row r="57" spans="1:24" x14ac:dyDescent="0.25">
      <c r="A57" s="30" t="s">
        <v>2043</v>
      </c>
      <c r="B57" s="30" t="s">
        <v>2091</v>
      </c>
      <c r="C57" s="30" t="s">
        <v>877</v>
      </c>
      <c r="D57" s="30" t="s">
        <v>2176</v>
      </c>
      <c r="E57" s="30" t="s">
        <v>2177</v>
      </c>
      <c r="F57" s="23" t="str">
        <f>HYPERLINK("https://mapwv.gov/flood/map/?wkid=102100&amp;x=-9106434.781211607&amp;y=4647297.515370788&amp;l=13&amp;v=2","FT")</f>
        <v>FT</v>
      </c>
      <c r="G57" s="31" t="s">
        <v>32</v>
      </c>
      <c r="H57" s="31" t="s">
        <v>25</v>
      </c>
      <c r="I57" s="30" t="s">
        <v>1868</v>
      </c>
      <c r="J57" s="31" t="s">
        <v>26</v>
      </c>
      <c r="K57" s="27" t="s">
        <v>133</v>
      </c>
      <c r="L57" s="27" t="s">
        <v>51</v>
      </c>
      <c r="M57" s="30" t="s">
        <v>41</v>
      </c>
      <c r="N57" s="2" t="s">
        <v>42</v>
      </c>
      <c r="O57" s="31" t="s">
        <v>106</v>
      </c>
      <c r="P57" s="30" t="s">
        <v>1959</v>
      </c>
      <c r="Q57" s="30" t="s">
        <v>436</v>
      </c>
      <c r="R57" s="31" t="s">
        <v>111</v>
      </c>
      <c r="S57" s="32">
        <v>366000</v>
      </c>
      <c r="T57" s="48" t="s">
        <v>31</v>
      </c>
      <c r="U57" s="33">
        <v>0</v>
      </c>
      <c r="V57" s="33">
        <v>-4</v>
      </c>
      <c r="W57" s="34">
        <v>0</v>
      </c>
      <c r="X57" s="35">
        <v>0</v>
      </c>
    </row>
    <row r="58" spans="1:24" x14ac:dyDescent="0.25">
      <c r="A58" s="30" t="s">
        <v>2044</v>
      </c>
      <c r="B58" s="30" t="s">
        <v>2086</v>
      </c>
      <c r="C58" s="30" t="s">
        <v>778</v>
      </c>
      <c r="D58" s="30" t="s">
        <v>2178</v>
      </c>
      <c r="E58" s="30" t="s">
        <v>2179</v>
      </c>
      <c r="F58" s="23" t="str">
        <f>HYPERLINK("https://mapwv.gov/flood/map/?wkid=102100&amp;x=-9112628.194591466&amp;y=4653845.9086351525&amp;l=13&amp;v=2","FT")</f>
        <v>FT</v>
      </c>
      <c r="G58" s="31" t="s">
        <v>32</v>
      </c>
      <c r="H58" s="31" t="s">
        <v>25</v>
      </c>
      <c r="I58" s="30" t="s">
        <v>1869</v>
      </c>
      <c r="J58" s="31" t="s">
        <v>26</v>
      </c>
      <c r="K58" s="27" t="s">
        <v>95</v>
      </c>
      <c r="L58" s="27" t="s">
        <v>38</v>
      </c>
      <c r="M58" s="30" t="s">
        <v>41</v>
      </c>
      <c r="N58" s="2" t="s">
        <v>42</v>
      </c>
      <c r="O58" s="31" t="s">
        <v>106</v>
      </c>
      <c r="P58" s="30" t="s">
        <v>1960</v>
      </c>
      <c r="Q58" s="30" t="s">
        <v>436</v>
      </c>
      <c r="R58" s="31" t="s">
        <v>111</v>
      </c>
      <c r="S58" s="32">
        <v>365400</v>
      </c>
      <c r="T58" s="48" t="s">
        <v>44</v>
      </c>
      <c r="U58" s="33">
        <v>0</v>
      </c>
      <c r="V58" s="33">
        <v>-4</v>
      </c>
      <c r="W58" s="34">
        <v>0</v>
      </c>
      <c r="X58" s="35">
        <v>0</v>
      </c>
    </row>
    <row r="59" spans="1:24" x14ac:dyDescent="0.25">
      <c r="A59" s="30" t="s">
        <v>2045</v>
      </c>
      <c r="B59" s="30" t="s">
        <v>1803</v>
      </c>
      <c r="C59" s="30" t="s">
        <v>1807</v>
      </c>
      <c r="D59" s="30" t="s">
        <v>2180</v>
      </c>
      <c r="E59" s="30" t="s">
        <v>2181</v>
      </c>
      <c r="F59" s="23" t="str">
        <f>HYPERLINK("https://mapwv.gov/flood/map/?wkid=102100&amp;x=-9119608.606937613&amp;y=4641976.985281186&amp;l=13&amp;v=2","FT")</f>
        <v>FT</v>
      </c>
      <c r="G59" s="31" t="s">
        <v>32</v>
      </c>
      <c r="H59" s="31" t="s">
        <v>25</v>
      </c>
      <c r="I59" s="30" t="s">
        <v>1870</v>
      </c>
      <c r="J59" s="31" t="s">
        <v>26</v>
      </c>
      <c r="K59" s="27" t="s">
        <v>98</v>
      </c>
      <c r="L59" s="27" t="s">
        <v>45</v>
      </c>
      <c r="M59" s="30" t="s">
        <v>41</v>
      </c>
      <c r="N59" s="2" t="s">
        <v>42</v>
      </c>
      <c r="O59" s="31" t="s">
        <v>106</v>
      </c>
      <c r="P59" s="30" t="s">
        <v>1961</v>
      </c>
      <c r="Q59" s="30" t="s">
        <v>436</v>
      </c>
      <c r="R59" s="31" t="s">
        <v>111</v>
      </c>
      <c r="S59" s="32">
        <v>362100</v>
      </c>
      <c r="T59" s="48" t="s">
        <v>44</v>
      </c>
      <c r="U59" s="33">
        <v>0</v>
      </c>
      <c r="V59" s="33">
        <v>-4</v>
      </c>
      <c r="W59" s="34">
        <v>0</v>
      </c>
      <c r="X59" s="35">
        <v>0</v>
      </c>
    </row>
    <row r="60" spans="1:24" x14ac:dyDescent="0.25">
      <c r="A60" s="30" t="s">
        <v>2046</v>
      </c>
      <c r="B60" s="30" t="s">
        <v>1803</v>
      </c>
      <c r="C60" s="30" t="s">
        <v>778</v>
      </c>
      <c r="D60" s="30" t="s">
        <v>2182</v>
      </c>
      <c r="E60" s="30" t="s">
        <v>2183</v>
      </c>
      <c r="F60" s="23" t="str">
        <f>HYPERLINK("https://mapwv.gov/flood/map/?wkid=102100&amp;x=-9128405.399600169&amp;y=4662013.776252341&amp;l=13&amp;v=2","FT")</f>
        <v>FT</v>
      </c>
      <c r="G60" s="31" t="s">
        <v>32</v>
      </c>
      <c r="H60" s="31" t="s">
        <v>25</v>
      </c>
      <c r="I60" s="30" t="s">
        <v>1871</v>
      </c>
      <c r="J60" s="31" t="s">
        <v>26</v>
      </c>
      <c r="K60" s="27" t="s">
        <v>129</v>
      </c>
      <c r="L60" s="27" t="s">
        <v>27</v>
      </c>
      <c r="M60" s="30" t="s">
        <v>66</v>
      </c>
      <c r="N60" s="2" t="s">
        <v>103</v>
      </c>
      <c r="O60" s="31" t="s">
        <v>105</v>
      </c>
      <c r="P60" s="30" t="s">
        <v>1791</v>
      </c>
      <c r="Q60" s="30" t="s">
        <v>30</v>
      </c>
      <c r="R60" s="31" t="s">
        <v>110</v>
      </c>
      <c r="S60" s="32">
        <v>359900</v>
      </c>
      <c r="T60" s="48" t="s">
        <v>44</v>
      </c>
      <c r="U60" s="33">
        <v>0</v>
      </c>
      <c r="V60" s="33">
        <v>-1</v>
      </c>
      <c r="W60" s="34">
        <v>0</v>
      </c>
      <c r="X60" s="35">
        <v>0</v>
      </c>
    </row>
    <row r="61" spans="1:24" x14ac:dyDescent="0.25">
      <c r="A61" s="30" t="s">
        <v>2047</v>
      </c>
      <c r="B61" s="30" t="s">
        <v>1803</v>
      </c>
      <c r="C61" s="30" t="s">
        <v>778</v>
      </c>
      <c r="D61" s="30" t="s">
        <v>2184</v>
      </c>
      <c r="E61" s="30" t="s">
        <v>2185</v>
      </c>
      <c r="F61" s="23" t="str">
        <f>HYPERLINK("https://mapwv.gov/flood/map/?wkid=102100&amp;x=-9127307.878253896&amp;y=4661196.320332339&amp;l=13&amp;v=2","FT")</f>
        <v>FT</v>
      </c>
      <c r="G61" s="31" t="s">
        <v>32</v>
      </c>
      <c r="H61" s="31" t="s">
        <v>25</v>
      </c>
      <c r="I61" s="30" t="s">
        <v>1872</v>
      </c>
      <c r="J61" s="31" t="s">
        <v>26</v>
      </c>
      <c r="K61" s="27" t="s">
        <v>373</v>
      </c>
      <c r="L61" s="27" t="s">
        <v>51</v>
      </c>
      <c r="M61" s="30" t="s">
        <v>41</v>
      </c>
      <c r="N61" s="2" t="s">
        <v>42</v>
      </c>
      <c r="O61" s="31" t="s">
        <v>105</v>
      </c>
      <c r="P61" s="30" t="s">
        <v>1962</v>
      </c>
      <c r="Q61" s="30" t="s">
        <v>436</v>
      </c>
      <c r="R61" s="31" t="s">
        <v>111</v>
      </c>
      <c r="S61" s="32">
        <v>359800</v>
      </c>
      <c r="T61" s="48" t="s">
        <v>44</v>
      </c>
      <c r="U61" s="33">
        <v>0.21710204999999999</v>
      </c>
      <c r="V61" s="33">
        <v>-3.78289794921875</v>
      </c>
      <c r="W61" s="34">
        <v>0</v>
      </c>
      <c r="X61" s="35">
        <v>0</v>
      </c>
    </row>
    <row r="62" spans="1:24" x14ac:dyDescent="0.25">
      <c r="A62" s="30" t="s">
        <v>2048</v>
      </c>
      <c r="B62" s="30" t="s">
        <v>1803</v>
      </c>
      <c r="C62" s="30" t="s">
        <v>778</v>
      </c>
      <c r="D62" s="30" t="s">
        <v>2186</v>
      </c>
      <c r="E62" s="30" t="s">
        <v>2187</v>
      </c>
      <c r="F62" s="23" t="str">
        <f>HYPERLINK("https://mapwv.gov/flood/map/?wkid=102100&amp;x=-9123513.862989716&amp;y=4657365.8715910325&amp;l=13&amp;v=2","FT")</f>
        <v>FT</v>
      </c>
      <c r="G62" s="31" t="s">
        <v>32</v>
      </c>
      <c r="H62" s="31" t="s">
        <v>25</v>
      </c>
      <c r="I62" s="30" t="s">
        <v>1873</v>
      </c>
      <c r="J62" s="31" t="s">
        <v>26</v>
      </c>
      <c r="K62" s="27" t="s">
        <v>129</v>
      </c>
      <c r="L62" s="27" t="s">
        <v>51</v>
      </c>
      <c r="M62" s="30" t="s">
        <v>41</v>
      </c>
      <c r="N62" s="2" t="s">
        <v>42</v>
      </c>
      <c r="O62" s="31" t="s">
        <v>105</v>
      </c>
      <c r="P62" s="30" t="s">
        <v>1963</v>
      </c>
      <c r="Q62" s="30" t="s">
        <v>30</v>
      </c>
      <c r="R62" s="31" t="s">
        <v>110</v>
      </c>
      <c r="S62" s="32">
        <v>359500</v>
      </c>
      <c r="T62" s="48" t="s">
        <v>44</v>
      </c>
      <c r="U62" s="33">
        <v>0</v>
      </c>
      <c r="V62" s="33">
        <v>-1</v>
      </c>
      <c r="W62" s="34">
        <v>0</v>
      </c>
      <c r="X62" s="35">
        <v>0</v>
      </c>
    </row>
    <row r="63" spans="1:24" x14ac:dyDescent="0.25">
      <c r="A63" s="30" t="s">
        <v>2049</v>
      </c>
      <c r="B63" s="30" t="s">
        <v>1803</v>
      </c>
      <c r="C63" s="30" t="s">
        <v>778</v>
      </c>
      <c r="D63" s="30" t="s">
        <v>2188</v>
      </c>
      <c r="E63" s="30" t="s">
        <v>2189</v>
      </c>
      <c r="F63" s="23" t="str">
        <f>HYPERLINK("https://mapwv.gov/flood/map/?wkid=102100&amp;x=-9123344.663820239&amp;y=4657223.325652677&amp;l=13&amp;v=2","FT")</f>
        <v>FT</v>
      </c>
      <c r="G63" s="31" t="s">
        <v>32</v>
      </c>
      <c r="H63" s="31" t="s">
        <v>25</v>
      </c>
      <c r="I63" s="30" t="s">
        <v>1874</v>
      </c>
      <c r="J63" s="31" t="s">
        <v>26</v>
      </c>
      <c r="K63" s="27" t="s">
        <v>1005</v>
      </c>
      <c r="L63" s="27" t="s">
        <v>45</v>
      </c>
      <c r="M63" s="30" t="s">
        <v>41</v>
      </c>
      <c r="N63" s="2" t="s">
        <v>42</v>
      </c>
      <c r="O63" s="31" t="s">
        <v>106</v>
      </c>
      <c r="P63" s="30" t="s">
        <v>1964</v>
      </c>
      <c r="Q63" s="30" t="s">
        <v>436</v>
      </c>
      <c r="R63" s="31" t="s">
        <v>111</v>
      </c>
      <c r="S63" s="32">
        <v>358800</v>
      </c>
      <c r="T63" s="48" t="s">
        <v>44</v>
      </c>
      <c r="U63" s="33">
        <v>0</v>
      </c>
      <c r="V63" s="33">
        <v>-4</v>
      </c>
      <c r="W63" s="34">
        <v>0</v>
      </c>
      <c r="X63" s="35">
        <v>0</v>
      </c>
    </row>
    <row r="64" spans="1:24" x14ac:dyDescent="0.25">
      <c r="A64" s="30" t="s">
        <v>2050</v>
      </c>
      <c r="B64" s="30" t="s">
        <v>1803</v>
      </c>
      <c r="C64" s="30" t="s">
        <v>2110</v>
      </c>
      <c r="D64" s="30" t="s">
        <v>2190</v>
      </c>
      <c r="E64" s="30" t="s">
        <v>2191</v>
      </c>
      <c r="F64" s="23" t="str">
        <f>HYPERLINK("https://mapwv.gov/flood/map/?wkid=102100&amp;x=-9120315.327853112&amp;y=4643247.738311561&amp;l=13&amp;v=2","FT")</f>
        <v>FT</v>
      </c>
      <c r="G64" s="31" t="s">
        <v>32</v>
      </c>
      <c r="H64" s="31" t="s">
        <v>25</v>
      </c>
      <c r="I64" s="30" t="s">
        <v>1875</v>
      </c>
      <c r="J64" s="31" t="s">
        <v>26</v>
      </c>
      <c r="K64" s="27" t="s">
        <v>94</v>
      </c>
      <c r="L64" s="27" t="s">
        <v>51</v>
      </c>
      <c r="M64" s="30" t="s">
        <v>52</v>
      </c>
      <c r="N64" s="2" t="s">
        <v>35</v>
      </c>
      <c r="O64" s="31" t="s">
        <v>106</v>
      </c>
      <c r="P64" s="30" t="s">
        <v>1965</v>
      </c>
      <c r="Q64" s="30" t="s">
        <v>30</v>
      </c>
      <c r="R64" s="31" t="s">
        <v>110</v>
      </c>
      <c r="S64" s="32">
        <v>355600</v>
      </c>
      <c r="T64" s="48" t="s">
        <v>44</v>
      </c>
      <c r="U64" s="33">
        <v>0.20227050999999999</v>
      </c>
      <c r="V64" s="33">
        <v>-0.7977294921875</v>
      </c>
      <c r="W64" s="34">
        <v>2.022705078125E-3</v>
      </c>
      <c r="X64" s="35">
        <v>719.27392578125</v>
      </c>
    </row>
    <row r="65" spans="1:24" x14ac:dyDescent="0.25">
      <c r="A65" s="30" t="s">
        <v>2051</v>
      </c>
      <c r="B65" s="30" t="s">
        <v>2086</v>
      </c>
      <c r="C65" s="30" t="s">
        <v>778</v>
      </c>
      <c r="D65" s="30" t="s">
        <v>2192</v>
      </c>
      <c r="E65" s="30" t="s">
        <v>2193</v>
      </c>
      <c r="F65" s="23" t="str">
        <f>HYPERLINK("https://mapwv.gov/flood/map/?wkid=102100&amp;x=-9113270.460631238&amp;y=4654604.972458517&amp;l=13&amp;v=2","FT")</f>
        <v>FT</v>
      </c>
      <c r="G65" s="31" t="s">
        <v>32</v>
      </c>
      <c r="H65" s="31" t="s">
        <v>25</v>
      </c>
      <c r="I65" s="30" t="s">
        <v>1861</v>
      </c>
      <c r="J65" s="31" t="s">
        <v>26</v>
      </c>
      <c r="K65" s="27" t="s">
        <v>82</v>
      </c>
      <c r="L65" s="27" t="s">
        <v>51</v>
      </c>
      <c r="M65" s="30" t="s">
        <v>41</v>
      </c>
      <c r="N65" s="2" t="s">
        <v>42</v>
      </c>
      <c r="O65" s="31" t="s">
        <v>106</v>
      </c>
      <c r="P65" s="30" t="s">
        <v>1966</v>
      </c>
      <c r="Q65" s="30" t="s">
        <v>436</v>
      </c>
      <c r="R65" s="31" t="s">
        <v>111</v>
      </c>
      <c r="S65" s="32">
        <v>354500</v>
      </c>
      <c r="T65" s="48" t="s">
        <v>44</v>
      </c>
      <c r="U65" s="33">
        <v>1.0120239</v>
      </c>
      <c r="V65" s="33">
        <v>-2.98797607421875</v>
      </c>
      <c r="W65" s="34">
        <v>0</v>
      </c>
      <c r="X65" s="35">
        <v>0</v>
      </c>
    </row>
    <row r="66" spans="1:24" x14ac:dyDescent="0.25">
      <c r="A66" s="30" t="s">
        <v>2052</v>
      </c>
      <c r="B66" s="30" t="s">
        <v>2086</v>
      </c>
      <c r="C66" s="30" t="s">
        <v>778</v>
      </c>
      <c r="D66" s="30" t="s">
        <v>2194</v>
      </c>
      <c r="E66" s="30" t="s">
        <v>2195</v>
      </c>
      <c r="F66" s="23" t="str">
        <f>HYPERLINK("https://mapwv.gov/flood/map/?wkid=102100&amp;x=-9112828.609527273&amp;y=4653948.70635355&amp;l=13&amp;v=2","FT")</f>
        <v>FT</v>
      </c>
      <c r="G66" s="31" t="s">
        <v>53</v>
      </c>
      <c r="H66" s="31" t="s">
        <v>25</v>
      </c>
      <c r="I66" s="30" t="s">
        <v>1876</v>
      </c>
      <c r="J66" s="31" t="s">
        <v>26</v>
      </c>
      <c r="K66" s="27" t="s">
        <v>119</v>
      </c>
      <c r="L66" s="27" t="s">
        <v>40</v>
      </c>
      <c r="M66" s="30" t="s">
        <v>41</v>
      </c>
      <c r="N66" s="2" t="s">
        <v>42</v>
      </c>
      <c r="O66" s="31" t="s">
        <v>106</v>
      </c>
      <c r="P66" s="30" t="s">
        <v>1967</v>
      </c>
      <c r="Q66" s="30" t="s">
        <v>436</v>
      </c>
      <c r="R66" s="31" t="s">
        <v>111</v>
      </c>
      <c r="S66" s="32">
        <v>350900</v>
      </c>
      <c r="T66" s="48" t="s">
        <v>44</v>
      </c>
      <c r="U66" s="33">
        <v>0.13812256000000001</v>
      </c>
      <c r="V66" s="33">
        <v>-3.86187744140625</v>
      </c>
      <c r="W66" s="34">
        <v>0</v>
      </c>
      <c r="X66" s="35">
        <v>0</v>
      </c>
    </row>
    <row r="67" spans="1:24" x14ac:dyDescent="0.25">
      <c r="A67" s="30" t="s">
        <v>2053</v>
      </c>
      <c r="B67" s="30" t="s">
        <v>1803</v>
      </c>
      <c r="C67" s="30" t="s">
        <v>2196</v>
      </c>
      <c r="D67" s="30" t="s">
        <v>2197</v>
      </c>
      <c r="E67" s="30" t="s">
        <v>2198</v>
      </c>
      <c r="F67" s="23" t="str">
        <f>HYPERLINK("https://mapwv.gov/flood/map/?wkid=102100&amp;x=-9125540.970545588&amp;y=4657894.18120124&amp;l=13&amp;v=2","FT")</f>
        <v>FT</v>
      </c>
      <c r="G67" s="31" t="s">
        <v>32</v>
      </c>
      <c r="H67" s="31" t="s">
        <v>25</v>
      </c>
      <c r="I67" s="30" t="s">
        <v>1877</v>
      </c>
      <c r="J67" s="31" t="s">
        <v>26</v>
      </c>
      <c r="K67" s="27" t="s">
        <v>373</v>
      </c>
      <c r="L67" s="27" t="s">
        <v>51</v>
      </c>
      <c r="M67" s="30" t="s">
        <v>41</v>
      </c>
      <c r="N67" s="2" t="s">
        <v>42</v>
      </c>
      <c r="O67" s="31" t="s">
        <v>106</v>
      </c>
      <c r="P67" s="30" t="s">
        <v>1968</v>
      </c>
      <c r="Q67" s="30" t="s">
        <v>436</v>
      </c>
      <c r="R67" s="31" t="s">
        <v>111</v>
      </c>
      <c r="S67" s="32">
        <v>350500</v>
      </c>
      <c r="T67" s="48" t="s">
        <v>44</v>
      </c>
      <c r="U67" s="33">
        <v>0</v>
      </c>
      <c r="V67" s="33">
        <v>-4</v>
      </c>
      <c r="W67" s="34">
        <v>0</v>
      </c>
      <c r="X67" s="35">
        <v>0</v>
      </c>
    </row>
    <row r="68" spans="1:24" x14ac:dyDescent="0.25">
      <c r="A68" s="30" t="s">
        <v>2054</v>
      </c>
      <c r="B68" s="30" t="s">
        <v>811</v>
      </c>
      <c r="C68" s="30" t="s">
        <v>1458</v>
      </c>
      <c r="D68" s="30" t="s">
        <v>2199</v>
      </c>
      <c r="E68" s="30" t="s">
        <v>2200</v>
      </c>
      <c r="F68" s="23" t="str">
        <f>HYPERLINK("https://mapwv.gov/flood/map/?wkid=102100&amp;x=-9109877.672426613&amp;y=4640964.883493302&amp;l=13&amp;v=2","FT")</f>
        <v>FT</v>
      </c>
      <c r="G68" s="31" t="s">
        <v>32</v>
      </c>
      <c r="H68" s="31" t="s">
        <v>25</v>
      </c>
      <c r="I68" s="30" t="s">
        <v>1878</v>
      </c>
      <c r="J68" s="31" t="s">
        <v>26</v>
      </c>
      <c r="K68" s="27" t="s">
        <v>124</v>
      </c>
      <c r="L68" s="27" t="s">
        <v>57</v>
      </c>
      <c r="M68" s="30" t="s">
        <v>48</v>
      </c>
      <c r="N68" s="2" t="s">
        <v>35</v>
      </c>
      <c r="O68" s="31" t="s">
        <v>106</v>
      </c>
      <c r="P68" s="30" t="s">
        <v>1969</v>
      </c>
      <c r="Q68" s="30" t="s">
        <v>30</v>
      </c>
      <c r="R68" s="31" t="s">
        <v>110</v>
      </c>
      <c r="S68" s="32">
        <v>347900</v>
      </c>
      <c r="T68" s="48" t="s">
        <v>44</v>
      </c>
      <c r="U68" s="33">
        <v>0</v>
      </c>
      <c r="V68" s="33">
        <v>-1</v>
      </c>
      <c r="W68" s="34">
        <v>0</v>
      </c>
      <c r="X68" s="35">
        <v>0</v>
      </c>
    </row>
    <row r="69" spans="1:24" x14ac:dyDescent="0.25">
      <c r="A69" s="30" t="s">
        <v>2055</v>
      </c>
      <c r="B69" s="30" t="s">
        <v>1803</v>
      </c>
      <c r="C69" s="30" t="s">
        <v>1807</v>
      </c>
      <c r="D69" s="30" t="s">
        <v>2201</v>
      </c>
      <c r="E69" s="30" t="s">
        <v>2202</v>
      </c>
      <c r="F69" s="23" t="str">
        <f>HYPERLINK("https://mapwv.gov/flood/map/?wkid=102100&amp;x=-9117639.221988615&amp;y=4642947.752563048&amp;l=13&amp;v=2","FT")</f>
        <v>FT</v>
      </c>
      <c r="G69" s="31" t="s">
        <v>32</v>
      </c>
      <c r="H69" s="31" t="s">
        <v>25</v>
      </c>
      <c r="I69" s="30" t="s">
        <v>1879</v>
      </c>
      <c r="J69" s="31" t="s">
        <v>39</v>
      </c>
      <c r="K69" s="27" t="s">
        <v>1004</v>
      </c>
      <c r="L69" s="27" t="s">
        <v>367</v>
      </c>
      <c r="M69" s="30" t="s">
        <v>48</v>
      </c>
      <c r="N69" s="2" t="s">
        <v>35</v>
      </c>
      <c r="O69" s="31" t="s">
        <v>105</v>
      </c>
      <c r="P69" s="30" t="s">
        <v>1970</v>
      </c>
      <c r="Q69" s="30" t="s">
        <v>30</v>
      </c>
      <c r="R69" s="31" t="s">
        <v>110</v>
      </c>
      <c r="S69" s="32">
        <v>347800</v>
      </c>
      <c r="T69" s="48" t="s">
        <v>44</v>
      </c>
      <c r="U69" s="33">
        <v>0</v>
      </c>
      <c r="V69" s="33">
        <v>-1</v>
      </c>
      <c r="W69" s="34">
        <v>0</v>
      </c>
      <c r="X69" s="35">
        <v>0</v>
      </c>
    </row>
    <row r="70" spans="1:24" x14ac:dyDescent="0.25">
      <c r="A70" s="30" t="s">
        <v>2056</v>
      </c>
      <c r="B70" s="30" t="s">
        <v>1803</v>
      </c>
      <c r="C70" s="30" t="s">
        <v>778</v>
      </c>
      <c r="D70" s="30" t="s">
        <v>2203</v>
      </c>
      <c r="E70" s="30" t="s">
        <v>2204</v>
      </c>
      <c r="F70" s="23" t="str">
        <f>HYPERLINK("https://mapwv.gov/flood/map/?wkid=102100&amp;x=-9123600.021158641&amp;y=4657361.463612234&amp;l=13&amp;v=2","FT")</f>
        <v>FT</v>
      </c>
      <c r="G70" s="31" t="s">
        <v>32</v>
      </c>
      <c r="H70" s="31" t="s">
        <v>25</v>
      </c>
      <c r="I70" s="30" t="s">
        <v>1880</v>
      </c>
      <c r="J70" s="31" t="s">
        <v>26</v>
      </c>
      <c r="K70" s="27" t="s">
        <v>133</v>
      </c>
      <c r="L70" s="27" t="s">
        <v>49</v>
      </c>
      <c r="M70" s="30" t="s">
        <v>41</v>
      </c>
      <c r="N70" s="2" t="s">
        <v>42</v>
      </c>
      <c r="O70" s="31" t="s">
        <v>105</v>
      </c>
      <c r="P70" s="30" t="s">
        <v>1971</v>
      </c>
      <c r="Q70" s="30" t="s">
        <v>436</v>
      </c>
      <c r="R70" s="31" t="s">
        <v>111</v>
      </c>
      <c r="S70" s="32">
        <v>346200</v>
      </c>
      <c r="T70" s="48" t="s">
        <v>44</v>
      </c>
      <c r="U70" s="33">
        <v>3.2885741999999998</v>
      </c>
      <c r="V70" s="33">
        <v>-0.71142578125</v>
      </c>
      <c r="W70" s="34">
        <v>5.8857421875000003E-2</v>
      </c>
      <c r="X70" s="35">
        <v>20376.439453125</v>
      </c>
    </row>
    <row r="71" spans="1:24" x14ac:dyDescent="0.25">
      <c r="A71" s="30" t="s">
        <v>2057</v>
      </c>
      <c r="B71" s="30" t="s">
        <v>2086</v>
      </c>
      <c r="C71" s="30" t="s">
        <v>778</v>
      </c>
      <c r="D71" s="30" t="s">
        <v>2205</v>
      </c>
      <c r="E71" s="30" t="s">
        <v>2206</v>
      </c>
      <c r="F71" s="23" t="str">
        <f>HYPERLINK("https://mapwv.gov/flood/map/?wkid=102100&amp;x=-9112758.278095627&amp;y=4653869.174645615&amp;l=13&amp;v=2","FT")</f>
        <v>FT</v>
      </c>
      <c r="G71" s="31" t="s">
        <v>53</v>
      </c>
      <c r="H71" s="31" t="s">
        <v>25</v>
      </c>
      <c r="I71" s="30" t="s">
        <v>1881</v>
      </c>
      <c r="J71" s="31" t="s">
        <v>26</v>
      </c>
      <c r="K71" s="27" t="s">
        <v>95</v>
      </c>
      <c r="L71" s="27" t="s">
        <v>38</v>
      </c>
      <c r="M71" s="30" t="s">
        <v>41</v>
      </c>
      <c r="N71" s="2" t="s">
        <v>42</v>
      </c>
      <c r="O71" s="31" t="s">
        <v>106</v>
      </c>
      <c r="P71" s="30" t="s">
        <v>1972</v>
      </c>
      <c r="Q71" s="30" t="s">
        <v>436</v>
      </c>
      <c r="R71" s="31" t="s">
        <v>111</v>
      </c>
      <c r="S71" s="32">
        <v>345400</v>
      </c>
      <c r="T71" s="48" t="s">
        <v>44</v>
      </c>
      <c r="U71" s="33">
        <v>0.7578125</v>
      </c>
      <c r="V71" s="33">
        <v>-3.2421875</v>
      </c>
      <c r="W71" s="34">
        <v>0</v>
      </c>
      <c r="X71" s="35">
        <v>0</v>
      </c>
    </row>
    <row r="72" spans="1:24" x14ac:dyDescent="0.25">
      <c r="A72" s="30" t="s">
        <v>2058</v>
      </c>
      <c r="B72" s="30" t="s">
        <v>2086</v>
      </c>
      <c r="C72" s="30" t="s">
        <v>778</v>
      </c>
      <c r="D72" s="30" t="s">
        <v>2207</v>
      </c>
      <c r="E72" s="30" t="s">
        <v>2208</v>
      </c>
      <c r="F72" s="23" t="str">
        <f>HYPERLINK("https://mapwv.gov/flood/map/?wkid=102100&amp;x=-9113913.149796402&amp;y=4655282.43198592&amp;l=13&amp;v=2","FT")</f>
        <v>FT</v>
      </c>
      <c r="G72" s="31" t="s">
        <v>32</v>
      </c>
      <c r="H72" s="31" t="s">
        <v>25</v>
      </c>
      <c r="I72" s="30" t="s">
        <v>1882</v>
      </c>
      <c r="J72" s="31" t="s">
        <v>26</v>
      </c>
      <c r="K72" s="27" t="s">
        <v>117</v>
      </c>
      <c r="L72" s="27" t="s">
        <v>38</v>
      </c>
      <c r="M72" s="30" t="s">
        <v>41</v>
      </c>
      <c r="N72" s="2" t="s">
        <v>42</v>
      </c>
      <c r="O72" s="31" t="s">
        <v>106</v>
      </c>
      <c r="P72" s="30" t="s">
        <v>1973</v>
      </c>
      <c r="Q72" s="30" t="s">
        <v>436</v>
      </c>
      <c r="R72" s="31" t="s">
        <v>111</v>
      </c>
      <c r="S72" s="32">
        <v>344200</v>
      </c>
      <c r="T72" s="48" t="s">
        <v>44</v>
      </c>
      <c r="U72" s="33">
        <v>1.0200806</v>
      </c>
      <c r="V72" s="33">
        <v>-2.97991943359375</v>
      </c>
      <c r="W72" s="34">
        <v>0</v>
      </c>
      <c r="X72" s="35">
        <v>0</v>
      </c>
    </row>
    <row r="73" spans="1:24" x14ac:dyDescent="0.25">
      <c r="A73" s="30" t="s">
        <v>2059</v>
      </c>
      <c r="B73" s="30" t="s">
        <v>1803</v>
      </c>
      <c r="C73" s="30" t="s">
        <v>778</v>
      </c>
      <c r="D73" s="30" t="s">
        <v>2209</v>
      </c>
      <c r="E73" s="30" t="s">
        <v>2210</v>
      </c>
      <c r="F73" s="23" t="str">
        <f>HYPERLINK("https://mapwv.gov/flood/map/?wkid=102100&amp;x=-9123516.402632575&amp;y=4657264.608265546&amp;l=13&amp;v=2","FT")</f>
        <v>FT</v>
      </c>
      <c r="G73" s="31" t="s">
        <v>32</v>
      </c>
      <c r="H73" s="31" t="s">
        <v>25</v>
      </c>
      <c r="I73" s="30" t="s">
        <v>1883</v>
      </c>
      <c r="J73" s="31" t="s">
        <v>26</v>
      </c>
      <c r="K73" s="27" t="s">
        <v>129</v>
      </c>
      <c r="L73" s="27" t="s">
        <v>51</v>
      </c>
      <c r="M73" s="30" t="s">
        <v>41</v>
      </c>
      <c r="N73" s="2" t="s">
        <v>42</v>
      </c>
      <c r="O73" s="31" t="s">
        <v>105</v>
      </c>
      <c r="P73" s="30" t="s">
        <v>1974</v>
      </c>
      <c r="Q73" s="30" t="s">
        <v>436</v>
      </c>
      <c r="R73" s="31" t="s">
        <v>111</v>
      </c>
      <c r="S73" s="32">
        <v>343800</v>
      </c>
      <c r="T73" s="48" t="s">
        <v>44</v>
      </c>
      <c r="U73" s="33">
        <v>0</v>
      </c>
      <c r="V73" s="33">
        <v>-4</v>
      </c>
      <c r="W73" s="34">
        <v>0</v>
      </c>
      <c r="X73" s="35">
        <v>0</v>
      </c>
    </row>
    <row r="74" spans="1:24" x14ac:dyDescent="0.25">
      <c r="A74" s="30" t="s">
        <v>2060</v>
      </c>
      <c r="B74" s="30" t="s">
        <v>1803</v>
      </c>
      <c r="C74" s="30" t="s">
        <v>877</v>
      </c>
      <c r="D74" s="30" t="s">
        <v>2211</v>
      </c>
      <c r="E74" s="30" t="s">
        <v>2212</v>
      </c>
      <c r="F74" s="23" t="str">
        <f>HYPERLINK("https://mapwv.gov/flood/map/?wkid=102100&amp;x=-9104033.992826808&amp;y=4643516.760541277&amp;l=13&amp;v=2","FT")</f>
        <v>FT</v>
      </c>
      <c r="G74" s="31" t="s">
        <v>32</v>
      </c>
      <c r="H74" s="31" t="s">
        <v>25</v>
      </c>
      <c r="I74" s="30" t="s">
        <v>1884</v>
      </c>
      <c r="J74" s="31" t="s">
        <v>39</v>
      </c>
      <c r="K74" s="27" t="s">
        <v>135</v>
      </c>
      <c r="L74" s="27" t="s">
        <v>57</v>
      </c>
      <c r="M74" s="30" t="s">
        <v>41</v>
      </c>
      <c r="N74" s="2" t="s">
        <v>42</v>
      </c>
      <c r="O74" s="31" t="s">
        <v>105</v>
      </c>
      <c r="P74" s="30" t="s">
        <v>1975</v>
      </c>
      <c r="Q74" s="30" t="s">
        <v>43</v>
      </c>
      <c r="R74" s="31" t="s">
        <v>111</v>
      </c>
      <c r="S74" s="32">
        <v>343100</v>
      </c>
      <c r="T74" s="48" t="s">
        <v>44</v>
      </c>
      <c r="U74" s="33">
        <v>0</v>
      </c>
      <c r="V74" s="33">
        <v>-4</v>
      </c>
      <c r="W74" s="34">
        <v>0</v>
      </c>
      <c r="X74" s="35">
        <v>0</v>
      </c>
    </row>
    <row r="75" spans="1:24" x14ac:dyDescent="0.25">
      <c r="A75" s="30" t="s">
        <v>2061</v>
      </c>
      <c r="B75" s="30" t="s">
        <v>1803</v>
      </c>
      <c r="C75" s="30" t="s">
        <v>778</v>
      </c>
      <c r="D75" s="30" t="s">
        <v>2213</v>
      </c>
      <c r="E75" s="30" t="s">
        <v>2214</v>
      </c>
      <c r="F75" s="23" t="str">
        <f>HYPERLINK("https://mapwv.gov/flood/map/?wkid=102100&amp;x=-9127325.06086258&amp;y=4661264.933401681&amp;l=13&amp;v=2","FT")</f>
        <v>FT</v>
      </c>
      <c r="G75" s="31" t="s">
        <v>32</v>
      </c>
      <c r="H75" s="31" t="s">
        <v>25</v>
      </c>
      <c r="I75" s="30" t="s">
        <v>1885</v>
      </c>
      <c r="J75" s="31" t="s">
        <v>26</v>
      </c>
      <c r="K75" s="27" t="s">
        <v>373</v>
      </c>
      <c r="L75" s="27" t="s">
        <v>45</v>
      </c>
      <c r="M75" s="30" t="s">
        <v>41</v>
      </c>
      <c r="N75" s="2" t="s">
        <v>42</v>
      </c>
      <c r="O75" s="31" t="s">
        <v>106</v>
      </c>
      <c r="P75" s="30" t="s">
        <v>1976</v>
      </c>
      <c r="Q75" s="30" t="s">
        <v>436</v>
      </c>
      <c r="R75" s="31" t="s">
        <v>111</v>
      </c>
      <c r="S75" s="32">
        <v>342000</v>
      </c>
      <c r="T75" s="48" t="s">
        <v>44</v>
      </c>
      <c r="U75" s="33">
        <v>7.6171875E-2</v>
      </c>
      <c r="V75" s="33">
        <v>-3.923828125</v>
      </c>
      <c r="W75" s="34">
        <v>0</v>
      </c>
      <c r="X75" s="35">
        <v>0</v>
      </c>
    </row>
    <row r="76" spans="1:24" x14ac:dyDescent="0.25">
      <c r="A76" s="30" t="s">
        <v>2062</v>
      </c>
      <c r="B76" s="30" t="s">
        <v>1803</v>
      </c>
      <c r="C76" s="30" t="s">
        <v>877</v>
      </c>
      <c r="D76" s="30" t="s">
        <v>2215</v>
      </c>
      <c r="E76" s="30" t="s">
        <v>2216</v>
      </c>
      <c r="F76" s="23" t="str">
        <f>HYPERLINK("https://mapwv.gov/flood/map/?wkid=102100&amp;x=-9103793.89238122&amp;y=4643207.475583693&amp;l=13&amp;v=2","FT")</f>
        <v>FT</v>
      </c>
      <c r="G76" s="31" t="s">
        <v>32</v>
      </c>
      <c r="H76" s="31" t="s">
        <v>25</v>
      </c>
      <c r="I76" s="30" t="s">
        <v>1886</v>
      </c>
      <c r="J76" s="31" t="s">
        <v>26</v>
      </c>
      <c r="K76" s="27" t="s">
        <v>119</v>
      </c>
      <c r="L76" s="27" t="s">
        <v>45</v>
      </c>
      <c r="M76" s="30" t="s">
        <v>41</v>
      </c>
      <c r="N76" s="2" t="s">
        <v>42</v>
      </c>
      <c r="O76" s="31" t="s">
        <v>105</v>
      </c>
      <c r="P76" s="30" t="s">
        <v>1977</v>
      </c>
      <c r="Q76" s="30" t="s">
        <v>436</v>
      </c>
      <c r="R76" s="31" t="s">
        <v>111</v>
      </c>
      <c r="S76" s="32">
        <v>339000</v>
      </c>
      <c r="T76" s="48" t="s">
        <v>44</v>
      </c>
      <c r="U76" s="33">
        <v>0</v>
      </c>
      <c r="V76" s="33">
        <v>-4</v>
      </c>
      <c r="W76" s="34">
        <v>0</v>
      </c>
      <c r="X76" s="35">
        <v>0</v>
      </c>
    </row>
    <row r="77" spans="1:24" x14ac:dyDescent="0.25">
      <c r="A77" s="30" t="s">
        <v>2063</v>
      </c>
      <c r="B77" s="30" t="s">
        <v>1803</v>
      </c>
      <c r="C77" s="30" t="s">
        <v>778</v>
      </c>
      <c r="D77" s="30" t="s">
        <v>2217</v>
      </c>
      <c r="E77" s="30" t="s">
        <v>2218</v>
      </c>
      <c r="F77" s="23" t="str">
        <f>HYPERLINK("https://mapwv.gov/flood/map/?wkid=102100&amp;x=-9111664.57879276&amp;y=4641344.836866817&amp;l=13&amp;v=2","FT")</f>
        <v>FT</v>
      </c>
      <c r="G77" s="31" t="s">
        <v>32</v>
      </c>
      <c r="H77" s="31" t="s">
        <v>25</v>
      </c>
      <c r="I77" s="30" t="s">
        <v>1887</v>
      </c>
      <c r="J77" s="31" t="s">
        <v>26</v>
      </c>
      <c r="K77" s="27" t="s">
        <v>113</v>
      </c>
      <c r="L77" s="27"/>
      <c r="M77" s="30" t="s">
        <v>48</v>
      </c>
      <c r="N77" s="2" t="s">
        <v>35</v>
      </c>
      <c r="O77" s="31" t="s">
        <v>105</v>
      </c>
      <c r="P77" s="30" t="s">
        <v>1978</v>
      </c>
      <c r="Q77" s="30" t="s">
        <v>30</v>
      </c>
      <c r="R77" s="31" t="s">
        <v>110</v>
      </c>
      <c r="S77" s="32">
        <v>338707</v>
      </c>
      <c r="T77" s="48" t="s">
        <v>112</v>
      </c>
      <c r="U77" s="33">
        <v>0</v>
      </c>
      <c r="V77" s="33">
        <v>-1</v>
      </c>
      <c r="W77" s="34">
        <v>0</v>
      </c>
      <c r="X77" s="35">
        <v>0</v>
      </c>
    </row>
    <row r="78" spans="1:24" x14ac:dyDescent="0.25">
      <c r="A78" s="30" t="s">
        <v>2064</v>
      </c>
      <c r="B78" s="30" t="s">
        <v>1803</v>
      </c>
      <c r="C78" s="30" t="s">
        <v>877</v>
      </c>
      <c r="D78" s="30" t="s">
        <v>2219</v>
      </c>
      <c r="E78" s="30" t="s">
        <v>2220</v>
      </c>
      <c r="F78" s="23" t="str">
        <f>HYPERLINK("https://mapwv.gov/flood/map/?wkid=102100&amp;x=-9104035.823587155&amp;y=4643426.274925548&amp;l=13&amp;v=2","FT")</f>
        <v>FT</v>
      </c>
      <c r="G78" s="31" t="s">
        <v>32</v>
      </c>
      <c r="H78" s="31" t="s">
        <v>25</v>
      </c>
      <c r="I78" s="30" t="s">
        <v>1888</v>
      </c>
      <c r="J78" s="31" t="s">
        <v>39</v>
      </c>
      <c r="K78" s="27" t="s">
        <v>137</v>
      </c>
      <c r="L78" s="27" t="s">
        <v>45</v>
      </c>
      <c r="M78" s="30" t="s">
        <v>41</v>
      </c>
      <c r="N78" s="2" t="s">
        <v>42</v>
      </c>
      <c r="O78" s="31" t="s">
        <v>106</v>
      </c>
      <c r="P78" s="30" t="s">
        <v>673</v>
      </c>
      <c r="Q78" s="30" t="s">
        <v>436</v>
      </c>
      <c r="R78" s="31" t="s">
        <v>437</v>
      </c>
      <c r="S78" s="32">
        <v>327300</v>
      </c>
      <c r="T78" s="48" t="s">
        <v>44</v>
      </c>
      <c r="U78" s="33">
        <v>0</v>
      </c>
      <c r="V78" s="33">
        <v>-3</v>
      </c>
      <c r="W78" s="34">
        <v>0</v>
      </c>
      <c r="X78" s="35">
        <v>0</v>
      </c>
    </row>
    <row r="79" spans="1:24" x14ac:dyDescent="0.25">
      <c r="A79" s="30" t="s">
        <v>2065</v>
      </c>
      <c r="B79" s="30" t="s">
        <v>811</v>
      </c>
      <c r="C79" s="30" t="s">
        <v>1458</v>
      </c>
      <c r="D79" s="30" t="s">
        <v>2221</v>
      </c>
      <c r="E79" s="30" t="s">
        <v>2222</v>
      </c>
      <c r="F79" s="23" t="str">
        <f>HYPERLINK("https://mapwv.gov/flood/map/?wkid=102100&amp;x=-9109722.723153831&amp;y=4640303.592514942&amp;l=13&amp;v=2","FT")</f>
        <v>FT</v>
      </c>
      <c r="G79" s="31" t="s">
        <v>32</v>
      </c>
      <c r="H79" s="31" t="s">
        <v>25</v>
      </c>
      <c r="I79" s="30" t="s">
        <v>67</v>
      </c>
      <c r="J79" s="31" t="s">
        <v>39</v>
      </c>
      <c r="K79" s="27" t="s">
        <v>137</v>
      </c>
      <c r="L79" s="27" t="s">
        <v>27</v>
      </c>
      <c r="M79" s="30" t="s">
        <v>28</v>
      </c>
      <c r="N79" s="2" t="s">
        <v>102</v>
      </c>
      <c r="O79" s="31" t="s">
        <v>105</v>
      </c>
      <c r="P79" s="30" t="s">
        <v>1979</v>
      </c>
      <c r="Q79" s="30" t="s">
        <v>30</v>
      </c>
      <c r="R79" s="31" t="s">
        <v>110</v>
      </c>
      <c r="S79" s="32">
        <v>326800</v>
      </c>
      <c r="T79" s="48" t="s">
        <v>44</v>
      </c>
      <c r="U79" s="33">
        <v>1.5372314</v>
      </c>
      <c r="V79" s="33">
        <v>0.5372314453125</v>
      </c>
      <c r="W79" s="34">
        <v>2.6861572265625001E-2</v>
      </c>
      <c r="X79" s="35">
        <v>8778.36181640625</v>
      </c>
    </row>
    <row r="80" spans="1:24" x14ac:dyDescent="0.25">
      <c r="A80" s="30" t="s">
        <v>2066</v>
      </c>
      <c r="B80" s="30" t="s">
        <v>1803</v>
      </c>
      <c r="C80" s="30" t="s">
        <v>778</v>
      </c>
      <c r="D80" s="30" t="s">
        <v>2223</v>
      </c>
      <c r="E80" s="30" t="s">
        <v>2224</v>
      </c>
      <c r="F80" s="23" t="str">
        <f>HYPERLINK("https://mapwv.gov/flood/map/?wkid=102100&amp;x=-9127199.312028069&amp;y=4661336.418327574&amp;l=13&amp;v=2","FT")</f>
        <v>FT</v>
      </c>
      <c r="G80" s="31" t="s">
        <v>32</v>
      </c>
      <c r="H80" s="31" t="s">
        <v>25</v>
      </c>
      <c r="I80" s="30" t="s">
        <v>1889</v>
      </c>
      <c r="J80" s="31" t="s">
        <v>26</v>
      </c>
      <c r="K80" s="27" t="s">
        <v>130</v>
      </c>
      <c r="L80" s="27" t="s">
        <v>27</v>
      </c>
      <c r="M80" s="30" t="s">
        <v>70</v>
      </c>
      <c r="N80" s="2" t="s">
        <v>35</v>
      </c>
      <c r="O80" s="31" t="s">
        <v>105</v>
      </c>
      <c r="P80" s="30" t="s">
        <v>1980</v>
      </c>
      <c r="Q80" s="30" t="s">
        <v>30</v>
      </c>
      <c r="R80" s="31" t="s">
        <v>110</v>
      </c>
      <c r="S80" s="32">
        <v>326200</v>
      </c>
      <c r="T80" s="48" t="s">
        <v>44</v>
      </c>
      <c r="U80" s="33">
        <v>3.4015502999999998</v>
      </c>
      <c r="V80" s="33">
        <v>2.40155029296875</v>
      </c>
      <c r="W80" s="34">
        <v>9.2046508789062495E-2</v>
      </c>
      <c r="X80" s="35">
        <v>30025.5711669921</v>
      </c>
    </row>
    <row r="81" spans="1:24" x14ac:dyDescent="0.25">
      <c r="A81" s="30" t="s">
        <v>2067</v>
      </c>
      <c r="B81" s="30" t="s">
        <v>2086</v>
      </c>
      <c r="C81" s="30" t="s">
        <v>778</v>
      </c>
      <c r="D81" s="30" t="s">
        <v>2225</v>
      </c>
      <c r="E81" s="30" t="s">
        <v>2226</v>
      </c>
      <c r="F81" s="23" t="str">
        <f>HYPERLINK("https://mapwv.gov/flood/map/?wkid=102100&amp;x=-9114113.195596773&amp;y=4655692.2866386445&amp;l=13&amp;v=2","FT")</f>
        <v>FT</v>
      </c>
      <c r="G81" s="31" t="s">
        <v>32</v>
      </c>
      <c r="H81" s="31" t="s">
        <v>25</v>
      </c>
      <c r="I81" s="30" t="s">
        <v>1890</v>
      </c>
      <c r="J81" s="31" t="s">
        <v>26</v>
      </c>
      <c r="K81" s="27" t="s">
        <v>365</v>
      </c>
      <c r="L81" s="27" t="s">
        <v>38</v>
      </c>
      <c r="M81" s="30" t="s">
        <v>41</v>
      </c>
      <c r="N81" s="2" t="s">
        <v>42</v>
      </c>
      <c r="O81" s="31" t="s">
        <v>106</v>
      </c>
      <c r="P81" s="30" t="s">
        <v>1981</v>
      </c>
      <c r="Q81" s="30" t="s">
        <v>436</v>
      </c>
      <c r="R81" s="31" t="s">
        <v>111</v>
      </c>
      <c r="S81" s="32">
        <v>324700</v>
      </c>
      <c r="T81" s="48" t="s">
        <v>44</v>
      </c>
      <c r="U81" s="33">
        <v>3.4542847000000001</v>
      </c>
      <c r="V81" s="33">
        <v>-0.54571533203125</v>
      </c>
      <c r="W81" s="34">
        <v>4.9971313476562501E-2</v>
      </c>
      <c r="X81" s="35">
        <v>16225.6854858398</v>
      </c>
    </row>
    <row r="82" spans="1:24" x14ac:dyDescent="0.25">
      <c r="A82" s="30" t="s">
        <v>2068</v>
      </c>
      <c r="B82" s="30" t="s">
        <v>1803</v>
      </c>
      <c r="C82" s="30" t="s">
        <v>778</v>
      </c>
      <c r="D82" s="30" t="s">
        <v>2227</v>
      </c>
      <c r="E82" s="30" t="s">
        <v>2228</v>
      </c>
      <c r="F82" s="23" t="str">
        <f>HYPERLINK("https://mapwv.gov/flood/map/?wkid=102100&amp;x=-9116546.330419969&amp;y=4655847.961498436&amp;l=13&amp;v=2","FT")</f>
        <v>FT</v>
      </c>
      <c r="G82" s="31" t="s">
        <v>32</v>
      </c>
      <c r="H82" s="31" t="s">
        <v>25</v>
      </c>
      <c r="I82" s="30" t="s">
        <v>1891</v>
      </c>
      <c r="J82" s="31" t="s">
        <v>26</v>
      </c>
      <c r="K82" s="27" t="s">
        <v>641</v>
      </c>
      <c r="L82" s="27" t="s">
        <v>47</v>
      </c>
      <c r="M82" s="30" t="s">
        <v>41</v>
      </c>
      <c r="N82" s="2" t="s">
        <v>42</v>
      </c>
      <c r="O82" s="31" t="s">
        <v>105</v>
      </c>
      <c r="P82" s="30" t="s">
        <v>1982</v>
      </c>
      <c r="Q82" s="30" t="s">
        <v>436</v>
      </c>
      <c r="R82" s="31" t="s">
        <v>111</v>
      </c>
      <c r="S82" s="32">
        <v>320700</v>
      </c>
      <c r="T82" s="48" t="s">
        <v>44</v>
      </c>
      <c r="U82" s="33">
        <v>0.96789550000000002</v>
      </c>
      <c r="V82" s="33">
        <v>-3.0321044921875</v>
      </c>
      <c r="W82" s="34">
        <v>0</v>
      </c>
      <c r="X82" s="35">
        <v>0</v>
      </c>
    </row>
    <row r="83" spans="1:24" x14ac:dyDescent="0.25">
      <c r="A83" s="30" t="s">
        <v>2069</v>
      </c>
      <c r="B83" s="30" t="s">
        <v>1803</v>
      </c>
      <c r="C83" s="30" t="s">
        <v>778</v>
      </c>
      <c r="D83" s="30" t="s">
        <v>2229</v>
      </c>
      <c r="E83" s="30" t="s">
        <v>2230</v>
      </c>
      <c r="F83" s="23" t="str">
        <f>HYPERLINK("https://mapwv.gov/flood/map/?wkid=102100&amp;x=-9124282.486225013&amp;y=4658601.086312257&amp;l=13&amp;v=2","FT")</f>
        <v>FT</v>
      </c>
      <c r="G83" s="31" t="s">
        <v>32</v>
      </c>
      <c r="H83" s="31" t="s">
        <v>25</v>
      </c>
      <c r="I83" s="30" t="s">
        <v>1892</v>
      </c>
      <c r="J83" s="31" t="s">
        <v>39</v>
      </c>
      <c r="K83" s="27" t="s">
        <v>115</v>
      </c>
      <c r="L83" s="27" t="s">
        <v>367</v>
      </c>
      <c r="M83" s="30" t="s">
        <v>48</v>
      </c>
      <c r="N83" s="2" t="s">
        <v>35</v>
      </c>
      <c r="O83" s="31" t="s">
        <v>105</v>
      </c>
      <c r="P83" s="30" t="s">
        <v>1983</v>
      </c>
      <c r="Q83" s="30" t="s">
        <v>30</v>
      </c>
      <c r="R83" s="31" t="s">
        <v>110</v>
      </c>
      <c r="S83" s="32">
        <v>320400</v>
      </c>
      <c r="T83" s="48" t="s">
        <v>44</v>
      </c>
      <c r="U83" s="33">
        <v>3.1425781000000002</v>
      </c>
      <c r="V83" s="33">
        <v>2.142578125</v>
      </c>
      <c r="W83" s="34">
        <v>0.1428515625</v>
      </c>
      <c r="X83" s="35">
        <v>45769.640625</v>
      </c>
    </row>
    <row r="84" spans="1:24" x14ac:dyDescent="0.25">
      <c r="A84" s="30" t="s">
        <v>2070</v>
      </c>
      <c r="B84" s="30" t="s">
        <v>1803</v>
      </c>
      <c r="C84" s="30" t="s">
        <v>778</v>
      </c>
      <c r="D84" s="30" t="s">
        <v>2231</v>
      </c>
      <c r="E84" s="30" t="s">
        <v>2232</v>
      </c>
      <c r="F84" s="23" t="str">
        <f>HYPERLINK("https://mapwv.gov/flood/map/?wkid=102100&amp;x=-9125533.501341715&amp;y=4658530.792513673&amp;l=13&amp;v=2","FT")</f>
        <v>FT</v>
      </c>
      <c r="G84" s="31" t="s">
        <v>32</v>
      </c>
      <c r="H84" s="31" t="s">
        <v>25</v>
      </c>
      <c r="I84" s="30" t="s">
        <v>1893</v>
      </c>
      <c r="J84" s="31" t="s">
        <v>26</v>
      </c>
      <c r="K84" s="27" t="s">
        <v>130</v>
      </c>
      <c r="L84" s="27" t="s">
        <v>45</v>
      </c>
      <c r="M84" s="30" t="s">
        <v>70</v>
      </c>
      <c r="N84" s="2" t="s">
        <v>35</v>
      </c>
      <c r="O84" s="31" t="s">
        <v>106</v>
      </c>
      <c r="P84" s="30" t="s">
        <v>1984</v>
      </c>
      <c r="Q84" s="30" t="s">
        <v>30</v>
      </c>
      <c r="R84" s="31" t="s">
        <v>110</v>
      </c>
      <c r="S84" s="32">
        <v>320100</v>
      </c>
      <c r="T84" s="48" t="s">
        <v>31</v>
      </c>
      <c r="U84" s="33">
        <v>0</v>
      </c>
      <c r="V84" s="33">
        <v>-1</v>
      </c>
      <c r="W84" s="34">
        <v>0</v>
      </c>
      <c r="X84" s="35">
        <v>0</v>
      </c>
    </row>
    <row r="85" spans="1:24" x14ac:dyDescent="0.25">
      <c r="A85" s="30" t="s">
        <v>2071</v>
      </c>
      <c r="B85" s="30" t="s">
        <v>1803</v>
      </c>
      <c r="C85" s="30" t="s">
        <v>778</v>
      </c>
      <c r="D85" s="30" t="s">
        <v>2233</v>
      </c>
      <c r="E85" s="30" t="s">
        <v>2234</v>
      </c>
      <c r="F85" s="23" t="str">
        <f>HYPERLINK("https://mapwv.gov/flood/map/?wkid=102100&amp;x=-9123674.782438103&amp;y=4657540.741262752&amp;l=13&amp;v=2","FT")</f>
        <v>FT</v>
      </c>
      <c r="G85" s="31" t="s">
        <v>32</v>
      </c>
      <c r="H85" s="31" t="s">
        <v>25</v>
      </c>
      <c r="I85" s="30" t="s">
        <v>1894</v>
      </c>
      <c r="J85" s="31" t="s">
        <v>26</v>
      </c>
      <c r="K85" s="27" t="s">
        <v>1005</v>
      </c>
      <c r="L85" s="27" t="s">
        <v>49</v>
      </c>
      <c r="M85" s="30" t="s">
        <v>41</v>
      </c>
      <c r="N85" s="2" t="s">
        <v>42</v>
      </c>
      <c r="O85" s="31" t="s">
        <v>105</v>
      </c>
      <c r="P85" s="30" t="s">
        <v>1985</v>
      </c>
      <c r="Q85" s="30" t="s">
        <v>436</v>
      </c>
      <c r="R85" s="31" t="s">
        <v>111</v>
      </c>
      <c r="S85" s="32">
        <v>320000</v>
      </c>
      <c r="T85" s="48" t="s">
        <v>44</v>
      </c>
      <c r="U85" s="33">
        <v>0</v>
      </c>
      <c r="V85" s="33">
        <v>-4</v>
      </c>
      <c r="W85" s="34">
        <v>0</v>
      </c>
      <c r="X85" s="35">
        <v>0</v>
      </c>
    </row>
    <row r="86" spans="1:24" x14ac:dyDescent="0.25">
      <c r="A86" s="30" t="s">
        <v>2072</v>
      </c>
      <c r="B86" s="30" t="s">
        <v>1803</v>
      </c>
      <c r="C86" s="30" t="s">
        <v>877</v>
      </c>
      <c r="D86" s="30" t="s">
        <v>2235</v>
      </c>
      <c r="E86" s="30" t="s">
        <v>2236</v>
      </c>
      <c r="F86" s="23" t="str">
        <f>HYPERLINK("https://mapwv.gov/flood/map/?wkid=102100&amp;x=-9104046.547661623&amp;y=4644222.453317546&amp;l=13&amp;v=2","FT")</f>
        <v>FT</v>
      </c>
      <c r="G86" s="31" t="s">
        <v>32</v>
      </c>
      <c r="H86" s="31" t="s">
        <v>25</v>
      </c>
      <c r="I86" s="30" t="s">
        <v>1895</v>
      </c>
      <c r="J86" s="31" t="s">
        <v>26</v>
      </c>
      <c r="K86" s="27" t="s">
        <v>130</v>
      </c>
      <c r="L86" s="27" t="s">
        <v>51</v>
      </c>
      <c r="M86" s="30" t="s">
        <v>41</v>
      </c>
      <c r="N86" s="2" t="s">
        <v>42</v>
      </c>
      <c r="O86" s="31" t="s">
        <v>106</v>
      </c>
      <c r="P86" s="30" t="s">
        <v>1986</v>
      </c>
      <c r="Q86" s="30" t="s">
        <v>436</v>
      </c>
      <c r="R86" s="31" t="s">
        <v>111</v>
      </c>
      <c r="S86" s="32">
        <v>319800</v>
      </c>
      <c r="T86" s="48" t="s">
        <v>44</v>
      </c>
      <c r="U86" s="33">
        <v>0.52093506000000001</v>
      </c>
      <c r="V86" s="33">
        <v>-3.47906494140625</v>
      </c>
      <c r="W86" s="34">
        <v>0</v>
      </c>
      <c r="X86" s="35">
        <v>0</v>
      </c>
    </row>
    <row r="87" spans="1:24" x14ac:dyDescent="0.25">
      <c r="A87" s="30" t="s">
        <v>2073</v>
      </c>
      <c r="B87" s="30" t="s">
        <v>1803</v>
      </c>
      <c r="C87" s="30" t="s">
        <v>877</v>
      </c>
      <c r="D87" s="30" t="s">
        <v>2237</v>
      </c>
      <c r="E87" s="30" t="s">
        <v>2238</v>
      </c>
      <c r="F87" s="23" t="str">
        <f>HYPERLINK("https://mapwv.gov/flood/map/?wkid=102100&amp;x=-9102284.77111392&amp;y=4644743.982984592&amp;l=13&amp;v=2","FT")</f>
        <v>FT</v>
      </c>
      <c r="G87" s="31" t="s">
        <v>32</v>
      </c>
      <c r="H87" s="31" t="s">
        <v>25</v>
      </c>
      <c r="I87" s="30" t="s">
        <v>1896</v>
      </c>
      <c r="J87" s="31" t="s">
        <v>39</v>
      </c>
      <c r="K87" s="27" t="s">
        <v>87</v>
      </c>
      <c r="L87" s="27" t="s">
        <v>27</v>
      </c>
      <c r="M87" s="30" t="s">
        <v>41</v>
      </c>
      <c r="N87" s="2" t="s">
        <v>42</v>
      </c>
      <c r="O87" s="31" t="s">
        <v>105</v>
      </c>
      <c r="P87" s="30" t="s">
        <v>1987</v>
      </c>
      <c r="Q87" s="30" t="s">
        <v>43</v>
      </c>
      <c r="R87" s="31" t="s">
        <v>111</v>
      </c>
      <c r="S87" s="32">
        <v>319400</v>
      </c>
      <c r="T87" s="48" t="s">
        <v>44</v>
      </c>
      <c r="U87" s="33">
        <v>1.9995117</v>
      </c>
      <c r="V87" s="33">
        <v>-2.00048828125</v>
      </c>
      <c r="W87" s="34">
        <v>0.13993164062499999</v>
      </c>
      <c r="X87" s="35">
        <v>44694.166015625</v>
      </c>
    </row>
    <row r="88" spans="1:24" x14ac:dyDescent="0.25">
      <c r="A88" s="30" t="s">
        <v>1801</v>
      </c>
      <c r="B88" s="30" t="s">
        <v>1803</v>
      </c>
      <c r="C88" s="30" t="s">
        <v>1816</v>
      </c>
      <c r="D88" s="30" t="s">
        <v>1817</v>
      </c>
      <c r="E88" s="30" t="s">
        <v>1818</v>
      </c>
      <c r="F88" s="23" t="str">
        <f>HYPERLINK("https://mapwv.gov/flood/map/?wkid=102100&amp;x=-9126685.720855622&amp;y=4642059.965440028&amp;l=13&amp;v=2","FT")</f>
        <v>FT</v>
      </c>
      <c r="G88" s="31" t="s">
        <v>317</v>
      </c>
      <c r="H88" s="31" t="s">
        <v>25</v>
      </c>
      <c r="I88" s="30" t="s">
        <v>1897</v>
      </c>
      <c r="J88" s="31" t="s">
        <v>26</v>
      </c>
      <c r="K88" s="27" t="s">
        <v>373</v>
      </c>
      <c r="L88" s="27" t="s">
        <v>57</v>
      </c>
      <c r="M88" s="30" t="s">
        <v>56</v>
      </c>
      <c r="N88" s="2" t="s">
        <v>35</v>
      </c>
      <c r="O88" s="31" t="s">
        <v>105</v>
      </c>
      <c r="P88" s="30" t="s">
        <v>1937</v>
      </c>
      <c r="Q88" s="30" t="s">
        <v>30</v>
      </c>
      <c r="R88" s="31" t="s">
        <v>110</v>
      </c>
      <c r="S88" s="32">
        <v>319300</v>
      </c>
      <c r="T88" s="48" t="s">
        <v>44</v>
      </c>
      <c r="U88" s="33">
        <v>0.24499082999999999</v>
      </c>
      <c r="V88" s="33">
        <v>-0.75500917434692305</v>
      </c>
      <c r="W88" s="34">
        <v>4.8998165130615199E-3</v>
      </c>
      <c r="X88" s="35">
        <v>1564.5114126205401</v>
      </c>
    </row>
    <row r="89" spans="1:24" x14ac:dyDescent="0.25">
      <c r="A89" s="30" t="s">
        <v>2074</v>
      </c>
      <c r="B89" s="30" t="s">
        <v>1803</v>
      </c>
      <c r="C89" s="30" t="s">
        <v>1807</v>
      </c>
      <c r="D89" s="30" t="s">
        <v>2239</v>
      </c>
      <c r="E89" s="30" t="s">
        <v>2240</v>
      </c>
      <c r="F89" s="23" t="str">
        <f>HYPERLINK("https://mapwv.gov/flood/map/?wkid=102100&amp;x=-9118173.795103969&amp;y=4642237.684744028&amp;l=13&amp;v=2","FT")</f>
        <v>FT</v>
      </c>
      <c r="G89" s="31" t="s">
        <v>32</v>
      </c>
      <c r="H89" s="31" t="s">
        <v>25</v>
      </c>
      <c r="I89" s="30" t="s">
        <v>1898</v>
      </c>
      <c r="J89" s="31" t="s">
        <v>26</v>
      </c>
      <c r="K89" s="27" t="s">
        <v>643</v>
      </c>
      <c r="L89" s="27" t="s">
        <v>45</v>
      </c>
      <c r="M89" s="30" t="s">
        <v>41</v>
      </c>
      <c r="N89" s="2" t="s">
        <v>42</v>
      </c>
      <c r="O89" s="31" t="s">
        <v>105</v>
      </c>
      <c r="P89" s="30" t="s">
        <v>1988</v>
      </c>
      <c r="Q89" s="30" t="s">
        <v>43</v>
      </c>
      <c r="R89" s="31" t="s">
        <v>111</v>
      </c>
      <c r="S89" s="32">
        <v>316600</v>
      </c>
      <c r="T89" s="48" t="s">
        <v>44</v>
      </c>
      <c r="U89" s="33">
        <v>0.72552490000000003</v>
      </c>
      <c r="V89" s="33">
        <v>-3.27447509765625</v>
      </c>
      <c r="W89" s="34">
        <v>0</v>
      </c>
      <c r="X89" s="35">
        <v>0</v>
      </c>
    </row>
    <row r="90" spans="1:24" x14ac:dyDescent="0.25">
      <c r="A90" s="30" t="s">
        <v>2075</v>
      </c>
      <c r="B90" s="30" t="s">
        <v>1822</v>
      </c>
      <c r="C90" s="30" t="s">
        <v>778</v>
      </c>
      <c r="D90" s="30" t="s">
        <v>2241</v>
      </c>
      <c r="E90" s="30" t="s">
        <v>2242</v>
      </c>
      <c r="F90" s="23" t="str">
        <f>HYPERLINK("https://mapwv.gov/flood/map/?wkid=102100&amp;x=-9125104.306261975&amp;y=4667899.642382458&amp;l=13&amp;v=2","FT")</f>
        <v>FT</v>
      </c>
      <c r="G90" s="31" t="s">
        <v>32</v>
      </c>
      <c r="H90" s="31" t="s">
        <v>25</v>
      </c>
      <c r="I90" s="30" t="s">
        <v>1899</v>
      </c>
      <c r="J90" s="31" t="s">
        <v>39</v>
      </c>
      <c r="K90" s="27" t="s">
        <v>125</v>
      </c>
      <c r="L90" s="27" t="s">
        <v>27</v>
      </c>
      <c r="M90" s="30" t="s">
        <v>66</v>
      </c>
      <c r="N90" s="2" t="s">
        <v>103</v>
      </c>
      <c r="O90" s="31" t="s">
        <v>105</v>
      </c>
      <c r="P90" s="30" t="s">
        <v>1989</v>
      </c>
      <c r="Q90" s="30" t="s">
        <v>30</v>
      </c>
      <c r="R90" s="31" t="s">
        <v>110</v>
      </c>
      <c r="S90" s="32">
        <v>316400</v>
      </c>
      <c r="T90" s="48" t="s">
        <v>44</v>
      </c>
      <c r="U90" s="33">
        <v>0</v>
      </c>
      <c r="V90" s="33">
        <v>-1</v>
      </c>
      <c r="W90" s="34">
        <v>0</v>
      </c>
      <c r="X90" s="35">
        <v>0</v>
      </c>
    </row>
    <row r="91" spans="1:24" x14ac:dyDescent="0.25">
      <c r="A91" s="30" t="s">
        <v>2076</v>
      </c>
      <c r="B91" s="30" t="s">
        <v>2086</v>
      </c>
      <c r="C91" s="30" t="s">
        <v>778</v>
      </c>
      <c r="D91" s="30" t="s">
        <v>2243</v>
      </c>
      <c r="E91" s="30" t="s">
        <v>2244</v>
      </c>
      <c r="F91" s="23" t="str">
        <f>HYPERLINK("https://mapwv.gov/flood/map/?wkid=102100&amp;x=-9112719.431378203&amp;y=4653729.239019795&amp;l=13&amp;v=2","FT")</f>
        <v>FT</v>
      </c>
      <c r="G91" s="31" t="s">
        <v>53</v>
      </c>
      <c r="H91" s="31" t="s">
        <v>25</v>
      </c>
      <c r="I91" s="30" t="s">
        <v>1900</v>
      </c>
      <c r="J91" s="31" t="s">
        <v>26</v>
      </c>
      <c r="K91" s="27" t="s">
        <v>94</v>
      </c>
      <c r="L91" s="27" t="s">
        <v>38</v>
      </c>
      <c r="M91" s="30" t="s">
        <v>41</v>
      </c>
      <c r="N91" s="2" t="s">
        <v>42</v>
      </c>
      <c r="O91" s="31" t="s">
        <v>106</v>
      </c>
      <c r="P91" s="30" t="s">
        <v>1990</v>
      </c>
      <c r="Q91" s="30" t="s">
        <v>436</v>
      </c>
      <c r="R91" s="31" t="s">
        <v>111</v>
      </c>
      <c r="S91" s="32">
        <v>312800</v>
      </c>
      <c r="T91" s="48" t="s">
        <v>44</v>
      </c>
      <c r="U91" s="33">
        <v>0.93487549999999997</v>
      </c>
      <c r="V91" s="33">
        <v>-3.06512451171875</v>
      </c>
      <c r="W91" s="34">
        <v>0</v>
      </c>
      <c r="X91" s="35">
        <v>0</v>
      </c>
    </row>
    <row r="92" spans="1:24" x14ac:dyDescent="0.25">
      <c r="A92" s="30" t="s">
        <v>2077</v>
      </c>
      <c r="B92" s="30" t="s">
        <v>1803</v>
      </c>
      <c r="C92" s="30" t="s">
        <v>877</v>
      </c>
      <c r="D92" s="30" t="s">
        <v>2245</v>
      </c>
      <c r="E92" s="30" t="s">
        <v>2246</v>
      </c>
      <c r="F92" s="23" t="str">
        <f>HYPERLINK("https://mapwv.gov/flood/map/?wkid=102100&amp;x=-9103923.512684973&amp;y=4643135.518934516&amp;l=13&amp;v=2","FT")</f>
        <v>FT</v>
      </c>
      <c r="G92" s="31" t="s">
        <v>32</v>
      </c>
      <c r="H92" s="31" t="s">
        <v>25</v>
      </c>
      <c r="I92" s="30" t="s">
        <v>1901</v>
      </c>
      <c r="J92" s="31" t="s">
        <v>26</v>
      </c>
      <c r="K92" s="27" t="s">
        <v>124</v>
      </c>
      <c r="L92" s="27" t="s">
        <v>45</v>
      </c>
      <c r="M92" s="30" t="s">
        <v>41</v>
      </c>
      <c r="N92" s="2" t="s">
        <v>42</v>
      </c>
      <c r="O92" s="31" t="s">
        <v>106</v>
      </c>
      <c r="P92" s="30" t="s">
        <v>1991</v>
      </c>
      <c r="Q92" s="30" t="s">
        <v>43</v>
      </c>
      <c r="R92" s="31" t="s">
        <v>111</v>
      </c>
      <c r="S92" s="32">
        <v>311400</v>
      </c>
      <c r="T92" s="48" t="s">
        <v>44</v>
      </c>
      <c r="U92" s="33">
        <v>0.62249756000000001</v>
      </c>
      <c r="V92" s="33">
        <v>-3.37750244140625</v>
      </c>
      <c r="W92" s="34">
        <v>0.04</v>
      </c>
      <c r="X92" s="35">
        <v>12456</v>
      </c>
    </row>
    <row r="93" spans="1:24" x14ac:dyDescent="0.25">
      <c r="A93" s="30" t="s">
        <v>2078</v>
      </c>
      <c r="B93" s="30" t="s">
        <v>1803</v>
      </c>
      <c r="C93" s="30" t="s">
        <v>778</v>
      </c>
      <c r="D93" s="30" t="s">
        <v>2247</v>
      </c>
      <c r="E93" s="30" t="s">
        <v>2248</v>
      </c>
      <c r="F93" s="23" t="str">
        <f>HYPERLINK("https://mapwv.gov/flood/map/?wkid=102100&amp;x=-9123558.386221932&amp;y=4657426.234103974&amp;l=13&amp;v=2","FT")</f>
        <v>FT</v>
      </c>
      <c r="G93" s="31" t="s">
        <v>32</v>
      </c>
      <c r="H93" s="31" t="s">
        <v>25</v>
      </c>
      <c r="I93" s="30" t="s">
        <v>1902</v>
      </c>
      <c r="J93" s="31" t="s">
        <v>26</v>
      </c>
      <c r="K93" s="27" t="s">
        <v>129</v>
      </c>
      <c r="L93" s="27" t="s">
        <v>38</v>
      </c>
      <c r="M93" s="30" t="s">
        <v>41</v>
      </c>
      <c r="N93" s="2" t="s">
        <v>42</v>
      </c>
      <c r="O93" s="31" t="s">
        <v>106</v>
      </c>
      <c r="P93" s="30" t="s">
        <v>1992</v>
      </c>
      <c r="Q93" s="30" t="s">
        <v>436</v>
      </c>
      <c r="R93" s="31" t="s">
        <v>111</v>
      </c>
      <c r="S93" s="32">
        <v>310100</v>
      </c>
      <c r="T93" s="48" t="s">
        <v>44</v>
      </c>
      <c r="U93" s="33">
        <v>0</v>
      </c>
      <c r="V93" s="33">
        <v>-4</v>
      </c>
      <c r="W93" s="34">
        <v>0</v>
      </c>
      <c r="X93" s="35">
        <v>0</v>
      </c>
    </row>
    <row r="94" spans="1:24" x14ac:dyDescent="0.25">
      <c r="A94" s="30" t="s">
        <v>2079</v>
      </c>
      <c r="B94" s="30" t="s">
        <v>2086</v>
      </c>
      <c r="C94" s="30" t="s">
        <v>778</v>
      </c>
      <c r="D94" s="30" t="s">
        <v>2249</v>
      </c>
      <c r="E94" s="30" t="s">
        <v>2250</v>
      </c>
      <c r="F94" s="23" t="str">
        <f>HYPERLINK("https://mapwv.gov/flood/map/?wkid=102100&amp;x=-9112711.452998979&amp;y=4653807.04508168&amp;l=13&amp;v=2","FT")</f>
        <v>FT</v>
      </c>
      <c r="G94" s="31" t="s">
        <v>53</v>
      </c>
      <c r="H94" s="31" t="s">
        <v>25</v>
      </c>
      <c r="I94" s="30" t="s">
        <v>1903</v>
      </c>
      <c r="J94" s="31" t="s">
        <v>26</v>
      </c>
      <c r="K94" s="27" t="s">
        <v>95</v>
      </c>
      <c r="L94" s="27" t="s">
        <v>38</v>
      </c>
      <c r="M94" s="30" t="s">
        <v>41</v>
      </c>
      <c r="N94" s="2" t="s">
        <v>42</v>
      </c>
      <c r="O94" s="31" t="s">
        <v>106</v>
      </c>
      <c r="P94" s="30" t="s">
        <v>1993</v>
      </c>
      <c r="Q94" s="30" t="s">
        <v>436</v>
      </c>
      <c r="R94" s="31" t="s">
        <v>111</v>
      </c>
      <c r="S94" s="32">
        <v>310000</v>
      </c>
      <c r="T94" s="48" t="s">
        <v>44</v>
      </c>
      <c r="U94" s="33">
        <v>0.32885742000000001</v>
      </c>
      <c r="V94" s="33">
        <v>-3.671142578125</v>
      </c>
      <c r="W94" s="34">
        <v>0</v>
      </c>
      <c r="X94" s="35">
        <v>0</v>
      </c>
    </row>
    <row r="95" spans="1:24" x14ac:dyDescent="0.25">
      <c r="A95" s="30" t="s">
        <v>2080</v>
      </c>
      <c r="B95" s="30" t="s">
        <v>2086</v>
      </c>
      <c r="C95" s="30" t="s">
        <v>778</v>
      </c>
      <c r="D95" s="30" t="s">
        <v>2251</v>
      </c>
      <c r="E95" s="30" t="s">
        <v>2252</v>
      </c>
      <c r="F95" s="23" t="str">
        <f>HYPERLINK("https://mapwv.gov/flood/map/?wkid=102100&amp;x=-9113601.185606375&amp;y=4655048.612792487&amp;l=13&amp;v=2","FT")</f>
        <v>FT</v>
      </c>
      <c r="G95" s="31" t="s">
        <v>32</v>
      </c>
      <c r="H95" s="31" t="s">
        <v>25</v>
      </c>
      <c r="I95" s="30" t="s">
        <v>1904</v>
      </c>
      <c r="J95" s="31" t="s">
        <v>26</v>
      </c>
      <c r="K95" s="27" t="s">
        <v>84</v>
      </c>
      <c r="L95" s="27" t="s">
        <v>27</v>
      </c>
      <c r="M95" s="30" t="s">
        <v>66</v>
      </c>
      <c r="N95" s="2" t="s">
        <v>103</v>
      </c>
      <c r="O95" s="31" t="s">
        <v>105</v>
      </c>
      <c r="P95" s="30" t="s">
        <v>1994</v>
      </c>
      <c r="Q95" s="30" t="s">
        <v>30</v>
      </c>
      <c r="R95" s="31" t="s">
        <v>110</v>
      </c>
      <c r="S95" s="32">
        <v>306100</v>
      </c>
      <c r="T95" s="48" t="s">
        <v>44</v>
      </c>
      <c r="U95" s="33">
        <v>0.70916749999999995</v>
      </c>
      <c r="V95" s="33">
        <v>-0.29083251953125</v>
      </c>
      <c r="W95" s="34">
        <v>0</v>
      </c>
      <c r="X95" s="35">
        <v>0</v>
      </c>
    </row>
    <row r="96" spans="1:24" x14ac:dyDescent="0.25">
      <c r="A96" s="30" t="s">
        <v>2081</v>
      </c>
      <c r="B96" s="30" t="s">
        <v>1803</v>
      </c>
      <c r="C96" s="30" t="s">
        <v>778</v>
      </c>
      <c r="D96" s="30" t="s">
        <v>2253</v>
      </c>
      <c r="E96" s="30" t="s">
        <v>2254</v>
      </c>
      <c r="F96" s="23" t="str">
        <f>HYPERLINK("https://mapwv.gov/flood/map/?wkid=102100&amp;x=-9109850.937492426&amp;y=4649816.247703502&amp;l=13&amp;v=2","FT")</f>
        <v>FT</v>
      </c>
      <c r="G96" s="31" t="s">
        <v>32</v>
      </c>
      <c r="H96" s="31" t="s">
        <v>25</v>
      </c>
      <c r="I96" s="30" t="s">
        <v>1905</v>
      </c>
      <c r="J96" s="31" t="s">
        <v>39</v>
      </c>
      <c r="K96" s="27" t="s">
        <v>136</v>
      </c>
      <c r="L96" s="27" t="s">
        <v>50</v>
      </c>
      <c r="M96" s="30" t="s">
        <v>34</v>
      </c>
      <c r="N96" s="2" t="s">
        <v>104</v>
      </c>
      <c r="O96" s="31" t="s">
        <v>105</v>
      </c>
      <c r="P96" s="30" t="s">
        <v>1995</v>
      </c>
      <c r="Q96" s="30" t="s">
        <v>30</v>
      </c>
      <c r="R96" s="31" t="s">
        <v>110</v>
      </c>
      <c r="S96" s="32">
        <v>305200</v>
      </c>
      <c r="T96" s="48" t="s">
        <v>44</v>
      </c>
      <c r="U96" s="33">
        <v>1.7878418</v>
      </c>
      <c r="V96" s="33">
        <v>0.787841796875</v>
      </c>
      <c r="W96" s="34">
        <v>7.3027343750000001E-2</v>
      </c>
      <c r="X96" s="35">
        <v>22287.9453125</v>
      </c>
    </row>
    <row r="97" spans="1:24" x14ac:dyDescent="0.25">
      <c r="A97" s="30" t="s">
        <v>2082</v>
      </c>
      <c r="B97" s="30" t="s">
        <v>1803</v>
      </c>
      <c r="C97" s="30" t="s">
        <v>2255</v>
      </c>
      <c r="D97" s="30" t="s">
        <v>2256</v>
      </c>
      <c r="E97" s="30" t="s">
        <v>2257</v>
      </c>
      <c r="F97" s="23" t="str">
        <f>HYPERLINK("https://mapwv.gov/flood/map/?wkid=102100&amp;x=-9130913.210766053&amp;y=4659362.110762713&amp;l=13&amp;v=2","FT")</f>
        <v>FT</v>
      </c>
      <c r="G97" s="31" t="s">
        <v>38</v>
      </c>
      <c r="H97" s="31" t="s">
        <v>25</v>
      </c>
      <c r="I97" s="30" t="s">
        <v>1906</v>
      </c>
      <c r="J97" s="31" t="s">
        <v>26</v>
      </c>
      <c r="K97" s="27" t="s">
        <v>108</v>
      </c>
      <c r="L97" s="27" t="s">
        <v>51</v>
      </c>
      <c r="M97" s="30" t="s">
        <v>41</v>
      </c>
      <c r="N97" s="2" t="s">
        <v>42</v>
      </c>
      <c r="O97" s="31" t="s">
        <v>105</v>
      </c>
      <c r="P97" s="30" t="s">
        <v>1996</v>
      </c>
      <c r="Q97" s="30" t="s">
        <v>436</v>
      </c>
      <c r="R97" s="31" t="s">
        <v>111</v>
      </c>
      <c r="S97" s="32">
        <v>304700</v>
      </c>
      <c r="T97" s="48" t="s">
        <v>44</v>
      </c>
      <c r="U97" s="33">
        <v>0</v>
      </c>
      <c r="V97" s="33">
        <v>-4</v>
      </c>
      <c r="W97" s="34">
        <v>0</v>
      </c>
      <c r="X97" s="35">
        <v>0</v>
      </c>
    </row>
    <row r="98" spans="1:24" x14ac:dyDescent="0.25">
      <c r="A98" s="30" t="s">
        <v>2083</v>
      </c>
      <c r="B98" s="30" t="s">
        <v>1803</v>
      </c>
      <c r="C98" s="30" t="s">
        <v>2258</v>
      </c>
      <c r="D98" s="30" t="s">
        <v>2259</v>
      </c>
      <c r="E98" s="30" t="s">
        <v>2260</v>
      </c>
      <c r="F98" s="23" t="str">
        <f>HYPERLINK("https://mapwv.gov/flood/map/?wkid=102100&amp;x=-9127714.499188062&amp;y=4626079.189835087&amp;l=13&amp;v=2","FT")</f>
        <v>FT</v>
      </c>
      <c r="G98" s="31" t="s">
        <v>38</v>
      </c>
      <c r="H98" s="31" t="s">
        <v>25</v>
      </c>
      <c r="I98" s="30" t="s">
        <v>1907</v>
      </c>
      <c r="J98" s="31" t="s">
        <v>26</v>
      </c>
      <c r="K98" s="27" t="s">
        <v>133</v>
      </c>
      <c r="L98" s="27" t="s">
        <v>51</v>
      </c>
      <c r="M98" s="30" t="s">
        <v>41</v>
      </c>
      <c r="N98" s="2" t="s">
        <v>42</v>
      </c>
      <c r="O98" s="31" t="s">
        <v>106</v>
      </c>
      <c r="P98" s="30" t="s">
        <v>1997</v>
      </c>
      <c r="Q98" s="30" t="s">
        <v>436</v>
      </c>
      <c r="R98" s="31" t="s">
        <v>111</v>
      </c>
      <c r="S98" s="32">
        <v>302800</v>
      </c>
      <c r="T98" s="48" t="s">
        <v>44</v>
      </c>
      <c r="U98" s="33">
        <v>0</v>
      </c>
      <c r="V98" s="33">
        <v>-4</v>
      </c>
      <c r="W98" s="34">
        <v>0</v>
      </c>
      <c r="X98" s="35">
        <v>0</v>
      </c>
    </row>
    <row r="99" spans="1:24" x14ac:dyDescent="0.25">
      <c r="A99" s="30" t="s">
        <v>2084</v>
      </c>
      <c r="B99" s="30" t="s">
        <v>1803</v>
      </c>
      <c r="C99" s="30" t="s">
        <v>1807</v>
      </c>
      <c r="D99" s="30" t="s">
        <v>2261</v>
      </c>
      <c r="E99" s="30" t="s">
        <v>2262</v>
      </c>
      <c r="F99" s="23" t="str">
        <f>HYPERLINK("https://mapwv.gov/flood/map/?wkid=102100&amp;x=-9119463.180713313&amp;y=4642062.217732651&amp;l=13&amp;v=2","FT")</f>
        <v>FT</v>
      </c>
      <c r="G99" s="31" t="s">
        <v>53</v>
      </c>
      <c r="H99" s="31" t="s">
        <v>25</v>
      </c>
      <c r="I99" s="30" t="s">
        <v>1908</v>
      </c>
      <c r="J99" s="31" t="s">
        <v>26</v>
      </c>
      <c r="K99" s="27" t="s">
        <v>93</v>
      </c>
      <c r="L99" s="27" t="s">
        <v>49</v>
      </c>
      <c r="M99" s="30" t="s">
        <v>41</v>
      </c>
      <c r="N99" s="2" t="s">
        <v>42</v>
      </c>
      <c r="O99" s="31" t="s">
        <v>106</v>
      </c>
      <c r="P99" s="30" t="s">
        <v>1998</v>
      </c>
      <c r="Q99" s="30" t="s">
        <v>436</v>
      </c>
      <c r="R99" s="31" t="s">
        <v>111</v>
      </c>
      <c r="S99" s="32">
        <v>302300</v>
      </c>
      <c r="T99" s="48" t="s">
        <v>44</v>
      </c>
      <c r="U99" s="33">
        <v>5.5563354</v>
      </c>
      <c r="V99" s="33">
        <v>1.55633544921875</v>
      </c>
      <c r="W99" s="34">
        <v>0.13112670898437501</v>
      </c>
      <c r="X99" s="35">
        <v>39639.604125976497</v>
      </c>
    </row>
    <row r="100" spans="1:24" x14ac:dyDescent="0.25">
      <c r="A100" s="30" t="s">
        <v>2085</v>
      </c>
      <c r="B100" s="30" t="s">
        <v>2086</v>
      </c>
      <c r="C100" s="30" t="s">
        <v>778</v>
      </c>
      <c r="D100" s="30" t="s">
        <v>2263</v>
      </c>
      <c r="E100" s="30" t="s">
        <v>2264</v>
      </c>
      <c r="F100" s="23" t="str">
        <f>HYPERLINK("https://mapwv.gov/flood/map/?wkid=102100&amp;x=-9116371.206604555&amp;y=4655503.579471245&amp;l=13&amp;v=2","FT")</f>
        <v>FT</v>
      </c>
      <c r="G100" s="31" t="s">
        <v>32</v>
      </c>
      <c r="H100" s="31" t="s">
        <v>25</v>
      </c>
      <c r="I100" s="30" t="s">
        <v>1909</v>
      </c>
      <c r="J100" s="31" t="s">
        <v>26</v>
      </c>
      <c r="K100" s="27" t="s">
        <v>94</v>
      </c>
      <c r="L100" s="27" t="s">
        <v>49</v>
      </c>
      <c r="M100" s="30" t="s">
        <v>41</v>
      </c>
      <c r="N100" s="2" t="s">
        <v>42</v>
      </c>
      <c r="O100" s="31" t="s">
        <v>105</v>
      </c>
      <c r="P100" s="30" t="s">
        <v>1999</v>
      </c>
      <c r="Q100" s="30" t="s">
        <v>43</v>
      </c>
      <c r="R100" s="31" t="s">
        <v>111</v>
      </c>
      <c r="S100" s="32">
        <v>300900</v>
      </c>
      <c r="T100" s="48" t="s">
        <v>44</v>
      </c>
      <c r="U100" s="33">
        <v>1.6082764000000001</v>
      </c>
      <c r="V100" s="33">
        <v>-2.3917236328125</v>
      </c>
      <c r="W100" s="34">
        <v>8.5158691406250001E-2</v>
      </c>
      <c r="X100" s="35">
        <v>25624.2502441406</v>
      </c>
    </row>
  </sheetData>
  <conditionalFormatting sqref="A7:A100">
    <cfRule type="duplicateValues" dxfId="0" priority="9"/>
  </conditionalFormatting>
  <hyperlinks>
    <hyperlink ref="J3" r:id="rId1" xr:uid="{21384131-8B05-47DE-A735-4E7901C086F3}"/>
    <hyperlink ref="M3" r:id="rId2" xr:uid="{FA03AA81-DC12-4C1D-BADF-8BE525E5F8F6}"/>
    <hyperlink ref="Q3" r:id="rId3" xr:uid="{39ACB6B7-9EB8-4770-BF71-F25D92C1348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6154-A5E9-4C9F-8961-55051D6F120A}">
  <dimension ref="B1:G29"/>
  <sheetViews>
    <sheetView workbookViewId="0">
      <selection activeCell="K2" sqref="K2"/>
    </sheetView>
  </sheetViews>
  <sheetFormatPr defaultRowHeight="15" x14ac:dyDescent="0.25"/>
  <cols>
    <col min="2" max="2" width="14.5703125" style="44" bestFit="1" customWidth="1"/>
    <col min="3" max="3" width="9.140625" style="44"/>
    <col min="4" max="4" width="49.42578125" style="44" bestFit="1" customWidth="1"/>
    <col min="5" max="6" width="9.140625" style="44"/>
    <col min="7" max="7" width="12.5703125" style="44" bestFit="1" customWidth="1"/>
  </cols>
  <sheetData>
    <row r="1" spans="2:7" x14ac:dyDescent="0.25">
      <c r="B1" t="s">
        <v>2283</v>
      </c>
      <c r="G1" s="37" t="s">
        <v>2269</v>
      </c>
    </row>
    <row r="2" spans="2:7" ht="36" x14ac:dyDescent="0.25">
      <c r="B2" s="45" t="s">
        <v>1</v>
      </c>
      <c r="C2" s="45" t="s">
        <v>5</v>
      </c>
      <c r="D2" s="45" t="s">
        <v>144</v>
      </c>
      <c r="E2" s="46" t="s">
        <v>12</v>
      </c>
      <c r="F2" s="38" t="s">
        <v>13</v>
      </c>
      <c r="G2" s="39" t="s">
        <v>18</v>
      </c>
    </row>
    <row r="3" spans="2:7" x14ac:dyDescent="0.25">
      <c r="B3" s="41" t="s">
        <v>2274</v>
      </c>
      <c r="C3" s="40" t="str">
        <f>HYPERLINK("https://mapwv.gov/flood/map/?wkid=102100&amp;x=-9114593.478975702&amp;y=4655746.76684202&amp;l=13&amp;v=2","FT")</f>
        <v>FT</v>
      </c>
      <c r="D3" s="41" t="s">
        <v>1823</v>
      </c>
      <c r="E3" s="41" t="s">
        <v>68</v>
      </c>
      <c r="F3" s="42" t="s">
        <v>29</v>
      </c>
      <c r="G3" s="43">
        <v>23207687</v>
      </c>
    </row>
    <row r="4" spans="2:7" x14ac:dyDescent="0.25">
      <c r="B4" s="41" t="s">
        <v>2271</v>
      </c>
      <c r="C4" s="40" t="str">
        <f>HYPERLINK("https://mapwv.gov/flood/map/?wkid=102100&amp;x=-9127381.942784669&amp;y=4665413.748745657&amp;l=13&amp;v=2","FT")</f>
        <v>FT</v>
      </c>
      <c r="D4" s="41" t="s">
        <v>1824</v>
      </c>
      <c r="E4" s="41" t="s">
        <v>68</v>
      </c>
      <c r="F4" s="42" t="s">
        <v>29</v>
      </c>
      <c r="G4" s="43">
        <v>19010743</v>
      </c>
    </row>
    <row r="5" spans="2:7" x14ac:dyDescent="0.25">
      <c r="B5" s="41" t="s">
        <v>2273</v>
      </c>
      <c r="C5" s="40" t="str">
        <f>HYPERLINK("https://mapwv.gov/flood/map/?wkid=102100&amp;x=-9107709.812283935&amp;y=4644399.67059819&amp;l=13&amp;v=2","FT")</f>
        <v>FT</v>
      </c>
      <c r="D5" s="41" t="s">
        <v>1825</v>
      </c>
      <c r="E5" s="41" t="s">
        <v>68</v>
      </c>
      <c r="F5" s="42" t="s">
        <v>29</v>
      </c>
      <c r="G5" s="43">
        <v>15593688</v>
      </c>
    </row>
    <row r="6" spans="2:7" x14ac:dyDescent="0.25">
      <c r="B6" s="41" t="s">
        <v>2272</v>
      </c>
      <c r="C6" s="40" t="str">
        <f>HYPERLINK("https://mapwv.gov/flood/map/?wkid=102100&amp;x=-9120768.844349163&amp;y=4655067.203163772&amp;l=13&amp;v=2","FT")</f>
        <v>FT</v>
      </c>
      <c r="D6" s="41" t="s">
        <v>960</v>
      </c>
      <c r="E6" s="41" t="s">
        <v>28</v>
      </c>
      <c r="F6" s="42" t="s">
        <v>29</v>
      </c>
      <c r="G6" s="43">
        <v>7270200</v>
      </c>
    </row>
    <row r="7" spans="2:7" x14ac:dyDescent="0.25">
      <c r="B7" s="41" t="s">
        <v>2272</v>
      </c>
      <c r="C7" s="40" t="str">
        <f>HYPERLINK("https://mapwv.gov/flood/map/?wkid=102100&amp;x=-9120668.438064646&amp;y=4655202.878105901&amp;l=13&amp;v=2","FT")</f>
        <v>FT</v>
      </c>
      <c r="D7" s="41" t="s">
        <v>960</v>
      </c>
      <c r="E7" s="41" t="s">
        <v>28</v>
      </c>
      <c r="F7" s="42" t="s">
        <v>29</v>
      </c>
      <c r="G7" s="43">
        <v>6236900</v>
      </c>
    </row>
    <row r="8" spans="2:7" x14ac:dyDescent="0.25">
      <c r="B8" s="41" t="s">
        <v>2270</v>
      </c>
      <c r="C8" s="40" t="str">
        <f>HYPERLINK("https://mapwv.gov/flood/map/?wkid=102100&amp;x=-9125279.600841489&amp;y=4658767.140703643&amp;l=13&amp;v=2","FT")</f>
        <v>FT</v>
      </c>
      <c r="D8" s="41" t="s">
        <v>1826</v>
      </c>
      <c r="E8" s="41" t="s">
        <v>34</v>
      </c>
      <c r="F8" s="42" t="s">
        <v>35</v>
      </c>
      <c r="G8" s="43">
        <v>5165400</v>
      </c>
    </row>
    <row r="9" spans="2:7" x14ac:dyDescent="0.25">
      <c r="B9" s="41" t="s">
        <v>2271</v>
      </c>
      <c r="C9" s="40" t="str">
        <f>HYPERLINK("https://mapwv.gov/flood/map/?wkid=102100&amp;x=-9126726.24103895&amp;y=4665887.331262224&amp;l=13&amp;v=2","FT")</f>
        <v>FT</v>
      </c>
      <c r="D9" s="41" t="s">
        <v>1827</v>
      </c>
      <c r="E9" s="41" t="s">
        <v>68</v>
      </c>
      <c r="F9" s="42" t="s">
        <v>29</v>
      </c>
      <c r="G9" s="43">
        <v>4153559</v>
      </c>
    </row>
    <row r="10" spans="2:7" x14ac:dyDescent="0.25">
      <c r="B10" s="41" t="s">
        <v>2270</v>
      </c>
      <c r="C10" s="40" t="str">
        <f>HYPERLINK("https://mapwv.gov/flood/map/?wkid=102100&amp;x=-9125647.914512478&amp;y=4658633.5036168005&amp;l=13&amp;v=2","FT")</f>
        <v>FT</v>
      </c>
      <c r="D10" s="41" t="s">
        <v>1828</v>
      </c>
      <c r="E10" s="41" t="s">
        <v>34</v>
      </c>
      <c r="F10" s="42" t="s">
        <v>35</v>
      </c>
      <c r="G10" s="43">
        <v>3590400</v>
      </c>
    </row>
    <row r="11" spans="2:7" x14ac:dyDescent="0.25">
      <c r="B11" s="41" t="s">
        <v>2270</v>
      </c>
      <c r="C11" s="40" t="str">
        <f>HYPERLINK("https://mapwv.gov/flood/map/?wkid=102100&amp;x=-9113398.009947196&amp;y=4655698.748239265&amp;l=13&amp;v=2","FT")</f>
        <v>FT</v>
      </c>
      <c r="D11" s="41" t="s">
        <v>2302</v>
      </c>
      <c r="E11" s="41" t="s">
        <v>28</v>
      </c>
      <c r="F11" s="42" t="s">
        <v>29</v>
      </c>
      <c r="G11" s="43">
        <v>3000000</v>
      </c>
    </row>
    <row r="12" spans="2:7" x14ac:dyDescent="0.25">
      <c r="B12" s="41" t="s">
        <v>2270</v>
      </c>
      <c r="C12" s="40" t="str">
        <f>HYPERLINK("https://mapwv.gov/flood/map/?wkid=102100&amp;x=-9122043.946554644&amp;y=4656121.453770192&amp;l=13&amp;v=2","FT")</f>
        <v>FT</v>
      </c>
      <c r="D12" s="41" t="s">
        <v>1829</v>
      </c>
      <c r="E12" s="41" t="s">
        <v>48</v>
      </c>
      <c r="F12" s="42" t="s">
        <v>35</v>
      </c>
      <c r="G12" s="43">
        <v>1907400</v>
      </c>
    </row>
    <row r="13" spans="2:7" x14ac:dyDescent="0.25">
      <c r="B13" s="41" t="s">
        <v>2270</v>
      </c>
      <c r="C13" s="40" t="str">
        <f>HYPERLINK("https://mapwv.gov/flood/map/?wkid=102100&amp;x=-9110650.968854133&amp;y=4641970.216238091&amp;l=13&amp;v=2","FT")</f>
        <v>FT</v>
      </c>
      <c r="D13" s="41" t="s">
        <v>1830</v>
      </c>
      <c r="E13" s="41" t="s">
        <v>28</v>
      </c>
      <c r="F13" s="42" t="s">
        <v>29</v>
      </c>
      <c r="G13" s="43">
        <v>1799200</v>
      </c>
    </row>
    <row r="14" spans="2:7" x14ac:dyDescent="0.25">
      <c r="B14" s="41" t="s">
        <v>2270</v>
      </c>
      <c r="C14" s="40" t="str">
        <f>HYPERLINK("https://mapwv.gov/flood/map/?wkid=102100&amp;x=-9109788.061794998&amp;y=4649209.198334305&amp;l=13&amp;v=2","FT")</f>
        <v>FT</v>
      </c>
      <c r="D14" s="41" t="s">
        <v>1832</v>
      </c>
      <c r="E14" s="41" t="s">
        <v>139</v>
      </c>
      <c r="F14" s="42" t="s">
        <v>35</v>
      </c>
      <c r="G14" s="43">
        <v>1232800</v>
      </c>
    </row>
    <row r="15" spans="2:7" x14ac:dyDescent="0.25">
      <c r="B15" s="41" t="s">
        <v>2270</v>
      </c>
      <c r="C15" s="40" t="str">
        <f>HYPERLINK("https://mapwv.gov/flood/map/?wkid=102100&amp;x=-9120459.166216193&amp;y=4643327.900066115&amp;l=13&amp;v=2","FT")</f>
        <v>FT</v>
      </c>
      <c r="D15" s="41" t="s">
        <v>1833</v>
      </c>
      <c r="E15" s="41" t="s">
        <v>56</v>
      </c>
      <c r="F15" s="42" t="s">
        <v>35</v>
      </c>
      <c r="G15" s="43">
        <v>1208000</v>
      </c>
    </row>
    <row r="16" spans="2:7" x14ac:dyDescent="0.25">
      <c r="B16" s="41" t="s">
        <v>2270</v>
      </c>
      <c r="C16" s="40" t="str">
        <f>HYPERLINK("https://mapwv.gov/flood/map/?wkid=102100&amp;x=-9108339.073646838&amp;y=4643999.610470243&amp;l=13&amp;v=2","FT")</f>
        <v>FT</v>
      </c>
      <c r="D16" s="41" t="s">
        <v>1834</v>
      </c>
      <c r="E16" s="41" t="s">
        <v>644</v>
      </c>
      <c r="F16" s="42" t="s">
        <v>35</v>
      </c>
      <c r="G16" s="43">
        <v>1144200</v>
      </c>
    </row>
    <row r="17" spans="2:7" x14ac:dyDescent="0.25">
      <c r="B17" s="41" t="s">
        <v>2274</v>
      </c>
      <c r="C17" s="40" t="str">
        <f>HYPERLINK("https://mapwv.gov/flood/map/?wkid=102100&amp;x=-9113826.48512379&amp;y=4655229.838012467&amp;l=13&amp;v=2","FT")</f>
        <v>FT</v>
      </c>
      <c r="D17" s="41" t="s">
        <v>1835</v>
      </c>
      <c r="E17" s="41" t="s">
        <v>66</v>
      </c>
      <c r="F17" s="42" t="s">
        <v>29</v>
      </c>
      <c r="G17" s="43">
        <v>1006900</v>
      </c>
    </row>
    <row r="18" spans="2:7" x14ac:dyDescent="0.25">
      <c r="B18" s="41" t="s">
        <v>2270</v>
      </c>
      <c r="C18" s="40" t="str">
        <f>HYPERLINK("https://mapwv.gov/flood/map/?wkid=102100&amp;x=-9111915.50082869&amp;y=4639741.366017537&amp;l=13&amp;v=2","FT")</f>
        <v>FT</v>
      </c>
      <c r="D18" s="41" t="s">
        <v>1836</v>
      </c>
      <c r="E18" s="41" t="s">
        <v>70</v>
      </c>
      <c r="F18" s="42" t="s">
        <v>35</v>
      </c>
      <c r="G18" s="43">
        <v>904600</v>
      </c>
    </row>
    <row r="19" spans="2:7" x14ac:dyDescent="0.25">
      <c r="B19" s="41" t="s">
        <v>2273</v>
      </c>
      <c r="C19" s="40" t="str">
        <f>HYPERLINK("https://mapwv.gov/flood/map/?wkid=102100&amp;x=-9107584.677265096&amp;y=4646078.850969327&amp;l=13&amp;v=2","FT")</f>
        <v>FT</v>
      </c>
      <c r="D19" s="41" t="s">
        <v>1837</v>
      </c>
      <c r="E19" s="41" t="s">
        <v>71</v>
      </c>
      <c r="F19" s="42" t="s">
        <v>29</v>
      </c>
      <c r="G19" s="43">
        <v>840000</v>
      </c>
    </row>
    <row r="20" spans="2:7" x14ac:dyDescent="0.25">
      <c r="B20" s="41" t="s">
        <v>2270</v>
      </c>
      <c r="C20" s="40" t="str">
        <f>HYPERLINK("https://mapwv.gov/flood/map/?wkid=102100&amp;x=-9111895.89969275&amp;y=4639194.141945325&amp;l=13&amp;v=2","FT")</f>
        <v>FT</v>
      </c>
      <c r="D20" s="41" t="s">
        <v>1838</v>
      </c>
      <c r="E20" s="41" t="s">
        <v>70</v>
      </c>
      <c r="F20" s="42" t="s">
        <v>35</v>
      </c>
      <c r="G20" s="43">
        <v>767600</v>
      </c>
    </row>
    <row r="21" spans="2:7" x14ac:dyDescent="0.25">
      <c r="B21" s="41" t="s">
        <v>2270</v>
      </c>
      <c r="C21" s="40" t="str">
        <f>HYPERLINK("https://mapwv.gov/flood/map/?wkid=102100&amp;x=-9117555.385498988&amp;y=4643216.470413549&amp;l=13&amp;v=2","FT")</f>
        <v>FT</v>
      </c>
      <c r="D21" s="41" t="s">
        <v>1839</v>
      </c>
      <c r="E21" s="41" t="s">
        <v>48</v>
      </c>
      <c r="F21" s="42" t="s">
        <v>35</v>
      </c>
      <c r="G21" s="43">
        <v>763800</v>
      </c>
    </row>
    <row r="22" spans="2:7" x14ac:dyDescent="0.25">
      <c r="B22" s="41" t="s">
        <v>2270</v>
      </c>
      <c r="C22" s="40" t="str">
        <f>HYPERLINK("https://mapwv.gov/flood/map/?wkid=102100&amp;x=-9109330.365919983&amp;y=4642193.181432846&amp;l=13&amp;v=2","FT")</f>
        <v>FT</v>
      </c>
      <c r="D22" s="41" t="s">
        <v>1841</v>
      </c>
      <c r="E22" s="41" t="s">
        <v>56</v>
      </c>
      <c r="F22" s="42" t="s">
        <v>35</v>
      </c>
      <c r="G22" s="43">
        <v>712800</v>
      </c>
    </row>
    <row r="23" spans="2:7" x14ac:dyDescent="0.25">
      <c r="B23" s="41" t="s">
        <v>2270</v>
      </c>
      <c r="C23" s="40" t="str">
        <f>HYPERLINK("https://mapwv.gov/flood/map/?wkid=102100&amp;x=-9125578.152034748&amp;y=4658759.676807303&amp;l=13&amp;v=2","FT")</f>
        <v>FT</v>
      </c>
      <c r="D23" s="41" t="s">
        <v>1842</v>
      </c>
      <c r="E23" s="41" t="s">
        <v>1911</v>
      </c>
      <c r="F23" s="42" t="s">
        <v>35</v>
      </c>
      <c r="G23" s="43">
        <v>711600</v>
      </c>
    </row>
    <row r="24" spans="2:7" x14ac:dyDescent="0.25">
      <c r="B24" s="41" t="s">
        <v>2270</v>
      </c>
      <c r="C24" s="40" t="str">
        <f>HYPERLINK("https://mapwv.gov/flood/map/?wkid=102100&amp;x=-9115112.14075096&amp;y=4640266.763310155&amp;l=13&amp;v=2","FT")</f>
        <v>FT</v>
      </c>
      <c r="D24" s="41" t="s">
        <v>1843</v>
      </c>
      <c r="E24" s="41" t="s">
        <v>66</v>
      </c>
      <c r="F24" s="42" t="s">
        <v>29</v>
      </c>
      <c r="G24" s="43">
        <v>658600</v>
      </c>
    </row>
    <row r="25" spans="2:7" x14ac:dyDescent="0.25">
      <c r="B25" s="41" t="s">
        <v>2270</v>
      </c>
      <c r="C25" s="40" t="str">
        <f>HYPERLINK("https://mapwv.gov/flood/map/?wkid=102100&amp;x=-9110102.84025307&amp;y=4650550.434240501&amp;l=13&amp;v=2","FT")</f>
        <v>FT</v>
      </c>
      <c r="D25" s="41" t="s">
        <v>1846</v>
      </c>
      <c r="E25" s="41" t="s">
        <v>70</v>
      </c>
      <c r="F25" s="42" t="s">
        <v>35</v>
      </c>
      <c r="G25" s="43">
        <v>580100</v>
      </c>
    </row>
    <row r="26" spans="2:7" x14ac:dyDescent="0.25">
      <c r="B26" s="41" t="s">
        <v>2270</v>
      </c>
      <c r="C26" s="40" t="str">
        <f>HYPERLINK("https://mapwv.gov/flood/map/?wkid=102100&amp;x=-9109363.409774993&amp;y=4642272.733735407&amp;l=13&amp;v=2","FT")</f>
        <v>FT</v>
      </c>
      <c r="D26" s="41" t="s">
        <v>1847</v>
      </c>
      <c r="E26" s="41" t="s">
        <v>56</v>
      </c>
      <c r="F26" s="42" t="s">
        <v>35</v>
      </c>
      <c r="G26" s="43">
        <v>558000</v>
      </c>
    </row>
    <row r="27" spans="2:7" x14ac:dyDescent="0.25">
      <c r="B27" s="41" t="s">
        <v>2270</v>
      </c>
      <c r="C27" s="40" t="str">
        <f>HYPERLINK("https://mapwv.gov/flood/map/?wkid=102100&amp;x=-9111885.097583324&amp;y=4639606.663158828&amp;l=13&amp;v=2","FT")</f>
        <v>FT</v>
      </c>
      <c r="D27" s="41" t="s">
        <v>1848</v>
      </c>
      <c r="E27" s="41" t="s">
        <v>70</v>
      </c>
      <c r="F27" s="42" t="s">
        <v>35</v>
      </c>
      <c r="G27" s="43">
        <v>535500</v>
      </c>
    </row>
    <row r="28" spans="2:7" x14ac:dyDescent="0.25">
      <c r="B28" s="41" t="s">
        <v>2270</v>
      </c>
      <c r="C28" s="40" t="str">
        <f>HYPERLINK("https://mapwv.gov/flood/map/?wkid=102100&amp;x=-9111456.484259238&amp;y=4650809.930606735&amp;l=13&amp;v=2","FT")</f>
        <v>FT</v>
      </c>
      <c r="D28" s="41" t="s">
        <v>1849</v>
      </c>
      <c r="E28" s="41" t="s">
        <v>48</v>
      </c>
      <c r="F28" s="42" t="s">
        <v>35</v>
      </c>
      <c r="G28" s="43">
        <v>515475</v>
      </c>
    </row>
    <row r="29" spans="2:7" x14ac:dyDescent="0.25">
      <c r="B29" s="41" t="s">
        <v>2270</v>
      </c>
      <c r="C29" s="40" t="str">
        <f>HYPERLINK("https://mapwv.gov/flood/map/?wkid=102100&amp;x=-9108494.842008427&amp;y=4643715.75838479&amp;l=13&amp;v=2","FT")</f>
        <v>FT</v>
      </c>
      <c r="D29" s="41" t="s">
        <v>1850</v>
      </c>
      <c r="E29" s="41" t="s">
        <v>56</v>
      </c>
      <c r="F29" s="42" t="s">
        <v>35</v>
      </c>
      <c r="G29" s="43">
        <v>507700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BOONE</vt:lpstr>
      <vt:lpstr>BOONE (NON_RES &gt; 500K)</vt:lpstr>
      <vt:lpstr>CLAY</vt:lpstr>
      <vt:lpstr>KANAWHA</vt:lpstr>
      <vt:lpstr>KANAWHA (NON_RES &gt; 10M)</vt:lpstr>
      <vt:lpstr>PUTNAM</vt:lpstr>
      <vt:lpstr>PUTNAM (NON_RES &gt; 500K)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2022-03-10T20:40:27Z</dcterms:modified>
</cp:coreProperties>
</file>