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Y:\userFiles\Behrang\Building_Inventory\Exposure_Reports\R5\"/>
    </mc:Choice>
  </mc:AlternateContent>
  <xr:revisionPtr revIDLastSave="0" documentId="13_ncr:1_{33EB42D8-8D26-4DD0-AB92-A850E8B93726}" xr6:coauthVersionLast="44" xr6:coauthVersionMax="44" xr10:uidLastSave="{00000000-0000-0000-0000-000000000000}"/>
  <bookViews>
    <workbookView xWindow="-28920" yWindow="-120" windowWidth="29040" windowHeight="15840" tabRatio="735" xr2:uid="{00000000-000D-0000-FFFF-FFFF00000000}"/>
  </bookViews>
  <sheets>
    <sheet name="CALHOUN" sheetId="12" r:id="rId1"/>
    <sheet name="JACKSON" sheetId="13" r:id="rId2"/>
    <sheet name="PLEASANTS" sheetId="14" r:id="rId3"/>
    <sheet name="RITCHIE" sheetId="15" r:id="rId4"/>
    <sheet name="ROANE" sheetId="16" r:id="rId5"/>
    <sheet name="TYLER" sheetId="17" r:id="rId6"/>
    <sheet name="WIRT" sheetId="18" r:id="rId7"/>
    <sheet name="WOOD" sheetId="19" r:id="rId8"/>
    <sheet name="WOOD (NON_RES &gt; 1M)" sheetId="20" r:id="rId9"/>
  </sheets>
  <definedNames>
    <definedName name="_xlnm._FilterDatabase" localSheetId="0" hidden="1">CALHOUN!$A$6:$X$42</definedName>
    <definedName name="_xlnm._FilterDatabase" localSheetId="1" hidden="1">JACKSON!$A$6:$X$49</definedName>
    <definedName name="_xlnm._FilterDatabase" localSheetId="2" hidden="1">PLEASANTS!$A$6:$X$39</definedName>
    <definedName name="_xlnm._FilterDatabase" localSheetId="5" hidden="1">TYLER!$A$6:$X$6</definedName>
    <definedName name="_xlnm._FilterDatabase" localSheetId="7" hidden="1">WOOD!$A$6:$X$116</definedName>
    <definedName name="_xlnm._FilterDatabase" localSheetId="8" hidden="1">'WOOD (NON_RES &gt; 1M)'!$B$2:$P$27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82" i="19" l="1"/>
  <c r="F19" i="19"/>
  <c r="F21" i="19"/>
  <c r="F120" i="19"/>
  <c r="F7" i="19"/>
  <c r="F181" i="19"/>
  <c r="F13" i="19"/>
  <c r="F180" i="19" l="1"/>
  <c r="F9" i="17"/>
  <c r="F8" i="17" l="1"/>
  <c r="F10" i="16" l="1"/>
  <c r="F7" i="15"/>
  <c r="F116" i="19" l="1"/>
  <c r="F115" i="19"/>
  <c r="F114" i="19"/>
  <c r="F113" i="19"/>
  <c r="F112" i="19"/>
  <c r="F111" i="19"/>
  <c r="F110" i="19"/>
  <c r="F109" i="19"/>
  <c r="F108" i="19"/>
  <c r="F107" i="19"/>
  <c r="F106" i="19"/>
  <c r="F105" i="19"/>
  <c r="F104" i="19"/>
  <c r="F103" i="19"/>
  <c r="F102" i="19"/>
  <c r="F101" i="19"/>
  <c r="F100" i="19"/>
  <c r="F99" i="19"/>
  <c r="F98" i="19"/>
  <c r="F97" i="19"/>
  <c r="F96" i="19"/>
  <c r="F95" i="19"/>
  <c r="F94" i="19"/>
  <c r="F93" i="19"/>
  <c r="F92" i="19"/>
  <c r="F91" i="19"/>
  <c r="F90" i="19"/>
  <c r="F89" i="19"/>
  <c r="F88" i="19"/>
  <c r="F87" i="19"/>
  <c r="F86" i="19"/>
  <c r="F85" i="19"/>
  <c r="F84" i="19"/>
  <c r="F83" i="19"/>
  <c r="F82" i="19"/>
  <c r="F81" i="19"/>
  <c r="F80" i="19"/>
  <c r="F79" i="19"/>
  <c r="F78" i="19"/>
  <c r="F77" i="19"/>
  <c r="F76" i="19"/>
  <c r="F75" i="19"/>
  <c r="F74" i="19"/>
  <c r="F73" i="19"/>
  <c r="F72" i="19"/>
  <c r="F71" i="19"/>
  <c r="F70" i="19"/>
  <c r="F69" i="19"/>
  <c r="F68" i="19"/>
  <c r="F67" i="19"/>
  <c r="F66" i="19"/>
  <c r="F65" i="19"/>
  <c r="F64" i="19"/>
  <c r="F63" i="19"/>
  <c r="F62" i="19"/>
  <c r="F61" i="19"/>
  <c r="F60" i="19"/>
  <c r="F59" i="19"/>
  <c r="F58" i="19"/>
  <c r="F57" i="19"/>
  <c r="F56" i="19"/>
  <c r="F55" i="19"/>
  <c r="F11" i="19"/>
  <c r="F54" i="19"/>
  <c r="F53" i="19"/>
  <c r="F52" i="19"/>
  <c r="F51" i="19"/>
  <c r="F50" i="19"/>
  <c r="F49" i="19"/>
  <c r="F48" i="19"/>
  <c r="F47" i="19"/>
  <c r="F46" i="19"/>
  <c r="F45" i="19"/>
  <c r="F44" i="19"/>
  <c r="F43" i="19"/>
  <c r="F42" i="19"/>
  <c r="F41" i="19"/>
  <c r="F40" i="19"/>
  <c r="F39" i="19"/>
  <c r="F38" i="19"/>
  <c r="F37" i="19"/>
  <c r="F36" i="19"/>
  <c r="F35" i="19"/>
  <c r="F34" i="19"/>
  <c r="F33" i="19"/>
  <c r="F32" i="19"/>
  <c r="F31" i="19"/>
  <c r="F30" i="19"/>
  <c r="F29" i="19"/>
  <c r="F28" i="19"/>
  <c r="F27" i="19"/>
  <c r="F26" i="19"/>
  <c r="F25" i="19"/>
  <c r="F24" i="19"/>
  <c r="F23" i="19"/>
  <c r="F22" i="19"/>
  <c r="F20" i="19"/>
  <c r="F18" i="19"/>
  <c r="F17" i="19"/>
  <c r="F16" i="19"/>
  <c r="F15" i="19"/>
  <c r="F14" i="19"/>
  <c r="F12" i="19"/>
  <c r="F10" i="19"/>
  <c r="F9" i="19"/>
  <c r="F8" i="19"/>
  <c r="F51" i="18" l="1"/>
  <c r="F50" i="18"/>
  <c r="F49" i="18"/>
  <c r="F48" i="18"/>
  <c r="F47" i="18"/>
  <c r="F46" i="18"/>
  <c r="F45" i="18"/>
  <c r="F44" i="18"/>
  <c r="F43" i="18"/>
  <c r="F42" i="18"/>
  <c r="F41" i="18"/>
  <c r="F40" i="18"/>
  <c r="F39" i="18"/>
  <c r="F38" i="18"/>
  <c r="F37" i="18"/>
  <c r="F36" i="18"/>
  <c r="F35" i="18"/>
  <c r="F34" i="18"/>
  <c r="F33" i="18"/>
  <c r="F32" i="18"/>
  <c r="F31" i="18"/>
  <c r="F30" i="18"/>
  <c r="F29" i="18"/>
  <c r="F28" i="18"/>
  <c r="F27" i="18"/>
  <c r="F26" i="18"/>
  <c r="F25" i="18"/>
  <c r="F24" i="18"/>
  <c r="F23" i="18"/>
  <c r="F22" i="18"/>
  <c r="F21" i="18"/>
  <c r="F20" i="18"/>
  <c r="F19" i="18"/>
  <c r="F18" i="18"/>
  <c r="F17" i="18"/>
  <c r="F16" i="18"/>
  <c r="F15" i="18"/>
  <c r="F14" i="18"/>
  <c r="F13" i="18"/>
  <c r="F12" i="18"/>
  <c r="F11" i="18"/>
  <c r="F10" i="18"/>
  <c r="F9" i="18"/>
  <c r="F8" i="18"/>
  <c r="F7" i="18"/>
  <c r="F69" i="17"/>
  <c r="F68" i="17"/>
  <c r="F67" i="17"/>
  <c r="F66" i="17"/>
  <c r="F65" i="17"/>
  <c r="F64" i="17"/>
  <c r="F63" i="17"/>
  <c r="F62" i="17"/>
  <c r="F61" i="17"/>
  <c r="F60" i="17"/>
  <c r="F59" i="17"/>
  <c r="F58" i="17"/>
  <c r="F57" i="17"/>
  <c r="F56" i="17"/>
  <c r="F55" i="17"/>
  <c r="F54" i="17"/>
  <c r="F53" i="17"/>
  <c r="F52" i="17"/>
  <c r="F51" i="17"/>
  <c r="F50" i="17"/>
  <c r="F49" i="17"/>
  <c r="F48" i="17"/>
  <c r="F47" i="17"/>
  <c r="F46" i="17"/>
  <c r="F45" i="17"/>
  <c r="F44" i="17"/>
  <c r="F43" i="17"/>
  <c r="F42" i="17"/>
  <c r="F41" i="17"/>
  <c r="F40" i="17"/>
  <c r="F39" i="17"/>
  <c r="F38" i="17"/>
  <c r="F37" i="17"/>
  <c r="F36" i="17"/>
  <c r="F35" i="17"/>
  <c r="F34" i="17"/>
  <c r="F33" i="17"/>
  <c r="F32" i="17"/>
  <c r="F31" i="17"/>
  <c r="F30" i="17"/>
  <c r="F29" i="17"/>
  <c r="F28" i="17"/>
  <c r="F27" i="17"/>
  <c r="F26" i="17"/>
  <c r="F25" i="17"/>
  <c r="F24" i="17"/>
  <c r="F23" i="17"/>
  <c r="F22" i="17"/>
  <c r="F21" i="17"/>
  <c r="F20" i="17"/>
  <c r="F19" i="17"/>
  <c r="F18" i="17"/>
  <c r="F17" i="17"/>
  <c r="F16" i="17"/>
  <c r="F15" i="17"/>
  <c r="F14" i="17"/>
  <c r="F13" i="17"/>
  <c r="F12" i="17"/>
  <c r="F11" i="17"/>
  <c r="F10" i="17"/>
  <c r="F7" i="17"/>
  <c r="F46" i="16" l="1"/>
  <c r="F45" i="16"/>
  <c r="F44" i="16"/>
  <c r="F43" i="16"/>
  <c r="F42" i="16"/>
  <c r="F41" i="16"/>
  <c r="F40" i="16"/>
  <c r="F39" i="16"/>
  <c r="F38" i="16"/>
  <c r="F37" i="16"/>
  <c r="F36" i="16"/>
  <c r="F35" i="16"/>
  <c r="F34" i="16"/>
  <c r="F33" i="16"/>
  <c r="F32" i="16"/>
  <c r="F31" i="16"/>
  <c r="F30" i="16"/>
  <c r="F29" i="16"/>
  <c r="F28" i="16"/>
  <c r="F27" i="16"/>
  <c r="F26" i="16"/>
  <c r="F25" i="16"/>
  <c r="F24" i="16"/>
  <c r="F23" i="16"/>
  <c r="F22" i="16"/>
  <c r="F21" i="16"/>
  <c r="F20" i="16"/>
  <c r="F19" i="16"/>
  <c r="F18" i="16"/>
  <c r="F17" i="16"/>
  <c r="F16" i="16"/>
  <c r="F15" i="16"/>
  <c r="F14" i="16"/>
  <c r="F13" i="16"/>
  <c r="F12" i="16"/>
  <c r="F11" i="16"/>
  <c r="F9" i="16"/>
  <c r="F8" i="16"/>
  <c r="F7" i="16"/>
  <c r="F51" i="15"/>
  <c r="F50" i="15"/>
  <c r="F49" i="15"/>
  <c r="F48" i="15"/>
  <c r="F47" i="15"/>
  <c r="F46" i="15"/>
  <c r="F45" i="15"/>
  <c r="F44" i="15"/>
  <c r="F43" i="15"/>
  <c r="F42" i="15"/>
  <c r="F41" i="15"/>
  <c r="F40" i="15"/>
  <c r="F39" i="15"/>
  <c r="F38" i="15"/>
  <c r="F37" i="15"/>
  <c r="F36" i="15"/>
  <c r="F35" i="15"/>
  <c r="F34" i="15"/>
  <c r="F33" i="15"/>
  <c r="F32" i="15"/>
  <c r="F31" i="15"/>
  <c r="F30" i="15"/>
  <c r="F29" i="15"/>
  <c r="F28" i="15"/>
  <c r="F27" i="15"/>
  <c r="F26" i="15"/>
  <c r="F25" i="15"/>
  <c r="F24" i="15"/>
  <c r="F23" i="15"/>
  <c r="F22" i="15"/>
  <c r="F21" i="15"/>
  <c r="F20" i="15"/>
  <c r="F19" i="15"/>
  <c r="F18" i="15"/>
  <c r="F17" i="15"/>
  <c r="F16" i="15"/>
  <c r="F15" i="15"/>
  <c r="F14" i="15"/>
  <c r="F13" i="15"/>
  <c r="F12" i="15"/>
  <c r="F11" i="15"/>
  <c r="F10" i="15"/>
  <c r="F9" i="15"/>
  <c r="F8" i="15"/>
  <c r="F39" i="14"/>
  <c r="F38" i="14"/>
  <c r="F37" i="14"/>
  <c r="F36" i="14"/>
  <c r="F35" i="14"/>
  <c r="F34" i="14"/>
  <c r="F33" i="14"/>
  <c r="F32" i="14"/>
  <c r="F31" i="14"/>
  <c r="F30" i="14"/>
  <c r="F29" i="14"/>
  <c r="F28" i="14"/>
  <c r="F27" i="14"/>
  <c r="F26" i="14"/>
  <c r="F25" i="14"/>
  <c r="F24" i="14"/>
  <c r="F23" i="14"/>
  <c r="F22" i="14"/>
  <c r="F21" i="14"/>
  <c r="F20" i="14"/>
  <c r="F19" i="14"/>
  <c r="F18" i="14"/>
  <c r="F17" i="14"/>
  <c r="F16" i="14"/>
  <c r="F15" i="14"/>
  <c r="F14" i="14"/>
  <c r="F13" i="14"/>
  <c r="F12" i="14"/>
  <c r="F11" i="14"/>
  <c r="F10" i="14"/>
  <c r="F9" i="14"/>
  <c r="F8" i="14"/>
  <c r="F7" i="14"/>
  <c r="F49" i="13" l="1"/>
  <c r="F48" i="13"/>
  <c r="F47" i="13"/>
  <c r="F46" i="13"/>
  <c r="F45" i="13"/>
  <c r="F44" i="13"/>
  <c r="F43" i="13"/>
  <c r="F42" i="13"/>
  <c r="F41" i="13"/>
  <c r="F40" i="13"/>
  <c r="F39" i="13"/>
  <c r="F38" i="13"/>
  <c r="F37" i="13"/>
  <c r="F36" i="13"/>
  <c r="F35" i="13"/>
  <c r="F34" i="13"/>
  <c r="F33" i="13"/>
  <c r="F32" i="13"/>
  <c r="F31" i="13"/>
  <c r="F30" i="13"/>
  <c r="F29" i="13"/>
  <c r="F28" i="13"/>
  <c r="F27" i="13"/>
  <c r="F26" i="13"/>
  <c r="F25" i="13"/>
  <c r="F24" i="13"/>
  <c r="F23" i="13"/>
  <c r="F22" i="13"/>
  <c r="F21" i="13"/>
  <c r="F20" i="13"/>
  <c r="F19" i="13"/>
  <c r="F18" i="13"/>
  <c r="F17" i="13"/>
  <c r="F16" i="13"/>
  <c r="F15" i="13"/>
  <c r="F14" i="13"/>
  <c r="F13" i="13"/>
  <c r="F12" i="13"/>
  <c r="F11" i="13"/>
  <c r="F10" i="13"/>
  <c r="F9" i="13"/>
  <c r="F8" i="13"/>
  <c r="F7" i="13"/>
  <c r="F42" i="12"/>
  <c r="F41" i="12"/>
  <c r="F40" i="12"/>
  <c r="F39" i="12"/>
  <c r="F38" i="12"/>
  <c r="F37" i="12"/>
  <c r="F36" i="12"/>
  <c r="F35" i="12"/>
  <c r="F34" i="12"/>
  <c r="F33" i="12"/>
  <c r="F32" i="12"/>
  <c r="F31" i="12"/>
  <c r="F30" i="12"/>
  <c r="F29" i="12"/>
  <c r="F28" i="12"/>
  <c r="F27" i="12"/>
  <c r="F8" i="12"/>
  <c r="F26" i="12"/>
  <c r="F25" i="12"/>
  <c r="F24" i="12"/>
  <c r="F7" i="12"/>
  <c r="F23" i="12"/>
  <c r="F22" i="12"/>
  <c r="F21" i="12"/>
  <c r="F20" i="12"/>
  <c r="F19" i="12"/>
  <c r="F18" i="12"/>
  <c r="F17" i="12"/>
  <c r="F16" i="12"/>
  <c r="F15" i="12"/>
  <c r="F14" i="12"/>
  <c r="F13" i="12"/>
  <c r="F12" i="12"/>
  <c r="F11" i="12"/>
  <c r="F10" i="12"/>
  <c r="F9" i="12"/>
</calcChain>
</file>

<file path=xl/sharedStrings.xml><?xml version="1.0" encoding="utf-8"?>
<sst xmlns="http://schemas.openxmlformats.org/spreadsheetml/2006/main" count="10496" uniqueCount="2322">
  <si>
    <t>Building ID</t>
  </si>
  <si>
    <t>Community Name</t>
  </si>
  <si>
    <t>Stream Name</t>
  </si>
  <si>
    <t>GIS Parcel ID</t>
  </si>
  <si>
    <t>Full E-911 Address</t>
  </si>
  <si>
    <t>WV Flood Tool Link</t>
  </si>
  <si>
    <t>Flood Zone Designation</t>
  </si>
  <si>
    <t>Floodway</t>
  </si>
  <si>
    <t>Owner Names</t>
  </si>
  <si>
    <t>FIRM Status</t>
  </si>
  <si>
    <t>Year Built</t>
  </si>
  <si>
    <t>Grade</t>
  </si>
  <si>
    <t>Hazard Occupancy Code</t>
  </si>
  <si>
    <t>General Occupancy</t>
  </si>
  <si>
    <t>Stories</t>
  </si>
  <si>
    <t>Structure Area</t>
  </si>
  <si>
    <t>Foundation Type</t>
  </si>
  <si>
    <t>First Floor Height</t>
  </si>
  <si>
    <t>Building Appraisal</t>
  </si>
  <si>
    <t>Building Value Source</t>
  </si>
  <si>
    <t>Depth Grid</t>
  </si>
  <si>
    <t>Depth in Structure</t>
  </si>
  <si>
    <t>Building Damage Percent</t>
  </si>
  <si>
    <t>Building Loss Value</t>
  </si>
  <si>
    <t>FT</t>
  </si>
  <si>
    <t>No</t>
  </si>
  <si>
    <t>Post-FIRM</t>
  </si>
  <si>
    <t>C</t>
  </si>
  <si>
    <t>GOV1</t>
  </si>
  <si>
    <t>Other</t>
  </si>
  <si>
    <t>Slab-on-Grade</t>
  </si>
  <si>
    <t>Assessment (IAS) Modified</t>
  </si>
  <si>
    <t>AE</t>
  </si>
  <si>
    <t>D-</t>
  </si>
  <si>
    <t>IND2</t>
  </si>
  <si>
    <t>Commercial</t>
  </si>
  <si>
    <t>Unknown</t>
  </si>
  <si>
    <t>D+</t>
  </si>
  <si>
    <t>A</t>
  </si>
  <si>
    <t>Pre-FIRM</t>
  </si>
  <si>
    <t>A+</t>
  </si>
  <si>
    <t>RES1</t>
  </si>
  <si>
    <t>Residential</t>
  </si>
  <si>
    <t>Basement</t>
  </si>
  <si>
    <t>Assessment (IAS)</t>
  </si>
  <si>
    <t>B</t>
  </si>
  <si>
    <t>COM5</t>
  </si>
  <si>
    <t>B-</t>
  </si>
  <si>
    <t>COM1</t>
  </si>
  <si>
    <t>A-</t>
  </si>
  <si>
    <t>C-</t>
  </si>
  <si>
    <t>B+</t>
  </si>
  <si>
    <t>COM8</t>
  </si>
  <si>
    <t>Crawlspace</t>
  </si>
  <si>
    <t>D</t>
  </si>
  <si>
    <t>Updated AE</t>
  </si>
  <si>
    <t>COM7</t>
  </si>
  <si>
    <t>COM4</t>
  </si>
  <si>
    <t>C+</t>
  </si>
  <si>
    <t>RES3B</t>
  </si>
  <si>
    <t>CID</t>
  </si>
  <si>
    <t>County</t>
  </si>
  <si>
    <t>Incorporated/Unincorporated</t>
  </si>
  <si>
    <t>WV RPDC Region</t>
  </si>
  <si>
    <t>Incorporated</t>
  </si>
  <si>
    <t>Unincorporated</t>
  </si>
  <si>
    <t>Yes</t>
  </si>
  <si>
    <t>REL1</t>
  </si>
  <si>
    <t>BOARD OF EDUCATION</t>
  </si>
  <si>
    <t>EDU1</t>
  </si>
  <si>
    <t>Insurance (BRIM)</t>
  </si>
  <si>
    <t>RES4</t>
  </si>
  <si>
    <t>COM2</t>
  </si>
  <si>
    <t>GOV2</t>
  </si>
  <si>
    <t>E</t>
  </si>
  <si>
    <t xml:space="preserve">BUILDING DOLLAR ($) EXPOSURE </t>
  </si>
  <si>
    <t>MAP LINK</t>
  </si>
  <si>
    <t>FILTER OR SORT</t>
  </si>
  <si>
    <t>PRIMARY SORT</t>
  </si>
  <si>
    <t>Table Extract from BLRA</t>
  </si>
  <si>
    <t>Lookup</t>
  </si>
  <si>
    <t>Top percentage of high-value structures</t>
  </si>
  <si>
    <t>X</t>
  </si>
  <si>
    <t>2015</t>
  </si>
  <si>
    <t>2008</t>
  </si>
  <si>
    <t>1979</t>
  </si>
  <si>
    <t>1999</t>
  </si>
  <si>
    <t>0</t>
  </si>
  <si>
    <t>1986</t>
  </si>
  <si>
    <t>2011</t>
  </si>
  <si>
    <t>1982</t>
  </si>
  <si>
    <t>1978</t>
  </si>
  <si>
    <t>1980</t>
  </si>
  <si>
    <t>2005</t>
  </si>
  <si>
    <t>2010</t>
  </si>
  <si>
    <t>1964</t>
  </si>
  <si>
    <t>1970</t>
  </si>
  <si>
    <t>1993</t>
  </si>
  <si>
    <t>1957</t>
  </si>
  <si>
    <t>2006</t>
  </si>
  <si>
    <t>2002</t>
  </si>
  <si>
    <t>2004</t>
  </si>
  <si>
    <t>1983</t>
  </si>
  <si>
    <t>1985</t>
  </si>
  <si>
    <t>1997</t>
  </si>
  <si>
    <t>1960</t>
  </si>
  <si>
    <t>1996</t>
  </si>
  <si>
    <t>X+</t>
  </si>
  <si>
    <t>E-</t>
  </si>
  <si>
    <t>IND1</t>
  </si>
  <si>
    <t>Education</t>
  </si>
  <si>
    <t>Government</t>
  </si>
  <si>
    <t>Religious</t>
  </si>
  <si>
    <t>Industrial</t>
  </si>
  <si>
    <t>1</t>
  </si>
  <si>
    <t>2</t>
  </si>
  <si>
    <t>3</t>
  </si>
  <si>
    <t>2000</t>
  </si>
  <si>
    <t>6000</t>
  </si>
  <si>
    <t>1.0</t>
  </si>
  <si>
    <t>4.0</t>
  </si>
  <si>
    <t>Area (RS Means)</t>
  </si>
  <si>
    <t>9999</t>
  </si>
  <si>
    <t>1984</t>
  </si>
  <si>
    <t>1969</t>
  </si>
  <si>
    <t>2017</t>
  </si>
  <si>
    <t>1990</t>
  </si>
  <si>
    <t>1995</t>
  </si>
  <si>
    <t>2001</t>
  </si>
  <si>
    <t>1950</t>
  </si>
  <si>
    <t>1925</t>
  </si>
  <si>
    <t>1968</t>
  </si>
  <si>
    <t>1975</t>
  </si>
  <si>
    <t>1994</t>
  </si>
  <si>
    <t>1977</t>
  </si>
  <si>
    <t>1981</t>
  </si>
  <si>
    <t>2003</t>
  </si>
  <si>
    <t>1962</t>
  </si>
  <si>
    <t>2016</t>
  </si>
  <si>
    <t>2012</t>
  </si>
  <si>
    <t>1991</t>
  </si>
  <si>
    <t>2007</t>
  </si>
  <si>
    <t>2009</t>
  </si>
  <si>
    <t>1111</t>
  </si>
  <si>
    <t>1973</t>
  </si>
  <si>
    <t>1974</t>
  </si>
  <si>
    <t>1972</t>
  </si>
  <si>
    <t>COM3</t>
  </si>
  <si>
    <t>IND6</t>
  </si>
  <si>
    <t>10000</t>
  </si>
  <si>
    <t>2844</t>
  </si>
  <si>
    <t>8400</t>
  </si>
  <si>
    <t>2324</t>
  </si>
  <si>
    <t>2750</t>
  </si>
  <si>
    <t>9000</t>
  </si>
  <si>
    <t>Assessment (IAS) Neighbor</t>
  </si>
  <si>
    <t>1940</t>
  </si>
  <si>
    <t>1965</t>
  </si>
  <si>
    <t>1900</t>
  </si>
  <si>
    <t>3.0</t>
  </si>
  <si>
    <t>1998</t>
  </si>
  <si>
    <t>1740</t>
  </si>
  <si>
    <t>Post-FIRM construction regulated to Pre-FIRM (Mapped into SFHA)</t>
  </si>
  <si>
    <t>2400</t>
  </si>
  <si>
    <t>4000</t>
  </si>
  <si>
    <t>1988</t>
  </si>
  <si>
    <t>(Higher than $200,000)</t>
  </si>
  <si>
    <t>(Higher than $300,000)</t>
  </si>
  <si>
    <t>(Higher than $100,000)</t>
  </si>
  <si>
    <t>2018</t>
  </si>
  <si>
    <t>8320</t>
  </si>
  <si>
    <t>1992</t>
  </si>
  <si>
    <t>4188</t>
  </si>
  <si>
    <t>1800</t>
  </si>
  <si>
    <t>Owner Name or Building ID</t>
  </si>
  <si>
    <t>07-05-0009-0054-0000_5260</t>
  </si>
  <si>
    <t>07-01-0013-0044-0000_2427</t>
  </si>
  <si>
    <t>07-04-0015-0007-0005_6303A</t>
  </si>
  <si>
    <t>07-02-0004-0025-0006_341</t>
  </si>
  <si>
    <t>07-02-0004-0025-0000_237</t>
  </si>
  <si>
    <t>07-01-0017-0030-0000_85</t>
  </si>
  <si>
    <t>07-02-0002-0046-0000_250</t>
  </si>
  <si>
    <t>07-01-0013-0044-0000_2295</t>
  </si>
  <si>
    <t>07-03-0035-0078-0000_9999</t>
  </si>
  <si>
    <t>07-02-0003-0155-0000_108</t>
  </si>
  <si>
    <t>07-03-0023-0039-0006_9999</t>
  </si>
  <si>
    <t>07-02-0003-0113-0000_104</t>
  </si>
  <si>
    <t>07-03-0023-0025-0000_9999</t>
  </si>
  <si>
    <t>07-04-0015-0002-0000_9999</t>
  </si>
  <si>
    <t>07-06-0018-0058-0000_88</t>
  </si>
  <si>
    <t>07-01-0017-0030-0004_9999</t>
  </si>
  <si>
    <t>07-02-0002-0129-0000_108</t>
  </si>
  <si>
    <t>07-02-0004-0025-0000_255</t>
  </si>
  <si>
    <t>07-05-0009-0021-0003_9999</t>
  </si>
  <si>
    <t>07-01-0014-0030-0000_1239</t>
  </si>
  <si>
    <t>07-06-0012-0007-0000_9999</t>
  </si>
  <si>
    <t>07-01-0013-0027-0000_41</t>
  </si>
  <si>
    <t>07-04-0015-0017-0000_5945</t>
  </si>
  <si>
    <t>07-02-0002-0119-0000_105</t>
  </si>
  <si>
    <t>07-03-0014-0022-0001_8494A</t>
  </si>
  <si>
    <t>07-05-0008-0037-0000_3295</t>
  </si>
  <si>
    <t>07-03-0023-0051-0002_9999</t>
  </si>
  <si>
    <t>07-05-0006-0031-0001_9998</t>
  </si>
  <si>
    <t>07-06-0012-0028-0000_9999</t>
  </si>
  <si>
    <t>07-06-0003-0023-0001_974</t>
  </si>
  <si>
    <t>07-05-0008-0012-0000_1998</t>
  </si>
  <si>
    <t>07-02-0002-0131-0000_108</t>
  </si>
  <si>
    <t>07-02-0002-0079-0000_372</t>
  </si>
  <si>
    <t>07-01-0013-0023-0001_2977</t>
  </si>
  <si>
    <t>07-04-0011-0080-0000_6811</t>
  </si>
  <si>
    <t>07-01-0013-0024-0000_2969</t>
  </si>
  <si>
    <t>Calhoun County</t>
  </si>
  <si>
    <t>Little Kanawha River</t>
  </si>
  <si>
    <t>07-05-0009-0054-0000</t>
  </si>
  <si>
    <t>5260 E LITTLE KANAWHA HWY, GRANTSVILLE, WV, 26147</t>
  </si>
  <si>
    <t>07-01-0013-0044-0000</t>
  </si>
  <si>
    <t>2427 W LITTLE KANAWHA HWY, GRANTSVILLE, WV, 26147</t>
  </si>
  <si>
    <t>07-04-0015-0007-0005</t>
  </si>
  <si>
    <t>6303A W LITTLE KANAWHA HWY, BIG BEND, WV, 26147</t>
  </si>
  <si>
    <t>Town of Grantsville</t>
  </si>
  <si>
    <t>Philip Run</t>
  </si>
  <si>
    <t>07-02-0004-0025-0006</t>
  </si>
  <si>
    <t>341 S CALHOUN HWY, GRANTSVILLE, WV, 26147</t>
  </si>
  <si>
    <t>07-02-0004-0025-0000</t>
  </si>
  <si>
    <t>237 S CALHOUN HWY, GRANTSVILLE, WV, 26147</t>
  </si>
  <si>
    <t>07-01-0017-0030-0000</t>
  </si>
  <si>
    <t>85 INDUSTRIAL PARK DR, GRANTSVILLE, WV, 26147</t>
  </si>
  <si>
    <t>07-02-0002-0046-0000</t>
  </si>
  <si>
    <t>250 MILL ST, GRANTSVILLE, WV, 26147</t>
  </si>
  <si>
    <t>2295 W LITTLE KANAWHA HWY, GRANTSVILLE, WV, 26147</t>
  </si>
  <si>
    <t>West Fork Little Kanawha River</t>
  </si>
  <si>
    <t>07-03-0035-0078-0000</t>
  </si>
  <si>
    <t>9999 ARNOLDSBURG RD, ARNOLDSBURG, WV, 25234</t>
  </si>
  <si>
    <t>07-02-0003-0155-0000</t>
  </si>
  <si>
    <t>108 NORTHSIDE RD, GRANTSVILLE, WV, 26147</t>
  </si>
  <si>
    <t>07-03-0023-0039-0006</t>
  </si>
  <si>
    <t>Simon Run</t>
  </si>
  <si>
    <t>07-02-0003-0113-0000</t>
  </si>
  <si>
    <t>104 LITTLE KANAWHA PKWY, GRANTSVILLE, WV, 26147</t>
  </si>
  <si>
    <t>07-03-0023-0025-0000</t>
  </si>
  <si>
    <t>07-04-0015-0002-0000</t>
  </si>
  <si>
    <t>9999 W LITTLE KANAWHA HWY, BIG BEND, WV, 26147</t>
  </si>
  <si>
    <t>07-06-0018-0058-0000</t>
  </si>
  <si>
    <t>88 RED ROOF LN, CHLOE, WV, 25235</t>
  </si>
  <si>
    <t>07-01-0017-0030-0004</t>
  </si>
  <si>
    <t>9999 INDUSTRIAL PARK RD, GRANTSVILLE, WV, 26147</t>
  </si>
  <si>
    <t>07-02-0002-0129-0000</t>
  </si>
  <si>
    <t>255 S CALHOUN HWY, GRANTSVILLE, WV, 26147</t>
  </si>
  <si>
    <t>07-05-0009-0021-0003</t>
  </si>
  <si>
    <t>9999 E LITTLE KANAWHA HWY, GRANTSVILLE, WV, 26147</t>
  </si>
  <si>
    <t>07-01-0014-0030-0000</t>
  </si>
  <si>
    <t>1239 NORTHSIDE RD, GRANTSVILLE, WV, 26147</t>
  </si>
  <si>
    <t>07-06-0012-0007-0000</t>
  </si>
  <si>
    <t>9999 S CALHOUN HWY, ORMA, WV, 25268</t>
  </si>
  <si>
    <t>07-01-0013-0027-0000</t>
  </si>
  <si>
    <t>41 ROBIN LN, GRANTSVILLE, WV, 26147</t>
  </si>
  <si>
    <t>07-04-0015-0017-0000</t>
  </si>
  <si>
    <t>5945 W LITTLE KANAWHA HWY, BIG BEND, WV, 26147</t>
  </si>
  <si>
    <t>07-02-0002-0119-0000</t>
  </si>
  <si>
    <t xml:space="preserve">105 MARKET ST, GRANTSVILLE, WV, 26147 </t>
  </si>
  <si>
    <t>Barnes Run</t>
  </si>
  <si>
    <t>07-03-0014-0022-0001</t>
  </si>
  <si>
    <t>8494A ALTIZER RD, ARNOLDSBURG, WV, 25234</t>
  </si>
  <si>
    <t>07-05-0008-0037-0000</t>
  </si>
  <si>
    <t>3295 RUSSETT RD, GRANTSVILLE, WV, 26147</t>
  </si>
  <si>
    <t>07-03-0023-0051-0002</t>
  </si>
  <si>
    <t>9999 S CALHOUN HWY, ARNOLDSBURG, WV, 25234</t>
  </si>
  <si>
    <t xml:space="preserve">Bull River </t>
  </si>
  <si>
    <t>07-05-0006-0031-0001</t>
  </si>
  <si>
    <t>9998 E LITTLE KANAWHA HWY, GRANTSVILLE, WV, 26147</t>
  </si>
  <si>
    <t>07-06-0012-0028-0000</t>
  </si>
  <si>
    <t>9999 S CALHOUN HWY, CHLOE, WV, 25268</t>
  </si>
  <si>
    <t>Left Fork West Fork Little Kanawha River</t>
  </si>
  <si>
    <t>07-06-0003-0023-0001</t>
  </si>
  <si>
    <t>974 NICUT RD, ORMA, WV, 25268</t>
  </si>
  <si>
    <t>07-05-0008-0012-0000</t>
  </si>
  <si>
    <t>1998 RUSSETT RD, GRANTSVILLE, WV, 26147</t>
  </si>
  <si>
    <t>07-02-0002-0131-0000</t>
  </si>
  <si>
    <t>07-02-0002-0079-0000</t>
  </si>
  <si>
    <t>372 MAIN ST, GRANTSVILLE, WV, 26147</t>
  </si>
  <si>
    <t>07-01-0013-0023-0001</t>
  </si>
  <si>
    <t>2977 W LITTLE KANAWHA HWY, GRANTSVILLE, WV, 26147</t>
  </si>
  <si>
    <t>07-04-0011-0080-0000</t>
  </si>
  <si>
    <t>6811 W LITTLE KANAWHA HWY, BIG BEND, WV, 26147</t>
  </si>
  <si>
    <t>07-01-0013-0024-0000</t>
  </si>
  <si>
    <t>2969 W LITTLE KANAWHA HWY, GRANTSVILLE, WV, 26147</t>
  </si>
  <si>
    <t>NOBLE ENERGY INC</t>
  </si>
  <si>
    <t>CAIN FRANCIS &amp; DONNA</t>
  </si>
  <si>
    <t>GRANTSVILLE VOL FIRE DEPT</t>
  </si>
  <si>
    <t>GRANTSVILLE SUPERMARKET</t>
  </si>
  <si>
    <t>CALHOUN DEVELOPMENT CORP</t>
  </si>
  <si>
    <t>CALHOUN CO LIBRARY BOARD</t>
  </si>
  <si>
    <t>APOSTOLIC UNITED PEN CHURCH</t>
  </si>
  <si>
    <t>FRANKLIN BOBBY</t>
  </si>
  <si>
    <t>DOMINION GATHERING &amp; PROCESSING INC</t>
  </si>
  <si>
    <t>LANE RONALD</t>
  </si>
  <si>
    <t>TUDORS BISCUIT WORLD</t>
  </si>
  <si>
    <t>WEST FORK COMMUNITY ACTION INC</t>
  </si>
  <si>
    <t>ULLUM ALICE</t>
  </si>
  <si>
    <t>UPPER WEST FORK CAP INC</t>
  </si>
  <si>
    <t>TOWN OF GRANTSVILLE</t>
  </si>
  <si>
    <t>MASIARCZYK LINDA</t>
  </si>
  <si>
    <t>PROPST PATRICIA D</t>
  </si>
  <si>
    <t>JUSTHAM LARRY</t>
  </si>
  <si>
    <t>PRUSACK JAMES P COX JUDY KAY</t>
  </si>
  <si>
    <t>CAIN FAMILY FARMS LLC</t>
  </si>
  <si>
    <t>CALHOUN COUNTY COMMITTEE ON AGING INC</t>
  </si>
  <si>
    <t>MARTIN BRADEN LEE &amp; ERICA</t>
  </si>
  <si>
    <t>ENON BAPTIST CHURCH</t>
  </si>
  <si>
    <t>H &amp; R  PIPE INC</t>
  </si>
  <si>
    <t>MINNORA METHODIST CHURCH</t>
  </si>
  <si>
    <t>LANE NORMAN</t>
  </si>
  <si>
    <t>MORRIS WILLIAM C</t>
  </si>
  <si>
    <t>POLLACK JEANNIE HRS</t>
  </si>
  <si>
    <t>ULLUM HAROLD C &amp; ALICE</t>
  </si>
  <si>
    <t>HOLBERT ALFRED RAY III</t>
  </si>
  <si>
    <t>1955</t>
  </si>
  <si>
    <t>CALHOUN</t>
  </si>
  <si>
    <t>35740</t>
  </si>
  <si>
    <t>20200</t>
  </si>
  <si>
    <t>12500</t>
  </si>
  <si>
    <t>16791</t>
  </si>
  <si>
    <t>10500</t>
  </si>
  <si>
    <t>6630</t>
  </si>
  <si>
    <t>5184</t>
  </si>
  <si>
    <t>8505</t>
  </si>
  <si>
    <t>6750</t>
  </si>
  <si>
    <t>19078</t>
  </si>
  <si>
    <t>2740</t>
  </si>
  <si>
    <t>7248</t>
  </si>
  <si>
    <t>7648</t>
  </si>
  <si>
    <t>3200</t>
  </si>
  <si>
    <t>5100</t>
  </si>
  <si>
    <t>5900</t>
  </si>
  <si>
    <t>8198</t>
  </si>
  <si>
    <t>2478</t>
  </si>
  <si>
    <t>3878</t>
  </si>
  <si>
    <t>2800</t>
  </si>
  <si>
    <t>3480</t>
  </si>
  <si>
    <t>3360</t>
  </si>
  <si>
    <t>2380</t>
  </si>
  <si>
    <t>2976</t>
  </si>
  <si>
    <t>3518</t>
  </si>
  <si>
    <t>1728</t>
  </si>
  <si>
    <t>7216</t>
  </si>
  <si>
    <t>2082</t>
  </si>
  <si>
    <t>JACKSON</t>
  </si>
  <si>
    <t>18-07-0010-0042-0001_9450</t>
  </si>
  <si>
    <t>18-02-0011-0011-0000_641</t>
  </si>
  <si>
    <t>18-07-0010-0042-0001_9454</t>
  </si>
  <si>
    <t>18-05-0007-0010-0002_1</t>
  </si>
  <si>
    <t>18-02-0011-0012-0000_465</t>
  </si>
  <si>
    <t>18-06-0004-0010-0003_5330</t>
  </si>
  <si>
    <t>18-06-0021-0051-0026_279</t>
  </si>
  <si>
    <t>18-02-0005-0001-0014_131</t>
  </si>
  <si>
    <t>18-01-0014-0005-0008_43</t>
  </si>
  <si>
    <t>18-01-0023-9999-9999_2600</t>
  </si>
  <si>
    <t>18-05-0009-0024-0005_112</t>
  </si>
  <si>
    <t>18-01-0014-0005-0000_92</t>
  </si>
  <si>
    <t>18-02-0011-0038-0000_9999</t>
  </si>
  <si>
    <t>18-03-0008-0006-0012_717</t>
  </si>
  <si>
    <t>18-03-0008-0001-0000_220</t>
  </si>
  <si>
    <t>18-02-0021-0014-0002_8520</t>
  </si>
  <si>
    <t>18-02-020B-0001-0000_7124</t>
  </si>
  <si>
    <t>18-02-0011-0051-0000_3340</t>
  </si>
  <si>
    <t>18-06-0006-0017-0017_9999</t>
  </si>
  <si>
    <t>18-04-0016-0009-0000_1715</t>
  </si>
  <si>
    <t>18-02-0020-0085-0001_23</t>
  </si>
  <si>
    <t>18-03-0008-0006-0021_707</t>
  </si>
  <si>
    <t>18-05-0012-0015-0000_203</t>
  </si>
  <si>
    <t>18-03-0008-0006-0005_719</t>
  </si>
  <si>
    <t>18-04-0039-0004-0001_45</t>
  </si>
  <si>
    <t>18-03-0008-0006-0007_721</t>
  </si>
  <si>
    <t>18-01-0014-0005-0001_6208</t>
  </si>
  <si>
    <t>18-03-0008-0006-0006_715</t>
  </si>
  <si>
    <t>18-03-0008-0006-0016_723</t>
  </si>
  <si>
    <t>18-04-0012-0061-0003_406</t>
  </si>
  <si>
    <t>18-03-0008-0006-0014_711</t>
  </si>
  <si>
    <t>18-03-0012-0007-0002_229</t>
  </si>
  <si>
    <t>18-03-0008-0006-0009_713</t>
  </si>
  <si>
    <t>18-04-0011-0003-0002_94</t>
  </si>
  <si>
    <t>18-01-0009-0022-0000_7362</t>
  </si>
  <si>
    <t>18-04-0022-0028-0001_1271</t>
  </si>
  <si>
    <t>18-02-0014-0031-0000_31</t>
  </si>
  <si>
    <t>18-01-008A-0036-0000_52</t>
  </si>
  <si>
    <t>18-06-0011-0020-0006_8115</t>
  </si>
  <si>
    <t>18-06-0016-0036-0000_4439</t>
  </si>
  <si>
    <t>18-03-0014-0079-0000_9999</t>
  </si>
  <si>
    <t>18-03-0008-0006-0026_714</t>
  </si>
  <si>
    <t>18-03-0008-0006-0019_718</t>
  </si>
  <si>
    <t>Jackson County</t>
  </si>
  <si>
    <t>Little Mill Creek</t>
  </si>
  <si>
    <t>18-07-0010-0042-0001</t>
  </si>
  <si>
    <t>9450 SPENCER RD, LE ROY, WV, 25252</t>
  </si>
  <si>
    <t>Ohio River</t>
  </si>
  <si>
    <t>18-02-0011-0011-0000</t>
  </si>
  <si>
    <t>641 HARTLEY DR, RAVENSWOOD, WV, 26164</t>
  </si>
  <si>
    <t>9454 SPENCER RD, LE ROY, WV, 25252</t>
  </si>
  <si>
    <t>City of Ripley</t>
  </si>
  <si>
    <t>Mill Creek</t>
  </si>
  <si>
    <t>18-05-0007-0010-0002</t>
  </si>
  <si>
    <t>1 HOSPITALITY DR, RIPLEY, WV, 25271</t>
  </si>
  <si>
    <t>18-02-0011-0012-0000</t>
  </si>
  <si>
    <t>465 HARTLEY DR, RAVENSWOOD, WV, 26164</t>
  </si>
  <si>
    <t>Ohio River Tributary No.3</t>
  </si>
  <si>
    <t>18-06-0004-0010-0003</t>
  </si>
  <si>
    <t>5330 POINT PLEASANT RD, RAVENSWOOD, WV, 26164</t>
  </si>
  <si>
    <t>Isaacs Run Tributary No.1</t>
  </si>
  <si>
    <t>18-06-0021-0051-0026</t>
  </si>
  <si>
    <t>279 S FORTY DR, EVANS, WV, 25241</t>
  </si>
  <si>
    <t>18-02-0005-0001-0014</t>
  </si>
  <si>
    <t>131 MCMECHAN ST, RAVENSWOOD, WV, 26164</t>
  </si>
  <si>
    <t>18-01-0014-0005-0008</t>
  </si>
  <si>
    <t>43 RITMORE DR, RAVENSWOOD, WV, 26164</t>
  </si>
  <si>
    <t>Nesselroad Run</t>
  </si>
  <si>
    <t>18-01-0023-9999-9999</t>
  </si>
  <si>
    <t>2600 MEDINA RD, RAVENSWOOD, WV, 26164</t>
  </si>
  <si>
    <t>18-05-0009-0024-0005</t>
  </si>
  <si>
    <t>112 JACKSON AVE, RIPLEY, WV, 25271</t>
  </si>
  <si>
    <t>18-01-0014-0005-0000</t>
  </si>
  <si>
    <t>92 RITMORE DR, RAVENSWOOD, WV, 26164</t>
  </si>
  <si>
    <t>18-02-0011-0038-0000</t>
  </si>
  <si>
    <t>9999 HARTLEY DR, RAVENSWOOD, WV, 26164</t>
  </si>
  <si>
    <t>City of Ravenswood</t>
  </si>
  <si>
    <t>18-03-0008-0006-0012</t>
  </si>
  <si>
    <t>717 DOWNALONG DR, RAVENSWOOD, WV, 26164</t>
  </si>
  <si>
    <t>18-03-0008-0001-0000</t>
  </si>
  <si>
    <t>220 TAYLORS COVE RD, RAVENSWOOD, WV, 26164</t>
  </si>
  <si>
    <t>Left Fork Sandy Creek</t>
  </si>
  <si>
    <t>18-02-0021-0014-0002</t>
  </si>
  <si>
    <t>8520 PARKERSBURG RD, SANDYVILLE, WV, 25275</t>
  </si>
  <si>
    <t>Copper Fork</t>
  </si>
  <si>
    <t>18-02-020B-0001-0000</t>
  </si>
  <si>
    <t>7124 PARKERSBURG RD, SANDYVILLE, WV, 25275</t>
  </si>
  <si>
    <t>18-02-0011-0051-0000</t>
  </si>
  <si>
    <t>3340 HEMLOCK RD, RAVENSWOOD, WV, 26164</t>
  </si>
  <si>
    <t>18-06-0006-0017-0017</t>
  </si>
  <si>
    <t>9999 VALLEY RD, MILLWOOD, WV, 25262</t>
  </si>
  <si>
    <t>Parchment Creek Tributary</t>
  </si>
  <si>
    <t>18-04-0016-0009-0000</t>
  </si>
  <si>
    <t>1715 LOWER PARCHMENT VALLEY RD, RIPLEY, WV, 25271</t>
  </si>
  <si>
    <t>18-02-0020-0085-0001</t>
  </si>
  <si>
    <t>23 INDEPENDENCE RD, SANDYVILLE, WV, 25275</t>
  </si>
  <si>
    <t>18-03-0008-0006-0021</t>
  </si>
  <si>
    <t>707 DOWNALONG DR, RAVENSWOOD, WV, 26164</t>
  </si>
  <si>
    <t>18-05-0012-0015-0000</t>
  </si>
  <si>
    <t>203 STRAIGHT ST, RIPLEY, WV, 25271</t>
  </si>
  <si>
    <t>18-03-0008-0006-0005</t>
  </si>
  <si>
    <t>719 DOWNALONG DR, RAVENSWOOD, WV, 26164</t>
  </si>
  <si>
    <t>Grasslick Creek</t>
  </si>
  <si>
    <t>18-04-0039-0004-0001</t>
  </si>
  <si>
    <t>45 HEATHERBERRY LN, RIPLEY, WV, 25271</t>
  </si>
  <si>
    <t>18-03-0008-0006-0007</t>
  </si>
  <si>
    <t>721 DOWNALONG DR, RAVENSWOOD, WV, 26164</t>
  </si>
  <si>
    <t>18-01-0014-0005-0001</t>
  </si>
  <si>
    <t>6208 RAVENSWOOD RD, RAVENSWOOD, WV, 26164</t>
  </si>
  <si>
    <t>18-03-0008-0006-0006</t>
  </si>
  <si>
    <t>715 DOWNALONG DR, RAVENSWOOD, WV, 26164</t>
  </si>
  <si>
    <t>18-03-0008-0006-0016</t>
  </si>
  <si>
    <t>723 DOWNALONG DR, RAVENSWOOD, WV, 26164</t>
  </si>
  <si>
    <t>18-04-0012-0061-0003</t>
  </si>
  <si>
    <t>406 NEW STONE RIDGE RD, RIPLEY, WV, 25271</t>
  </si>
  <si>
    <t>18-03-0008-0006-0014</t>
  </si>
  <si>
    <t>711 DOWNALONG DR, RAVENSWOOD, WV, 26164</t>
  </si>
  <si>
    <t>18-03-0012-0007-0002</t>
  </si>
  <si>
    <t>229 WATER ST, RAVENSWOOD, WV, 26164</t>
  </si>
  <si>
    <t>18-03-0008-0006-0009</t>
  </si>
  <si>
    <t>713 DOWNALONG DR, RAVENSWOOD, WV, 26164</t>
  </si>
  <si>
    <t>18-04-0011-0003-0002</t>
  </si>
  <si>
    <t>94 EVANSVIEW RD, RIPLEY, WV, 25271</t>
  </si>
  <si>
    <t>18-01-0009-0022-0000</t>
  </si>
  <si>
    <t>7362 RAVENSWOOD RD, RAVENSWOOD, WV, 26164</t>
  </si>
  <si>
    <t>Parchment Creek</t>
  </si>
  <si>
    <t>18-04-0022-0028-0001</t>
  </si>
  <si>
    <t>1271 PARCHMENT VALLEY RD, RIPLEY, WV, 25271</t>
  </si>
  <si>
    <t>18-02-0014-0031-0000</t>
  </si>
  <si>
    <t>31 DRIFT RUN RD, SANDYVILLE, WV, 25275</t>
  </si>
  <si>
    <t>18-01-008A-0036-0000</t>
  </si>
  <si>
    <t>52 OHIO ST W, RAVENSWOOD, WV, 26164</t>
  </si>
  <si>
    <t>18-06-0011-0020-0006</t>
  </si>
  <si>
    <t>8115 RIPLEY RD, COTTAGEVILLE, WV, 25239</t>
  </si>
  <si>
    <t>18-06-0016-0036-0000</t>
  </si>
  <si>
    <t>4439 RIPLEY RD, RIPLEY, WV, 25271</t>
  </si>
  <si>
    <t>18-03-0014-0079-0000</t>
  </si>
  <si>
    <t>9999 RIVERFRONT PARK, RAVENSWOOD, WV, 26164</t>
  </si>
  <si>
    <t>18-03-0008-0006-0026</t>
  </si>
  <si>
    <t>714 DOWNALONG DR, RAVENSWOOD, WV, 26164</t>
  </si>
  <si>
    <t>18-03-0008-0006-0019</t>
  </si>
  <si>
    <t>718  DOWNALONG DR, RAVENSWOOD, WV, 26164</t>
  </si>
  <si>
    <t>BOARD OF EDUCATION OF THE COUNTY OF JACKSON THE</t>
  </si>
  <si>
    <t>FIVES LLC</t>
  </si>
  <si>
    <t>RADHE HOSPITALITY LLC</t>
  </si>
  <si>
    <t>HARTLEY OIL CO INC</t>
  </si>
  <si>
    <t>MCCOY JOE L</t>
  </si>
  <si>
    <t>DONOHOE DELORES J &amp; MICHAEL B DONOHOE</t>
  </si>
  <si>
    <t>MEADOWS SHIRLEY L JR &amp; JASON B MEADOWS</t>
  </si>
  <si>
    <t>RISING RIVER LLC</t>
  </si>
  <si>
    <t>RIPLEY CHURCH OF CHRIST THE (TRUSTEES)</t>
  </si>
  <si>
    <t>THOMPSON KENNETH O JR &amp; BRENDA H</t>
  </si>
  <si>
    <t>HARTLEY OIL COMPANY INC</t>
  </si>
  <si>
    <t>RITCHIE CONNIE R</t>
  </si>
  <si>
    <t>TAYLOR RICHARD O &amp; C ANNABELLE</t>
  </si>
  <si>
    <t>BALIS JASON M &amp; KAREN M</t>
  </si>
  <si>
    <t>HUTTON TEAM LLC</t>
  </si>
  <si>
    <t>FIRST UNITED PENTECOSTAL CHURCH OF RAVENSWOOD</t>
  </si>
  <si>
    <t>JAMARCO LLC</t>
  </si>
  <si>
    <t>WEST VIRGINIA BAPTIST CONVENTION THE</t>
  </si>
  <si>
    <t>FLOOD OF FAITH MINISTRIES THE</t>
  </si>
  <si>
    <t>BERKHOUSE DONALD B &amp; PAMELA A</t>
  </si>
  <si>
    <t>OPEN BIBLE CHURCH</t>
  </si>
  <si>
    <t>SEARS H BETH &amp; LAURENCE W HANCOCK</t>
  </si>
  <si>
    <t>MONK CHARLES &amp; PATSY A</t>
  </si>
  <si>
    <t>WOLFE AMY L</t>
  </si>
  <si>
    <t>GOULD BRYAN K &amp; CHERYL L GOULD (ESTATE)</t>
  </si>
  <si>
    <t>JOHNSON BRIAN A &amp; SUSAN L</t>
  </si>
  <si>
    <t>CHAMBERS LARRY BRIAN &amp; BRIANA NICOLE</t>
  </si>
  <si>
    <t>BARICKMAN TAMATHA L</t>
  </si>
  <si>
    <t>ADKINS LARRY ZANE &amp; MARGIE MAE</t>
  </si>
  <si>
    <t>RYDER LAURA SHAFFER &amp; RICHARD L REXROAD</t>
  </si>
  <si>
    <t>HUNT SCOTT A &amp; MARY E</t>
  </si>
  <si>
    <t>FACEMYER LUMBER COMPANY INC</t>
  </si>
  <si>
    <t>COLEMAN CHAPEL CHURCH &amp; CEMETERY</t>
  </si>
  <si>
    <t>SMOLDER EDWARD R &amp; EDWARD B SMOLDER</t>
  </si>
  <si>
    <t>DRIFT RUN CHURCH TRUSTEES</t>
  </si>
  <si>
    <t>SWINEY HERBERT H &amp; CARRIE L</t>
  </si>
  <si>
    <t>MILLSITE BAPTIST CHURCH</t>
  </si>
  <si>
    <t>MARTIN JAMES L &amp; SHELLY D</t>
  </si>
  <si>
    <t>CITY OF RAVENSWOOD</t>
  </si>
  <si>
    <t>QUEEN BEN &amp; TERESA</t>
  </si>
  <si>
    <t>VARNEY GLENN R III &amp; MEREDITH</t>
  </si>
  <si>
    <t>1901</t>
  </si>
  <si>
    <t>1856</t>
  </si>
  <si>
    <t>1918</t>
  </si>
  <si>
    <t>26880</t>
  </si>
  <si>
    <t>226022</t>
  </si>
  <si>
    <t>13888</t>
  </si>
  <si>
    <t>28380</t>
  </si>
  <si>
    <t>72835</t>
  </si>
  <si>
    <t>72360</t>
  </si>
  <si>
    <t>11575</t>
  </si>
  <si>
    <t>5843</t>
  </si>
  <si>
    <t>22096</t>
  </si>
  <si>
    <t>6009</t>
  </si>
  <si>
    <t>10816</t>
  </si>
  <si>
    <t>7182</t>
  </si>
  <si>
    <t>56000</t>
  </si>
  <si>
    <t>7571</t>
  </si>
  <si>
    <t>5736</t>
  </si>
  <si>
    <t>8229</t>
  </si>
  <si>
    <t>7208</t>
  </si>
  <si>
    <t>39070</t>
  </si>
  <si>
    <t>8404</t>
  </si>
  <si>
    <t>2252</t>
  </si>
  <si>
    <t>11947</t>
  </si>
  <si>
    <t>4248</t>
  </si>
  <si>
    <t>3354</t>
  </si>
  <si>
    <t>4896</t>
  </si>
  <si>
    <t>8976</t>
  </si>
  <si>
    <t>3490</t>
  </si>
  <si>
    <t>3533</t>
  </si>
  <si>
    <t>6586</t>
  </si>
  <si>
    <t>3093</t>
  </si>
  <si>
    <t>3378</t>
  </si>
  <si>
    <t>3328</t>
  </si>
  <si>
    <t>13896</t>
  </si>
  <si>
    <t>4090</t>
  </si>
  <si>
    <t>3426</t>
  </si>
  <si>
    <t>7354</t>
  </si>
  <si>
    <t>4150</t>
  </si>
  <si>
    <t>3660</t>
  </si>
  <si>
    <t>3436</t>
  </si>
  <si>
    <t>3510</t>
  </si>
  <si>
    <t>3402</t>
  </si>
  <si>
    <t>3242</t>
  </si>
  <si>
    <t>Jackson County*</t>
  </si>
  <si>
    <t>Ravenswood</t>
  </si>
  <si>
    <t>PLEASANTS</t>
  </si>
  <si>
    <t>37-02-0007-0001-0000_181</t>
  </si>
  <si>
    <t>37-06-0001-0067-0000_104</t>
  </si>
  <si>
    <t>37-06-0001-0241-0000_213</t>
  </si>
  <si>
    <t>37-01-0003-0011-0000_3451</t>
  </si>
  <si>
    <t>37-02-0004-0027-0009_7994</t>
  </si>
  <si>
    <t>37-06-0001-0048-0000_101</t>
  </si>
  <si>
    <t>37-02-0004-0028-0006_8041</t>
  </si>
  <si>
    <t>37-06-0001-0193-0000_512</t>
  </si>
  <si>
    <t>37-07-009B-0019-0000_390</t>
  </si>
  <si>
    <t>37-01-0003-0013-0000_101</t>
  </si>
  <si>
    <t>37-07-0009-0016-0002_169</t>
  </si>
  <si>
    <t>37-06-0001-0272-0000_308</t>
  </si>
  <si>
    <t>37-01-0003-0007-0000_9999</t>
  </si>
  <si>
    <t>37-08-0003-0027-0003_2630</t>
  </si>
  <si>
    <t>37-06-0001-0113-0000_115</t>
  </si>
  <si>
    <t>37-02-0004-0004-0000_9176</t>
  </si>
  <si>
    <t>37-03-0007-0002-0000_460</t>
  </si>
  <si>
    <t>37-06-0001-0106-0000_315</t>
  </si>
  <si>
    <t>37-06-0001-0150-0000_206</t>
  </si>
  <si>
    <t>37-06-0001-0058-0000_108</t>
  </si>
  <si>
    <t>37-07-0004-0003-0004_4133</t>
  </si>
  <si>
    <t>37-03-0011-0011-0000_1790</t>
  </si>
  <si>
    <t>37-06-0001-0269-0000_210</t>
  </si>
  <si>
    <t>37-02-0006-0012-0003_2276</t>
  </si>
  <si>
    <t>37-06-0001-0177-0000_402</t>
  </si>
  <si>
    <t>37-05-0005-0041-0000_9999</t>
  </si>
  <si>
    <t>37-08-0003-0027-0000_2632</t>
  </si>
  <si>
    <t>37-07-0011-0025-0014_1609</t>
  </si>
  <si>
    <t>37-08-0005-0011-0000_1029</t>
  </si>
  <si>
    <t>37-07-0004-0003-0005_212</t>
  </si>
  <si>
    <t>37-07-0009-0032-0000_2880A</t>
  </si>
  <si>
    <t>37-06-0001-0107-0000_317</t>
  </si>
  <si>
    <t>37-02-0004-0007-0000_8998</t>
  </si>
  <si>
    <t>Pleasants County</t>
  </si>
  <si>
    <t>Bull Creek</t>
  </si>
  <si>
    <t>37-02-0007-0001-0000</t>
  </si>
  <si>
    <t>181 PLEASANT INDUSTRIAL CTR, WAVERLY, WV, 26184</t>
  </si>
  <si>
    <t>City of St. Mary'S</t>
  </si>
  <si>
    <t>37-06-0001-0067-0000</t>
  </si>
  <si>
    <t>104 WASHINGTON ST, SAINT MARYS, WV, 26170</t>
  </si>
  <si>
    <t>37-06-0001-0241-0000</t>
  </si>
  <si>
    <t>213 WASHINGTON ST, SAINT MARYS, WV, 26170</t>
  </si>
  <si>
    <t>City of Belmont</t>
  </si>
  <si>
    <t>37-01-0003-0011-0000</t>
  </si>
  <si>
    <t>3451 S PLEASANTS HWY, BELMONT, WV, 26134</t>
  </si>
  <si>
    <t>37-02-0004-0027-0009</t>
  </si>
  <si>
    <t>7994 S PLEASANTS HWY, SAINT MARYS, WV, 26170</t>
  </si>
  <si>
    <t>37-06-0001-0048-0000</t>
  </si>
  <si>
    <t>101 LAFAYETTE ST, SAINT MARYS, WV, 26170</t>
  </si>
  <si>
    <t>37-02-0004-0028-0006</t>
  </si>
  <si>
    <t>8041 S PLEASANTS HWY, SAINT MARYS, WV, 26170</t>
  </si>
  <si>
    <t>37-06-0001-0193-0000</t>
  </si>
  <si>
    <t>512 2ND ST, SAINT MARYS, WV, 26170</t>
  </si>
  <si>
    <t>37-07-009B-0019-0000</t>
  </si>
  <si>
    <t>390 POWELL RIVERFRONT RD, SAINT MARYS, WV, 26170</t>
  </si>
  <si>
    <t>37-01-0003-0013-0000</t>
  </si>
  <si>
    <t>101 CENTRAL BLVD, BELMONT, WV, 26134</t>
  </si>
  <si>
    <t>37-07-0009-0016-0002</t>
  </si>
  <si>
    <t>169 CHESTNUT OAK DR, SAINT MARYS, WV, 26170</t>
  </si>
  <si>
    <t>37-06-0001-0272-0000</t>
  </si>
  <si>
    <t>308 3RD ST, SAINT MARYS, WV, 26170</t>
  </si>
  <si>
    <t>37-01-0003-0007-0000</t>
  </si>
  <si>
    <t>9999 RIVERVIEW DR, BELMONT, WV, 26134</t>
  </si>
  <si>
    <t>37-08-0003-0027-0003</t>
  </si>
  <si>
    <t>2630 S PLEASANTS HWY, SAINT MARYS, WV, 26170</t>
  </si>
  <si>
    <t>37-06-0001-0113-0000</t>
  </si>
  <si>
    <t>115 WASHINGTON ST 102 STE, SAINT MARYS, WV, 26170</t>
  </si>
  <si>
    <t>37-02-0004-0004-0000</t>
  </si>
  <si>
    <t>9176 S PLEASANTS HWY, SAINT MARYS, WV, 26170</t>
  </si>
  <si>
    <t>37-03-0007-0002-0000</t>
  </si>
  <si>
    <t>460 BULL CREEK RD, WAVERLY, WV, 26184</t>
  </si>
  <si>
    <t>37-06-0001-0106-0000</t>
  </si>
  <si>
    <t>315 2ND ST, SAINT MARYS, WV, 26170</t>
  </si>
  <si>
    <t>37-06-0001-0150-0000</t>
  </si>
  <si>
    <t>206 LAFAYETTE ST, SAINT MARYS, WV, 26170</t>
  </si>
  <si>
    <t>37-06-0001-0058-0000</t>
  </si>
  <si>
    <t>108 GEORGE ST, SAINT MARYS, WV, 26170</t>
  </si>
  <si>
    <t>37-07-0004-0003-0004</t>
  </si>
  <si>
    <t>4133 RIVER RAIL LN, SAINT MARYS, WV, 26170</t>
  </si>
  <si>
    <t>Right Fork French Creek</t>
  </si>
  <si>
    <t>37-03-0011-0011-0000</t>
  </si>
  <si>
    <t>1790 RIGHT FRENCH CREEK RD, SAINT MARYS, WV, 26170</t>
  </si>
  <si>
    <t>37-06-0001-0269-0000</t>
  </si>
  <si>
    <t>210 3RD ST, SAINT MARYS, WV, 26170</t>
  </si>
  <si>
    <t>Cow Creek</t>
  </si>
  <si>
    <t>37-02-0006-0012-0003</t>
  </si>
  <si>
    <t>2276 COW CREEK RD, SAINT MARYS, WV, 26170</t>
  </si>
  <si>
    <t>37-06-0001-0177-0000</t>
  </si>
  <si>
    <t>402 2ND ST, SAINT MARYS, WV, 26170</t>
  </si>
  <si>
    <t>McKim Creek</t>
  </si>
  <si>
    <t>37-05-0005-0041-0000</t>
  </si>
  <si>
    <t>9999 JONESTOWN RD, SAINT MARYS, WV, 26170</t>
  </si>
  <si>
    <t>37-08-0003-0027-0000</t>
  </si>
  <si>
    <t>2632 S PLEASANTS HWY, SAINT MARYS, WV, 26170</t>
  </si>
  <si>
    <t>Middle Island Creek</t>
  </si>
  <si>
    <t>37-07-0011-0025-0014</t>
  </si>
  <si>
    <t>1609 SUGAR VALLEY RD, FRIENDLY, WV, 26146</t>
  </si>
  <si>
    <t>37-08-0005-0011-0000</t>
  </si>
  <si>
    <t>1029 HEBRON RD, SAINT MARYS, WV, 26170</t>
  </si>
  <si>
    <t>37-07-0004-0003-0005</t>
  </si>
  <si>
    <t>212 S RIVER RAIL LN, SAINT MARYS, WV, 26170</t>
  </si>
  <si>
    <t>37-07-0009-0032-0000</t>
  </si>
  <si>
    <t>2880A N PLEASANTS HWY, SAINT MARYS, WV, 26170</t>
  </si>
  <si>
    <t>37-06-0001-0107-0000</t>
  </si>
  <si>
    <t>317 2ND ST, SAINT MARYS, WV, 26170</t>
  </si>
  <si>
    <t>37-02-0004-0007-0000</t>
  </si>
  <si>
    <t>8998 S PLEASANTS HWY, SAINT MARYS, WV, 26170</t>
  </si>
  <si>
    <t>Advisory A</t>
  </si>
  <si>
    <t>SIMEX INC</t>
  </si>
  <si>
    <t>M E NORTH CHURCH</t>
  </si>
  <si>
    <t>PLEASANTS COUNTY BANK</t>
  </si>
  <si>
    <t>PLEASANTS CO BD OF EDUCATION</t>
  </si>
  <si>
    <t>SELECT ENERGY SERVICES LLC</t>
  </si>
  <si>
    <t>COUNTY COMMISSION OF PLEASANTS COUNTY</t>
  </si>
  <si>
    <t>SUMMIT ENVIRONMENTAL SERVICES LLC</t>
  </si>
  <si>
    <t>RIP INC</t>
  </si>
  <si>
    <t>PARKS CARLA DE TRUSTEE CARLA DE PARKS REVOC TRUST AGMT</t>
  </si>
  <si>
    <t>JAY MAR APARTMENTS LLC</t>
  </si>
  <si>
    <t>BRADFIELD JOHN M &amp; COZETTE C</t>
  </si>
  <si>
    <t>MATHENY FAMILY LIMITED PARTNERSHIP (THE)</t>
  </si>
  <si>
    <t>ABSTRACT WEST VIRGINIA LLC</t>
  </si>
  <si>
    <t>WHALING THOMAS F &amp; MARTHA K HESSON</t>
  </si>
  <si>
    <t>FIRST NATIONAL BANK</t>
  </si>
  <si>
    <t>SMITH CLARENCE E</t>
  </si>
  <si>
    <t>CARSON MATTHEW S &amp; RACHEL E</t>
  </si>
  <si>
    <t>PLEASANTS CO BANK</t>
  </si>
  <si>
    <t>THIEMAN NADINE</t>
  </si>
  <si>
    <t>CHURCH OF CHRIST</t>
  </si>
  <si>
    <t>SNIVELY DAVID W &amp; VICKI L</t>
  </si>
  <si>
    <t>BAUSO MICHAEL &amp; KELLI</t>
  </si>
  <si>
    <t>MCDONALD'S CORPORATION</t>
  </si>
  <si>
    <t>MAYFIELD LINDA M</t>
  </si>
  <si>
    <t>U S POST OFFICE</t>
  </si>
  <si>
    <t>BENNETT JOSHUA A &amp; ASHLEE MICHELLE</t>
  </si>
  <si>
    <t>DAVIS JERRY E &amp; VIRGINIA E</t>
  </si>
  <si>
    <t>HOLMES JOSHUA S &amp; ABIGAIL K</t>
  </si>
  <si>
    <t>WEBB LARRY A &amp; DONNA</t>
  </si>
  <si>
    <t>GORRELL DAVID W &amp; BRYNA</t>
  </si>
  <si>
    <t>WV DEPT OF MILITARY AFFAIRS AND PUBLIC SAFETY</t>
  </si>
  <si>
    <t>SWEENEY TIMOTHY L &amp; CHARLENE D</t>
  </si>
  <si>
    <t>1948</t>
  </si>
  <si>
    <t>1899</t>
  </si>
  <si>
    <t>1944</t>
  </si>
  <si>
    <t>1989</t>
  </si>
  <si>
    <t>1896</t>
  </si>
  <si>
    <t>214621</t>
  </si>
  <si>
    <t>14872</t>
  </si>
  <si>
    <t>6804</t>
  </si>
  <si>
    <t>11550</t>
  </si>
  <si>
    <t>7280</t>
  </si>
  <si>
    <t>9204</t>
  </si>
  <si>
    <t>17786</t>
  </si>
  <si>
    <t>9116</t>
  </si>
  <si>
    <t>2591</t>
  </si>
  <si>
    <t>15720</t>
  </si>
  <si>
    <t>3546</t>
  </si>
  <si>
    <t>16453</t>
  </si>
  <si>
    <t>4880</t>
  </si>
  <si>
    <t>3968</t>
  </si>
  <si>
    <t>3392</t>
  </si>
  <si>
    <t>4823</t>
  </si>
  <si>
    <t>4338</t>
  </si>
  <si>
    <t>4408</t>
  </si>
  <si>
    <t>5298</t>
  </si>
  <si>
    <t>3026</t>
  </si>
  <si>
    <t>3216</t>
  </si>
  <si>
    <t>4516</t>
  </si>
  <si>
    <t>3228</t>
  </si>
  <si>
    <t>4040</t>
  </si>
  <si>
    <t>2544</t>
  </si>
  <si>
    <t>2114</t>
  </si>
  <si>
    <t>2260</t>
  </si>
  <si>
    <t>3380</t>
  </si>
  <si>
    <t>2464</t>
  </si>
  <si>
    <t>4400</t>
  </si>
  <si>
    <t>5476</t>
  </si>
  <si>
    <t>1575</t>
  </si>
  <si>
    <t>4.5</t>
  </si>
  <si>
    <t>10.5</t>
  </si>
  <si>
    <t>15.0</t>
  </si>
  <si>
    <t>5.5</t>
  </si>
  <si>
    <t>4.1</t>
  </si>
  <si>
    <t>RITCHIE</t>
  </si>
  <si>
    <t>43-08-0011-0006-0000_4317</t>
  </si>
  <si>
    <t>43-08-0011-0003-0000_4456</t>
  </si>
  <si>
    <t>43-08-0003-0037-0000_435</t>
  </si>
  <si>
    <t>43-05-0011-0020-0000_171</t>
  </si>
  <si>
    <t>43-08-0003-0033-0002_475</t>
  </si>
  <si>
    <t>43-04-0005-0128-0000_724</t>
  </si>
  <si>
    <t>43-03-0027-0005-0000_2966</t>
  </si>
  <si>
    <t>43-10-0022-0003-0000_3795</t>
  </si>
  <si>
    <t>43-10-0040-0018-0000_7875</t>
  </si>
  <si>
    <t>43-08-0003-0036-0000_447</t>
  </si>
  <si>
    <t>43-08-0004-0191-0000_107</t>
  </si>
  <si>
    <t>43-03-0035-0014-0002_10679</t>
  </si>
  <si>
    <t>43-05-0028-0021-0000_41A</t>
  </si>
  <si>
    <t>43-05-0037-0015-0001_818</t>
  </si>
  <si>
    <t>43-08-0009-0012-0000_601</t>
  </si>
  <si>
    <t>43-03-0012-0001-0007_5591</t>
  </si>
  <si>
    <t>43-05-0060-0026-0000_3600</t>
  </si>
  <si>
    <t>43-08-0004-0269-0000_403</t>
  </si>
  <si>
    <t>43-09-0002-0015-0000_151</t>
  </si>
  <si>
    <t>43-08-0011-0005-0000_4377</t>
  </si>
  <si>
    <t>43-05-0052-0030-0000_1420</t>
  </si>
  <si>
    <t>43-03-0014-0003-0002_3560</t>
  </si>
  <si>
    <t>43-05-0037-0033-0000_2522</t>
  </si>
  <si>
    <t>43-05-0021-0016-0000_2008</t>
  </si>
  <si>
    <t>43-03-0026-0002-0000_1325</t>
  </si>
  <si>
    <t>43-10-0016-0013-0000_400</t>
  </si>
  <si>
    <t>43-08-0003-0034-0001_449</t>
  </si>
  <si>
    <t>43-07-0045-0029-0000_3124</t>
  </si>
  <si>
    <t>43-03-0014-0010-0001_3282</t>
  </si>
  <si>
    <t>43-05-0037-0030-0000_2022</t>
  </si>
  <si>
    <t>43-05-0030-0009-0004_3842</t>
  </si>
  <si>
    <t>43-03-0012-0003-0004_4257</t>
  </si>
  <si>
    <t>43-03-0017-0045-0001_7337</t>
  </si>
  <si>
    <t>43-05-0047-0014-0000_13787</t>
  </si>
  <si>
    <t>43-03-0034-0039-0002_1</t>
  </si>
  <si>
    <t>43-05-0011-0038-0003_8422</t>
  </si>
  <si>
    <t>43-03-0035-0040-0000_9875</t>
  </si>
  <si>
    <t>43-05-0011-0027-0000_86</t>
  </si>
  <si>
    <t>43-05-0042-0020-0000_6729</t>
  </si>
  <si>
    <t>43-03-0014-0011-0007_3440</t>
  </si>
  <si>
    <t>43-10-0035-0007-0001_444</t>
  </si>
  <si>
    <t>43-02-0003-0004-0000_181</t>
  </si>
  <si>
    <t>43-03-0034-0003-0000_533</t>
  </si>
  <si>
    <t>43-02-0001-0002-0000_6385</t>
  </si>
  <si>
    <t>Ritchie County</t>
  </si>
  <si>
    <t>Horner Run</t>
  </si>
  <si>
    <t>43-08-0011-0006-0000</t>
  </si>
  <si>
    <t>4317 LAMBERTON RD, PENNSBORO, WV, 26415</t>
  </si>
  <si>
    <t>City of Pennsboro</t>
  </si>
  <si>
    <t>43-08-0011-0003-0000</t>
  </si>
  <si>
    <t>4456 LAMBERTON RD, PENNSBORO, WV, 26415</t>
  </si>
  <si>
    <t>Bunnell Run</t>
  </si>
  <si>
    <t>43-08-0003-0037-0000</t>
  </si>
  <si>
    <t>435 W MYLES AVE, PENNSBORO, WV, 26415</t>
  </si>
  <si>
    <t>Goose Creek</t>
  </si>
  <si>
    <t>43-05-0011-0020-0000</t>
  </si>
  <si>
    <t>171 HOFF HOMESTEAD DR, CAIRO, WV, 26337</t>
  </si>
  <si>
    <t>43-08-0003-0033-0002</t>
  </si>
  <si>
    <t>475 W MYLES AVE, PENNSBORO, WV, 26415</t>
  </si>
  <si>
    <t>Town of Ellenboro</t>
  </si>
  <si>
    <t>Hushers Run</t>
  </si>
  <si>
    <t>43-04-0005-0128-0000</t>
  </si>
  <si>
    <t>724 E WASHINGTON AVE, ELLENBORO, WV, 26346</t>
  </si>
  <si>
    <t>Dotson Run</t>
  </si>
  <si>
    <t>43-03-0027-0005-0000</t>
  </si>
  <si>
    <t>2966 NORTHWEST TPKE, PENNSBORO, WV, 26415</t>
  </si>
  <si>
    <t>Indian Creek</t>
  </si>
  <si>
    <t>43-10-0022-0003-0000</t>
  </si>
  <si>
    <t>3795 SMITHVILLE RD, HARRISVILLE, WV, 26362</t>
  </si>
  <si>
    <t>Right Fork Spruce Creek</t>
  </si>
  <si>
    <t>43-10-0040-0018-0000</t>
  </si>
  <si>
    <t>7875 HAZELGREEN RD, SMITHVILLE, WV, 26178</t>
  </si>
  <si>
    <t>43-08-0003-0036-0000</t>
  </si>
  <si>
    <t>447 W MYLES AVE, PENNSBORO, WV, 26415</t>
  </si>
  <si>
    <t>43-08-0004-0191-0000</t>
  </si>
  <si>
    <t>107 FREAM ST, PENNSBORO, WV, 26415</t>
  </si>
  <si>
    <t>North Fork Hughes River</t>
  </si>
  <si>
    <t>43-03-0035-0014-0002</t>
  </si>
  <si>
    <t>10679 PULLMAN RD, PENNSBORO, WV, 26415</t>
  </si>
  <si>
    <t>Long Run</t>
  </si>
  <si>
    <t>43-05-0028-0021-0000</t>
  </si>
  <si>
    <t>41A SAMS RD, CAIRO, WV, 26337</t>
  </si>
  <si>
    <t>43-05-0037-0015-0001</t>
  </si>
  <si>
    <t>818 CAIRO RD, CAIRO, WV, 26337</t>
  </si>
  <si>
    <t>43-08-0009-0012-0000</t>
  </si>
  <si>
    <t>601 W MYLES AVE, PENNSBORO, WV, 26415</t>
  </si>
  <si>
    <t>Bonds Creek</t>
  </si>
  <si>
    <t>43-03-0012-0001-0007</t>
  </si>
  <si>
    <t>5591 BONDS CREEK RD, ELLENBORO, WV, 26346</t>
  </si>
  <si>
    <t>Big Run</t>
  </si>
  <si>
    <t>43-05-0060-0026-0000</t>
  </si>
  <si>
    <t>3600 SHIELDS HILL RD, CAIRO, WV, 26337</t>
  </si>
  <si>
    <t>43-08-0004-0269-0000</t>
  </si>
  <si>
    <t>403 W MYLES AVE, PENNSBORO, WV, 26415</t>
  </si>
  <si>
    <t>Town of Pullman</t>
  </si>
  <si>
    <t>Slab Creek</t>
  </si>
  <si>
    <t>43-09-0002-0015-0000</t>
  </si>
  <si>
    <t>151 MAIN ST, PULLMAN, WV, 26421</t>
  </si>
  <si>
    <t>43-08-0011-0005-0000</t>
  </si>
  <si>
    <t>4377 LAMBERTON RD, PENNSBORO, WV, 26415</t>
  </si>
  <si>
    <t>Hughes River</t>
  </si>
  <si>
    <t>43-05-0052-0030-0000</t>
  </si>
  <si>
    <t>1420 STAUNTON TPKE, PETROLEUM, WV, 26161</t>
  </si>
  <si>
    <t>Poplarlick Run</t>
  </si>
  <si>
    <t>43-03-0014-0003-0002</t>
  </si>
  <si>
    <t>3560 MOUNTAIN DR, PENNSBORO, WV, 26415</t>
  </si>
  <si>
    <t>Addis Run</t>
  </si>
  <si>
    <t>43-05-0037-0033-0000</t>
  </si>
  <si>
    <t>2522 CAIRO RD, CAIRO, WV, 26337</t>
  </si>
  <si>
    <t>43-05-0021-0016-0000</t>
  </si>
  <si>
    <t>2008 GOOSE CREEK RD, PETROLEUM, WV, 26161</t>
  </si>
  <si>
    <t>43-03-0026-0002-0000</t>
  </si>
  <si>
    <t>1325 RIVER RD, PENNSBORO, WV, 26415</t>
  </si>
  <si>
    <t>43-10-0016-0013-0000</t>
  </si>
  <si>
    <t>400 INDIAN CREEK, HARRISVILLE, WV, 26362</t>
  </si>
  <si>
    <t>43-08-0003-0034-0001</t>
  </si>
  <si>
    <t>449 W MYLES AVE, PENNSBORO, WV, 26415</t>
  </si>
  <si>
    <t>Leatherbark Creek</t>
  </si>
  <si>
    <t>43-07-0045-0029-0000</t>
  </si>
  <si>
    <t>3124 BEAN RIDGE RD, SMITHVILLE, WV, 26178</t>
  </si>
  <si>
    <t>43-03-0014-0010-0001</t>
  </si>
  <si>
    <t>3282 MOUNTAIN DR, PENNSBORO, WV, 26415</t>
  </si>
  <si>
    <t>43-05-0037-0030-0000</t>
  </si>
  <si>
    <t>2022 CAIRO RD, CAIRO, WV, 26337</t>
  </si>
  <si>
    <t>43-05-0030-0009-0004</t>
  </si>
  <si>
    <t>3842 SHIELDS HILL RD, CAIRO, WV, 26337</t>
  </si>
  <si>
    <t>43-03-0012-0003-0004</t>
  </si>
  <si>
    <t>4257 BONDS CREEK RD, PENNSBORO, WV, 26415</t>
  </si>
  <si>
    <t>43-03-0017-0045-0001</t>
  </si>
  <si>
    <t>7337 BONDS CREEK RD, ELLENBORO, WV, 26415</t>
  </si>
  <si>
    <t>Gillespie Run</t>
  </si>
  <si>
    <t>43-05-0047-0014-0000</t>
  </si>
  <si>
    <t>13787 GILLESPIE RUN RD, PETROLEUM, WV, 26161</t>
  </si>
  <si>
    <t>43-03-0034-0039-0002</t>
  </si>
  <si>
    <t>1 BROWNS MILL RD, HARRISVILLE, WV, 26362</t>
  </si>
  <si>
    <t>43-05-0011-0038-0003</t>
  </si>
  <si>
    <t>8422 GLENDALE RD, CAIRO, WV, 26337</t>
  </si>
  <si>
    <t>Beason Run</t>
  </si>
  <si>
    <t>43-03-0035-0040-0000</t>
  </si>
  <si>
    <t>9875 PULLMAN RD, PENNSBORO, WV, 26415</t>
  </si>
  <si>
    <t>Layfields Run</t>
  </si>
  <si>
    <t>43-05-0011-0027-0000</t>
  </si>
  <si>
    <t>86 OLD DAIRY RD, CAIRO, WV, 26337</t>
  </si>
  <si>
    <t>43-05-0042-0020-0000</t>
  </si>
  <si>
    <t>6729 CISCO RD, PETROLEUM, WV, 26161</t>
  </si>
  <si>
    <t>43-03-0014-0011-0007</t>
  </si>
  <si>
    <t>3440 MOUNTAIN DR, PENNSBORO, WV, 26415</t>
  </si>
  <si>
    <t>Bone Creek</t>
  </si>
  <si>
    <t>43-10-0035-0007-0001</t>
  </si>
  <si>
    <t>444 BONE CREEK RD, BEREA, WV, 26327</t>
  </si>
  <si>
    <t>Town of Cairo</t>
  </si>
  <si>
    <t>43-02-0003-0004-0000</t>
  </si>
  <si>
    <t>181 SILVER RUN RD, CAIRO, WV, 26337</t>
  </si>
  <si>
    <t>Stewart Run</t>
  </si>
  <si>
    <t>43-03-0034-0003-0000</t>
  </si>
  <si>
    <t>533 STEWARTS RUN, HARRISVILLE, WV, 26362</t>
  </si>
  <si>
    <t>43-02-0001-0002-0000</t>
  </si>
  <si>
    <t>6385 ROLLING RIVER RD, CAIRO, WV, 26337</t>
  </si>
  <si>
    <t>CENTRAL COMMUNICATIONS INC</t>
  </si>
  <si>
    <t>CGP DEVELOPMENT CO INC</t>
  </si>
  <si>
    <t>MACS REALTY LLC</t>
  </si>
  <si>
    <t>HOFF JOSEPH MICHAEL, DIANA OPLEY, NICHOLS MELISSA ANN</t>
  </si>
  <si>
    <t>CM PROPERTIES PENNSBORO LLC</t>
  </si>
  <si>
    <t>HALL DRILLING LLC</t>
  </si>
  <si>
    <t>PERKINS LAND COMPANY LLC</t>
  </si>
  <si>
    <t>MCDONALD JEFFERY T</t>
  </si>
  <si>
    <t>CLAYTON TIMOTHY A REVOCABLE LIVING TRUST</t>
  </si>
  <si>
    <t>GENERATION HOLDINGS LLC</t>
  </si>
  <si>
    <t>CHURCH OF GOD</t>
  </si>
  <si>
    <t>JONES CHRIS N &amp; LEA M ATTN: ESCROW DEPT</t>
  </si>
  <si>
    <t>LEE BEVERLY J (LIFE) LEE RUSTY R &amp; JEREMY P</t>
  </si>
  <si>
    <t>VIRCO INC</t>
  </si>
  <si>
    <t>MERRITT LOUANNA C</t>
  </si>
  <si>
    <t>BUTTA VINCE A &amp; JESSICA</t>
  </si>
  <si>
    <t>JAY BEE OIL &amp; GAS INC</t>
  </si>
  <si>
    <t>RITCHIE COUNTY COMMISS ON</t>
  </si>
  <si>
    <t>CHURCH M P</t>
  </si>
  <si>
    <t>SUMMIT COMMUNITY BANK INC</t>
  </si>
  <si>
    <t>WILSON DALLAS WAYNE</t>
  </si>
  <si>
    <t>KING JOHN H &amp; DOLORES J</t>
  </si>
  <si>
    <t>LEMON VADA JOSEPHINE</t>
  </si>
  <si>
    <t>HESS LARRY K &amp; ALICE C</t>
  </si>
  <si>
    <t>LESKOWICZ MARK A &amp; NOREEN</t>
  </si>
  <si>
    <t>VALENTINE MICHAEL JOSEPH</t>
  </si>
  <si>
    <t>DIGMAN RAYMOND G &amp; RUBY K</t>
  </si>
  <si>
    <t>BUSH RUSSELL S LINDA M</t>
  </si>
  <si>
    <t>HAYES MICHAEL J &amp; AMANDA D</t>
  </si>
  <si>
    <t>HILKEY ROYDICE D &amp; RUTH E</t>
  </si>
  <si>
    <t>HAGA CLARENCE E &amp; KAREN D</t>
  </si>
  <si>
    <t>COKELEY JOANNA B</t>
  </si>
  <si>
    <t>SHEPLER DARYL J &amp; ALISA J</t>
  </si>
  <si>
    <t>PARSONS CODY D &amp; GRETCHEN M</t>
  </si>
  <si>
    <t>SWADLEY STEPHEN T &amp; MARJORIE ANN</t>
  </si>
  <si>
    <t>WILSON LYLE &amp; REBECCA</t>
  </si>
  <si>
    <t>DODD D MAX &amp; LAURA B</t>
  </si>
  <si>
    <t>RINEHART DARRELL L &amp; MARY L</t>
  </si>
  <si>
    <t>STOUT RANDALL J &amp; E CAROL</t>
  </si>
  <si>
    <t>BUTCHER FLOYD T III &amp; TERESA D</t>
  </si>
  <si>
    <t>BOBIER JOSEPH &amp; ANGELA K</t>
  </si>
  <si>
    <t>EDWARDS AARON CECIL</t>
  </si>
  <si>
    <t>KEITH SHARON SUE (LIFE) KEITH JAMES DALTON</t>
  </si>
  <si>
    <t>MICHAEL ALLEN LEE &amp; DONALDL, RICE CYNTHIA L</t>
  </si>
  <si>
    <t>1942</t>
  </si>
  <si>
    <t>1963</t>
  </si>
  <si>
    <t>1920</t>
  </si>
  <si>
    <t>1939</t>
  </si>
  <si>
    <t>1947</t>
  </si>
  <si>
    <t>1880</t>
  </si>
  <si>
    <t>1958</t>
  </si>
  <si>
    <t>1910</t>
  </si>
  <si>
    <t>2013</t>
  </si>
  <si>
    <t>RES2</t>
  </si>
  <si>
    <t>7198</t>
  </si>
  <si>
    <t>19000</t>
  </si>
  <si>
    <t>24856</t>
  </si>
  <si>
    <t>6666</t>
  </si>
  <si>
    <t>8989</t>
  </si>
  <si>
    <t>54386</t>
  </si>
  <si>
    <t>9375</t>
  </si>
  <si>
    <t>2688</t>
  </si>
  <si>
    <t>932</t>
  </si>
  <si>
    <t>6996</t>
  </si>
  <si>
    <t>4200</t>
  </si>
  <si>
    <t>2588</t>
  </si>
  <si>
    <t>2356</t>
  </si>
  <si>
    <t>6048</t>
  </si>
  <si>
    <t>2509</t>
  </si>
  <si>
    <t>1680</t>
  </si>
  <si>
    <t>2312</t>
  </si>
  <si>
    <t>3500</t>
  </si>
  <si>
    <t>2457</t>
  </si>
  <si>
    <t>1470</t>
  </si>
  <si>
    <t>1952</t>
  </si>
  <si>
    <t>1848</t>
  </si>
  <si>
    <t>3128</t>
  </si>
  <si>
    <t>1488</t>
  </si>
  <si>
    <t>1458</t>
  </si>
  <si>
    <t>1938</t>
  </si>
  <si>
    <t>2102</t>
  </si>
  <si>
    <t>912</t>
  </si>
  <si>
    <t>1792</t>
  </si>
  <si>
    <t>1624</t>
  </si>
  <si>
    <t>2832</t>
  </si>
  <si>
    <t>2286</t>
  </si>
  <si>
    <t>1440</t>
  </si>
  <si>
    <t>1404</t>
  </si>
  <si>
    <t>ROANE</t>
  </si>
  <si>
    <t>44-08-0003-0100-0001_102</t>
  </si>
  <si>
    <t>44-02-0007-0064-0000_9538</t>
  </si>
  <si>
    <t>44-09-0012-0071-0000_90</t>
  </si>
  <si>
    <t>44-08-0005-0203-0000_58</t>
  </si>
  <si>
    <t>44-08-0005-0191-0000_146</t>
  </si>
  <si>
    <t>44-08-0004-0150-0000_123</t>
  </si>
  <si>
    <t>44-08-0004-0315-0000_9999</t>
  </si>
  <si>
    <t>44-08-0012-0006-0000_677</t>
  </si>
  <si>
    <t>44-08-0004-0216-0000_401</t>
  </si>
  <si>
    <t>44-09-0034-0009-0000_7047</t>
  </si>
  <si>
    <t>44-08-0004-0309-0001_110</t>
  </si>
  <si>
    <t>44-08-0005-0157-0001_1</t>
  </si>
  <si>
    <t>44-08-0005-0091-0000_601</t>
  </si>
  <si>
    <t>44-08-0006-0047-0000_208</t>
  </si>
  <si>
    <t>44-06-0003-0040-0001_2901</t>
  </si>
  <si>
    <t>44-08-0004-0249-0000_9999</t>
  </si>
  <si>
    <t>44-08-0006-0046-0000_200</t>
  </si>
  <si>
    <t>44-01-0006-0016-0003_385</t>
  </si>
  <si>
    <t>44-08-0012-0006-0001_9999</t>
  </si>
  <si>
    <t>44-04-0012-0038-0000_3904</t>
  </si>
  <si>
    <t>44-07-022A-0014-0001_513</t>
  </si>
  <si>
    <t>44-08-0006-0044-0000_206</t>
  </si>
  <si>
    <t>44-01-0005-0019-0007_4641</t>
  </si>
  <si>
    <t>44-08-0004-0305-0000_106</t>
  </si>
  <si>
    <t>44-09-0006-0012-0002_4558</t>
  </si>
  <si>
    <t>44-01-0009-0042-0000_3706</t>
  </si>
  <si>
    <t>44-07-022A-0003-0000_510</t>
  </si>
  <si>
    <t>44-07-0030-0021-0001_1050</t>
  </si>
  <si>
    <t>44-02-0010-0019-0000_2382</t>
  </si>
  <si>
    <t>44-02-0016-0002-0003_1466</t>
  </si>
  <si>
    <t>44-04-0005-0052-0001_4938</t>
  </si>
  <si>
    <t>44-07-022E-0006-0000_51</t>
  </si>
  <si>
    <t>44-05-0002-0129-0000_54</t>
  </si>
  <si>
    <t>44-08-0003-0107-0000_361</t>
  </si>
  <si>
    <t>44-08-0004-0094-0000_109</t>
  </si>
  <si>
    <t>44-07-0022-0097-0000_541</t>
  </si>
  <si>
    <t>44-07-022A-0029-0001_485</t>
  </si>
  <si>
    <t>44-06-0013-0043-0000_3761</t>
  </si>
  <si>
    <t>44-08-0003-0077-0000_100</t>
  </si>
  <si>
    <t>City of Spencer</t>
  </si>
  <si>
    <t>Spring Creek</t>
  </si>
  <si>
    <t>44-08-0003-0100-0001</t>
  </si>
  <si>
    <t>102 CHAPMAN AVE, SPENCER, WV, 25276</t>
  </si>
  <si>
    <t>Roane County</t>
  </si>
  <si>
    <t>Ashleycamp Run</t>
  </si>
  <si>
    <t>44-02-0007-0064-0000</t>
  </si>
  <si>
    <t>9538 CLAY RD, LEFT HAND, WV, 25251</t>
  </si>
  <si>
    <t>Pocatalico River</t>
  </si>
  <si>
    <t>44-09-0012-0071-0000</t>
  </si>
  <si>
    <t>90 SCHOOL DR, WALTON, WV, 25286</t>
  </si>
  <si>
    <t>44-08-0005-0203-0000</t>
  </si>
  <si>
    <t>58 WILLIAMS DR, SPENCER, WV, 25276</t>
  </si>
  <si>
    <t>44-08-0005-0191-0000</t>
  </si>
  <si>
    <t>146 WILLIAMS DR, SPENCER, WV, 25276</t>
  </si>
  <si>
    <t>44-08-0004-0150-0000</t>
  </si>
  <si>
    <t>123 COURT ST, SPENCER, WV, 25276</t>
  </si>
  <si>
    <t>44-08-0004-0315-0000</t>
  </si>
  <si>
    <t>9999 WILLIAMS DR, SPENCER, WV, 25276</t>
  </si>
  <si>
    <t>Tanner Run</t>
  </si>
  <si>
    <t>44-08-0012-0006-0000</t>
  </si>
  <si>
    <t>677 RIPLEY RD, SPENCER, WV, 25276</t>
  </si>
  <si>
    <t>44-08-0004-0216-0000</t>
  </si>
  <si>
    <t>401 CHURCH ST, SPENCER, WV, 25276</t>
  </si>
  <si>
    <t>44-09-0034-0009-0000</t>
  </si>
  <si>
    <t>7047 CHARLESTON RD, WALTON, WV, 25286</t>
  </si>
  <si>
    <t>44-08-0004-0309-0001</t>
  </si>
  <si>
    <t>110 BOWMAN ST, SPENCER, WV, 25276</t>
  </si>
  <si>
    <t>44-08-0005-0157-0001</t>
  </si>
  <si>
    <t>1 BLACK WALNUT AVE, SPENCER, WV, 25276</t>
  </si>
  <si>
    <t>44-08-0005-0091-0000</t>
  </si>
  <si>
    <t>601 MARKET ST, SPENCER, WV, 25276</t>
  </si>
  <si>
    <t>Goff Run</t>
  </si>
  <si>
    <t>44-08-0006-0047-0000</t>
  </si>
  <si>
    <t>208 E MAIN ST, SPENCER, WV, 25276</t>
  </si>
  <si>
    <t>Henry Fork</t>
  </si>
  <si>
    <t>44-06-0003-0040-0001</t>
  </si>
  <si>
    <t>2901 CLOVER RD, SPENCER, WV, 25276</t>
  </si>
  <si>
    <t>44-08-0004-0249-0000</t>
  </si>
  <si>
    <t>9999 COURT ST, SPENCER, WV, 25276</t>
  </si>
  <si>
    <t>44-08-0006-0046-0000</t>
  </si>
  <si>
    <t>200 E MAIN ST, SPENCER, WV, 25276</t>
  </si>
  <si>
    <t>Left Fork Reedy Creek</t>
  </si>
  <si>
    <t>44-01-0006-0016-0003</t>
  </si>
  <si>
    <t>385 REEDYVILLE RD, REEDY, WV, 25270</t>
  </si>
  <si>
    <t>44-08-0012-0006-0001</t>
  </si>
  <si>
    <t>9999 RIPLEY RD, SPENCER, WV, 25276</t>
  </si>
  <si>
    <t>44-04-0012-0038-0000</t>
  </si>
  <si>
    <t>3904 BARRCUT RD, SPENCER, WV, 25276</t>
  </si>
  <si>
    <t>44-07-022A-0014-0001</t>
  </si>
  <si>
    <t>513 W MAIN ST, SPENCER, WV, 25276</t>
  </si>
  <si>
    <t>44-08-0006-0044-0000</t>
  </si>
  <si>
    <t>206 E MAIN ST, SPENCER, WV, 25276</t>
  </si>
  <si>
    <t>Middle Fork Reedy Creek</t>
  </si>
  <si>
    <t>44-01-0005-0019-0007</t>
  </si>
  <si>
    <t>4641 RIPLEY RD, REEDY, WV, 25270</t>
  </si>
  <si>
    <t>44-08-0004-0305-0000</t>
  </si>
  <si>
    <t>106 BOWMAN ST, SPENCER, WV, 25276</t>
  </si>
  <si>
    <t>Big Lick Run</t>
  </si>
  <si>
    <t>44-09-0006-0012-0002</t>
  </si>
  <si>
    <t>4558 CHARLESTON RD, GANDEEVILLE, WV, 25243</t>
  </si>
  <si>
    <t>44-01-0009-0042-0000</t>
  </si>
  <si>
    <t>3706 RIPLEY RD, SPENCER, WV, 25276</t>
  </si>
  <si>
    <t>44-07-022A-0003-0000</t>
  </si>
  <si>
    <t>510 RIPLEY RD, SPENCER, WV, 25276</t>
  </si>
  <si>
    <t>Laurel Run</t>
  </si>
  <si>
    <t>44-07-0030-0021-0001</t>
  </si>
  <si>
    <t>1050 BOGGS FORK RD, SPENCER, WV, 25276</t>
  </si>
  <si>
    <t>Middle Fork Big Sandy Creek</t>
  </si>
  <si>
    <t>44-02-0010-0019-0000</t>
  </si>
  <si>
    <t>2382 ULER RD, NEWTON, WV, 25266</t>
  </si>
  <si>
    <t>44-02-0016-0002-0003</t>
  </si>
  <si>
    <t>1466 ULER RD, NEWTON, WV, 25266</t>
  </si>
  <si>
    <t>Reedy Creek</t>
  </si>
  <si>
    <t>44-04-0005-0052-0001</t>
  </si>
  <si>
    <t>4938 PARKERSBURG RD, REEDY, WV, 25270</t>
  </si>
  <si>
    <t>Left Fork Spring Creek</t>
  </si>
  <si>
    <t>44-07-022E-0006-0000</t>
  </si>
  <si>
    <t>51 MALLARD DR, SPENCER, WV, 25276</t>
  </si>
  <si>
    <t>Town of Reedy</t>
  </si>
  <si>
    <t>Right Fork Reedy Creek</t>
  </si>
  <si>
    <t>44-05-0002-0129-0000</t>
  </si>
  <si>
    <t>54 MAIN ST, REEDY, WV, 25270</t>
  </si>
  <si>
    <t>44-08-0003-0107-0000</t>
  </si>
  <si>
    <t>361 MAIN ST, SPENCER, WV, 25276</t>
  </si>
  <si>
    <t>44-08-0004-0094-0000</t>
  </si>
  <si>
    <t>109 MARKET ST, SPENCER, WV, 25276</t>
  </si>
  <si>
    <t>44-07-0022-0097-0000</t>
  </si>
  <si>
    <t>541 CLAY RD, SPENCER, WV, 25276</t>
  </si>
  <si>
    <t>44-07-022A-0029-0001</t>
  </si>
  <si>
    <t>485 W MAIN ST, SPENCER, WV, 25276</t>
  </si>
  <si>
    <t>44-06-0013-0043-0000</t>
  </si>
  <si>
    <t>3761 TARIFF RD, LOONEYVILLE, WV, 25259</t>
  </si>
  <si>
    <t>44-08-0003-0077-0000</t>
  </si>
  <si>
    <t>100 LOCUST AVE, SPENCER, WV, 25276</t>
  </si>
  <si>
    <t>SPENCER HIGH SCHOOL</t>
  </si>
  <si>
    <t>MDC COAST 21 LLC</t>
  </si>
  <si>
    <t>ROANE CO FAMILY HEALTH CARE</t>
  </si>
  <si>
    <t>SPENCER BLDG COMM</t>
  </si>
  <si>
    <t>SISTERS PROPERTIES LLC</t>
  </si>
  <si>
    <t>NICHOLS RAYMOND M (LIFE EST) NICHOLS STEVEN M</t>
  </si>
  <si>
    <t>SPENCER M E</t>
  </si>
  <si>
    <t>POCA VALLEY BANK INC</t>
  </si>
  <si>
    <t>ROANE COUNTY LIBRARY BOARD</t>
  </si>
  <si>
    <t>HAYS &amp; CO INC</t>
  </si>
  <si>
    <t>WV DEPT OF TRANS-DIV OF HWY</t>
  </si>
  <si>
    <t>ROANE COUNTY COURT</t>
  </si>
  <si>
    <t>SNODGRASS JOHN B ET UX</t>
  </si>
  <si>
    <t>HARSPRO INC</t>
  </si>
  <si>
    <t>ROANE COUNTY COMM</t>
  </si>
  <si>
    <t>WATSON BRENT ET UX</t>
  </si>
  <si>
    <t>JDS PROPERTIES II LLC</t>
  </si>
  <si>
    <t>GILBOA CHURCH TRUSTEES</t>
  </si>
  <si>
    <t>TRINITY HOLDINGS LLC</t>
  </si>
  <si>
    <t>CITY OF SPENCER</t>
  </si>
  <si>
    <t>GOODSON STEPHANIE F ET CON</t>
  </si>
  <si>
    <t>FRUTH JACK E ET AL</t>
  </si>
  <si>
    <t>NICHOLS JOHN W ET UX</t>
  </si>
  <si>
    <t>EASTMAN JEREMY ETAL</t>
  </si>
  <si>
    <t>VANNOY KENNETH ET UX</t>
  </si>
  <si>
    <t>BOGGS FORK COMMUNITY CHURCH</t>
  </si>
  <si>
    <t>HAROLD ROBERT E ETAL (L EST) HAROLD ANDREW E</t>
  </si>
  <si>
    <t>ROSS JOSEPH ET UX</t>
  </si>
  <si>
    <t>TERRELL'S METAL &amp; FARM SUPPLY LLC</t>
  </si>
  <si>
    <t>ASHLEY ROBERT G ET UX</t>
  </si>
  <si>
    <t>REEDY VOLUNTEER FIRE DEPT INC</t>
  </si>
  <si>
    <t>HEATER OIL CO INC</t>
  </si>
  <si>
    <t>LOCKHART RICHARD F  ETUX</t>
  </si>
  <si>
    <t>GRIFFITH ROSS J ETUX</t>
  </si>
  <si>
    <t>SUPER SPLASH LLC</t>
  </si>
  <si>
    <t>HAYS FORK COMM CHURCH</t>
  </si>
  <si>
    <t>ARMACELL LLC</t>
  </si>
  <si>
    <t>1966</t>
  </si>
  <si>
    <t>1953</t>
  </si>
  <si>
    <t>1961</t>
  </si>
  <si>
    <t>39914</t>
  </si>
  <si>
    <t>50699</t>
  </si>
  <si>
    <t>46246</t>
  </si>
  <si>
    <t>20800</t>
  </si>
  <si>
    <t>37000</t>
  </si>
  <si>
    <t>14792</t>
  </si>
  <si>
    <t>8034</t>
  </si>
  <si>
    <t>35538</t>
  </si>
  <si>
    <t>4428</t>
  </si>
  <si>
    <t>11872</t>
  </si>
  <si>
    <t>11000</t>
  </si>
  <si>
    <t>4939</t>
  </si>
  <si>
    <t>17624</t>
  </si>
  <si>
    <t>17356</t>
  </si>
  <si>
    <t>7073</t>
  </si>
  <si>
    <t>19900</t>
  </si>
  <si>
    <t>9400</t>
  </si>
  <si>
    <t>5153</t>
  </si>
  <si>
    <t>3888</t>
  </si>
  <si>
    <t>5155</t>
  </si>
  <si>
    <t>2576</t>
  </si>
  <si>
    <t>16472</t>
  </si>
  <si>
    <t>3895</t>
  </si>
  <si>
    <t>12800</t>
  </si>
  <si>
    <t>3282</t>
  </si>
  <si>
    <t>3300</t>
  </si>
  <si>
    <t>13200</t>
  </si>
  <si>
    <t>3962</t>
  </si>
  <si>
    <t>3584</t>
  </si>
  <si>
    <t>5940</t>
  </si>
  <si>
    <t>7840</t>
  </si>
  <si>
    <t>3718</t>
  </si>
  <si>
    <t>4800</t>
  </si>
  <si>
    <t>3080</t>
  </si>
  <si>
    <t>13170</t>
  </si>
  <si>
    <t>8052</t>
  </si>
  <si>
    <t>4348</t>
  </si>
  <si>
    <t>44203</t>
  </si>
  <si>
    <t>TYLER</t>
  </si>
  <si>
    <t>48-02-0009-0039-0000_1993</t>
  </si>
  <si>
    <t>48-09-0004-0083-0000_314</t>
  </si>
  <si>
    <t>48-01-0005-0004-0000_1185</t>
  </si>
  <si>
    <t>48-09-0002-0056-0000_9999</t>
  </si>
  <si>
    <t>48-02-0021-0022-0000_88</t>
  </si>
  <si>
    <t>48-09-0001-0027-0000_311</t>
  </si>
  <si>
    <t>48-02-0021-0047-0000_421</t>
  </si>
  <si>
    <t>48-02-0021-0044-0000_97</t>
  </si>
  <si>
    <t>48-10-0004-0011-0000_8442</t>
  </si>
  <si>
    <t>48-09-0003-0280-0000_809</t>
  </si>
  <si>
    <t>48-02-0013-0010-0000_3647</t>
  </si>
  <si>
    <t>48-02-0010-0015-0007_1641</t>
  </si>
  <si>
    <t>48-01-0012-0009-0000_12046</t>
  </si>
  <si>
    <t>48-10-0001-0003-0001_7816</t>
  </si>
  <si>
    <t>48-09-0002-0019-0000_818</t>
  </si>
  <si>
    <t>48-05-0010-0002-0004_48</t>
  </si>
  <si>
    <t>48-05-0010-0002-0016_230</t>
  </si>
  <si>
    <t>48-02-0011-0082-0000_4090</t>
  </si>
  <si>
    <t>48-01-0018-0009-0000_60</t>
  </si>
  <si>
    <t>48-10-0009-0040-0001_404</t>
  </si>
  <si>
    <t>48-10-001B-0008-0000_8</t>
  </si>
  <si>
    <t>48-04-0005-0049-0002_657</t>
  </si>
  <si>
    <t>48-09-0001-0100-0000_600</t>
  </si>
  <si>
    <t>48-10-001B-0007-0000_7</t>
  </si>
  <si>
    <t>48-10-0003-0002-0002_9713</t>
  </si>
  <si>
    <t>48-10-0003-0010-0000_8659</t>
  </si>
  <si>
    <t>48-10-001A-0028-0000_107</t>
  </si>
  <si>
    <t>48-09-0002-0035-0000_938</t>
  </si>
  <si>
    <t>48-02-0010-0054-0000_3341</t>
  </si>
  <si>
    <t>48-02-0011-0055-0000_44</t>
  </si>
  <si>
    <t>48-05-0019-0064-0001_1084</t>
  </si>
  <si>
    <t>48-02-0005-0005-0000_827</t>
  </si>
  <si>
    <t>48-05-0010-0016-0002_7473</t>
  </si>
  <si>
    <t>48-10-013A-0004-0000_2325</t>
  </si>
  <si>
    <t>48-09-0002-0028-0000_200</t>
  </si>
  <si>
    <t>48-05-0010-0002-0017_104</t>
  </si>
  <si>
    <t>48-02-014A-0029-0002_10247</t>
  </si>
  <si>
    <t>48-09-0003-0001-0000_630</t>
  </si>
  <si>
    <t>48-02-0009-0065-0000_7357</t>
  </si>
  <si>
    <t>48-01-0005-0005-0001_8458</t>
  </si>
  <si>
    <t>48-08-0002-0014-0002_410</t>
  </si>
  <si>
    <t>48-05-0015-0007-0000_766</t>
  </si>
  <si>
    <t>48-10-0013-0049-0003_1614</t>
  </si>
  <si>
    <t>48-04-007A-0026-0000_93</t>
  </si>
  <si>
    <t>48-02-0017-0003-0000_7750</t>
  </si>
  <si>
    <t>48-10-001B-0011-0000_11</t>
  </si>
  <si>
    <t>48-02-0003-0043-0000_2338</t>
  </si>
  <si>
    <t>48-09-0001-0074-0001_444</t>
  </si>
  <si>
    <t>48-05-0010-0055-0000_6473</t>
  </si>
  <si>
    <t>48-10-0001-0034-0001_237</t>
  </si>
  <si>
    <t>48-05-0019-0013-0003_5956</t>
  </si>
  <si>
    <t>48-02-0006-0016-0000_105</t>
  </si>
  <si>
    <t>48-02-0006-0041-0003_158</t>
  </si>
  <si>
    <t>48-09-0003-0049-0000_725</t>
  </si>
  <si>
    <t>48-10-0009-0031-0000_5562</t>
  </si>
  <si>
    <t>48-09-0003-0004-0000_601</t>
  </si>
  <si>
    <t>48-04-007A-0010-0000_75</t>
  </si>
  <si>
    <t>48-01-0008-0019-0000_11216</t>
  </si>
  <si>
    <t>48-10-0001-0040-0000_6219</t>
  </si>
  <si>
    <t>48-06-0007-0026-0000_9520</t>
  </si>
  <si>
    <t>48-05-0010-0007-0001_6666</t>
  </si>
  <si>
    <t>Tyler County</t>
  </si>
  <si>
    <t>Point Pleasant Creek</t>
  </si>
  <si>
    <t>48-02-0009-0039-0000</t>
  </si>
  <si>
    <t>1993 SILVER KNIGHT DR, SISTERSVILLE, WV, 26175</t>
  </si>
  <si>
    <t>City of Sisterville</t>
  </si>
  <si>
    <t>48-09-0004-0083-0000</t>
  </si>
  <si>
    <t>314 S WELLS ST, SISTERSVILLE, WV, 26175</t>
  </si>
  <si>
    <t>48-01-0005-0004-0000</t>
  </si>
  <si>
    <t xml:space="preserve">1185 PITTS LN, ALMA, WV, 26320 </t>
  </si>
  <si>
    <t>48-09-0002-0056-0000</t>
  </si>
  <si>
    <t>9999 WORK ST, SISTERSVILLE, WV, 26175</t>
  </si>
  <si>
    <t>48-02-0021-0022-0000</t>
  </si>
  <si>
    <t>88 4H DR, MIDDLEBOURNE, WV, 26149</t>
  </si>
  <si>
    <t>48-09-0001-0027-0000</t>
  </si>
  <si>
    <t>311 GEORGE ST, SISTERSVILLE, WV, 26175</t>
  </si>
  <si>
    <t>48-02-0021-0047-0000</t>
  </si>
  <si>
    <t>421 SPEEDWAY DR, MIDDLEBOURNE, WV, 26149</t>
  </si>
  <si>
    <t>48-02-0021-0044-0000</t>
  </si>
  <si>
    <t>97 COUNTY HOME DR, MIDDLEBOURNE, WV, 26149</t>
  </si>
  <si>
    <t>48-10-0004-0011-0000</t>
  </si>
  <si>
    <t>8442 ENERGY HWY, FRIENDLY, WV, 26146</t>
  </si>
  <si>
    <t>48-09-0003-0280-0000</t>
  </si>
  <si>
    <t>809 CHELSEA ST, SISTERSVILLE, WV, 26175</t>
  </si>
  <si>
    <t>48-02-0013-0010-0000</t>
  </si>
  <si>
    <t>3647 NEXT RD, SISTERSVILLE, WV, 26175</t>
  </si>
  <si>
    <t>Elk Fork</t>
  </si>
  <si>
    <t>48-02-0010-0015-0007</t>
  </si>
  <si>
    <t>1641 ELK FORK RD, MIDDLEBOURNE, WV, 26149</t>
  </si>
  <si>
    <t>48-01-0012-0009-0000</t>
  </si>
  <si>
    <t>12046 MIDDLE ISLAND RD, ALMA, WV, 26320</t>
  </si>
  <si>
    <t>48-10-0001-0003-0001</t>
  </si>
  <si>
    <t>7816 ENERGY HWY, FRIENDLY, WV, 26146</t>
  </si>
  <si>
    <t>48-09-0002-0019-0000</t>
  </si>
  <si>
    <t>818 MAIN ST, SISTERSVILLE, WV, 26175</t>
  </si>
  <si>
    <t>48-05-0010-0002-0004</t>
  </si>
  <si>
    <t>48 INDIAN CREEK RD, ALMA, WV, 26320</t>
  </si>
  <si>
    <t>48-05-0010-0002-0016</t>
  </si>
  <si>
    <t xml:space="preserve">230 INDIAN CREEK RD, ALMA, WV, 26320 </t>
  </si>
  <si>
    <t>48-02-0011-0082-0000</t>
  </si>
  <si>
    <t>4090 ELK FORK RD, MIDDLEBOURNE, WV, 26149</t>
  </si>
  <si>
    <t>Short Run</t>
  </si>
  <si>
    <t>48-01-0018-0009-0000</t>
  </si>
  <si>
    <t>60 LONG RUN RD, PENNSBORO, WV, 26415</t>
  </si>
  <si>
    <t>48-10-0009-0040-0001</t>
  </si>
  <si>
    <t>404 DANSERS LN, FRIENDLY, WV, 26146</t>
  </si>
  <si>
    <t>48-10-001B-0008-0000</t>
  </si>
  <si>
    <t>8 OAK ST, FRIENDLY, WV, 26175</t>
  </si>
  <si>
    <t>Buck Run</t>
  </si>
  <si>
    <t>48-04-0005-0049-0002</t>
  </si>
  <si>
    <t>657 BUCK RUN RD TRLR, SISTERSVILLE, WV, 26175</t>
  </si>
  <si>
    <t>48-09-0001-0100-0000</t>
  </si>
  <si>
    <t>600 RIVERSIDE DR, SISTERSVILLE, WV, 26175</t>
  </si>
  <si>
    <t>48-10-001B-0007-0000</t>
  </si>
  <si>
    <t>7 OAK ST, FRIENDLY, WV, 26175</t>
  </si>
  <si>
    <t>48-10-0003-0002-0002</t>
  </si>
  <si>
    <t>9713 ENERGY HWY, FRIENDLY, WV, 26146</t>
  </si>
  <si>
    <t>48-10-0003-0010-0000</t>
  </si>
  <si>
    <t>8659 ENERGY HWY, FRIENDLY, WV, 26146</t>
  </si>
  <si>
    <t>48-10-001A-0028-0000</t>
  </si>
  <si>
    <t>107 CHERRY LN, FRIENDLY, WV, 26175</t>
  </si>
  <si>
    <t>48-09-0002-0035-0000</t>
  </si>
  <si>
    <t>938 MCCOY ST, SISTERSVILLE, WV, 26175</t>
  </si>
  <si>
    <t>48-02-0010-0054-0000</t>
  </si>
  <si>
    <t>3341 ELK FORK RD, MIDDLEBOURNE, WV, 26149</t>
  </si>
  <si>
    <t>48-02-0011-0055-0000</t>
  </si>
  <si>
    <t>44 CRANES NEST RD, MIDDLEBOURNE, WV, 26149</t>
  </si>
  <si>
    <t>Sandy Run</t>
  </si>
  <si>
    <t>48-05-0019-0064-0001</t>
  </si>
  <si>
    <t>1084 SANDYS RUN RD, ALMA, WV, 26456</t>
  </si>
  <si>
    <t>48-02-0005-0005-0000</t>
  </si>
  <si>
    <t>827 VETERANS HWY, MIDDLEBOURNE, WV, 26155</t>
  </si>
  <si>
    <t>48-05-0010-0016-0002</t>
  </si>
  <si>
    <t>7473 MIDDLE ISLAND RD, ALMA, WV, 26320</t>
  </si>
  <si>
    <t>48-10-013A-0004-0000</t>
  </si>
  <si>
    <t>2325 SHILOH RD, FRIENDLY, WV, 26146</t>
  </si>
  <si>
    <t>48-09-0002-0028-0000</t>
  </si>
  <si>
    <t>200 CATHERINE ST, SISTERSVILLE, WV, 26175</t>
  </si>
  <si>
    <t>48-05-0010-0002-0017</t>
  </si>
  <si>
    <t>104 INDIAN CREEK RD, ALMA, WV, 26320</t>
  </si>
  <si>
    <t>48-02-014A-0029-0002</t>
  </si>
  <si>
    <t>10247 TYLER HWY, MIDDLEBOURNE, WV, 26175</t>
  </si>
  <si>
    <t>48-09-0003-0001-0000</t>
  </si>
  <si>
    <t>630 RIVERSIDE DR, SISTERSVILLE, WV, 26175</t>
  </si>
  <si>
    <t>48-02-0009-0065-0000</t>
  </si>
  <si>
    <t>7357 TYLER HWY, MIDDLEBOURNE, WV, 26175</t>
  </si>
  <si>
    <t>Wheeler Run</t>
  </si>
  <si>
    <t>48-01-0005-0005-0001</t>
  </si>
  <si>
    <t>8458 MIDDLE ISLAND RD, ALMA, WV, 26456</t>
  </si>
  <si>
    <t>City of Paden City</t>
  </si>
  <si>
    <t>48-08-0002-0014-0002</t>
  </si>
  <si>
    <t>410 S 2nd Ave, Paden City, WV, 26159</t>
  </si>
  <si>
    <t>McElroy Creek</t>
  </si>
  <si>
    <t>48-05-0015-0007-0000</t>
  </si>
  <si>
    <t>766 MCELROY CREEK RD, ALMA, WV, 26320</t>
  </si>
  <si>
    <t>48-10-0013-0049-0003</t>
  </si>
  <si>
    <t>1614 SHILOH RD, FRIENDLY, WV, 26146</t>
  </si>
  <si>
    <t>48-04-007A-0026-0000</t>
  </si>
  <si>
    <t>93 JACKSON AVE, SISTERSVILLE, WV, 26175</t>
  </si>
  <si>
    <t>48-02-0017-0003-0000</t>
  </si>
  <si>
    <t>7750 ELK FORK RD, MIDDLEBOURNE, WV, 26149</t>
  </si>
  <si>
    <t>48-10-001B-0011-0000</t>
  </si>
  <si>
    <t>11 WILLOW LN, FRIENDLY, WV, 26175</t>
  </si>
  <si>
    <t>48-02-0003-0043-0000</t>
  </si>
  <si>
    <t>2338 VETERANS HWY, SISTERSVILLE, WV, 26155</t>
  </si>
  <si>
    <t>48-09-0001-0074-0001</t>
  </si>
  <si>
    <t>444 RIVERSIDE DR, SISTERSVILLE, WV, 26175</t>
  </si>
  <si>
    <t>Blue Run</t>
  </si>
  <si>
    <t>48-05-0010-0055-0000</t>
  </si>
  <si>
    <t>6473 MIDDLE ISLAND RD, ALMA, WV, 26320</t>
  </si>
  <si>
    <t>48-10-0001-0034-0001</t>
  </si>
  <si>
    <t>237 BOAT CLUB DR, SISTERSVILLE, WV, 26175</t>
  </si>
  <si>
    <t>48-05-0019-0013-0003</t>
  </si>
  <si>
    <t>5956 MCELROY CREEK RD, ALMA, WV, 26456</t>
  </si>
  <si>
    <t>48-02-0006-0016-0000</t>
  </si>
  <si>
    <t>105 TEN MILE RD, MIDDLEBOURNE, WV, 26155</t>
  </si>
  <si>
    <t>48-02-0006-0041-0003</t>
  </si>
  <si>
    <t>158 PINE LANE, MIDDLEBOURNE, WV, 26155</t>
  </si>
  <si>
    <t>48-09-0003-0049-0000</t>
  </si>
  <si>
    <t>725 RIVERSIDE DR, SISTERSVILLE, WV, 26175</t>
  </si>
  <si>
    <t>48-10-0009-0031-0000</t>
  </si>
  <si>
    <t>5562 FRIENDLY HILL RD, FRIENDLY, WV, 26146</t>
  </si>
  <si>
    <t>48-09-0003-0004-0000</t>
  </si>
  <si>
    <t>601 ELIZABETH ST, SISTERSVILLE, WV, 26175</t>
  </si>
  <si>
    <t>48-04-007A-0010-0000</t>
  </si>
  <si>
    <t>75 SOUTH KAHLE ST, SISTERSVILLE, WV, 26175</t>
  </si>
  <si>
    <t>48-01-0008-0019-0000</t>
  </si>
  <si>
    <t>11216 MIDDLE ISLAND RD, ALMA, WV, 26320</t>
  </si>
  <si>
    <t>48-10-0001-0040-0000</t>
  </si>
  <si>
    <t>6219 ENERGY HWY, FRIENDLY, WV, 26175</t>
  </si>
  <si>
    <t>Sugar Creek</t>
  </si>
  <si>
    <t>48-06-0007-0026-0000</t>
  </si>
  <si>
    <t>9520 WICK RD, MIDDLEBOURNE, WV, 26149</t>
  </si>
  <si>
    <t>48-05-0010-0007-0001</t>
  </si>
  <si>
    <t>6666 MIDDLE ISLAND RD, MIDDLEBOURNE, WV, 26149</t>
  </si>
  <si>
    <t>BOARD OF EDUCATION OF THE COUNTY OF TYLER</t>
  </si>
  <si>
    <t>SISTERSVILLE BUILDING COMMISSION</t>
  </si>
  <si>
    <t>MASON KENNETH &amp; MASON JENNIFER L</t>
  </si>
  <si>
    <t>TYLER COUNTY BOARD OF EDUC.</t>
  </si>
  <si>
    <t>4H CAMP</t>
  </si>
  <si>
    <t>SISTERSVILLE CITY OF</t>
  </si>
  <si>
    <t>TYLER COUNTY SPEEDWAY (LEASED FROM TYLER FAIR)</t>
  </si>
  <si>
    <t>TYLER COUNTY HOME</t>
  </si>
  <si>
    <t>CHEMICAL LEASING CORP</t>
  </si>
  <si>
    <t>MONONGAHELA POWER CO</t>
  </si>
  <si>
    <t>HELMAN ELDON J &amp; HELMAN RUTH A</t>
  </si>
  <si>
    <t>GOFF KEVIN S &amp; GOFF MELINDA S</t>
  </si>
  <si>
    <t>BOWYER DAVID E</t>
  </si>
  <si>
    <t>CARPENTER STEVEN C &amp; CARPENTER TINA C</t>
  </si>
  <si>
    <t>BALDI LOUIS D &amp; CYNTHIA</t>
  </si>
  <si>
    <t>DAVIS LLC</t>
  </si>
  <si>
    <t>SMITH DANIEL M &amp; SMITH SHANNON</t>
  </si>
  <si>
    <t>PILANT GARY &amp; PILANT MELISSA</t>
  </si>
  <si>
    <t>ARNOLDS CREEK CHRISTIAN CHURCH</t>
  </si>
  <si>
    <t>HAGERTY GARY &amp; JOYCE</t>
  </si>
  <si>
    <t>DEVAUGHN KEVIN J &amp; KRISTA</t>
  </si>
  <si>
    <t>GLOVER JOSEPH NEIL &amp; GLOVER AMY JO</t>
  </si>
  <si>
    <t>CANFIELD STEVEN W &amp; CANFIELD KRISTI M</t>
  </si>
  <si>
    <t>BROWN CHARLES E &amp; BROWN MICHELLE D</t>
  </si>
  <si>
    <t>PARSONS KENNETH E</t>
  </si>
  <si>
    <t>HINES REBECCA &amp; HINES LANCE</t>
  </si>
  <si>
    <t>COLEMAN MARK E</t>
  </si>
  <si>
    <t>SCHMIDT MICHAEL W &amp; BRENDA S</t>
  </si>
  <si>
    <t>HARRIS DONALD E (LIFE) &amp; HARRIS DIANE L (LIFE)</t>
  </si>
  <si>
    <t>KIMBALL MICHAEL S &amp; KIMBALL DARLA P</t>
  </si>
  <si>
    <t>KOONTZ GARY K &amp; TRACY J.</t>
  </si>
  <si>
    <t>PENTECOSTAL CHURCH OF GOD</t>
  </si>
  <si>
    <t>COLLINS PATRICK E &amp; TERESA D.</t>
  </si>
  <si>
    <t>MCCOY WILLIAM H</t>
  </si>
  <si>
    <t>YEATER AARON S &amp; YEATER CHERYL A</t>
  </si>
  <si>
    <t>REN REALTY LLC</t>
  </si>
  <si>
    <t>WELTZ MICHAEL W &amp; JOYCE E.</t>
  </si>
  <si>
    <t>ARCHER NILE A &amp; ARCHER JULIA A</t>
  </si>
  <si>
    <t>MILLER SUZETTE D</t>
  </si>
  <si>
    <t>CARTER &amp; MAYES SHIRTMAKERS INC</t>
  </si>
  <si>
    <t>GRIFFIN MICHAEL K &amp; GRIFFIN VIRGINIA L</t>
  </si>
  <si>
    <t>RUSTEMEYER WORDEN O &amp; RUSTEMEYER TAMELA S</t>
  </si>
  <si>
    <t>LEWIS BRIAN K</t>
  </si>
  <si>
    <t>EDDY FLOYD &amp; DARLENE</t>
  </si>
  <si>
    <t>ROBERTS JOHN WARDEN</t>
  </si>
  <si>
    <t>PROSSER JOEL A</t>
  </si>
  <si>
    <t>SCHERER STEPHEN JOSEPH &amp; SCHERER JEANNE L</t>
  </si>
  <si>
    <t>WEST DAVID &amp; MELISSA</t>
  </si>
  <si>
    <t>G-D PMC LLC</t>
  </si>
  <si>
    <t>SHIRLEY VOLUNTEER FIR DEPT INC</t>
  </si>
  <si>
    <t>LEMASTERS KERRY &amp; BARBARA</t>
  </si>
  <si>
    <t>FORRESTER DONALD E JR</t>
  </si>
  <si>
    <t>GORRELL STEVEN C &amp; GORRELL CARRIE E</t>
  </si>
  <si>
    <t>HAYES LARRY A &amp; LINDA S</t>
  </si>
  <si>
    <t>GIOVINAZZO BRIDGET JO</t>
  </si>
  <si>
    <t>FLETCHER KELLY J</t>
  </si>
  <si>
    <t>JONES CAROL L</t>
  </si>
  <si>
    <t>BAKER MICHAEL C JR &amp; BAKER BRANDY</t>
  </si>
  <si>
    <t>FREELAND BURL C JR &amp; FREELAND DEBORAH L</t>
  </si>
  <si>
    <t>DAVIS JEFFREY A.</t>
  </si>
  <si>
    <t>1976</t>
  </si>
  <si>
    <t>1919</t>
  </si>
  <si>
    <t>1971</t>
  </si>
  <si>
    <t>1870</t>
  </si>
  <si>
    <t>1894</t>
  </si>
  <si>
    <t>1890</t>
  </si>
  <si>
    <t>1895</t>
  </si>
  <si>
    <t>E+</t>
  </si>
  <si>
    <t>2014</t>
  </si>
  <si>
    <t>1946</t>
  </si>
  <si>
    <t>COM6</t>
  </si>
  <si>
    <t>193000</t>
  </si>
  <si>
    <t>15000</t>
  </si>
  <si>
    <t>8077</t>
  </si>
  <si>
    <t>11360</t>
  </si>
  <si>
    <t>3880</t>
  </si>
  <si>
    <t>5216</t>
  </si>
  <si>
    <t>6144</t>
  </si>
  <si>
    <t>4917</t>
  </si>
  <si>
    <t>10666</t>
  </si>
  <si>
    <t>5134</t>
  </si>
  <si>
    <t>4410</t>
  </si>
  <si>
    <t>2160</t>
  </si>
  <si>
    <t>2120</t>
  </si>
  <si>
    <t>3255</t>
  </si>
  <si>
    <t>2335</t>
  </si>
  <si>
    <t>3648</t>
  </si>
  <si>
    <t>2470</t>
  </si>
  <si>
    <t>2602</t>
  </si>
  <si>
    <t>2437</t>
  </si>
  <si>
    <t>2830</t>
  </si>
  <si>
    <t>2094</t>
  </si>
  <si>
    <t>2692</t>
  </si>
  <si>
    <t>2816</t>
  </si>
  <si>
    <t>3156</t>
  </si>
  <si>
    <t>2402</t>
  </si>
  <si>
    <t>2280</t>
  </si>
  <si>
    <t>4970</t>
  </si>
  <si>
    <t>2363</t>
  </si>
  <si>
    <t>1676</t>
  </si>
  <si>
    <t>2699</t>
  </si>
  <si>
    <t>1794</t>
  </si>
  <si>
    <t>3884</t>
  </si>
  <si>
    <t>3155</t>
  </si>
  <si>
    <t>1323</t>
  </si>
  <si>
    <t>1304</t>
  </si>
  <si>
    <t>1764</t>
  </si>
  <si>
    <t>12476</t>
  </si>
  <si>
    <t>2250</t>
  </si>
  <si>
    <t>1838</t>
  </si>
  <si>
    <t>1659</t>
  </si>
  <si>
    <t>1802</t>
  </si>
  <si>
    <t>1400</t>
  </si>
  <si>
    <t>2634</t>
  </si>
  <si>
    <t>1346</t>
  </si>
  <si>
    <t>8760</t>
  </si>
  <si>
    <t>1959</t>
  </si>
  <si>
    <t>1560</t>
  </si>
  <si>
    <t>1656</t>
  </si>
  <si>
    <t>1516</t>
  </si>
  <si>
    <t>2784</t>
  </si>
  <si>
    <t>1724</t>
  </si>
  <si>
    <t>1357</t>
  </si>
  <si>
    <t>1544</t>
  </si>
  <si>
    <t>1533</t>
  </si>
  <si>
    <t>2934</t>
  </si>
  <si>
    <t>WIRT</t>
  </si>
  <si>
    <t>53-03-0004-0013-0001_5480</t>
  </si>
  <si>
    <t>53-04-0001-0003-0001_5733</t>
  </si>
  <si>
    <t>53-04-0001-0077-0000_5814</t>
  </si>
  <si>
    <t>53-04-0002-0151-0000_212</t>
  </si>
  <si>
    <t>53-04-0002-0012-0000_447</t>
  </si>
  <si>
    <t>53-04-0003-0011-0000_9999</t>
  </si>
  <si>
    <t>53-04-0004-0025-0000_438</t>
  </si>
  <si>
    <t>53-01-0005-0015-0000_34</t>
  </si>
  <si>
    <t>53-01-0009-0053-0000_390</t>
  </si>
  <si>
    <t>53-01-0015-0001-0000_6765</t>
  </si>
  <si>
    <t>53-02-0002-0037-0000_3514</t>
  </si>
  <si>
    <t>53-02-0005-0018-0007_220</t>
  </si>
  <si>
    <t>53-02-0005-0018-0042_6052</t>
  </si>
  <si>
    <t>53-02-0006-0014-0000_396</t>
  </si>
  <si>
    <t>53-03-0002-0011-0007_2854</t>
  </si>
  <si>
    <t>53-03-0002-0017-0000_2584</t>
  </si>
  <si>
    <t>53-03-0002-0030-0000_2557</t>
  </si>
  <si>
    <t>53-03-0005-0035-0000_1479</t>
  </si>
  <si>
    <t>53-03-0005-0042-0012_941</t>
  </si>
  <si>
    <t>53-03-0005-0042-0018_911</t>
  </si>
  <si>
    <t>53-03-0005-0042-0019_895</t>
  </si>
  <si>
    <t>53-03-0005-0048-0002_486</t>
  </si>
  <si>
    <t>53-03-0005-0048-0003_456</t>
  </si>
  <si>
    <t>53-03-0013-0005-0000_1970</t>
  </si>
  <si>
    <t>53-04-0001-0036-0001_152</t>
  </si>
  <si>
    <t>53-04-0001-0036-0002_168</t>
  </si>
  <si>
    <t>53-04-0001-0073-0000_5730</t>
  </si>
  <si>
    <t>53-04-0001-0075-0000_5766</t>
  </si>
  <si>
    <t>53-04-0001-0076-0000_5782</t>
  </si>
  <si>
    <t>53-04-0001-0078-0000_5826</t>
  </si>
  <si>
    <t>53-04-0001-0107-0000_84</t>
  </si>
  <si>
    <t>53-04-0002-0002-0001_30</t>
  </si>
  <si>
    <t>53-04-0002-0016-0000_9999</t>
  </si>
  <si>
    <t>53-04-0003-0003-0000_108</t>
  </si>
  <si>
    <t>53-04-0003-0003-0000_128</t>
  </si>
  <si>
    <t>53-04-0003-0005-0000_145</t>
  </si>
  <si>
    <t>53-04-0003-0005-0000_147</t>
  </si>
  <si>
    <t>53-04-0003-0013-0001_158</t>
  </si>
  <si>
    <t>53-04-0003-0013-0002_196</t>
  </si>
  <si>
    <t>53-04-0003-0040-0000_474</t>
  </si>
  <si>
    <t>53-04-0003-0040-0003_390</t>
  </si>
  <si>
    <t>53-04-0003-0040-0006_288</t>
  </si>
  <si>
    <t>53-04-0003-0040-0009_412</t>
  </si>
  <si>
    <t>53-04-0003-0040-0011_418</t>
  </si>
  <si>
    <t>53-04-0003-0040-0011_448</t>
  </si>
  <si>
    <t>Wirt County</t>
  </si>
  <si>
    <t>Tucker Creek</t>
  </si>
  <si>
    <t>53-03-0004-0013-0001</t>
  </si>
  <si>
    <t>5480 ELIZABETH PKE Industrial, ELIZABETH, WV, 26143</t>
  </si>
  <si>
    <t>Town of Elizabeth</t>
  </si>
  <si>
    <t>53-04-0001-0003-0001</t>
  </si>
  <si>
    <t>5733 ELIZABETH PKE, ELIZABETH, WV, 26143</t>
  </si>
  <si>
    <t>53-04-0001-0077-0000</t>
  </si>
  <si>
    <t>5814 ELIZABETH PKE Industrial, ELIZABETH, WV, 26143</t>
  </si>
  <si>
    <t>53-04-0002-0151-0000</t>
  </si>
  <si>
    <t>212 MARKET ST, ELIZABETH, WV, 26143</t>
  </si>
  <si>
    <t>53-04-0002-0012-0000</t>
  </si>
  <si>
    <t>447 MULBERRY ST, ELIZABETH, WV, 26143</t>
  </si>
  <si>
    <t>53-04-0003-0011-0000</t>
  </si>
  <si>
    <t>9999 TOWN HALL LN, ELIZABETH, WV, 26143</t>
  </si>
  <si>
    <t>53-04-0004-0025-0000</t>
  </si>
  <si>
    <t>438 SCHOOLVIEW ST, ELIZABETH, WV, 26143</t>
  </si>
  <si>
    <t>Standingstone Creek</t>
  </si>
  <si>
    <t>53-01-0005-0015-0000</t>
  </si>
  <si>
    <t>34 NAYLOR HILL RD, MUNDAY, WV, 26143</t>
  </si>
  <si>
    <t>Henderson Run</t>
  </si>
  <si>
    <t>53-01-0009-0053-0000</t>
  </si>
  <si>
    <t>390 HENDERSON RUN RD, PALESTINE, WV, 26160</t>
  </si>
  <si>
    <t>Nettle Run</t>
  </si>
  <si>
    <t>53-01-0015-0001-0000</t>
  </si>
  <si>
    <t>6765 LITTLE KANAWHA PKWY, BURNING SPRINGS, WV, 26141</t>
  </si>
  <si>
    <t>53-02-0002-0037-0000</t>
  </si>
  <si>
    <t>3514 STAUNTON TPKE, FREEPORT, WV, 26180</t>
  </si>
  <si>
    <t>53-02-0005-0018-0007</t>
  </si>
  <si>
    <t>220 MILL STREAM RD, NEWARK, WV, 26143</t>
  </si>
  <si>
    <t>53-02-0005-0018-0042</t>
  </si>
  <si>
    <t>6052 NEWARK RD, NEWARK, WV, 26143</t>
  </si>
  <si>
    <t>53-02-0006-0014-0000</t>
  </si>
  <si>
    <t>396 FREEPORT LN, FREEPORT, WV, 26180</t>
  </si>
  <si>
    <t>53-03-0002-0011-0007</t>
  </si>
  <si>
    <t>2854 WELLS LOCK RD, ELIZABETH, WV, 26143</t>
  </si>
  <si>
    <t>53-03-0002-0017-0000</t>
  </si>
  <si>
    <t>2584 WELLS LOCK RD, ELIZABETH, WV, 26143</t>
  </si>
  <si>
    <t>53-03-0002-0030-0000</t>
  </si>
  <si>
    <t>2557 WELLS LOCK RD, ELIZABETH, WV, 26143</t>
  </si>
  <si>
    <t>53-03-0005-0035-0000</t>
  </si>
  <si>
    <t>1479 BIG ISLAND RUN RD, ELIZABETH, WV, 26143</t>
  </si>
  <si>
    <t>53-03-0005-0042-0012</t>
  </si>
  <si>
    <t>941 HANNAMAN LN, ELIZABETH, WV, 26143</t>
  </si>
  <si>
    <t>53-03-0005-0042-0018</t>
  </si>
  <si>
    <t>911 HANNAMAN LN, ELIZABETH, WV, 26143</t>
  </si>
  <si>
    <t>53-03-0005-0042-0019</t>
  </si>
  <si>
    <t>895 HANNAMAN LN, ELIZABETH, WV, 26143</t>
  </si>
  <si>
    <t>53-03-0005-0048-0002</t>
  </si>
  <si>
    <t>486 RIVERSIDE RD, ELIZABETH, WV, 26143</t>
  </si>
  <si>
    <t>53-03-0005-0048-0003</t>
  </si>
  <si>
    <t>456 RIVERSIDE RD, ELIZABETH, WV, 26143</t>
  </si>
  <si>
    <t>Right Reedy Creek</t>
  </si>
  <si>
    <t>53-03-0013-0005-0000</t>
  </si>
  <si>
    <t>1970 GARFIELD RD, PALESTINE/GARFIELD, WV, 26160</t>
  </si>
  <si>
    <t>53-04-0001-0036-0001</t>
  </si>
  <si>
    <t>152 MULBERRY ST TRLR, ELIZABETH, WV, 26143</t>
  </si>
  <si>
    <t>53-04-0001-0036-0002</t>
  </si>
  <si>
    <t>168 MULBERRY ST, ELIZABETH, WV, 26143</t>
  </si>
  <si>
    <t>53-04-0001-0073-0000</t>
  </si>
  <si>
    <t>5730 ELIZABETH PKE, ELIZABETH, WV, 26143</t>
  </si>
  <si>
    <t>53-04-0001-0075-0000</t>
  </si>
  <si>
    <t>5766 ELIZABETH PKE, ELIZABETH, WV, 26143</t>
  </si>
  <si>
    <t>53-04-0001-0076-0000</t>
  </si>
  <si>
    <t>5782 ELIZABETH PKE, ELIZABETH, WV, 26143</t>
  </si>
  <si>
    <t>53-04-0001-0078-0000</t>
  </si>
  <si>
    <t>5826 ELIZABETH PKE, ELIZABETH, WV, 26143</t>
  </si>
  <si>
    <t>53-04-0001-0107-0000</t>
  </si>
  <si>
    <t>84 DAILEY DR, ELIZABETH, WV, 26143</t>
  </si>
  <si>
    <t>53-04-0002-0002-0001</t>
  </si>
  <si>
    <t>30 CHURCHILL ST, ELIZABETH, WV, 26143</t>
  </si>
  <si>
    <t>53-04-0002-0016-0000</t>
  </si>
  <si>
    <t>9999 MULBERRY ST, ELIZABETH, WV, 26143</t>
  </si>
  <si>
    <t>53-04-0003-0003-0000</t>
  </si>
  <si>
    <t>108 DAILEY DR, ELIZABETH, WV, 26143</t>
  </si>
  <si>
    <t>128 DAILEY DR, ELIZABETH, WV, 26143</t>
  </si>
  <si>
    <t>53-04-0003-0005-0000</t>
  </si>
  <si>
    <t>145 SHEARS CT TRLR, ELIZABETH, WV, 26143</t>
  </si>
  <si>
    <t>147 SHEARS CT TRLR, ELIZABETH, WV, 26143</t>
  </si>
  <si>
    <t>53-04-0003-0013-0001</t>
  </si>
  <si>
    <t>158 BEVERLY ST, ELIZABETH, WV, 26143</t>
  </si>
  <si>
    <t>53-04-0003-0013-0002</t>
  </si>
  <si>
    <t>196 BEVERLY ST, ELIZABETH, WV, 26143</t>
  </si>
  <si>
    <t>53-04-0003-0040-0000</t>
  </si>
  <si>
    <t>474 MEADOWVIEW LN, ELIZABETH, WV, 26143</t>
  </si>
  <si>
    <t>53-04-0003-0040-0003</t>
  </si>
  <si>
    <t>390 MEADOWVIEW LN, ELIZABETH, WV, 26143</t>
  </si>
  <si>
    <t>53-04-0003-0040-0006</t>
  </si>
  <si>
    <t>288 MEADOWVIEW LN, ELIZABETH, WV, 26143</t>
  </si>
  <si>
    <t>53-04-0003-0040-0009</t>
  </si>
  <si>
    <t>412 MEADOWVIEW LN, ELIZABETH, WV, 26143</t>
  </si>
  <si>
    <t>53-04-0003-0040-0011</t>
  </si>
  <si>
    <t>418 MEADOWVIEW LN, ELIZABETH, WV, 26143</t>
  </si>
  <si>
    <t>448 MEADOWVIEW LN, ELIZABETH, WV, 26143</t>
  </si>
  <si>
    <t>ELLISON DOZER SERVICE, INC</t>
  </si>
  <si>
    <t>CALHOUN COUNTY BANK</t>
  </si>
  <si>
    <t>K &amp; B SUPPLY, LLC.</t>
  </si>
  <si>
    <t>WIRT COUNTY BOARD OF EDUCATION</t>
  </si>
  <si>
    <t>TOWN OF ELIZABETH</t>
  </si>
  <si>
    <t>COX LARRY D &amp; ANGELA DOMICO</t>
  </si>
  <si>
    <t>MCWILLIAMS GEORGE F &amp; KATHLEEN</t>
  </si>
  <si>
    <t>LEDSOME FAY L</t>
  </si>
  <si>
    <t>MARKS LESTER H &amp; TAMMIE L</t>
  </si>
  <si>
    <t>HANEY ANNA M.</t>
  </si>
  <si>
    <t>SMARR BRADFORD F &amp; KATRINA M</t>
  </si>
  <si>
    <t>SANDY BRENDA L</t>
  </si>
  <si>
    <t>MAY STUART &amp; SUSAN</t>
  </si>
  <si>
    <t>COLLINS KATHY J</t>
  </si>
  <si>
    <t>PROVINCE MARK J</t>
  </si>
  <si>
    <t>HENNEN DEBORAH A</t>
  </si>
  <si>
    <t>CONLEY GLENNA S</t>
  </si>
  <si>
    <t>HOLMES CELINDA</t>
  </si>
  <si>
    <t>ROSS FAMILY INVESTMENTS, LLC</t>
  </si>
  <si>
    <t>DANIELS PATSY L</t>
  </si>
  <si>
    <t>SIMS AARON T. &amp; RYAN T. SIMS</t>
  </si>
  <si>
    <t>BURCH LORING</t>
  </si>
  <si>
    <t>PARSONS DEBRA</t>
  </si>
  <si>
    <t>EDWARDS JULIA &amp; ELLISON TIMOTHY</t>
  </si>
  <si>
    <t>MURPHY SCOTT E &amp; KAREN N</t>
  </si>
  <si>
    <t>WHITE ANDREW R</t>
  </si>
  <si>
    <t>GRIMMETT REGINALD</t>
  </si>
  <si>
    <t>BOGGS LORETTA JOAN</t>
  </si>
  <si>
    <t>VLACH ELLEN M</t>
  </si>
  <si>
    <t>ROBERTS CHARLES D</t>
  </si>
  <si>
    <t>WOODYARD GREENE LIMITED PARTNERSHIP</t>
  </si>
  <si>
    <t>SHEARS STEPHEN R</t>
  </si>
  <si>
    <t>NICOLAIS JOHN II &amp; PAMELA JEAN</t>
  </si>
  <si>
    <t>DAVIES LINDA DAWN COLLINS &amp; RICHARD J</t>
  </si>
  <si>
    <t>FULL JAMES L &amp; JESSECA L</t>
  </si>
  <si>
    <t>MOORE TODD J &amp; CANDACE D</t>
  </si>
  <si>
    <t>STEPHENS JOHN W &amp; CHASITY R PEOPLES BANK</t>
  </si>
  <si>
    <t>WEST JEREMY L.</t>
  </si>
  <si>
    <t>YOAK TAZ T &amp; RONDA L</t>
  </si>
  <si>
    <t>WATSON MICHAEL H &amp; KANDY L</t>
  </si>
  <si>
    <t>1987</t>
  </si>
  <si>
    <t>33411</t>
  </si>
  <si>
    <t>65793</t>
  </si>
  <si>
    <t>5810</t>
  </si>
  <si>
    <t>158110</t>
  </si>
  <si>
    <t>5870</t>
  </si>
  <si>
    <t>9100</t>
  </si>
  <si>
    <t>5544</t>
  </si>
  <si>
    <t>14116</t>
  </si>
  <si>
    <t>7136</t>
  </si>
  <si>
    <t>4626</t>
  </si>
  <si>
    <t>5445</t>
  </si>
  <si>
    <t>2100</t>
  </si>
  <si>
    <t>5200</t>
  </si>
  <si>
    <t>3424</t>
  </si>
  <si>
    <t>2240</t>
  </si>
  <si>
    <t>3476</t>
  </si>
  <si>
    <t>2191</t>
  </si>
  <si>
    <t>3044</t>
  </si>
  <si>
    <t>21588</t>
  </si>
  <si>
    <t>2496</t>
  </si>
  <si>
    <t>2266</t>
  </si>
  <si>
    <t>3000</t>
  </si>
  <si>
    <t>2700</t>
  </si>
  <si>
    <t>1352</t>
  </si>
  <si>
    <t>2372</t>
  </si>
  <si>
    <t>2088</t>
  </si>
  <si>
    <t>2600</t>
  </si>
  <si>
    <t>1300</t>
  </si>
  <si>
    <t>2040</t>
  </si>
  <si>
    <t>1840</t>
  </si>
  <si>
    <t>2176</t>
  </si>
  <si>
    <t>1600</t>
  </si>
  <si>
    <t>2048</t>
  </si>
  <si>
    <t>1790</t>
  </si>
  <si>
    <t>4026</t>
  </si>
  <si>
    <t>4168</t>
  </si>
  <si>
    <t>WOOD</t>
  </si>
  <si>
    <t>Wood County</t>
  </si>
  <si>
    <t>Pond Run Upper Reach</t>
  </si>
  <si>
    <t>54-04-0142-0022-0000</t>
  </si>
  <si>
    <t>1301 GRAND CENTRAL AVE, VIENNA, WV, 26105</t>
  </si>
  <si>
    <t>City of Parkersburg</t>
  </si>
  <si>
    <t>Worthington Creek</t>
  </si>
  <si>
    <t>54-05-0088-00E3-0000</t>
  </si>
  <si>
    <t>1624 STAUNTON AVE, PARKERSBURG, WV, 26101</t>
  </si>
  <si>
    <t>Holmes Run</t>
  </si>
  <si>
    <t>City of Vienna</t>
  </si>
  <si>
    <t>54-10-0046-0001-0000</t>
  </si>
  <si>
    <t>200 GRAND CENTRAL MALL, VIENNA, WV, 26105</t>
  </si>
  <si>
    <t>54-10-0047-0011-0000</t>
  </si>
  <si>
    <t>522 GRAND CENTRAL AVE, VIENNA, WV, 26105</t>
  </si>
  <si>
    <t>Neal Run</t>
  </si>
  <si>
    <t>54-05-0170-0005-0000</t>
  </si>
  <si>
    <t>55 ROSEMAR RD, PARKERSBURG, WV, 26104</t>
  </si>
  <si>
    <t>Tygart Creek</t>
  </si>
  <si>
    <t>54-07-0330-0P1A-0000</t>
  </si>
  <si>
    <t>7173 SOUTHERN HWY, ROCKPORT, WV, 26169</t>
  </si>
  <si>
    <t>54-03-0230-0D8G-0000</t>
  </si>
  <si>
    <t>382 RIVERVIEW ACRES RD, WASHINGTON, WV, 26181</t>
  </si>
  <si>
    <t>City of Williamstown</t>
  </si>
  <si>
    <t>54-01-0130-0014-0000</t>
  </si>
  <si>
    <t>24 MOUND ST, PARKERSBURG, WV, 26104</t>
  </si>
  <si>
    <t>54-04-0230-0012-0000</t>
  </si>
  <si>
    <t>3120 NORTHWESTERN PIKE, PARKERSBURG, WV, 26104</t>
  </si>
  <si>
    <t>54-05-0002-000F-0000</t>
  </si>
  <si>
    <t>2000 1ST AVE, PARKERSBURG, WV, 26101</t>
  </si>
  <si>
    <t>54-05-0008-0010-0000</t>
  </si>
  <si>
    <t>514 DIVISION ST, PARKERSBURG, WV, 26101</t>
  </si>
  <si>
    <t>Pond Run Lower Reach</t>
  </si>
  <si>
    <t>54-05-0053-00H1-0000</t>
  </si>
  <si>
    <t>2323 GARFIELD AVE, PARKERSBURG, WV, 26101</t>
  </si>
  <si>
    <t>54-05-0060-0028-0000</t>
  </si>
  <si>
    <t>1601 GARFIELD AVE, PARKERSBURG, WV, 26101</t>
  </si>
  <si>
    <t>54-05-0074-0003-0000</t>
  </si>
  <si>
    <t>1968 7TH ST, PARKERSBURG, WV, 26101</t>
  </si>
  <si>
    <t>54-05-0074-0014-0000</t>
  </si>
  <si>
    <t>2028 7TH ST, PARKERSBURG, WV, 26101</t>
  </si>
  <si>
    <t>2908 7TH ST, PARKERSBURG, WV, 26101</t>
  </si>
  <si>
    <t>54-05-0154-0003-0001</t>
  </si>
  <si>
    <t>701 HINO DR, MINERAL WELLS, WV, 26150</t>
  </si>
  <si>
    <t>54-05-0155-0011-0000</t>
  </si>
  <si>
    <t>2903 PIKE ST, PARKERSBURG, WV, 26101</t>
  </si>
  <si>
    <t>54-08-0300-00M7-0000</t>
  </si>
  <si>
    <t>207 MATHENY LN, MINERAL WELLS, WV, 26150</t>
  </si>
  <si>
    <t>54-10-0008-000G-0000</t>
  </si>
  <si>
    <t>1605 GRAND CENTRAL AVE, VIENNA, WV, 26105</t>
  </si>
  <si>
    <t>54-10-0008-0072-0000</t>
  </si>
  <si>
    <t>1601 GRAND CENTRAL AVE, VIENNA, WV, 26105</t>
  </si>
  <si>
    <t>54-10-0011-0027-0000</t>
  </si>
  <si>
    <t>1300 GRAND CENTRAL, VIENNA, WV, 26105</t>
  </si>
  <si>
    <t>54-10-0014-0115-0000</t>
  </si>
  <si>
    <t>1100 GRAND CENTRAL AVE, VIENNA, WV, 26105</t>
  </si>
  <si>
    <t>54-04-0142-0022-0000_1301</t>
  </si>
  <si>
    <t>54-05-0088-00E3-0000_1624</t>
  </si>
  <si>
    <t>54-10-0046-0001-0000_200</t>
  </si>
  <si>
    <t>54-10-0047-0011-0000_522</t>
  </si>
  <si>
    <t>54-05-0170-0005-0000_55</t>
  </si>
  <si>
    <t>54-07-0330-0P1A-0000_7173</t>
  </si>
  <si>
    <t>54-03-0230-0D8G-0000_382</t>
  </si>
  <si>
    <t>54-01-0130-0014-0000_24</t>
  </si>
  <si>
    <t>54-04-0230-0012-0000_3120</t>
  </si>
  <si>
    <t>54-05-0002-000F-0000_2000</t>
  </si>
  <si>
    <t>54-05-0008-0010-0000_514</t>
  </si>
  <si>
    <t>54-05-0053-00H1-0000_2323</t>
  </si>
  <si>
    <t>54-05-0060-0028-0000_1601</t>
  </si>
  <si>
    <t>54-05-0074-0003-0000_1968</t>
  </si>
  <si>
    <t>54-05-0074-0014-0000_2028</t>
  </si>
  <si>
    <t>54-05-0074-0014-0000_2908</t>
  </si>
  <si>
    <t>54-05-0154-0003-0001_701</t>
  </si>
  <si>
    <t>54-05-0155-0011-0000_2903</t>
  </si>
  <si>
    <t>54-08-0300-00M7-0000_207</t>
  </si>
  <si>
    <t>54-10-0008-000G-0000_1605</t>
  </si>
  <si>
    <t>54-10-0008-0072-0000_1601</t>
  </si>
  <si>
    <t>54-10-0011-0027-0000_1300</t>
  </si>
  <si>
    <t>54-10-0014-0115-0000_1100</t>
  </si>
  <si>
    <t>HINO MOTORS MANUFACTURING USA INC</t>
  </si>
  <si>
    <t>CITY OF PARKERSBURG</t>
  </si>
  <si>
    <t>GRAND CENTRAL PARKERSBURG LLC</t>
  </si>
  <si>
    <t>WAL-MART REAL ESTATE BUSINESS TRUST</t>
  </si>
  <si>
    <t>MEDPROPERTIES VIENNA LLC</t>
  </si>
  <si>
    <t>LOWE'S HOME CENTERS INC</t>
  </si>
  <si>
    <t>SAMS REAL ESTATE BUSINESS TRUST</t>
  </si>
  <si>
    <t>BAKKAS L L C</t>
  </si>
  <si>
    <t>GATEWAY HOSPITALITY PARKERSBURG LLC</t>
  </si>
  <si>
    <t>AGM L L C</t>
  </si>
  <si>
    <t>WOOD COUNTY BUILDING COMMISSION</t>
  </si>
  <si>
    <t>GC LIMITED L L C</t>
  </si>
  <si>
    <t>HATHAWAY FAMILY L L C</t>
  </si>
  <si>
    <t>CURRY TRANSFER &amp; STORAGE</t>
  </si>
  <si>
    <t>601 PLAZA L L C</t>
  </si>
  <si>
    <t>ARHC WNPBGWV01 L L C</t>
  </si>
  <si>
    <t>HUGHES JOHN E TRUSTEE HUGHES JOHN LIVING TRUST</t>
  </si>
  <si>
    <t>REALTY INCOME CORP</t>
  </si>
  <si>
    <t>PINE GROVE BAPTIST CHURCH</t>
  </si>
  <si>
    <t>ASC ENTERPRISES LLC</t>
  </si>
  <si>
    <t>SECKMAN STEVEN B SECKMAN SHERRY L</t>
  </si>
  <si>
    <t>YOUR HUT INC</t>
  </si>
  <si>
    <t>RIVER SITE L L C</t>
  </si>
  <si>
    <t>SSC PARKERSBURG WV LLC</t>
  </si>
  <si>
    <t>ARCP MT VIENNA WV LLC</t>
  </si>
  <si>
    <t>KER PROPERTIES L L C</t>
  </si>
  <si>
    <t>FAITH BAPTIST CHURCH</t>
  </si>
  <si>
    <t>PARKERSBURG CENTER LMTD PTNSHP</t>
  </si>
  <si>
    <t>SHAWVER ROGER SHAWVER JULIE A</t>
  </si>
  <si>
    <t>RED LOT II L L C</t>
  </si>
  <si>
    <t>PARKERSBURG PSYCH ASSOCIATES LLC</t>
  </si>
  <si>
    <t>DANSER INC</t>
  </si>
  <si>
    <t>PREMIER BANK INC</t>
  </si>
  <si>
    <t>PROPERTY RENOVATORS LLC</t>
  </si>
  <si>
    <t>UNION WILLIAMS PUBLIC SER DIST</t>
  </si>
  <si>
    <t>LANDMARK BAPTIST CHURCH INC</t>
  </si>
  <si>
    <t>ALAN STONE COMPANY</t>
  </si>
  <si>
    <t>CAMPBELL ENTERPRISE L L C</t>
  </si>
  <si>
    <t>RAUCH RESTAURANT GROUP LLC</t>
  </si>
  <si>
    <t>BENNETT KENNETH G BENNETT AMELIA J</t>
  </si>
  <si>
    <t>SHOWALTER WILLIAM B SHOWALTER JILL K</t>
  </si>
  <si>
    <t>MATHENY FAMILY LTD PTNSHP</t>
  </si>
  <si>
    <t>601 PLAZA LLC</t>
  </si>
  <si>
    <t>MC PHERSON STEVEN R MC PHERSON BENNY G</t>
  </si>
  <si>
    <t>CHANDLER ROBERT P JR</t>
  </si>
  <si>
    <t>WEST VIRGINIA AREA PLASTERERS &amp; CEMENT MASONS</t>
  </si>
  <si>
    <t>KEYMAN INVESTMENTS TWO LLC</t>
  </si>
  <si>
    <t>BERG REALTY LIMITED PARTNERSHIP</t>
  </si>
  <si>
    <t>CCL PROPERTIES LLC</t>
  </si>
  <si>
    <t>PCR OF WV L L C</t>
  </si>
  <si>
    <t>3 B DG2 L L C</t>
  </si>
  <si>
    <t>FLANAGAN GARY L FLANAGAN JENNIFER J</t>
  </si>
  <si>
    <t>JBP L L C</t>
  </si>
  <si>
    <t>TLM L L C</t>
  </si>
  <si>
    <t>PARK CENTER LLC</t>
  </si>
  <si>
    <t>ZIEGLER REALTY CORP</t>
  </si>
  <si>
    <t>FLOWERS DARON E FLOWERS KELLY J</t>
  </si>
  <si>
    <t>BUMGARDNER DAVID L BUMGARDNER SHIRLEY J</t>
  </si>
  <si>
    <t>AUTOZONE DEVELOPMENT CORP</t>
  </si>
  <si>
    <t>COOKE PROPERTIES L L C</t>
  </si>
  <si>
    <t>RITCHIE DOUGLAS F RITCHIE MARTHA Y</t>
  </si>
  <si>
    <t>HOLLISTER KATHIE L TRUSTEE KATHIE HOLLISTER ESTATE PL TR</t>
  </si>
  <si>
    <t>P M COMPANY</t>
  </si>
  <si>
    <t>BIG TYGART PROPERTIES L L C</t>
  </si>
  <si>
    <t>DOUBLE J REALTY L L C</t>
  </si>
  <si>
    <t>SILICON PROCESSORS INC</t>
  </si>
  <si>
    <t>QMG VENTURE LLC</t>
  </si>
  <si>
    <t>ALLIED PARTNERS LLC</t>
  </si>
  <si>
    <t>CRESS ROBERT A II</t>
  </si>
  <si>
    <t>LILLY THOMAS S LILLY SUSAN F</t>
  </si>
  <si>
    <t>LEE KELLY J L/EST STANLEY JESSICA E</t>
  </si>
  <si>
    <t>THOMAS LOUIS E THOMAS KATHY C</t>
  </si>
  <si>
    <t>WVW PROPERTIES L L C</t>
  </si>
  <si>
    <t>CENTRAL CHURCH OF CHRIST</t>
  </si>
  <si>
    <t>ROMINE L MICHAEL</t>
  </si>
  <si>
    <t>KOERBER MITCHELL L MIDKIFF TAMMY</t>
  </si>
  <si>
    <t>MENDENHALL DAVID L MENDENHALL JOYCE A</t>
  </si>
  <si>
    <t>PIERCE DANIEL D PIERCE CLARA B</t>
  </si>
  <si>
    <t>MAZE JOSEPH M MAZE KRISTA K</t>
  </si>
  <si>
    <t>PETTYVILLE GARDENS LMTD PTSHP</t>
  </si>
  <si>
    <t>LAMBIOTTE THOMAS LAMBIOTTE LINDA</t>
  </si>
  <si>
    <t>MINERAL MANOR L L C</t>
  </si>
  <si>
    <t>ADDIS JOHN D</t>
  </si>
  <si>
    <t>DILL PAUL M DILL LEESA K</t>
  </si>
  <si>
    <t>TEBAY H TALBOTT</t>
  </si>
  <si>
    <t>ROGERS PROPERTIES L L C</t>
  </si>
  <si>
    <t>CHARTON MANAGEMENT INC</t>
  </si>
  <si>
    <t>SHEDD CHARLES S SHEDD HEATHER D</t>
  </si>
  <si>
    <t>EVANS ROBERT D</t>
  </si>
  <si>
    <t>2019</t>
  </si>
  <si>
    <t>5</t>
  </si>
  <si>
    <t>6</t>
  </si>
  <si>
    <t>RES6</t>
  </si>
  <si>
    <t>RES3E</t>
  </si>
  <si>
    <t>965935</t>
  </si>
  <si>
    <t>365419</t>
  </si>
  <si>
    <t>576872</t>
  </si>
  <si>
    <t>203105</t>
  </si>
  <si>
    <t>57016</t>
  </si>
  <si>
    <t>90516</t>
  </si>
  <si>
    <t>125445</t>
  </si>
  <si>
    <t>114920</t>
  </si>
  <si>
    <t>100039</t>
  </si>
  <si>
    <t>48042</t>
  </si>
  <si>
    <t>81127</t>
  </si>
  <si>
    <t>29160</t>
  </si>
  <si>
    <t>29700</t>
  </si>
  <si>
    <t>57808</t>
  </si>
  <si>
    <t>46573</t>
  </si>
  <si>
    <t>29970</t>
  </si>
  <si>
    <t>26609</t>
  </si>
  <si>
    <t>153475</t>
  </si>
  <si>
    <t>48396</t>
  </si>
  <si>
    <t>32761</t>
  </si>
  <si>
    <t>8536</t>
  </si>
  <si>
    <t>11916</t>
  </si>
  <si>
    <t>11351</t>
  </si>
  <si>
    <t>24768</t>
  </si>
  <si>
    <t>29280</t>
  </si>
  <si>
    <t>24804</t>
  </si>
  <si>
    <t>44850</t>
  </si>
  <si>
    <t>15700</t>
  </si>
  <si>
    <t>19200</t>
  </si>
  <si>
    <t>16200</t>
  </si>
  <si>
    <t>40940</t>
  </si>
  <si>
    <t>10206</t>
  </si>
  <si>
    <t>39220</t>
  </si>
  <si>
    <t>13134</t>
  </si>
  <si>
    <t>18550</t>
  </si>
  <si>
    <t>33620</t>
  </si>
  <si>
    <t>26302</t>
  </si>
  <si>
    <t>9782</t>
  </si>
  <si>
    <t>10713</t>
  </si>
  <si>
    <t>50626</t>
  </si>
  <si>
    <t>7896</t>
  </si>
  <si>
    <t>3678</t>
  </si>
  <si>
    <t>20184</t>
  </si>
  <si>
    <t>19660</t>
  </si>
  <si>
    <t>23450</t>
  </si>
  <si>
    <t>49397</t>
  </si>
  <si>
    <t>13430</t>
  </si>
  <si>
    <t>5579</t>
  </si>
  <si>
    <t>51992</t>
  </si>
  <si>
    <t>6896</t>
  </si>
  <si>
    <t>11044</t>
  </si>
  <si>
    <t>6490</t>
  </si>
  <si>
    <t>7130</t>
  </si>
  <si>
    <t>11500</t>
  </si>
  <si>
    <t>42156</t>
  </si>
  <si>
    <t>5928</t>
  </si>
  <si>
    <t>403178</t>
  </si>
  <si>
    <t>10640</t>
  </si>
  <si>
    <t>2950</t>
  </si>
  <si>
    <t>7920</t>
  </si>
  <si>
    <t>83821</t>
  </si>
  <si>
    <t>16898</t>
  </si>
  <si>
    <t>60390</t>
  </si>
  <si>
    <t>35856</t>
  </si>
  <si>
    <t>3352</t>
  </si>
  <si>
    <t>29546</t>
  </si>
  <si>
    <t>7360</t>
  </si>
  <si>
    <t>7196</t>
  </si>
  <si>
    <t>3898</t>
  </si>
  <si>
    <t>10060</t>
  </si>
  <si>
    <t>4100</t>
  </si>
  <si>
    <t>13128</t>
  </si>
  <si>
    <t>4922</t>
  </si>
  <si>
    <t>6540</t>
  </si>
  <si>
    <t>34500</t>
  </si>
  <si>
    <t>3384</t>
  </si>
  <si>
    <t>32553</t>
  </si>
  <si>
    <t>14840</t>
  </si>
  <si>
    <t>4340</t>
  </si>
  <si>
    <t>2663</t>
  </si>
  <si>
    <t>3060</t>
  </si>
  <si>
    <t>5328</t>
  </si>
  <si>
    <t>9328</t>
  </si>
  <si>
    <t>3772</t>
  </si>
  <si>
    <t>2886</t>
  </si>
  <si>
    <t>3650</t>
  </si>
  <si>
    <t>25200</t>
  </si>
  <si>
    <t>3280</t>
  </si>
  <si>
    <t>10290</t>
  </si>
  <si>
    <t>4469</t>
  </si>
  <si>
    <t>8820</t>
  </si>
  <si>
    <t>4581</t>
  </si>
  <si>
    <t>12464</t>
  </si>
  <si>
    <t>7200</t>
  </si>
  <si>
    <t>12063</t>
  </si>
  <si>
    <t>9030</t>
  </si>
  <si>
    <t>4662</t>
  </si>
  <si>
    <t>3451</t>
  </si>
  <si>
    <t>2864</t>
  </si>
  <si>
    <t>Parkersburg</t>
  </si>
  <si>
    <t>Vienna</t>
  </si>
  <si>
    <t>Wood County*</t>
  </si>
  <si>
    <t>(Higher than $1,000,000)</t>
  </si>
  <si>
    <t>54-05-0075-0052-0000_800</t>
  </si>
  <si>
    <t>54-10-0047-0001-0000_701</t>
  </si>
  <si>
    <t>54-05-0095-0030-0000_1</t>
  </si>
  <si>
    <t>54-10-0046-0001-0001_800</t>
  </si>
  <si>
    <t>54-10-0047-0013-0000_802</t>
  </si>
  <si>
    <t>54-10-0046-0002-0000_810</t>
  </si>
  <si>
    <t>54-08-0300-00N5-0002_167</t>
  </si>
  <si>
    <t>54-05-0095-0049-0000_401</t>
  </si>
  <si>
    <t>54-10-0011-0021-0000_1511</t>
  </si>
  <si>
    <t>54-10-0046-0001-0003_113</t>
  </si>
  <si>
    <t>54-05-0066-0098-0000_3101</t>
  </si>
  <si>
    <t>54-04-0240-000E-0000_242</t>
  </si>
  <si>
    <t>54-10-0047-0006-0000_605</t>
  </si>
  <si>
    <t>54-04-0180-000A-0000_2675</t>
  </si>
  <si>
    <t>54-10-0014-0010-0000_1009</t>
  </si>
  <si>
    <t>54-04-0019-0086-0000_415</t>
  </si>
  <si>
    <t>54-12-0360-00F1-0000_12717</t>
  </si>
  <si>
    <t>54-10-0014-0035-0000_905</t>
  </si>
  <si>
    <t>54-06-112A-0064-0000_368</t>
  </si>
  <si>
    <t>54-10-0009-0033-0000_1015B</t>
  </si>
  <si>
    <t>54-10-0008-151A-0000_1903</t>
  </si>
  <si>
    <t>54-05-0099-0007-0002_400</t>
  </si>
  <si>
    <t>54-10-0047-0008-0000_501</t>
  </si>
  <si>
    <t>54-03-0201-0342-0000_28</t>
  </si>
  <si>
    <t>54-10-0047-006A-0000_601</t>
  </si>
  <si>
    <t>54-10-0015-0052-0000_1103</t>
  </si>
  <si>
    <t>54-05-0099-0007-0000_206</t>
  </si>
  <si>
    <t>54-08-0230-00B2-0000_1445</t>
  </si>
  <si>
    <t>54-05-0030-0022-0000_3420</t>
  </si>
  <si>
    <t>54-04-0180-00C3-0000_3194</t>
  </si>
  <si>
    <t>54-01-0171-00W1-0000_1758</t>
  </si>
  <si>
    <t>54-05-0099-0007-0001_102</t>
  </si>
  <si>
    <t>54-06-0053-00A1-0001_1397</t>
  </si>
  <si>
    <t>54-09-0070-00D2-0000_1163</t>
  </si>
  <si>
    <t>54-03-0200-00P2-0000_9999</t>
  </si>
  <si>
    <t>54-12-0050-000B-0000_5075</t>
  </si>
  <si>
    <t>54-04-0230-000G-0000_3112</t>
  </si>
  <si>
    <t>54-13-0004-0008-0000_215</t>
  </si>
  <si>
    <t>54-12-0491-0020-0000_70</t>
  </si>
  <si>
    <t>54-13-0003-000E-0000_3</t>
  </si>
  <si>
    <t>54-08-0300-000N-0000_257</t>
  </si>
  <si>
    <t>54-10-0047-0007-0000_1000</t>
  </si>
  <si>
    <t>54-08-0090-000A-0000_132</t>
  </si>
  <si>
    <t>54-08-0090-000A-0000_156</t>
  </si>
  <si>
    <t>54-05-0122-0165-0000_3</t>
  </si>
  <si>
    <t>54-04-0240-0H8A-0000_720</t>
  </si>
  <si>
    <t>54-13-0017-0036-0000_4624</t>
  </si>
  <si>
    <t>54-13-0004-000B-0000_200</t>
  </si>
  <si>
    <t>54-05-0045-0126-0000_2519</t>
  </si>
  <si>
    <t>54-03-0320-00F8-0000_3092</t>
  </si>
  <si>
    <t>54-13-0003-00E1-0000_4</t>
  </si>
  <si>
    <t>54-05-0098-0012-0001_280</t>
  </si>
  <si>
    <t>54-05-0060-000E-0000_152</t>
  </si>
  <si>
    <t>54-13-0003-000C-0000_1</t>
  </si>
  <si>
    <t>54-04-0160-00C3-0000_401</t>
  </si>
  <si>
    <t>54-13-0003-000D-0000_2</t>
  </si>
  <si>
    <t>54-04-0019-0061-0000_416</t>
  </si>
  <si>
    <t>54-13-0003-000B-0000_302</t>
  </si>
  <si>
    <t>54-08-0300-00M2-0000_56</t>
  </si>
  <si>
    <t>54-10-0046-0002-0001_802</t>
  </si>
  <si>
    <t>54-08-0004-000H-0000_401</t>
  </si>
  <si>
    <t>54-10-0046-0001-003B_116</t>
  </si>
  <si>
    <t>54-05-0053-000O-0000_149</t>
  </si>
  <si>
    <t>54-06-112A-0060-0000_300</t>
  </si>
  <si>
    <t>54-01-0150-00Q2-0000_570</t>
  </si>
  <si>
    <t>54-10-0009-0325-0000_1018</t>
  </si>
  <si>
    <t>54-05-0059-0120-0000_2424</t>
  </si>
  <si>
    <t>54-05-0122-0164-0000_2</t>
  </si>
  <si>
    <t>54-06-112A-0061-0000_322</t>
  </si>
  <si>
    <t>54-06-112A-0059-0000_282</t>
  </si>
  <si>
    <t>54-06-0070-00F2-0008_83</t>
  </si>
  <si>
    <t>54-08-0240-00E2-0000_6856</t>
  </si>
  <si>
    <t>54-08-0240-00E2-0000_6858</t>
  </si>
  <si>
    <t>54-06-0116-0004-0000_219</t>
  </si>
  <si>
    <t>54-08-0150-00C1-0000_202</t>
  </si>
  <si>
    <t>54-06-112A-0067-0000_319</t>
  </si>
  <si>
    <t>54-08-0450-00E1-0000_1125</t>
  </si>
  <si>
    <t>54-10-0009-0209-0000_1000</t>
  </si>
  <si>
    <t>54-05-0099-0007-0000_300</t>
  </si>
  <si>
    <t>54-05-0124-0008-0000_1000</t>
  </si>
  <si>
    <t>54-10-0009-0205-0000_1000</t>
  </si>
  <si>
    <t>54-03-0340-000D-0000_3239</t>
  </si>
  <si>
    <t>54-06-0060-0C16-0003_321</t>
  </si>
  <si>
    <t>54-05-0075-0052-0000</t>
  </si>
  <si>
    <t>800 GARFIELD AVE, PARKERSBURG, WV, 26101</t>
  </si>
  <si>
    <t>54-10-0047-0001-0000</t>
  </si>
  <si>
    <t>701 GRAND CENTRAL AVE, VIENNA, WV, 26105</t>
  </si>
  <si>
    <t>54-05-0095-0030-0000</t>
  </si>
  <si>
    <t>1 GOVERNMENT SQ, PARKERSBURG, WV, 26101</t>
  </si>
  <si>
    <t>54-10-0046-0001-0001</t>
  </si>
  <si>
    <t>800 GRAND CENTRAL MALL, VIENNA, WV, 26105</t>
  </si>
  <si>
    <t>54-10-0047-0013-0000</t>
  </si>
  <si>
    <t>802 GRAND CENTRAL AVE, VIENNA, WV, 26105</t>
  </si>
  <si>
    <t>54-10-0046-0002-0000</t>
  </si>
  <si>
    <t>810 GRAND CENTRAL MALL, VIENNA, WV, 26105</t>
  </si>
  <si>
    <t>54-08-0300-00N5-0002</t>
  </si>
  <si>
    <t>167 ELIZABETH PIKE, MINERAL WELLS, WV, 26150</t>
  </si>
  <si>
    <t>54-05-0095-0049-0000</t>
  </si>
  <si>
    <t>401 2ND ST, PARKERSBURG, WV, 26101</t>
  </si>
  <si>
    <t>54-10-0011-0021-0000</t>
  </si>
  <si>
    <t>1511 GRAND CENTRAL AVE, VIENNA, WV, 26105</t>
  </si>
  <si>
    <t>54-10-0046-0001-0003</t>
  </si>
  <si>
    <t>113 GRAND CENTRAL AVE, VIENNA, WV, 26105</t>
  </si>
  <si>
    <t>54-05-0066-0098-0000</t>
  </si>
  <si>
    <t>3101 7TH ST, PARKERSBURG, WV, 26101</t>
  </si>
  <si>
    <t>54-04-0240-000E-0000</t>
  </si>
  <si>
    <t>242 STAUNTON TPKE, PARKERSBURG, WV, 26104</t>
  </si>
  <si>
    <t>54-10-0047-0006-0000</t>
  </si>
  <si>
    <t>605 GRAND CENTRAL AVE, VIENNA, WV, 26105</t>
  </si>
  <si>
    <t>54-04-0180-000A-0000</t>
  </si>
  <si>
    <t>2675 36TH ST, PARKERSBURG, WV, 26104</t>
  </si>
  <si>
    <t>54-10-0014-0010-0000</t>
  </si>
  <si>
    <t>1009 GRAND CENTRAL AVE, VIENNA, WV, 26105</t>
  </si>
  <si>
    <t>54-04-0019-0086-0000</t>
  </si>
  <si>
    <t>415 36TH ST, PARKERSBURG, WV, 26101</t>
  </si>
  <si>
    <t>Hogland Run Tributary</t>
  </si>
  <si>
    <t>54-12-0360-00F1-0000</t>
  </si>
  <si>
    <t>12717 EMERSON AVE, PARKERSBURG, WV, 26104</t>
  </si>
  <si>
    <t>54-10-0014-0035-0000</t>
  </si>
  <si>
    <t>905 GRAND CENTRAL AVE REAR, VIENNA, WV, 26105</t>
  </si>
  <si>
    <t>Little Tygart Creek</t>
  </si>
  <si>
    <t>54-06-112A-0064-0000</t>
  </si>
  <si>
    <t>368 DUBLIN DR, MINERAL WELLS, WV, 26150</t>
  </si>
  <si>
    <t>54-10-0009-0033-0000</t>
  </si>
  <si>
    <t>1015B 18TH ST APT 3, VIENNA, WV, 26105</t>
  </si>
  <si>
    <t>54-10-0008-151A-0000</t>
  </si>
  <si>
    <t>1903 GRAND CENTRAL AVE, VIENNA, WV, 26105</t>
  </si>
  <si>
    <t>54-05-0099-0007-0002</t>
  </si>
  <si>
    <t>400 LAKEVIEW CTR, PARKERSBURG, WV, 26101</t>
  </si>
  <si>
    <t>54-10-0047-0008-0000</t>
  </si>
  <si>
    <t>501 GRAND CENTRAL AVE, VIENNA, WV, 26105</t>
  </si>
  <si>
    <t>54-03-0201-0342-0000</t>
  </si>
  <si>
    <t>28 S FIRST ST, PARKERSBURG, WV, 26101</t>
  </si>
  <si>
    <t>54-10-0047-006A-0000</t>
  </si>
  <si>
    <t>601 GRAND CENTRAL AVE, VIENNA, WV, 26105</t>
  </si>
  <si>
    <t>54-10-0015-0052-0000</t>
  </si>
  <si>
    <t>1103 10TH ST, VIENNA, WV, 26105</t>
  </si>
  <si>
    <t>54-05-0099-0007-0000</t>
  </si>
  <si>
    <t>206 LAKEVIEW CTR, PARKERSBURG, WV, 26101</t>
  </si>
  <si>
    <t>Badgely Fork</t>
  </si>
  <si>
    <t>54-08-0230-00B2-0000</t>
  </si>
  <si>
    <t>1445 BADGLEY FORK RD, Mineral Wells, WV, 26150</t>
  </si>
  <si>
    <t>54-05-0030-0022-0000</t>
  </si>
  <si>
    <t>3420 MURDOCH AVE, PARKERSBURG, WV, 26104</t>
  </si>
  <si>
    <t>54-04-0180-00C3-0000</t>
  </si>
  <si>
    <t>3194 CORE RD, PARKERSBURG, WV, 26104</t>
  </si>
  <si>
    <t>Left Fork Stillwell Creek</t>
  </si>
  <si>
    <t>54-01-0171-00W1-0000</t>
  </si>
  <si>
    <t>1758 MURPHYTOWN RD, DAVISVILLE, WV, 26142</t>
  </si>
  <si>
    <t>54-05-0099-0007-0001</t>
  </si>
  <si>
    <t>102 LAKEVIEW CTR, PARKERSBURG, WV, 26101</t>
  </si>
  <si>
    <t>Little Tygart Creek Tributary</t>
  </si>
  <si>
    <t>54-06-0053-00A1-0001</t>
  </si>
  <si>
    <t>1397 ELIZABETH PIKE, MINERAL WELLS, WV, 26150</t>
  </si>
  <si>
    <t>54-09-0070-00D2-0000</t>
  </si>
  <si>
    <t>1163 WAVERLY RD, WILLIAMSTOWN, WV, 26187</t>
  </si>
  <si>
    <t>54-03-0200-00P2-0000</t>
  </si>
  <si>
    <t>9999 8TH AVE, PARKERSBURG, WV, 26101</t>
  </si>
  <si>
    <t>54-12-0050-000B-0000</t>
  </si>
  <si>
    <t>5075 WILLIAMS HWY, WILLIAMSTOWN, WV, 26187</t>
  </si>
  <si>
    <t>54-04-0230-000G-0000</t>
  </si>
  <si>
    <t>3112 NORTHWESTERN PIKE, PARKERSBURG, WV, 26104</t>
  </si>
  <si>
    <t>54-13-0004-0008-0000</t>
  </si>
  <si>
    <t>215 HIGHLAND AVE, WILLIAMSTOWN, WV, 26187</t>
  </si>
  <si>
    <t>54-12-0491-0020-0000</t>
  </si>
  <si>
    <t>70 FALLING WATERS DR, VIENNA, WV, 26105</t>
  </si>
  <si>
    <t>54-13-0003-000E-0000</t>
  </si>
  <si>
    <t>3 STERN DR, WILLIAMSTOWN, WV, 26187</t>
  </si>
  <si>
    <t>54-08-0300-000N-0000</t>
  </si>
  <si>
    <t>257 MATHENY LN, MINERAL WELLS, WV, 26150</t>
  </si>
  <si>
    <t>54-10-0047-0007-0000</t>
  </si>
  <si>
    <t>1000 GRAND CENTRAL MALL, VIENNA, WV, 26105</t>
  </si>
  <si>
    <t>54-08-0090-000A-0000</t>
  </si>
  <si>
    <t>132 GIHON MEADOWS DR, PARKERSBURG, WV, 26101</t>
  </si>
  <si>
    <t>156 GIHON MEADOWS DR, PARKERSBURG, WV, 26101</t>
  </si>
  <si>
    <t>54-05-0122-0165-0000</t>
  </si>
  <si>
    <t>3 MURRAY DR, PARKERSBURG, WV, 26101</t>
  </si>
  <si>
    <t>54-04-0240-0H8A-0000</t>
  </si>
  <si>
    <t>720 STAUNTON TPKE, PARKERSBURG, WV, 26104</t>
  </si>
  <si>
    <t>54-13-0017-0036-0000</t>
  </si>
  <si>
    <t>4624 WILLIAMS HWY, WILLIAMSTOWN, WV, 26187</t>
  </si>
  <si>
    <t>54-13-0004-000B-0000</t>
  </si>
  <si>
    <t>200 E FOURTH ST, WILLIAMSTOWN, WV, 26187</t>
  </si>
  <si>
    <t>54-05-0045-0126-0000</t>
  </si>
  <si>
    <t>2519 OHIO AVE, PARKERSBURG, WV, 26101</t>
  </si>
  <si>
    <t>Sandy Creek</t>
  </si>
  <si>
    <t>54-03-0320-00F8-0000</t>
  </si>
  <si>
    <t>3092 HARRIS HWY, WASHINGTON, WV, 26181</t>
  </si>
  <si>
    <t>54-13-0003-00E1-0000</t>
  </si>
  <si>
    <t>4 STERN DR, WILLIAMSTOWN, WV, 26187</t>
  </si>
  <si>
    <t>54-05-0098-0012-0001</t>
  </si>
  <si>
    <t>280 PARK CENTER DR, PARKERSBURG, WV, 26101</t>
  </si>
  <si>
    <t>54-05-0060-000E-0000</t>
  </si>
  <si>
    <t>152 19TH ST, PARKERSBURG, WV, 26101</t>
  </si>
  <si>
    <t>54-13-0003-000C-0000</t>
  </si>
  <si>
    <t>1 STERN DR, WILLIAMSTOWN, WV, 26187</t>
  </si>
  <si>
    <t>54-04-0160-00C3-0000</t>
  </si>
  <si>
    <t>401 CORA DR, PARKERSBURG, WV, 26101</t>
  </si>
  <si>
    <t>54-13-0003-000D-0000</t>
  </si>
  <si>
    <t>2 STERN DR, WILLIAMSTOWN, WV, 26187</t>
  </si>
  <si>
    <t>54-04-0019-0061-0000</t>
  </si>
  <si>
    <t>416 37TH ST, PARKERSBURG, WV, 26101</t>
  </si>
  <si>
    <t>54-13-0003-000B-0000</t>
  </si>
  <si>
    <t>302 FRONT ST, WILLIAMSTOWN, WV, 26187</t>
  </si>
  <si>
    <t>54-08-0300-00M2-0000</t>
  </si>
  <si>
    <t>56 FRONTAGE RD, MINERAL WELLS, WV, 26150</t>
  </si>
  <si>
    <t>54-10-0046-0002-0001</t>
  </si>
  <si>
    <t>802 GRAND CENTRAL MALL, VIENNA, WV, 26105</t>
  </si>
  <si>
    <t>54-08-0004-000H-0000</t>
  </si>
  <si>
    <t>401 BUCKEYE ST, PARKERSBURG, WV, 26101</t>
  </si>
  <si>
    <t>54-10-0046-0001-003B</t>
  </si>
  <si>
    <t>116 GRAND CENTRAL MALL, VIENNA, WV, 26105</t>
  </si>
  <si>
    <t>54-05-0053-000O-0000</t>
  </si>
  <si>
    <t>149 19TH ST, PARKERSBURG, WV, 26101</t>
  </si>
  <si>
    <t>54-06-112A-0060-0000</t>
  </si>
  <si>
    <t>300 DUBLIN DR, MINERAL WELLS, WV, 26150</t>
  </si>
  <si>
    <t>Murphytown Creek Tributary No.1</t>
  </si>
  <si>
    <t>54-01-0150-00Q2-0000</t>
  </si>
  <si>
    <t>570 MURPHYTOWN RD, DAVISVILLE, WV, 26142</t>
  </si>
  <si>
    <t>54-10-0009-0325-0000</t>
  </si>
  <si>
    <t>1018 20TH ST, VIENNA, WV, 26105</t>
  </si>
  <si>
    <t>54-05-0059-0120-0000</t>
  </si>
  <si>
    <t>2424 PARKER AVE, PARKERSBURG, WV, 26104</t>
  </si>
  <si>
    <t>54-05-0122-0164-0000</t>
  </si>
  <si>
    <t>2 MURRAY DR, PARKERSBURG, WV, 26101</t>
  </si>
  <si>
    <t>54-06-112A-0061-0000</t>
  </si>
  <si>
    <t>322 DUBLIN DR, MINERAL WELLS, WV, 26150</t>
  </si>
  <si>
    <t>54-06-112A-0059-0000</t>
  </si>
  <si>
    <t>282 DUBLIN DR, MINERAL WELLS, WV, 26150</t>
  </si>
  <si>
    <t>Butcher Hill Tributary</t>
  </si>
  <si>
    <t>54-06-0070-00F2-0008</t>
  </si>
  <si>
    <t>83 LIBERTY LN, MINERAL WELLS, WV, 26150</t>
  </si>
  <si>
    <t>Jackson Run</t>
  </si>
  <si>
    <t>54-08-0240-00E2-0000</t>
  </si>
  <si>
    <t>6856 PIKE ST APT 1, MINERAL WELLS, WV, 26150</t>
  </si>
  <si>
    <t>6858 PIKE ST APT 13, MINERAL WELLS, WV, 26150</t>
  </si>
  <si>
    <t>54-06-0116-0004-0000</t>
  </si>
  <si>
    <t>219 DOVER DR, MINERAL WELLS, WV, 26150</t>
  </si>
  <si>
    <t>54-08-0150-00C1-0000</t>
  </si>
  <si>
    <t>202 MINERAL MANOR WAY, PARKERSBURG, WV, 26101</t>
  </si>
  <si>
    <t>54-06-112A-0067-0000</t>
  </si>
  <si>
    <t>319 WOODRIDGE DR, MINERAL WELLS, WV, 26150</t>
  </si>
  <si>
    <t>Sycamore Run</t>
  </si>
  <si>
    <t>54-08-0450-00E1-0000</t>
  </si>
  <si>
    <t>1125 SYCAMORE RUN RD, MINERAL WELLS, WV, 26150</t>
  </si>
  <si>
    <t>54-10-0009-0209-0000</t>
  </si>
  <si>
    <t>1000 19TH ST, VIENNA, WV, 26105</t>
  </si>
  <si>
    <t>300 Lakeview Center, Parkersburg, WV, 26101</t>
  </si>
  <si>
    <t>54-05-0124-0008-0000</t>
  </si>
  <si>
    <t>1000 DUPONT RD E, PARKERSBURG, WV, 26101</t>
  </si>
  <si>
    <t>54-10-0009-0205-0000</t>
  </si>
  <si>
    <t>54-03-0340-000D-0000</t>
  </si>
  <si>
    <t>3239 HARRIS HWY, WASHINGTON, WV, 26181</t>
  </si>
  <si>
    <t>Lockhart Run Tributary No.2</t>
  </si>
  <si>
    <t>54-06-0060-0C16-0003</t>
  </si>
  <si>
    <t>321 EVANS AVE, MINERAL WELLS, WV, 26150</t>
  </si>
  <si>
    <t>New utility changes applied on 11/18/2021.</t>
  </si>
  <si>
    <t>New utility changes applied on 11/18/2021</t>
  </si>
  <si>
    <t>43-08-0016-0001-0000_224</t>
  </si>
  <si>
    <t>43-08-0016-0001-0000</t>
  </si>
  <si>
    <t>224 SEWAGE PLANT RD, PENNSBORO, WV, 26415</t>
  </si>
  <si>
    <t>PENNSBORO CITY OF</t>
  </si>
  <si>
    <t>44-07-017C-0006-0000_50</t>
  </si>
  <si>
    <t>44-07-017C-0006-0000</t>
  </si>
  <si>
    <t>50 SPRING CRK, SPENCER, WV, 25276</t>
  </si>
  <si>
    <t>New utility changes applied on 11/30/2021</t>
  </si>
  <si>
    <t>48-04-007B-0015-0000_422</t>
  </si>
  <si>
    <t>48-04-007B-0015-0000</t>
  </si>
  <si>
    <t>422 CLAY ST, SISTERSVILLE, WV, 26175</t>
  </si>
  <si>
    <t>48-10-0001-0007-0001_7604</t>
  </si>
  <si>
    <t>48-10-0001-0007-0001</t>
  </si>
  <si>
    <t>FRIENDLY PUBLIC SERVICE DIST</t>
  </si>
  <si>
    <t>54-12-0230-000O-0000_65</t>
  </si>
  <si>
    <t>54-12-0230-000O-0000</t>
  </si>
  <si>
    <t>65 DIXIE ST, WILLIAMSTOWN, WV, 26187</t>
  </si>
  <si>
    <t>CENTRAL BOAZ PUBLIC SERVICE DISTRICT</t>
  </si>
  <si>
    <t>54-05-0053-00N1-0000</t>
  </si>
  <si>
    <t>54-05-0053-00N1-0000_125</t>
  </si>
  <si>
    <t>125 19TH ST, PARKERSBURG, WV, 26101</t>
  </si>
  <si>
    <t>54-13-0002-000B-0000_110</t>
  </si>
  <si>
    <t>54-13-0002-000B-0000</t>
  </si>
  <si>
    <t>110 WILLIAMS AVE, WILLIAMSTOWN, WV, 26187</t>
  </si>
  <si>
    <t>CITY OF WILLIAMSTOWN</t>
  </si>
  <si>
    <t>54-01-0180-0J7A-0000_368</t>
  </si>
  <si>
    <t>54-01-0180-0J7A-0000</t>
  </si>
  <si>
    <t>368 HAPPY VALLEY RD, PARKERSBURG, WV, 26104</t>
  </si>
  <si>
    <t>CLAYWOOD PARK PUBLIC SER DIST</t>
  </si>
  <si>
    <t>Williamstown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</si>
</sst>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0.0"/>
    <numFmt numFmtId="166" formatCode="0.0%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11"/>
      <color theme="3"/>
      <name val="Calibri"/>
      <family val="2"/>
      <scheme val="minor"/>
    </font>
    <font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rgb="FFFF0000"/>
      <name val="Calibri"/>
      <family val="2"/>
      <scheme val="minor"/>
    </font>
    <font>
      <u/>
      <sz val="9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56">
    <xf numFmtId="0" fontId="0" fillId="0" borderId="0" xfId="0"/>
    <xf numFmtId="0" fontId="1" fillId="2" borderId="1" xfId="0" applyFont="1" applyFill="1" applyBorder="1"/>
    <xf numFmtId="0" fontId="0" fillId="0" borderId="1" xfId="0" applyBorder="1"/>
    <xf numFmtId="0" fontId="0" fillId="3" borderId="1" xfId="0" applyFill="1" applyBorder="1"/>
    <xf numFmtId="0" fontId="0" fillId="2" borderId="1" xfId="0" applyFill="1" applyBorder="1"/>
    <xf numFmtId="0" fontId="5" fillId="5" borderId="0" xfId="0" applyFont="1" applyFill="1"/>
    <xf numFmtId="0" fontId="1" fillId="0" borderId="0" xfId="0" applyFont="1"/>
    <xf numFmtId="0" fontId="0" fillId="6" borderId="0" xfId="0" applyFill="1"/>
    <xf numFmtId="0" fontId="0" fillId="0" borderId="0" xfId="0" applyAlignment="1">
      <alignment horizontal="center"/>
    </xf>
    <xf numFmtId="164" fontId="0" fillId="4" borderId="0" xfId="2" applyNumberFormat="1" applyFont="1" applyFill="1"/>
    <xf numFmtId="165" fontId="0" fillId="0" borderId="0" xfId="0" applyNumberFormat="1" applyAlignment="1">
      <alignment horizontal="center"/>
    </xf>
    <xf numFmtId="9" fontId="0" fillId="0" borderId="0" xfId="3" applyFont="1" applyAlignment="1">
      <alignment horizontal="center"/>
    </xf>
    <xf numFmtId="164" fontId="0" fillId="0" borderId="0" xfId="2" applyNumberFormat="1" applyFont="1"/>
    <xf numFmtId="14" fontId="0" fillId="0" borderId="0" xfId="0" applyNumberFormat="1" applyAlignment="1">
      <alignment horizontal="left"/>
    </xf>
    <xf numFmtId="0" fontId="6" fillId="0" borderId="0" xfId="0" applyFont="1"/>
    <xf numFmtId="0" fontId="7" fillId="6" borderId="0" xfId="0" applyFont="1" applyFill="1" applyAlignment="1">
      <alignment horizontal="center"/>
    </xf>
    <xf numFmtId="0" fontId="3" fillId="0" borderId="0" xfId="1" applyAlignment="1" applyProtection="1"/>
    <xf numFmtId="0" fontId="8" fillId="0" borderId="0" xfId="0" applyFont="1" applyAlignment="1">
      <alignment horizontal="center"/>
    </xf>
    <xf numFmtId="0" fontId="3" fillId="0" borderId="0" xfId="1" applyAlignment="1" applyProtection="1">
      <alignment horizontal="center"/>
    </xf>
    <xf numFmtId="0" fontId="0" fillId="0" borderId="0" xfId="0" applyFont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164" fontId="2" fillId="4" borderId="1" xfId="2" applyNumberFormat="1" applyFont="1" applyFill="1" applyBorder="1" applyAlignment="1">
      <alignment horizontal="center" vertical="center" wrapText="1"/>
    </xf>
    <xf numFmtId="164" fontId="0" fillId="0" borderId="1" xfId="2" applyNumberFormat="1" applyFont="1" applyBorder="1" applyAlignment="1">
      <alignment horizontal="center" vertical="center" wrapText="1"/>
    </xf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0" fontId="3" fillId="0" borderId="1" xfId="1" applyBorder="1" applyAlignment="1">
      <alignment horizontal="center"/>
    </xf>
    <xf numFmtId="0" fontId="0" fillId="0" borderId="1" xfId="0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0" fontId="9" fillId="0" borderId="1" xfId="0" applyFont="1" applyBorder="1"/>
    <xf numFmtId="165" fontId="0" fillId="0" borderId="1" xfId="0" applyNumberFormat="1" applyFill="1" applyBorder="1" applyAlignment="1">
      <alignment horizontal="center" vertical="center" wrapText="1"/>
    </xf>
    <xf numFmtId="166" fontId="0" fillId="0" borderId="1" xfId="3" applyNumberFormat="1" applyFont="1" applyFill="1" applyBorder="1" applyAlignment="1">
      <alignment horizontal="center" vertical="center" wrapText="1"/>
    </xf>
    <xf numFmtId="0" fontId="9" fillId="0" borderId="1" xfId="0" applyFont="1" applyFill="1" applyBorder="1"/>
    <xf numFmtId="0" fontId="9" fillId="0" borderId="1" xfId="0" applyFont="1" applyFill="1" applyBorder="1" applyAlignment="1">
      <alignment horizontal="center"/>
    </xf>
    <xf numFmtId="164" fontId="9" fillId="4" borderId="1" xfId="2" applyNumberFormat="1" applyFont="1" applyFill="1" applyBorder="1"/>
    <xf numFmtId="165" fontId="9" fillId="0" borderId="1" xfId="0" applyNumberFormat="1" applyFont="1" applyFill="1" applyBorder="1" applyAlignment="1">
      <alignment horizontal="center"/>
    </xf>
    <xf numFmtId="166" fontId="9" fillId="0" borderId="1" xfId="3" applyNumberFormat="1" applyFont="1" applyFill="1" applyBorder="1" applyAlignment="1">
      <alignment horizontal="center"/>
    </xf>
    <xf numFmtId="164" fontId="9" fillId="0" borderId="1" xfId="2" applyNumberFormat="1" applyFont="1" applyBorder="1"/>
    <xf numFmtId="164" fontId="1" fillId="0" borderId="0" xfId="2" applyNumberFormat="1" applyFont="1" applyFill="1" applyAlignment="1">
      <alignment horizontal="center"/>
    </xf>
    <xf numFmtId="0" fontId="12" fillId="3" borderId="1" xfId="0" applyFont="1" applyFill="1" applyBorder="1" applyAlignment="1">
      <alignment horizontal="center" vertical="center" wrapText="1"/>
    </xf>
    <xf numFmtId="164" fontId="13" fillId="4" borderId="1" xfId="2" applyNumberFormat="1" applyFont="1" applyFill="1" applyBorder="1" applyAlignment="1">
      <alignment horizontal="center" vertical="center" wrapText="1"/>
    </xf>
    <xf numFmtId="0" fontId="10" fillId="7" borderId="1" xfId="0" applyFont="1" applyFill="1" applyBorder="1" applyAlignment="1">
      <alignment horizontal="center" vertical="center" wrapText="1"/>
    </xf>
    <xf numFmtId="0" fontId="11" fillId="7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 applyAlignment="1">
      <alignment vertical="center"/>
    </xf>
    <xf numFmtId="0" fontId="9" fillId="0" borderId="1" xfId="0" applyFont="1" applyFill="1" applyBorder="1" applyAlignment="1">
      <alignment horizontal="left"/>
    </xf>
    <xf numFmtId="164" fontId="0" fillId="4" borderId="0" xfId="2" applyNumberFormat="1" applyFont="1" applyFill="1" applyBorder="1"/>
    <xf numFmtId="0" fontId="0" fillId="0" borderId="0" xfId="0" applyFont="1"/>
    <xf numFmtId="0" fontId="3" fillId="0" borderId="1" xfId="1" applyBorder="1" applyAlignment="1">
      <alignment horizontal="center" vertical="center" wrapText="1"/>
    </xf>
    <xf numFmtId="0" fontId="9" fillId="0" borderId="1" xfId="0" applyFont="1" applyBorder="1" applyAlignment="1">
      <alignment horizontal="left"/>
    </xf>
    <xf numFmtId="0" fontId="11" fillId="0" borderId="1" xfId="0" applyFont="1" applyFill="1" applyBorder="1"/>
    <xf numFmtId="0" fontId="14" fillId="0" borderId="1" xfId="1" applyFont="1" applyBorder="1" applyAlignment="1">
      <alignment horizontal="center"/>
    </xf>
    <xf numFmtId="0" fontId="10" fillId="3" borderId="1" xfId="0" applyFont="1" applyFill="1" applyBorder="1"/>
    <xf numFmtId="164" fontId="11" fillId="4" borderId="1" xfId="2" applyNumberFormat="1" applyFont="1" applyFill="1" applyBorder="1"/>
  </cellXfs>
  <cellStyles count="4">
    <cellStyle name="Currency" xfId="2" builtinId="4"/>
    <cellStyle name="Hyperlink" xfId="1" builtinId="8"/>
    <cellStyle name="Normal" xfId="0" builtinId="0"/>
    <cellStyle name="Percent" xfId="3" builtinId="5"/>
  </cellStyles>
  <dxfs count="0"/>
  <tableStyles count="0" defaultTableStyle="TableStyleMedium9" defaultPivotStyle="PivotStyleLight16"/>
  <colors>
    <mruColors>
      <color rgb="FFF2F2F2"/>
      <color rgb="FFFDE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ata.wvgis.wvu.edu/pub/RA/_resources/FRA/Basement-Foundation_Types-FFH_Reference.xlsx" TargetMode="External"/><Relationship Id="rId2" Type="http://schemas.openxmlformats.org/officeDocument/2006/relationships/hyperlink" Target="https://data.wvgis.wvu.edu/pub/RA/_resources/FRA/Occupancy_Class_Types_Reference.xlsx" TargetMode="External"/><Relationship Id="rId1" Type="http://schemas.openxmlformats.org/officeDocument/2006/relationships/hyperlink" Target="https://data.wvgis.wvu.edu/pub/RA/_resources/FRA/CL-FRA_Bldg_FIRM-Status_Freeboard_FloodStudies.xlsx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data.wvgis.wvu.edu/pub/RA/_resources/FRA/Basement-Foundation_Types-FFH_Reference.xlsx" TargetMode="External"/><Relationship Id="rId2" Type="http://schemas.openxmlformats.org/officeDocument/2006/relationships/hyperlink" Target="https://data.wvgis.wvu.edu/pub/RA/_resources/FRA/Occupancy_Class_Types_Reference.xlsx" TargetMode="External"/><Relationship Id="rId1" Type="http://schemas.openxmlformats.org/officeDocument/2006/relationships/hyperlink" Target="https://data.wvgis.wvu.edu/pub/RA/_resources/FRA/CL-FRA_Bldg_FIRM-Status_Freeboard_FloodStudies.xlsx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data.wvgis.wvu.edu/pub/RA/_resources/FRA/Basement-Foundation_Types-FFH_Reference.xlsx" TargetMode="External"/><Relationship Id="rId2" Type="http://schemas.openxmlformats.org/officeDocument/2006/relationships/hyperlink" Target="https://data.wvgis.wvu.edu/pub/RA/_resources/FRA/Occupancy_Class_Types_Reference.xlsx" TargetMode="External"/><Relationship Id="rId1" Type="http://schemas.openxmlformats.org/officeDocument/2006/relationships/hyperlink" Target="https://data.wvgis.wvu.edu/pub/RA/_resources/FRA/CL-FRA_Bldg_FIRM-Status_Freeboard_FloodStudies.xlsx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data.wvgis.wvu.edu/pub/RA/_resources/FRA/Basement-Foundation_Types-FFH_Reference.xlsx" TargetMode="External"/><Relationship Id="rId2" Type="http://schemas.openxmlformats.org/officeDocument/2006/relationships/hyperlink" Target="https://data.wvgis.wvu.edu/pub/RA/_resources/FRA/Occupancy_Class_Types_Reference.xlsx" TargetMode="External"/><Relationship Id="rId1" Type="http://schemas.openxmlformats.org/officeDocument/2006/relationships/hyperlink" Target="https://data.wvgis.wvu.edu/pub/RA/_resources/FRA/CL-FRA_Bldg_FIRM-Status_Freeboard_FloodStudies.xlsx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s://data.wvgis.wvu.edu/pub/RA/_resources/FRA/Basement-Foundation_Types-FFH_Reference.xlsx" TargetMode="External"/><Relationship Id="rId2" Type="http://schemas.openxmlformats.org/officeDocument/2006/relationships/hyperlink" Target="https://data.wvgis.wvu.edu/pub/RA/_resources/FRA/Occupancy_Class_Types_Reference.xlsx" TargetMode="External"/><Relationship Id="rId1" Type="http://schemas.openxmlformats.org/officeDocument/2006/relationships/hyperlink" Target="https://data.wvgis.wvu.edu/pub/RA/_resources/FRA/CL-FRA_Bldg_FIRM-Status_Freeboard_FloodStudies.xlsx" TargetMode="External"/><Relationship Id="rId4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s://data.wvgis.wvu.edu/pub/RA/_resources/FRA/Basement-Foundation_Types-FFH_Reference.xlsx" TargetMode="External"/><Relationship Id="rId2" Type="http://schemas.openxmlformats.org/officeDocument/2006/relationships/hyperlink" Target="https://data.wvgis.wvu.edu/pub/RA/_resources/FRA/Occupancy_Class_Types_Reference.xlsx" TargetMode="External"/><Relationship Id="rId1" Type="http://schemas.openxmlformats.org/officeDocument/2006/relationships/hyperlink" Target="https://data.wvgis.wvu.edu/pub/RA/_resources/FRA/CL-FRA_Bldg_FIRM-Status_Freeboard_FloodStudies.xlsx" TargetMode="External"/><Relationship Id="rId4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https://data.wvgis.wvu.edu/pub/RA/_resources/FRA/Basement-Foundation_Types-FFH_Reference.xlsx" TargetMode="External"/><Relationship Id="rId2" Type="http://schemas.openxmlformats.org/officeDocument/2006/relationships/hyperlink" Target="https://data.wvgis.wvu.edu/pub/RA/_resources/FRA/Occupancy_Class_Types_Reference.xlsx" TargetMode="External"/><Relationship Id="rId1" Type="http://schemas.openxmlformats.org/officeDocument/2006/relationships/hyperlink" Target="https://data.wvgis.wvu.edu/pub/RA/_resources/FRA/CL-FRA_Bldg_FIRM-Status_Freeboard_FloodStudies.xlsx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https://data.wvgis.wvu.edu/pub/RA/_resources/FRA/Basement-Foundation_Types-FFH_Reference.xlsx" TargetMode="External"/><Relationship Id="rId2" Type="http://schemas.openxmlformats.org/officeDocument/2006/relationships/hyperlink" Target="https://data.wvgis.wvu.edu/pub/RA/_resources/FRA/Occupancy_Class_Types_Reference.xlsx" TargetMode="External"/><Relationship Id="rId1" Type="http://schemas.openxmlformats.org/officeDocument/2006/relationships/hyperlink" Target="https://data.wvgis.wvu.edu/pub/RA/_resources/FRA/CL-FRA_Bldg_FIRM-Status_Freeboard_FloodStudies.xlsx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DE8342-02F1-4F0A-A616-7636B002C62E}">
  <dimension ref="A1:X42"/>
  <sheetViews>
    <sheetView tabSelected="1" workbookViewId="0">
      <pane ySplit="6" topLeftCell="A7" activePane="bottomLeft" state="frozen"/>
      <selection pane="bottomLeft" activeCell="F3" sqref="F3"/>
    </sheetView>
  </sheetViews>
  <sheetFormatPr defaultRowHeight="15" x14ac:dyDescent="0.25"/>
  <cols>
    <col min="1" max="1" width="37" bestFit="1" customWidth="1"/>
    <col min="2" max="2" width="22.85546875" bestFit="1" customWidth="1"/>
    <col min="6" max="6" width="9.140625" style="8"/>
    <col min="7" max="7" width="11.7109375" style="8" customWidth="1"/>
    <col min="8" max="8" width="9.85546875" style="8" customWidth="1"/>
    <col min="13" max="13" width="11.28515625" customWidth="1"/>
    <col min="14" max="14" width="11" customWidth="1"/>
    <col min="15" max="15" width="9.140625" style="8"/>
    <col min="17" max="17" width="12.140625" customWidth="1"/>
    <col min="18" max="18" width="9.140625" style="8"/>
    <col min="19" max="19" width="22.5703125" bestFit="1" customWidth="1"/>
    <col min="24" max="24" width="11" bestFit="1" customWidth="1"/>
  </cols>
  <sheetData>
    <row r="1" spans="1:24" ht="14.25" customHeight="1" x14ac:dyDescent="0.25">
      <c r="A1" s="5" t="s">
        <v>75</v>
      </c>
      <c r="B1" s="5"/>
      <c r="C1" s="5"/>
      <c r="D1" s="5"/>
      <c r="F1" s="19" t="s">
        <v>76</v>
      </c>
      <c r="J1" s="8"/>
      <c r="K1" s="8"/>
      <c r="L1" s="8"/>
      <c r="N1" s="7" t="s">
        <v>77</v>
      </c>
      <c r="P1" s="8"/>
      <c r="S1" s="9" t="s">
        <v>78</v>
      </c>
      <c r="U1" s="10"/>
      <c r="V1" s="10"/>
      <c r="W1" s="11"/>
      <c r="X1" s="12"/>
    </row>
    <row r="2" spans="1:24" x14ac:dyDescent="0.25">
      <c r="A2" s="13">
        <v>44481</v>
      </c>
      <c r="B2" s="14" t="s">
        <v>79</v>
      </c>
      <c r="J2" s="8"/>
      <c r="K2" s="8"/>
      <c r="L2" s="8"/>
      <c r="N2" s="15" t="s">
        <v>42</v>
      </c>
      <c r="P2" s="8"/>
      <c r="S2" s="48"/>
      <c r="U2" s="10"/>
      <c r="V2" s="10"/>
      <c r="W2" s="11"/>
      <c r="X2" s="12"/>
    </row>
    <row r="3" spans="1:24" x14ac:dyDescent="0.25">
      <c r="A3" t="s">
        <v>81</v>
      </c>
      <c r="B3" s="49" t="s">
        <v>2290</v>
      </c>
      <c r="J3" s="18" t="s">
        <v>80</v>
      </c>
      <c r="K3" s="8"/>
      <c r="L3" s="8"/>
      <c r="M3" s="16" t="s">
        <v>80</v>
      </c>
      <c r="N3" s="7"/>
      <c r="P3" s="8"/>
      <c r="Q3" s="16" t="s">
        <v>80</v>
      </c>
      <c r="R3" s="17"/>
      <c r="S3" s="48"/>
      <c r="U3" s="10"/>
      <c r="V3" s="10"/>
      <c r="W3" s="11"/>
      <c r="X3" s="12"/>
    </row>
    <row r="4" spans="1:24" x14ac:dyDescent="0.25">
      <c r="J4" s="8"/>
      <c r="K4" s="8"/>
      <c r="L4" s="8"/>
      <c r="N4" s="7"/>
      <c r="P4" s="8"/>
      <c r="S4" s="48"/>
      <c r="U4" s="10"/>
      <c r="V4" s="10"/>
      <c r="W4" s="11"/>
      <c r="X4" s="12"/>
    </row>
    <row r="5" spans="1:24" x14ac:dyDescent="0.25">
      <c r="A5" s="1" t="s">
        <v>317</v>
      </c>
      <c r="J5" s="8"/>
      <c r="K5" s="8"/>
      <c r="L5" s="8"/>
      <c r="P5" s="8"/>
      <c r="S5" s="39" t="s">
        <v>168</v>
      </c>
      <c r="U5" s="8"/>
      <c r="V5" s="8"/>
      <c r="W5" s="11"/>
      <c r="X5" s="12"/>
    </row>
    <row r="6" spans="1:24" ht="45" x14ac:dyDescent="0.25">
      <c r="A6" s="27" t="s">
        <v>0</v>
      </c>
      <c r="B6" s="20" t="s">
        <v>1</v>
      </c>
      <c r="C6" s="20" t="s">
        <v>2</v>
      </c>
      <c r="D6" s="28" t="s">
        <v>3</v>
      </c>
      <c r="E6" s="28" t="s">
        <v>4</v>
      </c>
      <c r="F6" s="20" t="s">
        <v>5</v>
      </c>
      <c r="G6" s="20" t="s">
        <v>6</v>
      </c>
      <c r="H6" s="27" t="s">
        <v>7</v>
      </c>
      <c r="I6" s="20" t="s">
        <v>8</v>
      </c>
      <c r="J6" s="27" t="s">
        <v>9</v>
      </c>
      <c r="K6" s="28" t="s">
        <v>10</v>
      </c>
      <c r="L6" s="20" t="s">
        <v>11</v>
      </c>
      <c r="M6" s="28" t="s">
        <v>12</v>
      </c>
      <c r="N6" s="21" t="s">
        <v>13</v>
      </c>
      <c r="O6" s="28" t="s">
        <v>14</v>
      </c>
      <c r="P6" s="28" t="s">
        <v>15</v>
      </c>
      <c r="Q6" s="28" t="s">
        <v>16</v>
      </c>
      <c r="R6" s="28" t="s">
        <v>17</v>
      </c>
      <c r="S6" s="22" t="s">
        <v>18</v>
      </c>
      <c r="T6" s="20" t="s">
        <v>19</v>
      </c>
      <c r="U6" s="31" t="s">
        <v>20</v>
      </c>
      <c r="V6" s="31" t="s">
        <v>21</v>
      </c>
      <c r="W6" s="32" t="s">
        <v>22</v>
      </c>
      <c r="X6" s="23" t="s">
        <v>23</v>
      </c>
    </row>
    <row r="7" spans="1:24" x14ac:dyDescent="0.25">
      <c r="A7" s="33" t="s">
        <v>190</v>
      </c>
      <c r="B7" s="33" t="s">
        <v>211</v>
      </c>
      <c r="C7" s="33" t="s">
        <v>212</v>
      </c>
      <c r="D7" s="33" t="s">
        <v>244</v>
      </c>
      <c r="E7" s="33" t="s">
        <v>245</v>
      </c>
      <c r="F7" s="26" t="str">
        <f>HYPERLINK("https://mapwv.gov/flood/map/?wkid=102100&amp;x=-9026307.229368214&amp;y=4708767.366234659&amp;l=13&amp;v=2","FT")</f>
        <v>FT</v>
      </c>
      <c r="G7" s="25" t="s">
        <v>38</v>
      </c>
      <c r="H7" s="25" t="s">
        <v>25</v>
      </c>
      <c r="I7" s="24" t="s">
        <v>300</v>
      </c>
      <c r="J7" s="34" t="s">
        <v>26</v>
      </c>
      <c r="K7" s="34" t="s">
        <v>142</v>
      </c>
      <c r="L7" s="34"/>
      <c r="M7" s="33" t="s">
        <v>28</v>
      </c>
      <c r="N7" s="3" t="s">
        <v>111</v>
      </c>
      <c r="O7" s="34" t="s">
        <v>114</v>
      </c>
      <c r="P7" s="47">
        <v>5800</v>
      </c>
      <c r="Q7" s="33" t="s">
        <v>30</v>
      </c>
      <c r="R7" s="34" t="s">
        <v>119</v>
      </c>
      <c r="S7" s="35">
        <v>6000000</v>
      </c>
      <c r="T7" s="2" t="s">
        <v>29</v>
      </c>
      <c r="U7" s="36">
        <v>0</v>
      </c>
      <c r="V7" s="36">
        <v>-1</v>
      </c>
      <c r="W7" s="37">
        <v>0</v>
      </c>
      <c r="X7" s="38">
        <v>0</v>
      </c>
    </row>
    <row r="8" spans="1:24" x14ac:dyDescent="0.25">
      <c r="A8" s="33" t="s">
        <v>194</v>
      </c>
      <c r="B8" s="33" t="s">
        <v>211</v>
      </c>
      <c r="C8" s="33" t="s">
        <v>212</v>
      </c>
      <c r="D8" s="33" t="s">
        <v>250</v>
      </c>
      <c r="E8" s="33" t="s">
        <v>251</v>
      </c>
      <c r="F8" s="26" t="str">
        <f>HYPERLINK("https://mapwv.gov/flood/map/?wkid=102100&amp;x=-9027046.185068661&amp;y=4712019.553710828&amp;l=13&amp;v=2","FT")</f>
        <v>FT</v>
      </c>
      <c r="G8" s="25" t="s">
        <v>32</v>
      </c>
      <c r="H8" s="25" t="s">
        <v>25</v>
      </c>
      <c r="I8" s="24" t="s">
        <v>302</v>
      </c>
      <c r="J8" s="34" t="s">
        <v>26</v>
      </c>
      <c r="K8" s="34" t="s">
        <v>87</v>
      </c>
      <c r="L8" s="34"/>
      <c r="M8" s="33" t="s">
        <v>28</v>
      </c>
      <c r="N8" s="3" t="s">
        <v>111</v>
      </c>
      <c r="O8" s="34" t="s">
        <v>114</v>
      </c>
      <c r="P8" s="47">
        <v>5000</v>
      </c>
      <c r="Q8" s="33" t="s">
        <v>30</v>
      </c>
      <c r="R8" s="34" t="s">
        <v>119</v>
      </c>
      <c r="S8" s="35">
        <v>3400000</v>
      </c>
      <c r="T8" s="2" t="s">
        <v>29</v>
      </c>
      <c r="U8" s="36">
        <v>2.8516846</v>
      </c>
      <c r="V8" s="36">
        <v>1.8516845703125</v>
      </c>
      <c r="W8" s="37">
        <v>7.5550537109374996E-2</v>
      </c>
      <c r="X8" s="38">
        <v>256871.826171875</v>
      </c>
    </row>
    <row r="9" spans="1:24" x14ac:dyDescent="0.25">
      <c r="A9" s="33" t="s">
        <v>175</v>
      </c>
      <c r="B9" s="33" t="s">
        <v>211</v>
      </c>
      <c r="C9" s="33" t="s">
        <v>212</v>
      </c>
      <c r="D9" s="33" t="s">
        <v>213</v>
      </c>
      <c r="E9" s="33" t="s">
        <v>214</v>
      </c>
      <c r="F9" s="26" t="str">
        <f>HYPERLINK("https://mapwv.gov/flood/map/?wkid=102100&amp;x=-9018477.792171344&amp;y=4707264.875290072&amp;l=13&amp;v=2","FT")</f>
        <v>FT</v>
      </c>
      <c r="G9" s="25" t="s">
        <v>38</v>
      </c>
      <c r="H9" s="25" t="s">
        <v>25</v>
      </c>
      <c r="I9" s="24" t="s">
        <v>68</v>
      </c>
      <c r="J9" s="34" t="s">
        <v>39</v>
      </c>
      <c r="K9" s="34" t="s">
        <v>132</v>
      </c>
      <c r="L9" s="34"/>
      <c r="M9" s="33" t="s">
        <v>69</v>
      </c>
      <c r="N9" s="3" t="s">
        <v>110</v>
      </c>
      <c r="O9" s="34" t="s">
        <v>114</v>
      </c>
      <c r="P9" s="33" t="s">
        <v>318</v>
      </c>
      <c r="Q9" s="33" t="s">
        <v>30</v>
      </c>
      <c r="R9" s="34" t="s">
        <v>119</v>
      </c>
      <c r="S9" s="35">
        <v>2784430</v>
      </c>
      <c r="T9" s="2" t="s">
        <v>70</v>
      </c>
      <c r="U9" s="36">
        <v>0</v>
      </c>
      <c r="V9" s="36">
        <v>-1</v>
      </c>
      <c r="W9" s="37">
        <v>0</v>
      </c>
      <c r="X9" s="38">
        <v>0</v>
      </c>
    </row>
    <row r="10" spans="1:24" x14ac:dyDescent="0.25">
      <c r="A10" s="33" t="s">
        <v>176</v>
      </c>
      <c r="B10" s="33" t="s">
        <v>211</v>
      </c>
      <c r="C10" s="33" t="s">
        <v>212</v>
      </c>
      <c r="D10" s="33" t="s">
        <v>215</v>
      </c>
      <c r="E10" s="33" t="s">
        <v>216</v>
      </c>
      <c r="F10" s="26" t="str">
        <f>HYPERLINK("https://mapwv.gov/flood/map/?wkid=102100&amp;x=-9029041.452467183&amp;y=4711747.261715574&amp;l=13&amp;v=2","FT")</f>
        <v>FT</v>
      </c>
      <c r="G10" s="25" t="s">
        <v>32</v>
      </c>
      <c r="H10" s="25" t="s">
        <v>25</v>
      </c>
      <c r="I10" s="24" t="s">
        <v>286</v>
      </c>
      <c r="J10" s="34" t="s">
        <v>39</v>
      </c>
      <c r="K10" s="34" t="s">
        <v>156</v>
      </c>
      <c r="L10" s="34" t="s">
        <v>74</v>
      </c>
      <c r="M10" s="33" t="s">
        <v>48</v>
      </c>
      <c r="N10" s="3" t="s">
        <v>35</v>
      </c>
      <c r="O10" s="34" t="s">
        <v>114</v>
      </c>
      <c r="P10" s="33" t="s">
        <v>319</v>
      </c>
      <c r="Q10" s="33" t="s">
        <v>30</v>
      </c>
      <c r="R10" s="34" t="s">
        <v>119</v>
      </c>
      <c r="S10" s="35">
        <v>926215</v>
      </c>
      <c r="T10" s="2" t="s">
        <v>121</v>
      </c>
      <c r="U10" s="36">
        <v>3.0222777999999999</v>
      </c>
      <c r="V10" s="36">
        <v>2.02227783203125</v>
      </c>
      <c r="W10" s="37">
        <v>0.140445556640625</v>
      </c>
      <c r="X10" s="38">
        <v>130082.781243896</v>
      </c>
    </row>
    <row r="11" spans="1:24" x14ac:dyDescent="0.25">
      <c r="A11" s="33" t="s">
        <v>177</v>
      </c>
      <c r="B11" s="33" t="s">
        <v>211</v>
      </c>
      <c r="C11" s="33" t="s">
        <v>212</v>
      </c>
      <c r="D11" s="33" t="s">
        <v>217</v>
      </c>
      <c r="E11" s="33" t="s">
        <v>218</v>
      </c>
      <c r="F11" s="26" t="str">
        <f>HYPERLINK("https://mapwv.gov/flood/map/?wkid=102100&amp;x=-9034018.208934577&amp;y=4715570.988085057&amp;l=13&amp;v=2","FT")</f>
        <v>FT</v>
      </c>
      <c r="G11" s="25" t="s">
        <v>32</v>
      </c>
      <c r="H11" s="25" t="s">
        <v>25</v>
      </c>
      <c r="I11" s="24" t="s">
        <v>287</v>
      </c>
      <c r="J11" s="34" t="s">
        <v>36</v>
      </c>
      <c r="K11" s="34" t="s">
        <v>87</v>
      </c>
      <c r="L11" s="34"/>
      <c r="M11" s="33" t="s">
        <v>67</v>
      </c>
      <c r="N11" s="3" t="s">
        <v>112</v>
      </c>
      <c r="O11" s="34" t="s">
        <v>114</v>
      </c>
      <c r="P11" s="33" t="s">
        <v>320</v>
      </c>
      <c r="Q11" s="33" t="s">
        <v>30</v>
      </c>
      <c r="R11" s="34" t="s">
        <v>119</v>
      </c>
      <c r="S11" s="35">
        <v>573153</v>
      </c>
      <c r="T11" s="2" t="s">
        <v>121</v>
      </c>
      <c r="U11" s="36">
        <v>0</v>
      </c>
      <c r="V11" s="36">
        <v>-1</v>
      </c>
      <c r="W11" s="37">
        <v>0</v>
      </c>
      <c r="X11" s="38">
        <v>0</v>
      </c>
    </row>
    <row r="12" spans="1:24" x14ac:dyDescent="0.25">
      <c r="A12" s="33" t="s">
        <v>178</v>
      </c>
      <c r="B12" s="33" t="s">
        <v>219</v>
      </c>
      <c r="C12" s="33" t="s">
        <v>220</v>
      </c>
      <c r="D12" s="33" t="s">
        <v>221</v>
      </c>
      <c r="E12" s="33" t="s">
        <v>222</v>
      </c>
      <c r="F12" s="26" t="str">
        <f>HYPERLINK("https://mapwv.gov/flood/map/?wkid=102100&amp;x=-9027562.655965019&amp;y=4709877.296216741&amp;l=13&amp;v=2","FT")</f>
        <v>FT</v>
      </c>
      <c r="G12" s="25" t="s">
        <v>32</v>
      </c>
      <c r="H12" s="25" t="s">
        <v>25</v>
      </c>
      <c r="I12" s="24" t="s">
        <v>288</v>
      </c>
      <c r="J12" s="34" t="s">
        <v>36</v>
      </c>
      <c r="K12" s="34" t="s">
        <v>87</v>
      </c>
      <c r="L12" s="34"/>
      <c r="M12" s="33" t="s">
        <v>73</v>
      </c>
      <c r="N12" s="3" t="s">
        <v>111</v>
      </c>
      <c r="O12" s="34" t="s">
        <v>114</v>
      </c>
      <c r="P12" s="33" t="s">
        <v>151</v>
      </c>
      <c r="Q12" s="33" t="s">
        <v>30</v>
      </c>
      <c r="R12" s="34" t="s">
        <v>119</v>
      </c>
      <c r="S12" s="35">
        <v>548850</v>
      </c>
      <c r="T12" s="2" t="s">
        <v>31</v>
      </c>
      <c r="U12" s="36">
        <v>0</v>
      </c>
      <c r="V12" s="36">
        <v>-1</v>
      </c>
      <c r="W12" s="37">
        <v>0</v>
      </c>
      <c r="X12" s="38">
        <v>0</v>
      </c>
    </row>
    <row r="13" spans="1:24" x14ac:dyDescent="0.25">
      <c r="A13" s="33" t="s">
        <v>179</v>
      </c>
      <c r="B13" s="33" t="s">
        <v>219</v>
      </c>
      <c r="C13" s="33" t="s">
        <v>220</v>
      </c>
      <c r="D13" s="33" t="s">
        <v>223</v>
      </c>
      <c r="E13" s="33" t="s">
        <v>224</v>
      </c>
      <c r="F13" s="26" t="str">
        <f>HYPERLINK("https://mapwv.gov/flood/map/?wkid=102100&amp;x=-9027458.345594645&amp;y=4710051.370158929&amp;l=13&amp;v=2","FT")</f>
        <v>FT</v>
      </c>
      <c r="G13" s="25" t="s">
        <v>32</v>
      </c>
      <c r="H13" s="25" t="s">
        <v>25</v>
      </c>
      <c r="I13" s="24" t="s">
        <v>289</v>
      </c>
      <c r="J13" s="34" t="s">
        <v>39</v>
      </c>
      <c r="K13" s="34" t="s">
        <v>165</v>
      </c>
      <c r="L13" s="34" t="s">
        <v>50</v>
      </c>
      <c r="M13" s="33" t="s">
        <v>48</v>
      </c>
      <c r="N13" s="3" t="s">
        <v>35</v>
      </c>
      <c r="O13" s="34" t="s">
        <v>114</v>
      </c>
      <c r="P13" s="33" t="s">
        <v>321</v>
      </c>
      <c r="Q13" s="33" t="s">
        <v>30</v>
      </c>
      <c r="R13" s="34" t="s">
        <v>119</v>
      </c>
      <c r="S13" s="35">
        <v>519700</v>
      </c>
      <c r="T13" s="2" t="s">
        <v>31</v>
      </c>
      <c r="U13" s="36">
        <v>0</v>
      </c>
      <c r="V13" s="36">
        <v>-1</v>
      </c>
      <c r="W13" s="37">
        <v>0</v>
      </c>
      <c r="X13" s="38">
        <v>0</v>
      </c>
    </row>
    <row r="14" spans="1:24" x14ac:dyDescent="0.25">
      <c r="A14" s="33" t="s">
        <v>180</v>
      </c>
      <c r="B14" s="33" t="s">
        <v>211</v>
      </c>
      <c r="C14" s="33" t="s">
        <v>212</v>
      </c>
      <c r="D14" s="33" t="s">
        <v>225</v>
      </c>
      <c r="E14" s="33" t="s">
        <v>226</v>
      </c>
      <c r="F14" s="26" t="str">
        <f>HYPERLINK("https://mapwv.gov/flood/map/?wkid=102100&amp;x=-9026384.899982564&amp;y=4709242.90329984&amp;l=13&amp;v=2","FT")</f>
        <v>FT</v>
      </c>
      <c r="G14" s="25" t="s">
        <v>38</v>
      </c>
      <c r="H14" s="25" t="s">
        <v>25</v>
      </c>
      <c r="I14" s="24" t="s">
        <v>290</v>
      </c>
      <c r="J14" s="34" t="s">
        <v>36</v>
      </c>
      <c r="K14" s="34" t="s">
        <v>87</v>
      </c>
      <c r="L14" s="34"/>
      <c r="M14" s="33" t="s">
        <v>28</v>
      </c>
      <c r="N14" s="3" t="s">
        <v>111</v>
      </c>
      <c r="O14" s="34" t="s">
        <v>114</v>
      </c>
      <c r="P14" s="33" t="s">
        <v>322</v>
      </c>
      <c r="Q14" s="33" t="s">
        <v>30</v>
      </c>
      <c r="R14" s="34" t="s">
        <v>119</v>
      </c>
      <c r="S14" s="35">
        <v>481448</v>
      </c>
      <c r="T14" s="2" t="s">
        <v>121</v>
      </c>
      <c r="U14" s="36">
        <v>0</v>
      </c>
      <c r="V14" s="36">
        <v>-1</v>
      </c>
      <c r="W14" s="37">
        <v>0</v>
      </c>
      <c r="X14" s="38">
        <v>0</v>
      </c>
    </row>
    <row r="15" spans="1:24" x14ac:dyDescent="0.25">
      <c r="A15" s="33" t="s">
        <v>181</v>
      </c>
      <c r="B15" s="33" t="s">
        <v>219</v>
      </c>
      <c r="C15" s="33" t="s">
        <v>212</v>
      </c>
      <c r="D15" s="33" t="s">
        <v>227</v>
      </c>
      <c r="E15" s="33" t="s">
        <v>228</v>
      </c>
      <c r="F15" s="26" t="str">
        <f>HYPERLINK("https://mapwv.gov/flood/map/?wkid=102100&amp;x=-9027669.847283814&amp;y=4710763.135473001&amp;l=13&amp;v=2","FT")</f>
        <v>FT</v>
      </c>
      <c r="G15" s="25" t="s">
        <v>32</v>
      </c>
      <c r="H15" s="25" t="s">
        <v>25</v>
      </c>
      <c r="I15" s="24" t="s">
        <v>291</v>
      </c>
      <c r="J15" s="34" t="s">
        <v>36</v>
      </c>
      <c r="K15" s="34" t="s">
        <v>87</v>
      </c>
      <c r="L15" s="34"/>
      <c r="M15" s="33" t="s">
        <v>69</v>
      </c>
      <c r="N15" s="3" t="s">
        <v>110</v>
      </c>
      <c r="O15" s="34" t="s">
        <v>114</v>
      </c>
      <c r="P15" s="33" t="s">
        <v>323</v>
      </c>
      <c r="Q15" s="33" t="s">
        <v>30</v>
      </c>
      <c r="R15" s="34" t="s">
        <v>119</v>
      </c>
      <c r="S15" s="35">
        <v>363700</v>
      </c>
      <c r="T15" s="2" t="s">
        <v>31</v>
      </c>
      <c r="U15" s="36">
        <v>0</v>
      </c>
      <c r="V15" s="36">
        <v>-1</v>
      </c>
      <c r="W15" s="37">
        <v>0</v>
      </c>
      <c r="X15" s="38">
        <v>0</v>
      </c>
    </row>
    <row r="16" spans="1:24" x14ac:dyDescent="0.25">
      <c r="A16" s="33" t="s">
        <v>182</v>
      </c>
      <c r="B16" s="33" t="s">
        <v>211</v>
      </c>
      <c r="C16" s="33" t="s">
        <v>212</v>
      </c>
      <c r="D16" s="33" t="s">
        <v>215</v>
      </c>
      <c r="E16" s="33" t="s">
        <v>229</v>
      </c>
      <c r="F16" s="26" t="str">
        <f>HYPERLINK("https://mapwv.gov/flood/map/?wkid=102100&amp;x=-9028922.188549614&amp;y=4711914.5630009165&amp;l=13&amp;v=2","FT")</f>
        <v>FT</v>
      </c>
      <c r="G16" s="25" t="s">
        <v>32</v>
      </c>
      <c r="H16" s="25" t="s">
        <v>25</v>
      </c>
      <c r="I16" s="24" t="s">
        <v>292</v>
      </c>
      <c r="J16" s="34" t="s">
        <v>26</v>
      </c>
      <c r="K16" s="34" t="s">
        <v>133</v>
      </c>
      <c r="L16" s="34" t="s">
        <v>45</v>
      </c>
      <c r="M16" s="33" t="s">
        <v>67</v>
      </c>
      <c r="N16" s="3" t="s">
        <v>112</v>
      </c>
      <c r="O16" s="34" t="s">
        <v>114</v>
      </c>
      <c r="P16" s="33" t="s">
        <v>324</v>
      </c>
      <c r="Q16" s="33" t="s">
        <v>30</v>
      </c>
      <c r="R16" s="34" t="s">
        <v>119</v>
      </c>
      <c r="S16" s="35">
        <v>338720</v>
      </c>
      <c r="T16" s="2" t="s">
        <v>31</v>
      </c>
      <c r="U16" s="36">
        <v>4.5314940000000004</v>
      </c>
      <c r="V16" s="36">
        <v>3.531494140625</v>
      </c>
      <c r="W16" s="37">
        <v>0.11531494140625</v>
      </c>
      <c r="X16" s="38">
        <v>39059.476953124999</v>
      </c>
    </row>
    <row r="17" spans="1:24" x14ac:dyDescent="0.25">
      <c r="A17" s="33" t="s">
        <v>183</v>
      </c>
      <c r="B17" s="33" t="s">
        <v>211</v>
      </c>
      <c r="C17" s="33" t="s">
        <v>230</v>
      </c>
      <c r="D17" s="33" t="s">
        <v>231</v>
      </c>
      <c r="E17" s="33" t="s">
        <v>232</v>
      </c>
      <c r="F17" s="26" t="str">
        <f>HYPERLINK("https://mapwv.gov/flood/map/?wkid=102100&amp;x=-9031119.3881686&amp;y=4691448.969615&amp;l=13&amp;v=2","FT")</f>
        <v>FT</v>
      </c>
      <c r="G17" s="25" t="s">
        <v>32</v>
      </c>
      <c r="H17" s="25" t="s">
        <v>25</v>
      </c>
      <c r="I17" s="24" t="s">
        <v>293</v>
      </c>
      <c r="J17" s="34" t="s">
        <v>26</v>
      </c>
      <c r="K17" s="34" t="s">
        <v>169</v>
      </c>
      <c r="L17" s="34" t="s">
        <v>27</v>
      </c>
      <c r="M17" s="33" t="s">
        <v>48</v>
      </c>
      <c r="N17" s="3" t="s">
        <v>35</v>
      </c>
      <c r="O17" s="34" t="s">
        <v>114</v>
      </c>
      <c r="P17" s="33" t="s">
        <v>325</v>
      </c>
      <c r="Q17" s="33" t="s">
        <v>30</v>
      </c>
      <c r="R17" s="34" t="s">
        <v>119</v>
      </c>
      <c r="S17" s="35">
        <v>331400</v>
      </c>
      <c r="T17" s="2" t="s">
        <v>44</v>
      </c>
      <c r="U17" s="36">
        <v>0</v>
      </c>
      <c r="V17" s="36">
        <v>-1</v>
      </c>
      <c r="W17" s="37">
        <v>0</v>
      </c>
      <c r="X17" s="38">
        <v>0</v>
      </c>
    </row>
    <row r="18" spans="1:24" x14ac:dyDescent="0.25">
      <c r="A18" s="33" t="s">
        <v>184</v>
      </c>
      <c r="B18" s="33" t="s">
        <v>219</v>
      </c>
      <c r="C18" s="33" t="s">
        <v>212</v>
      </c>
      <c r="D18" s="33" t="s">
        <v>233</v>
      </c>
      <c r="E18" s="33" t="s">
        <v>234</v>
      </c>
      <c r="F18" s="26" t="str">
        <f>HYPERLINK("https://mapwv.gov/flood/map/?wkid=102100&amp;x=-9027492.902281532&amp;y=4710350.20334686&amp;l=13&amp;v=2","FT")</f>
        <v>FT</v>
      </c>
      <c r="G18" s="25" t="s">
        <v>32</v>
      </c>
      <c r="H18" s="25" t="s">
        <v>25</v>
      </c>
      <c r="I18" s="24" t="s">
        <v>294</v>
      </c>
      <c r="J18" s="34" t="s">
        <v>36</v>
      </c>
      <c r="K18" s="34" t="s">
        <v>87</v>
      </c>
      <c r="L18" s="34"/>
      <c r="M18" s="33" t="s">
        <v>57</v>
      </c>
      <c r="N18" s="3" t="s">
        <v>35</v>
      </c>
      <c r="O18" s="34" t="s">
        <v>114</v>
      </c>
      <c r="P18" s="33" t="s">
        <v>326</v>
      </c>
      <c r="Q18" s="33" t="s">
        <v>30</v>
      </c>
      <c r="R18" s="34" t="s">
        <v>119</v>
      </c>
      <c r="S18" s="35">
        <v>309503</v>
      </c>
      <c r="T18" s="2" t="s">
        <v>121</v>
      </c>
      <c r="U18" s="36">
        <v>2.6273192999999999</v>
      </c>
      <c r="V18" s="36">
        <v>1.6273193359375</v>
      </c>
      <c r="W18" s="37">
        <v>0.14136596679687499</v>
      </c>
      <c r="X18" s="38">
        <v>43753.190821533201</v>
      </c>
    </row>
    <row r="19" spans="1:24" x14ac:dyDescent="0.25">
      <c r="A19" s="33" t="s">
        <v>185</v>
      </c>
      <c r="B19" s="33" t="s">
        <v>211</v>
      </c>
      <c r="C19" s="33" t="s">
        <v>230</v>
      </c>
      <c r="D19" s="33" t="s">
        <v>235</v>
      </c>
      <c r="E19" s="33" t="s">
        <v>232</v>
      </c>
      <c r="F19" s="26" t="str">
        <f>HYPERLINK("https://mapwv.gov/flood/map/?wkid=102100&amp;x=-9031907.128188737&amp;y=4691548.1261623&amp;l=13&amp;v=2","FT")</f>
        <v>FT</v>
      </c>
      <c r="G19" s="25" t="s">
        <v>32</v>
      </c>
      <c r="H19" s="25" t="s">
        <v>25</v>
      </c>
      <c r="I19" s="24" t="s">
        <v>295</v>
      </c>
      <c r="J19" s="34" t="s">
        <v>26</v>
      </c>
      <c r="K19" s="34" t="s">
        <v>127</v>
      </c>
      <c r="L19" s="34" t="s">
        <v>33</v>
      </c>
      <c r="M19" s="33" t="s">
        <v>48</v>
      </c>
      <c r="N19" s="3" t="s">
        <v>35</v>
      </c>
      <c r="O19" s="34" t="s">
        <v>115</v>
      </c>
      <c r="P19" s="33" t="s">
        <v>327</v>
      </c>
      <c r="Q19" s="33" t="s">
        <v>30</v>
      </c>
      <c r="R19" s="34" t="s">
        <v>119</v>
      </c>
      <c r="S19" s="35">
        <v>299100</v>
      </c>
      <c r="T19" s="2" t="s">
        <v>44</v>
      </c>
      <c r="U19" s="36">
        <v>0</v>
      </c>
      <c r="V19" s="36">
        <v>-1</v>
      </c>
      <c r="W19" s="37">
        <v>0</v>
      </c>
      <c r="X19" s="38">
        <v>0</v>
      </c>
    </row>
    <row r="20" spans="1:24" x14ac:dyDescent="0.25">
      <c r="A20" s="33" t="s">
        <v>186</v>
      </c>
      <c r="B20" s="33" t="s">
        <v>219</v>
      </c>
      <c r="C20" s="33" t="s">
        <v>236</v>
      </c>
      <c r="D20" s="33" t="s">
        <v>237</v>
      </c>
      <c r="E20" s="33" t="s">
        <v>238</v>
      </c>
      <c r="F20" s="26" t="str">
        <f>HYPERLINK("https://mapwv.gov/flood/map/?wkid=102100&amp;x=-9027449.040621042&amp;y=4710640.412679537&amp;l=13&amp;v=2","FT")</f>
        <v>FT</v>
      </c>
      <c r="G20" s="25" t="s">
        <v>32</v>
      </c>
      <c r="H20" s="25" t="s">
        <v>25</v>
      </c>
      <c r="I20" s="24" t="s">
        <v>296</v>
      </c>
      <c r="J20" s="34" t="s">
        <v>26</v>
      </c>
      <c r="K20" s="34" t="s">
        <v>83</v>
      </c>
      <c r="L20" s="34" t="s">
        <v>38</v>
      </c>
      <c r="M20" s="33" t="s">
        <v>52</v>
      </c>
      <c r="N20" s="3" t="s">
        <v>35</v>
      </c>
      <c r="O20" s="34" t="s">
        <v>114</v>
      </c>
      <c r="P20" s="33" t="s">
        <v>328</v>
      </c>
      <c r="Q20" s="33" t="s">
        <v>30</v>
      </c>
      <c r="R20" s="34" t="s">
        <v>119</v>
      </c>
      <c r="S20" s="35">
        <v>296500</v>
      </c>
      <c r="T20" s="2" t="s">
        <v>44</v>
      </c>
      <c r="U20" s="36">
        <v>0</v>
      </c>
      <c r="V20" s="36">
        <v>-1</v>
      </c>
      <c r="W20" s="37">
        <v>0</v>
      </c>
      <c r="X20" s="38">
        <v>0</v>
      </c>
    </row>
    <row r="21" spans="1:24" x14ac:dyDescent="0.25">
      <c r="A21" s="33" t="s">
        <v>187</v>
      </c>
      <c r="B21" s="33" t="s">
        <v>211</v>
      </c>
      <c r="C21" s="33" t="s">
        <v>230</v>
      </c>
      <c r="D21" s="33" t="s">
        <v>239</v>
      </c>
      <c r="E21" s="33" t="s">
        <v>232</v>
      </c>
      <c r="F21" s="26" t="str">
        <f>HYPERLINK("https://mapwv.gov/flood/map/?wkid=102100&amp;x=-9032647.578130707&amp;y=4692283.066504503&amp;l=13&amp;v=2","FT")</f>
        <v>FT</v>
      </c>
      <c r="G21" s="25" t="s">
        <v>32</v>
      </c>
      <c r="H21" s="25" t="s">
        <v>25</v>
      </c>
      <c r="I21" s="24" t="s">
        <v>297</v>
      </c>
      <c r="J21" s="34" t="s">
        <v>36</v>
      </c>
      <c r="K21" s="34" t="s">
        <v>87</v>
      </c>
      <c r="L21" s="34"/>
      <c r="M21" s="33" t="s">
        <v>52</v>
      </c>
      <c r="N21" s="3" t="s">
        <v>35</v>
      </c>
      <c r="O21" s="34" t="s">
        <v>114</v>
      </c>
      <c r="P21" s="33" t="s">
        <v>329</v>
      </c>
      <c r="Q21" s="33" t="s">
        <v>30</v>
      </c>
      <c r="R21" s="34" t="s">
        <v>119</v>
      </c>
      <c r="S21" s="35">
        <v>276660</v>
      </c>
      <c r="T21" s="2" t="s">
        <v>31</v>
      </c>
      <c r="U21" s="36">
        <v>0.25836182000000002</v>
      </c>
      <c r="V21" s="36">
        <v>-0.74163818359375</v>
      </c>
      <c r="W21" s="37">
        <v>2.5836181640624999E-3</v>
      </c>
      <c r="X21" s="38">
        <v>714.78380126953095</v>
      </c>
    </row>
    <row r="22" spans="1:24" x14ac:dyDescent="0.25">
      <c r="A22" s="33" t="s">
        <v>188</v>
      </c>
      <c r="B22" s="33" t="s">
        <v>211</v>
      </c>
      <c r="C22" s="33" t="s">
        <v>212</v>
      </c>
      <c r="D22" s="33" t="s">
        <v>240</v>
      </c>
      <c r="E22" s="33" t="s">
        <v>241</v>
      </c>
      <c r="F22" s="26" t="str">
        <f>HYPERLINK("https://mapwv.gov/flood/map/?wkid=102100&amp;x=-9034583.913547408&amp;y=4716018.354138692&amp;l=13&amp;v=2","FT")</f>
        <v>FT</v>
      </c>
      <c r="G22" s="25" t="s">
        <v>32</v>
      </c>
      <c r="H22" s="25" t="s">
        <v>25</v>
      </c>
      <c r="I22" s="24" t="s">
        <v>298</v>
      </c>
      <c r="J22" s="34" t="s">
        <v>36</v>
      </c>
      <c r="K22" s="34" t="s">
        <v>87</v>
      </c>
      <c r="L22" s="34"/>
      <c r="M22" s="33" t="s">
        <v>72</v>
      </c>
      <c r="N22" s="3" t="s">
        <v>35</v>
      </c>
      <c r="O22" s="34" t="s">
        <v>114</v>
      </c>
      <c r="P22" s="33" t="s">
        <v>118</v>
      </c>
      <c r="Q22" s="33" t="s">
        <v>30</v>
      </c>
      <c r="R22" s="34" t="s">
        <v>119</v>
      </c>
      <c r="S22" s="35">
        <v>275113</v>
      </c>
      <c r="T22" s="2" t="s">
        <v>121</v>
      </c>
      <c r="U22" s="36">
        <v>5.311096</v>
      </c>
      <c r="V22" s="36">
        <v>4.31109619140625</v>
      </c>
      <c r="W22" s="37">
        <v>0.139332885742187</v>
      </c>
      <c r="X22" s="38">
        <v>38332.288195190398</v>
      </c>
    </row>
    <row r="23" spans="1:24" x14ac:dyDescent="0.25">
      <c r="A23" s="33" t="s">
        <v>189</v>
      </c>
      <c r="B23" s="33" t="s">
        <v>211</v>
      </c>
      <c r="C23" s="33" t="s">
        <v>230</v>
      </c>
      <c r="D23" s="33" t="s">
        <v>242</v>
      </c>
      <c r="E23" s="33" t="s">
        <v>243</v>
      </c>
      <c r="F23" s="26" t="str">
        <f>HYPERLINK("https://mapwv.gov/flood/map/?wkid=102100&amp;x=-9027227.993619496&amp;y=4678615.313040462&amp;l=13&amp;v=2","FT")</f>
        <v>FT</v>
      </c>
      <c r="G23" s="25" t="s">
        <v>32</v>
      </c>
      <c r="H23" s="25" t="s">
        <v>25</v>
      </c>
      <c r="I23" s="24" t="s">
        <v>299</v>
      </c>
      <c r="J23" s="34" t="s">
        <v>36</v>
      </c>
      <c r="K23" s="34" t="s">
        <v>87</v>
      </c>
      <c r="L23" s="34"/>
      <c r="M23" s="33" t="s">
        <v>73</v>
      </c>
      <c r="N23" s="3" t="s">
        <v>111</v>
      </c>
      <c r="O23" s="34" t="s">
        <v>114</v>
      </c>
      <c r="P23" s="33" t="s">
        <v>330</v>
      </c>
      <c r="Q23" s="33" t="s">
        <v>30</v>
      </c>
      <c r="R23" s="34" t="s">
        <v>119</v>
      </c>
      <c r="S23" s="35">
        <v>270730</v>
      </c>
      <c r="T23" s="2" t="s">
        <v>31</v>
      </c>
      <c r="U23" s="36">
        <v>2.1681518999999998</v>
      </c>
      <c r="V23" s="36">
        <v>1.16815185546875</v>
      </c>
      <c r="W23" s="37">
        <v>7.5044555664062498E-2</v>
      </c>
      <c r="X23" s="38">
        <v>20316.812554931599</v>
      </c>
    </row>
    <row r="24" spans="1:24" x14ac:dyDescent="0.25">
      <c r="A24" s="33" t="s">
        <v>191</v>
      </c>
      <c r="B24" s="33" t="s">
        <v>219</v>
      </c>
      <c r="C24" s="33" t="s">
        <v>212</v>
      </c>
      <c r="D24" s="33" t="s">
        <v>246</v>
      </c>
      <c r="E24" s="33" t="s">
        <v>234</v>
      </c>
      <c r="F24" s="26" t="str">
        <f>HYPERLINK("https://mapwv.gov/flood/map/?wkid=102100&amp;x=-9027555.462276882&amp;y=4710371.1340655275&amp;l=13&amp;v=2","FT")</f>
        <v>FT</v>
      </c>
      <c r="G24" s="25" t="s">
        <v>32</v>
      </c>
      <c r="H24" s="25" t="s">
        <v>25</v>
      </c>
      <c r="I24" s="24" t="s">
        <v>294</v>
      </c>
      <c r="J24" s="34" t="s">
        <v>36</v>
      </c>
      <c r="K24" s="34" t="s">
        <v>87</v>
      </c>
      <c r="L24" s="34"/>
      <c r="M24" s="33" t="s">
        <v>57</v>
      </c>
      <c r="N24" s="3" t="s">
        <v>35</v>
      </c>
      <c r="O24" s="34" t="s">
        <v>114</v>
      </c>
      <c r="P24" s="33" t="s">
        <v>332</v>
      </c>
      <c r="Q24" s="33" t="s">
        <v>30</v>
      </c>
      <c r="R24" s="34" t="s">
        <v>119</v>
      </c>
      <c r="S24" s="35">
        <v>233846</v>
      </c>
      <c r="T24" s="2" t="s">
        <v>121</v>
      </c>
      <c r="U24" s="36">
        <v>2.3320311999999999</v>
      </c>
      <c r="V24" s="36">
        <v>1.33203125</v>
      </c>
      <c r="W24" s="37">
        <v>0.12660156249999902</v>
      </c>
      <c r="X24" s="38">
        <v>29605.268984374899</v>
      </c>
    </row>
    <row r="25" spans="1:24" x14ac:dyDescent="0.25">
      <c r="A25" s="33" t="s">
        <v>192</v>
      </c>
      <c r="B25" s="33" t="s">
        <v>219</v>
      </c>
      <c r="C25" s="33" t="s">
        <v>220</v>
      </c>
      <c r="D25" s="33" t="s">
        <v>223</v>
      </c>
      <c r="E25" s="33" t="s">
        <v>247</v>
      </c>
      <c r="F25" s="26" t="str">
        <f>HYPERLINK("https://mapwv.gov/flood/map/?wkid=102100&amp;x=-9027406.048477102&amp;y=4710044.543078847&amp;l=13&amp;v=2","FT")</f>
        <v>FT</v>
      </c>
      <c r="G25" s="25" t="s">
        <v>32</v>
      </c>
      <c r="H25" s="25" t="s">
        <v>25</v>
      </c>
      <c r="I25" s="24" t="s">
        <v>289</v>
      </c>
      <c r="J25" s="34" t="s">
        <v>39</v>
      </c>
      <c r="K25" s="34" t="s">
        <v>165</v>
      </c>
      <c r="L25" s="34" t="s">
        <v>50</v>
      </c>
      <c r="M25" s="33" t="s">
        <v>48</v>
      </c>
      <c r="N25" s="3" t="s">
        <v>35</v>
      </c>
      <c r="O25" s="34" t="s">
        <v>114</v>
      </c>
      <c r="P25" s="33" t="s">
        <v>333</v>
      </c>
      <c r="Q25" s="33" t="s">
        <v>30</v>
      </c>
      <c r="R25" s="34" t="s">
        <v>119</v>
      </c>
      <c r="S25" s="35">
        <v>221400</v>
      </c>
      <c r="T25" s="2" t="s">
        <v>31</v>
      </c>
      <c r="U25" s="36">
        <v>2.6245117000000002E-3</v>
      </c>
      <c r="V25" s="36">
        <v>-0.99737548828125</v>
      </c>
      <c r="W25" s="37">
        <v>2.62451171875E-5</v>
      </c>
      <c r="X25" s="38">
        <v>5.8106689453125</v>
      </c>
    </row>
    <row r="26" spans="1:24" x14ac:dyDescent="0.25">
      <c r="A26" s="33" t="s">
        <v>193</v>
      </c>
      <c r="B26" s="33" t="s">
        <v>211</v>
      </c>
      <c r="C26" s="33" t="s">
        <v>212</v>
      </c>
      <c r="D26" s="33" t="s">
        <v>248</v>
      </c>
      <c r="E26" s="33" t="s">
        <v>249</v>
      </c>
      <c r="F26" s="26" t="str">
        <f>HYPERLINK("https://mapwv.gov/flood/map/?wkid=102100&amp;x=-9021733.277468877&amp;y=4708487.107284892&amp;l=13&amp;v=2","FT")</f>
        <v>FT</v>
      </c>
      <c r="G26" s="25" t="s">
        <v>38</v>
      </c>
      <c r="H26" s="25" t="s">
        <v>25</v>
      </c>
      <c r="I26" s="24" t="s">
        <v>301</v>
      </c>
      <c r="J26" s="34" t="s">
        <v>26</v>
      </c>
      <c r="K26" s="34" t="s">
        <v>86</v>
      </c>
      <c r="L26" s="34" t="s">
        <v>37</v>
      </c>
      <c r="M26" s="33" t="s">
        <v>48</v>
      </c>
      <c r="N26" s="3" t="s">
        <v>35</v>
      </c>
      <c r="O26" s="34" t="s">
        <v>114</v>
      </c>
      <c r="P26" s="33" t="s">
        <v>334</v>
      </c>
      <c r="Q26" s="33" t="s">
        <v>30</v>
      </c>
      <c r="R26" s="34" t="s">
        <v>119</v>
      </c>
      <c r="S26" s="35">
        <v>191500</v>
      </c>
      <c r="T26" s="2" t="s">
        <v>44</v>
      </c>
      <c r="U26" s="36">
        <v>0</v>
      </c>
      <c r="V26" s="36">
        <v>-1</v>
      </c>
      <c r="W26" s="37">
        <v>0</v>
      </c>
      <c r="X26" s="38">
        <v>0</v>
      </c>
    </row>
    <row r="27" spans="1:24" x14ac:dyDescent="0.25">
      <c r="A27" s="33" t="s">
        <v>195</v>
      </c>
      <c r="B27" s="33" t="s">
        <v>211</v>
      </c>
      <c r="C27" s="33" t="s">
        <v>230</v>
      </c>
      <c r="D27" s="33" t="s">
        <v>252</v>
      </c>
      <c r="E27" s="33" t="s">
        <v>253</v>
      </c>
      <c r="F27" s="26" t="str">
        <f>HYPERLINK("https://mapwv.gov/flood/map/?wkid=102100&amp;x=-9028225.103894513&amp;y=4681629.994221941&amp;l=13&amp;v=2","FT")</f>
        <v>FT</v>
      </c>
      <c r="G27" s="25" t="s">
        <v>32</v>
      </c>
      <c r="H27" s="25" t="s">
        <v>25</v>
      </c>
      <c r="I27" s="24" t="s">
        <v>303</v>
      </c>
      <c r="J27" s="34" t="s">
        <v>39</v>
      </c>
      <c r="K27" s="34" t="s">
        <v>158</v>
      </c>
      <c r="L27" s="34" t="s">
        <v>74</v>
      </c>
      <c r="M27" s="33" t="s">
        <v>41</v>
      </c>
      <c r="N27" s="3" t="s">
        <v>42</v>
      </c>
      <c r="O27" s="34" t="s">
        <v>115</v>
      </c>
      <c r="P27" s="33" t="s">
        <v>161</v>
      </c>
      <c r="Q27" s="33" t="s">
        <v>30</v>
      </c>
      <c r="R27" s="34" t="s">
        <v>119</v>
      </c>
      <c r="S27" s="35">
        <v>178000</v>
      </c>
      <c r="T27" s="2" t="s">
        <v>44</v>
      </c>
      <c r="U27" s="36">
        <v>1.0031737999999999</v>
      </c>
      <c r="V27" s="36">
        <v>3.173828125E-3</v>
      </c>
      <c r="W27" s="37">
        <v>0.11003173828125</v>
      </c>
      <c r="X27" s="38">
        <v>19585.6494140625</v>
      </c>
    </row>
    <row r="28" spans="1:24" x14ac:dyDescent="0.25">
      <c r="A28" s="33" t="s">
        <v>196</v>
      </c>
      <c r="B28" s="33" t="s">
        <v>211</v>
      </c>
      <c r="C28" s="33" t="s">
        <v>212</v>
      </c>
      <c r="D28" s="33" t="s">
        <v>254</v>
      </c>
      <c r="E28" s="33" t="s">
        <v>255</v>
      </c>
      <c r="F28" s="26" t="str">
        <f>HYPERLINK("https://mapwv.gov/flood/map/?wkid=102100&amp;x=-9029792.744704923&amp;y=4711626.793435456&amp;l=13&amp;v=2","FT")</f>
        <v>FT</v>
      </c>
      <c r="G28" s="25" t="s">
        <v>32</v>
      </c>
      <c r="H28" s="25" t="s">
        <v>25</v>
      </c>
      <c r="I28" s="24" t="s">
        <v>304</v>
      </c>
      <c r="J28" s="34" t="s">
        <v>26</v>
      </c>
      <c r="K28" s="34" t="s">
        <v>171</v>
      </c>
      <c r="L28" s="34" t="s">
        <v>58</v>
      </c>
      <c r="M28" s="33" t="s">
        <v>41</v>
      </c>
      <c r="N28" s="3" t="s">
        <v>42</v>
      </c>
      <c r="O28" s="34" t="s">
        <v>114</v>
      </c>
      <c r="P28" s="33" t="s">
        <v>335</v>
      </c>
      <c r="Q28" s="33" t="s">
        <v>43</v>
      </c>
      <c r="R28" s="34" t="s">
        <v>120</v>
      </c>
      <c r="S28" s="35">
        <v>175800</v>
      </c>
      <c r="T28" s="2" t="s">
        <v>44</v>
      </c>
      <c r="U28" s="36">
        <v>3.1049804999999999</v>
      </c>
      <c r="V28" s="36">
        <v>-0.89501953125</v>
      </c>
      <c r="W28" s="37">
        <v>0.19734863281250001</v>
      </c>
      <c r="X28" s="38">
        <v>34693.8896484375</v>
      </c>
    </row>
    <row r="29" spans="1:24" x14ac:dyDescent="0.25">
      <c r="A29" s="33" t="s">
        <v>197</v>
      </c>
      <c r="B29" s="33" t="s">
        <v>211</v>
      </c>
      <c r="C29" s="33" t="s">
        <v>212</v>
      </c>
      <c r="D29" s="33" t="s">
        <v>256</v>
      </c>
      <c r="E29" s="33" t="s">
        <v>257</v>
      </c>
      <c r="F29" s="26" t="str">
        <f>HYPERLINK("https://mapwv.gov/flood/map/?wkid=102100&amp;x=-9033021.7191544&amp;y=4715196.439274362&amp;l=13&amp;v=2","FT")</f>
        <v>FT</v>
      </c>
      <c r="G29" s="25" t="s">
        <v>38</v>
      </c>
      <c r="H29" s="25" t="s">
        <v>25</v>
      </c>
      <c r="I29" s="24" t="s">
        <v>305</v>
      </c>
      <c r="J29" s="34" t="s">
        <v>39</v>
      </c>
      <c r="K29" s="34" t="s">
        <v>91</v>
      </c>
      <c r="L29" s="34" t="s">
        <v>50</v>
      </c>
      <c r="M29" s="33" t="s">
        <v>41</v>
      </c>
      <c r="N29" s="3" t="s">
        <v>42</v>
      </c>
      <c r="O29" s="34" t="s">
        <v>114</v>
      </c>
      <c r="P29" s="33" t="s">
        <v>336</v>
      </c>
      <c r="Q29" s="33" t="s">
        <v>43</v>
      </c>
      <c r="R29" s="34" t="s">
        <v>120</v>
      </c>
      <c r="S29" s="35">
        <v>166500</v>
      </c>
      <c r="T29" s="2" t="s">
        <v>44</v>
      </c>
      <c r="U29" s="36">
        <v>0</v>
      </c>
      <c r="V29" s="36">
        <v>-4</v>
      </c>
      <c r="W29" s="37">
        <v>0</v>
      </c>
      <c r="X29" s="38">
        <v>0</v>
      </c>
    </row>
    <row r="30" spans="1:24" x14ac:dyDescent="0.25">
      <c r="A30" s="33" t="s">
        <v>198</v>
      </c>
      <c r="B30" s="33" t="s">
        <v>219</v>
      </c>
      <c r="C30" s="33" t="s">
        <v>212</v>
      </c>
      <c r="D30" s="33" t="s">
        <v>258</v>
      </c>
      <c r="E30" s="33" t="s">
        <v>259</v>
      </c>
      <c r="F30" s="26" t="str">
        <f>HYPERLINK("https://mapwv.gov/flood/map/?wkid=102100&amp;x=-9027507.264165632&amp;y=4710606.408699864&amp;l=13&amp;v=2","FT")</f>
        <v>FT</v>
      </c>
      <c r="G30" s="25" t="s">
        <v>32</v>
      </c>
      <c r="H30" s="25" t="s">
        <v>25</v>
      </c>
      <c r="I30" s="24" t="s">
        <v>306</v>
      </c>
      <c r="J30" s="34" t="s">
        <v>36</v>
      </c>
      <c r="K30" s="34" t="s">
        <v>87</v>
      </c>
      <c r="L30" s="34"/>
      <c r="M30" s="33" t="s">
        <v>52</v>
      </c>
      <c r="N30" s="3" t="s">
        <v>35</v>
      </c>
      <c r="O30" s="34" t="s">
        <v>114</v>
      </c>
      <c r="P30" s="33" t="s">
        <v>337</v>
      </c>
      <c r="Q30" s="33" t="s">
        <v>30</v>
      </c>
      <c r="R30" s="34" t="s">
        <v>119</v>
      </c>
      <c r="S30" s="35">
        <v>153600</v>
      </c>
      <c r="T30" s="2" t="s">
        <v>31</v>
      </c>
      <c r="U30" s="36">
        <v>0</v>
      </c>
      <c r="V30" s="36">
        <v>-1</v>
      </c>
      <c r="W30" s="37">
        <v>0</v>
      </c>
      <c r="X30" s="38">
        <v>0</v>
      </c>
    </row>
    <row r="31" spans="1:24" x14ac:dyDescent="0.25">
      <c r="A31" s="33" t="s">
        <v>199</v>
      </c>
      <c r="B31" s="33" t="s">
        <v>211</v>
      </c>
      <c r="C31" s="33" t="s">
        <v>260</v>
      </c>
      <c r="D31" s="33" t="s">
        <v>261</v>
      </c>
      <c r="E31" s="33" t="s">
        <v>262</v>
      </c>
      <c r="F31" s="26" t="str">
        <f>HYPERLINK("https://mapwv.gov/flood/map/?wkid=102100&amp;x=-9039585.510402573&amp;y=4699056.328390294&amp;l=13&amp;v=2","FT")</f>
        <v>FT</v>
      </c>
      <c r="G31" s="25" t="s">
        <v>38</v>
      </c>
      <c r="H31" s="25" t="s">
        <v>25</v>
      </c>
      <c r="I31" s="24" t="s">
        <v>307</v>
      </c>
      <c r="J31" s="34" t="s">
        <v>39</v>
      </c>
      <c r="K31" s="34" t="s">
        <v>96</v>
      </c>
      <c r="L31" s="34" t="s">
        <v>33</v>
      </c>
      <c r="M31" s="33" t="s">
        <v>41</v>
      </c>
      <c r="N31" s="3" t="s">
        <v>42</v>
      </c>
      <c r="O31" s="34" t="s">
        <v>114</v>
      </c>
      <c r="P31" s="33" t="s">
        <v>338</v>
      </c>
      <c r="Q31" s="33" t="s">
        <v>30</v>
      </c>
      <c r="R31" s="34" t="s">
        <v>119</v>
      </c>
      <c r="S31" s="35">
        <v>142700</v>
      </c>
      <c r="T31" s="2" t="s">
        <v>31</v>
      </c>
      <c r="U31" s="36">
        <v>0</v>
      </c>
      <c r="V31" s="36">
        <v>-1</v>
      </c>
      <c r="W31" s="37">
        <v>0</v>
      </c>
      <c r="X31" s="38">
        <v>0</v>
      </c>
    </row>
    <row r="32" spans="1:24" x14ac:dyDescent="0.25">
      <c r="A32" s="33" t="s">
        <v>200</v>
      </c>
      <c r="B32" s="33" t="s">
        <v>211</v>
      </c>
      <c r="C32" s="33" t="s">
        <v>212</v>
      </c>
      <c r="D32" s="33" t="s">
        <v>263</v>
      </c>
      <c r="E32" s="33" t="s">
        <v>264</v>
      </c>
      <c r="F32" s="26" t="str">
        <f>HYPERLINK("https://mapwv.gov/flood/map/?wkid=102100&amp;x=-9024651.872695237&amp;y=4706112.333246895&amp;l=13&amp;v=2","FT")</f>
        <v>FT</v>
      </c>
      <c r="G32" s="25" t="s">
        <v>38</v>
      </c>
      <c r="H32" s="25" t="s">
        <v>25</v>
      </c>
      <c r="I32" s="24" t="s">
        <v>308</v>
      </c>
      <c r="J32" s="34" t="s">
        <v>39</v>
      </c>
      <c r="K32" s="34" t="s">
        <v>316</v>
      </c>
      <c r="L32" s="34" t="s">
        <v>54</v>
      </c>
      <c r="M32" s="33" t="s">
        <v>67</v>
      </c>
      <c r="N32" s="3" t="s">
        <v>112</v>
      </c>
      <c r="O32" s="34" t="s">
        <v>114</v>
      </c>
      <c r="P32" s="33" t="s">
        <v>339</v>
      </c>
      <c r="Q32" s="33" t="s">
        <v>30</v>
      </c>
      <c r="R32" s="34" t="s">
        <v>119</v>
      </c>
      <c r="S32" s="35">
        <v>135910</v>
      </c>
      <c r="T32" s="2" t="s">
        <v>31</v>
      </c>
      <c r="U32" s="36">
        <v>0</v>
      </c>
      <c r="V32" s="36">
        <v>-1</v>
      </c>
      <c r="W32" s="37">
        <v>0</v>
      </c>
      <c r="X32" s="38">
        <v>0</v>
      </c>
    </row>
    <row r="33" spans="1:24" x14ac:dyDescent="0.25">
      <c r="A33" s="33" t="s">
        <v>201</v>
      </c>
      <c r="B33" s="33" t="s">
        <v>211</v>
      </c>
      <c r="C33" s="33" t="s">
        <v>230</v>
      </c>
      <c r="D33" s="33" t="s">
        <v>265</v>
      </c>
      <c r="E33" s="33" t="s">
        <v>266</v>
      </c>
      <c r="F33" s="26" t="str">
        <f>HYPERLINK("https://mapwv.gov/flood/map/?wkid=102100&amp;x=-9030563.405532183&amp;y=4691133.968361876&amp;l=13&amp;v=2","FT")</f>
        <v>FT</v>
      </c>
      <c r="G33" s="25" t="s">
        <v>32</v>
      </c>
      <c r="H33" s="25" t="s">
        <v>25</v>
      </c>
      <c r="I33" s="24" t="s">
        <v>295</v>
      </c>
      <c r="J33" s="34" t="s">
        <v>26</v>
      </c>
      <c r="K33" s="34" t="s">
        <v>86</v>
      </c>
      <c r="L33" s="34" t="s">
        <v>54</v>
      </c>
      <c r="M33" s="33" t="s">
        <v>48</v>
      </c>
      <c r="N33" s="3" t="s">
        <v>35</v>
      </c>
      <c r="O33" s="34" t="s">
        <v>114</v>
      </c>
      <c r="P33" s="33" t="s">
        <v>154</v>
      </c>
      <c r="Q33" s="33" t="s">
        <v>30</v>
      </c>
      <c r="R33" s="34" t="s">
        <v>119</v>
      </c>
      <c r="S33" s="35">
        <v>134300</v>
      </c>
      <c r="T33" s="2" t="s">
        <v>44</v>
      </c>
      <c r="U33" s="36">
        <v>7.6262816999999998</v>
      </c>
      <c r="V33" s="36">
        <v>6.62628173828125</v>
      </c>
      <c r="W33" s="37">
        <v>0.24878845214843701</v>
      </c>
      <c r="X33" s="38">
        <v>33412.289123535098</v>
      </c>
    </row>
    <row r="34" spans="1:24" x14ac:dyDescent="0.25">
      <c r="A34" s="33" t="s">
        <v>202</v>
      </c>
      <c r="B34" s="33" t="s">
        <v>211</v>
      </c>
      <c r="C34" s="33" t="s">
        <v>267</v>
      </c>
      <c r="D34" s="33" t="s">
        <v>268</v>
      </c>
      <c r="E34" s="33" t="s">
        <v>269</v>
      </c>
      <c r="F34" s="26" t="str">
        <f>HYPERLINK("https://mapwv.gov/flood/map/?wkid=102100&amp;x=-9025033.799181482&amp;y=4709310.615534107&amp;l=13&amp;v=2","FT")</f>
        <v>FT</v>
      </c>
      <c r="G34" s="25" t="s">
        <v>38</v>
      </c>
      <c r="H34" s="25" t="s">
        <v>25</v>
      </c>
      <c r="I34" s="24" t="s">
        <v>309</v>
      </c>
      <c r="J34" s="34" t="s">
        <v>39</v>
      </c>
      <c r="K34" s="34" t="s">
        <v>126</v>
      </c>
      <c r="L34" s="34" t="s">
        <v>54</v>
      </c>
      <c r="M34" s="33" t="s">
        <v>72</v>
      </c>
      <c r="N34" s="3" t="s">
        <v>35</v>
      </c>
      <c r="O34" s="34" t="s">
        <v>114</v>
      </c>
      <c r="P34" s="33" t="s">
        <v>153</v>
      </c>
      <c r="Q34" s="33" t="s">
        <v>30</v>
      </c>
      <c r="R34" s="34" t="s">
        <v>119</v>
      </c>
      <c r="S34" s="35">
        <v>126094</v>
      </c>
      <c r="T34" s="2" t="s">
        <v>121</v>
      </c>
      <c r="U34" s="36">
        <v>0</v>
      </c>
      <c r="V34" s="36">
        <v>-1</v>
      </c>
      <c r="W34" s="37">
        <v>0</v>
      </c>
      <c r="X34" s="38">
        <v>0</v>
      </c>
    </row>
    <row r="35" spans="1:24" x14ac:dyDescent="0.25">
      <c r="A35" s="33" t="s">
        <v>203</v>
      </c>
      <c r="B35" s="33" t="s">
        <v>211</v>
      </c>
      <c r="C35" s="33" t="s">
        <v>230</v>
      </c>
      <c r="D35" s="33" t="s">
        <v>270</v>
      </c>
      <c r="E35" s="33" t="s">
        <v>271</v>
      </c>
      <c r="F35" s="26" t="str">
        <f>HYPERLINK("https://mapwv.gov/flood/map/?wkid=102100&amp;x=-9027857.424410662&amp;y=4680195.6686712885&amp;l=13&amp;v=2","FT")</f>
        <v>FT</v>
      </c>
      <c r="G35" s="25" t="s">
        <v>32</v>
      </c>
      <c r="H35" s="25" t="s">
        <v>25</v>
      </c>
      <c r="I35" s="24" t="s">
        <v>310</v>
      </c>
      <c r="J35" s="34" t="s">
        <v>39</v>
      </c>
      <c r="K35" s="34" t="s">
        <v>130</v>
      </c>
      <c r="L35" s="34" t="s">
        <v>54</v>
      </c>
      <c r="M35" s="33" t="s">
        <v>67</v>
      </c>
      <c r="N35" s="3" t="s">
        <v>112</v>
      </c>
      <c r="O35" s="34" t="s">
        <v>114</v>
      </c>
      <c r="P35" s="33" t="s">
        <v>173</v>
      </c>
      <c r="Q35" s="33" t="s">
        <v>30</v>
      </c>
      <c r="R35" s="34" t="s">
        <v>119</v>
      </c>
      <c r="S35" s="35">
        <v>124920</v>
      </c>
      <c r="T35" s="2" t="s">
        <v>31</v>
      </c>
      <c r="U35" s="36">
        <v>3.5389404</v>
      </c>
      <c r="V35" s="36">
        <v>2.5389404296875</v>
      </c>
      <c r="W35" s="37">
        <v>0.11</v>
      </c>
      <c r="X35" s="38">
        <v>13741.2</v>
      </c>
    </row>
    <row r="36" spans="1:24" x14ac:dyDescent="0.25">
      <c r="A36" s="33" t="s">
        <v>204</v>
      </c>
      <c r="B36" s="33" t="s">
        <v>211</v>
      </c>
      <c r="C36" s="33" t="s">
        <v>272</v>
      </c>
      <c r="D36" s="33" t="s">
        <v>273</v>
      </c>
      <c r="E36" s="33" t="s">
        <v>274</v>
      </c>
      <c r="F36" s="26" t="str">
        <f>HYPERLINK("https://mapwv.gov/flood/map/?wkid=102100&amp;x=-9026462.619020896&amp;y=4685316.85509642&amp;l=13&amp;v=2","FT")</f>
        <v>FT</v>
      </c>
      <c r="G36" s="25" t="s">
        <v>38</v>
      </c>
      <c r="H36" s="25" t="s">
        <v>25</v>
      </c>
      <c r="I36" s="24" t="s">
        <v>311</v>
      </c>
      <c r="J36" s="34" t="s">
        <v>39</v>
      </c>
      <c r="K36" s="34" t="s">
        <v>137</v>
      </c>
      <c r="L36" s="34" t="s">
        <v>27</v>
      </c>
      <c r="M36" s="33" t="s">
        <v>41</v>
      </c>
      <c r="N36" s="3" t="s">
        <v>42</v>
      </c>
      <c r="O36" s="34" t="s">
        <v>114</v>
      </c>
      <c r="P36" s="33" t="s">
        <v>340</v>
      </c>
      <c r="Q36" s="33" t="s">
        <v>43</v>
      </c>
      <c r="R36" s="34" t="s">
        <v>120</v>
      </c>
      <c r="S36" s="35">
        <v>112700</v>
      </c>
      <c r="T36" s="2" t="s">
        <v>44</v>
      </c>
      <c r="U36" s="36">
        <v>3</v>
      </c>
      <c r="V36" s="36">
        <v>-1</v>
      </c>
      <c r="W36" s="37">
        <v>0.19</v>
      </c>
      <c r="X36" s="38">
        <v>21413</v>
      </c>
    </row>
    <row r="37" spans="1:24" x14ac:dyDescent="0.25">
      <c r="A37" s="33" t="s">
        <v>205</v>
      </c>
      <c r="B37" s="33" t="s">
        <v>211</v>
      </c>
      <c r="C37" s="33" t="s">
        <v>212</v>
      </c>
      <c r="D37" s="33" t="s">
        <v>275</v>
      </c>
      <c r="E37" s="33" t="s">
        <v>276</v>
      </c>
      <c r="F37" s="26" t="str">
        <f>HYPERLINK("https://mapwv.gov/flood/map/?wkid=102100&amp;x=-9024955.390964182&amp;y=4708229.500278769&amp;l=13&amp;v=2","FT")</f>
        <v>FT</v>
      </c>
      <c r="G37" s="25" t="s">
        <v>38</v>
      </c>
      <c r="H37" s="25" t="s">
        <v>25</v>
      </c>
      <c r="I37" s="24" t="s">
        <v>312</v>
      </c>
      <c r="J37" s="34" t="s">
        <v>39</v>
      </c>
      <c r="K37" s="34" t="s">
        <v>156</v>
      </c>
      <c r="L37" s="34" t="s">
        <v>58</v>
      </c>
      <c r="M37" s="33" t="s">
        <v>41</v>
      </c>
      <c r="N37" s="3" t="s">
        <v>42</v>
      </c>
      <c r="O37" s="34" t="s">
        <v>115</v>
      </c>
      <c r="P37" s="33" t="s">
        <v>341</v>
      </c>
      <c r="Q37" s="33" t="s">
        <v>53</v>
      </c>
      <c r="R37" s="34" t="s">
        <v>159</v>
      </c>
      <c r="S37" s="35">
        <v>110700</v>
      </c>
      <c r="T37" s="2" t="s">
        <v>44</v>
      </c>
      <c r="U37" s="36">
        <v>0</v>
      </c>
      <c r="V37" s="36">
        <v>-3</v>
      </c>
      <c r="W37" s="37">
        <v>0</v>
      </c>
      <c r="X37" s="38">
        <v>0</v>
      </c>
    </row>
    <row r="38" spans="1:24" x14ac:dyDescent="0.25">
      <c r="A38" s="33" t="s">
        <v>206</v>
      </c>
      <c r="B38" s="33" t="s">
        <v>219</v>
      </c>
      <c r="C38" s="33" t="s">
        <v>212</v>
      </c>
      <c r="D38" s="33" t="s">
        <v>277</v>
      </c>
      <c r="E38" s="33" t="s">
        <v>234</v>
      </c>
      <c r="F38" s="26" t="str">
        <f>HYPERLINK("https://mapwv.gov/flood/map/?wkid=102100&amp;x=-9027521.25257285&amp;y=4710332.538074224&amp;l=13&amp;v=2","FT")</f>
        <v>FT</v>
      </c>
      <c r="G38" s="25" t="s">
        <v>32</v>
      </c>
      <c r="H38" s="25" t="s">
        <v>25</v>
      </c>
      <c r="I38" s="24" t="s">
        <v>294</v>
      </c>
      <c r="J38" s="34" t="s">
        <v>36</v>
      </c>
      <c r="K38" s="34" t="s">
        <v>87</v>
      </c>
      <c r="L38" s="34"/>
      <c r="M38" s="33" t="s">
        <v>57</v>
      </c>
      <c r="N38" s="3" t="s">
        <v>35</v>
      </c>
      <c r="O38" s="34" t="s">
        <v>114</v>
      </c>
      <c r="P38" s="33" t="s">
        <v>163</v>
      </c>
      <c r="Q38" s="33" t="s">
        <v>30</v>
      </c>
      <c r="R38" s="34" t="s">
        <v>119</v>
      </c>
      <c r="S38" s="35">
        <v>110045</v>
      </c>
      <c r="T38" s="2" t="s">
        <v>121</v>
      </c>
      <c r="U38" s="36">
        <v>2.725708</v>
      </c>
      <c r="V38" s="36">
        <v>1.7257080078125</v>
      </c>
      <c r="W38" s="37">
        <v>0.14628540039062402</v>
      </c>
      <c r="X38" s="38">
        <v>16097.9768859863</v>
      </c>
    </row>
    <row r="39" spans="1:24" x14ac:dyDescent="0.25">
      <c r="A39" s="33" t="s">
        <v>207</v>
      </c>
      <c r="B39" s="33" t="s">
        <v>219</v>
      </c>
      <c r="C39" s="33" t="s">
        <v>212</v>
      </c>
      <c r="D39" s="33" t="s">
        <v>278</v>
      </c>
      <c r="E39" s="33" t="s">
        <v>279</v>
      </c>
      <c r="F39" s="26" t="str">
        <f>HYPERLINK("https://mapwv.gov/flood/map/?wkid=102100&amp;x=-9027635.671198267&amp;y=4710696.81136289&amp;l=13&amp;v=2","FT")</f>
        <v>FT</v>
      </c>
      <c r="G39" s="25" t="s">
        <v>32</v>
      </c>
      <c r="H39" s="25" t="s">
        <v>25</v>
      </c>
      <c r="I39" s="24" t="s">
        <v>313</v>
      </c>
      <c r="J39" s="34" t="s">
        <v>39</v>
      </c>
      <c r="K39" s="34" t="s">
        <v>95</v>
      </c>
      <c r="L39" s="34" t="s">
        <v>74</v>
      </c>
      <c r="M39" s="33" t="s">
        <v>28</v>
      </c>
      <c r="N39" s="3" t="s">
        <v>111</v>
      </c>
      <c r="O39" s="34" t="s">
        <v>114</v>
      </c>
      <c r="P39" s="33" t="s">
        <v>342</v>
      </c>
      <c r="Q39" s="33" t="s">
        <v>30</v>
      </c>
      <c r="R39" s="34" t="s">
        <v>119</v>
      </c>
      <c r="S39" s="35">
        <v>102000</v>
      </c>
      <c r="T39" s="2" t="s">
        <v>44</v>
      </c>
      <c r="U39" s="36">
        <v>0</v>
      </c>
      <c r="V39" s="36">
        <v>-1</v>
      </c>
      <c r="W39" s="37">
        <v>0</v>
      </c>
      <c r="X39" s="38">
        <v>0</v>
      </c>
    </row>
    <row r="40" spans="1:24" x14ac:dyDescent="0.25">
      <c r="A40" s="33" t="s">
        <v>208</v>
      </c>
      <c r="B40" s="33" t="s">
        <v>211</v>
      </c>
      <c r="C40" s="33" t="s">
        <v>212</v>
      </c>
      <c r="D40" s="33" t="s">
        <v>280</v>
      </c>
      <c r="E40" s="33" t="s">
        <v>281</v>
      </c>
      <c r="F40" s="26" t="str">
        <f>HYPERLINK("https://mapwv.gov/flood/map/?wkid=102100&amp;x=-9030026.417563114&amp;y=4711886.300634396&amp;l=13&amp;v=2","FT")</f>
        <v>FT</v>
      </c>
      <c r="G40" s="25" t="s">
        <v>32</v>
      </c>
      <c r="H40" s="25" t="s">
        <v>25</v>
      </c>
      <c r="I40" s="24" t="s">
        <v>314</v>
      </c>
      <c r="J40" s="34" t="s">
        <v>39</v>
      </c>
      <c r="K40" s="34" t="s">
        <v>123</v>
      </c>
      <c r="L40" s="34" t="s">
        <v>51</v>
      </c>
      <c r="M40" s="33" t="s">
        <v>41</v>
      </c>
      <c r="N40" s="3" t="s">
        <v>42</v>
      </c>
      <c r="O40" s="34" t="s">
        <v>114</v>
      </c>
      <c r="P40" s="33" t="s">
        <v>343</v>
      </c>
      <c r="Q40" s="33" t="s">
        <v>43</v>
      </c>
      <c r="R40" s="34" t="s">
        <v>120</v>
      </c>
      <c r="S40" s="35">
        <v>101600</v>
      </c>
      <c r="T40" s="2" t="s">
        <v>44</v>
      </c>
      <c r="U40" s="36">
        <v>0.61157227000000003</v>
      </c>
      <c r="V40" s="36">
        <v>-3.388427734375</v>
      </c>
      <c r="W40" s="37">
        <v>0</v>
      </c>
      <c r="X40" s="38">
        <v>0</v>
      </c>
    </row>
    <row r="41" spans="1:24" x14ac:dyDescent="0.25">
      <c r="A41" s="33" t="s">
        <v>209</v>
      </c>
      <c r="B41" s="33" t="s">
        <v>211</v>
      </c>
      <c r="C41" s="33" t="s">
        <v>212</v>
      </c>
      <c r="D41" s="33" t="s">
        <v>282</v>
      </c>
      <c r="E41" s="33" t="s">
        <v>283</v>
      </c>
      <c r="F41" s="26" t="str">
        <f>HYPERLINK("https://mapwv.gov/flood/map/?wkid=102100&amp;x=-9034753.21579873&amp;y=4716253.721373263&amp;l=13&amp;v=2","FT")</f>
        <v>FT</v>
      </c>
      <c r="G41" s="25" t="s">
        <v>55</v>
      </c>
      <c r="H41" s="25" t="s">
        <v>25</v>
      </c>
      <c r="I41" s="24" t="s">
        <v>315</v>
      </c>
      <c r="J41" s="34" t="s">
        <v>39</v>
      </c>
      <c r="K41" s="34" t="s">
        <v>95</v>
      </c>
      <c r="L41" s="34" t="s">
        <v>37</v>
      </c>
      <c r="M41" s="33" t="s">
        <v>48</v>
      </c>
      <c r="N41" s="3" t="s">
        <v>35</v>
      </c>
      <c r="O41" s="34" t="s">
        <v>114</v>
      </c>
      <c r="P41" s="33" t="s">
        <v>344</v>
      </c>
      <c r="Q41" s="33" t="s">
        <v>30</v>
      </c>
      <c r="R41" s="34" t="s">
        <v>119</v>
      </c>
      <c r="S41" s="35">
        <v>101400</v>
      </c>
      <c r="T41" s="2" t="s">
        <v>44</v>
      </c>
      <c r="U41" s="36">
        <v>1.1678466999999999</v>
      </c>
      <c r="V41" s="36">
        <v>0.1678466796875</v>
      </c>
      <c r="W41" s="37">
        <v>2.3427734374999998E-2</v>
      </c>
      <c r="X41" s="38">
        <v>2375.572265625</v>
      </c>
    </row>
    <row r="42" spans="1:24" x14ac:dyDescent="0.25">
      <c r="A42" s="33" t="s">
        <v>210</v>
      </c>
      <c r="B42" s="33" t="s">
        <v>211</v>
      </c>
      <c r="C42" s="33" t="s">
        <v>212</v>
      </c>
      <c r="D42" s="33" t="s">
        <v>284</v>
      </c>
      <c r="E42" s="33" t="s">
        <v>285</v>
      </c>
      <c r="F42" s="26" t="str">
        <f>HYPERLINK("https://mapwv.gov/flood/map/?wkid=102100&amp;x=-9029975.585855354&amp;y=4711854.40954413&amp;l=13&amp;v=2","FT")</f>
        <v>FT</v>
      </c>
      <c r="G42" s="25" t="s">
        <v>32</v>
      </c>
      <c r="H42" s="25" t="s">
        <v>25</v>
      </c>
      <c r="I42" s="24" t="s">
        <v>298</v>
      </c>
      <c r="J42" s="34" t="s">
        <v>39</v>
      </c>
      <c r="K42" s="34" t="s">
        <v>316</v>
      </c>
      <c r="L42" s="34" t="s">
        <v>58</v>
      </c>
      <c r="M42" s="33" t="s">
        <v>41</v>
      </c>
      <c r="N42" s="3" t="s">
        <v>42</v>
      </c>
      <c r="O42" s="34" t="s">
        <v>114</v>
      </c>
      <c r="P42" s="33" t="s">
        <v>345</v>
      </c>
      <c r="Q42" s="33" t="s">
        <v>43</v>
      </c>
      <c r="R42" s="34" t="s">
        <v>120</v>
      </c>
      <c r="S42" s="35">
        <v>100600</v>
      </c>
      <c r="T42" s="2" t="s">
        <v>44</v>
      </c>
      <c r="U42" s="36">
        <v>1.2020873999999999</v>
      </c>
      <c r="V42" s="36">
        <v>-2.79791259765625</v>
      </c>
      <c r="W42" s="37">
        <v>2.8292236328125001E-2</v>
      </c>
      <c r="X42" s="38">
        <v>2846.19897460937</v>
      </c>
    </row>
  </sheetData>
  <sortState xmlns:xlrd2="http://schemas.microsoft.com/office/spreadsheetml/2017/richdata2" ref="A7:X42">
    <sortCondition descending="1" ref="S6"/>
  </sortState>
  <hyperlinks>
    <hyperlink ref="J3" r:id="rId1" xr:uid="{CEE51BAC-9191-4912-8E20-32ABEF0259DA}"/>
    <hyperlink ref="M3" r:id="rId2" xr:uid="{0FF5F5B3-87DA-477A-87BC-520CBBA2B2B7}"/>
    <hyperlink ref="Q3" r:id="rId3" xr:uid="{D1B0F6BA-57D0-40B6-B786-01299A65E9B7}"/>
  </hyperlinks>
  <pageMargins left="0.7" right="0.7" top="0.75" bottom="0.75" header="0.3" footer="0.3"/>
  <pageSetup orientation="portrait" horizontalDpi="4294967295" verticalDpi="4294967295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C81BDA-6CBD-4166-AE0F-B0697C7EFA28}">
  <dimension ref="A1:X95"/>
  <sheetViews>
    <sheetView workbookViewId="0">
      <pane ySplit="6" topLeftCell="A7" activePane="bottomLeft" state="frozen"/>
      <selection pane="bottomLeft" activeCell="E4" sqref="E4"/>
    </sheetView>
  </sheetViews>
  <sheetFormatPr defaultRowHeight="15" x14ac:dyDescent="0.25"/>
  <cols>
    <col min="1" max="1" width="37" bestFit="1" customWidth="1"/>
    <col min="2" max="2" width="22.85546875" bestFit="1" customWidth="1"/>
    <col min="5" max="5" width="51.140625" bestFit="1" customWidth="1"/>
    <col min="7" max="7" width="11.5703125" customWidth="1"/>
    <col min="8" max="8" width="10.85546875" customWidth="1"/>
    <col min="10" max="10" width="9.140625" style="8"/>
    <col min="13" max="13" width="11.140625" customWidth="1"/>
    <col min="14" max="14" width="10.5703125" customWidth="1"/>
    <col min="15" max="15" width="9.140625" style="8"/>
    <col min="17" max="17" width="11.7109375" customWidth="1"/>
    <col min="18" max="18" width="9.140625" style="8"/>
    <col min="19" max="19" width="22.5703125" bestFit="1" customWidth="1"/>
    <col min="24" max="24" width="10" bestFit="1" customWidth="1"/>
  </cols>
  <sheetData>
    <row r="1" spans="1:24" ht="14.25" customHeight="1" x14ac:dyDescent="0.25">
      <c r="A1" s="5" t="s">
        <v>75</v>
      </c>
      <c r="B1" s="5"/>
      <c r="C1" s="5"/>
      <c r="D1" s="5"/>
      <c r="F1" s="19" t="s">
        <v>76</v>
      </c>
      <c r="G1" s="8"/>
      <c r="H1" s="8"/>
      <c r="K1" s="8"/>
      <c r="L1" s="8"/>
      <c r="N1" s="7" t="s">
        <v>77</v>
      </c>
      <c r="P1" s="8"/>
      <c r="S1" s="9" t="s">
        <v>78</v>
      </c>
      <c r="U1" s="10"/>
      <c r="V1" s="10"/>
      <c r="W1" s="11"/>
      <c r="X1" s="12"/>
    </row>
    <row r="2" spans="1:24" x14ac:dyDescent="0.25">
      <c r="A2" s="13">
        <v>44481</v>
      </c>
      <c r="B2" s="14" t="s">
        <v>79</v>
      </c>
      <c r="F2" s="8"/>
      <c r="G2" s="8"/>
      <c r="H2" s="8"/>
      <c r="K2" s="8"/>
      <c r="L2" s="8"/>
      <c r="N2" s="15" t="s">
        <v>42</v>
      </c>
      <c r="P2" s="8"/>
      <c r="S2" s="9"/>
      <c r="U2" s="10"/>
      <c r="V2" s="10"/>
      <c r="W2" s="11"/>
      <c r="X2" s="12"/>
    </row>
    <row r="3" spans="1:24" x14ac:dyDescent="0.25">
      <c r="A3" t="s">
        <v>81</v>
      </c>
      <c r="B3" s="6"/>
      <c r="F3" s="8"/>
      <c r="G3" s="8"/>
      <c r="H3" s="8"/>
      <c r="J3" s="18" t="s">
        <v>80</v>
      </c>
      <c r="K3" s="8"/>
      <c r="L3" s="8"/>
      <c r="M3" s="16" t="s">
        <v>80</v>
      </c>
      <c r="N3" s="7"/>
      <c r="P3" s="8"/>
      <c r="Q3" s="16" t="s">
        <v>80</v>
      </c>
      <c r="R3" s="17"/>
      <c r="S3" s="9"/>
      <c r="U3" s="10"/>
      <c r="V3" s="10"/>
      <c r="W3" s="11"/>
      <c r="X3" s="12"/>
    </row>
    <row r="4" spans="1:24" x14ac:dyDescent="0.25">
      <c r="F4" s="8"/>
      <c r="G4" s="8"/>
      <c r="H4" s="8"/>
      <c r="K4" s="8"/>
      <c r="L4" s="8"/>
      <c r="N4" s="7"/>
      <c r="P4" s="8"/>
      <c r="S4" s="9"/>
      <c r="U4" s="10"/>
      <c r="V4" s="10"/>
      <c r="W4" s="11"/>
      <c r="X4" s="12"/>
    </row>
    <row r="5" spans="1:24" x14ac:dyDescent="0.25">
      <c r="A5" s="1" t="s">
        <v>346</v>
      </c>
      <c r="F5" s="8"/>
      <c r="G5" s="8"/>
      <c r="H5" s="8"/>
      <c r="K5" s="8"/>
      <c r="L5" s="8"/>
      <c r="P5" s="8"/>
      <c r="S5" s="39" t="s">
        <v>166</v>
      </c>
      <c r="U5" s="8"/>
      <c r="V5" s="8"/>
      <c r="W5" s="11"/>
      <c r="X5" s="12"/>
    </row>
    <row r="6" spans="1:24" ht="45" x14ac:dyDescent="0.25">
      <c r="A6" s="27" t="s">
        <v>0</v>
      </c>
      <c r="B6" s="20" t="s">
        <v>1</v>
      </c>
      <c r="C6" s="20" t="s">
        <v>2</v>
      </c>
      <c r="D6" s="28" t="s">
        <v>3</v>
      </c>
      <c r="E6" s="28" t="s">
        <v>4</v>
      </c>
      <c r="F6" s="20" t="s">
        <v>5</v>
      </c>
      <c r="G6" s="20" t="s">
        <v>6</v>
      </c>
      <c r="H6" s="27" t="s">
        <v>7</v>
      </c>
      <c r="I6" s="20" t="s">
        <v>8</v>
      </c>
      <c r="J6" s="27" t="s">
        <v>9</v>
      </c>
      <c r="K6" s="28" t="s">
        <v>10</v>
      </c>
      <c r="L6" s="20" t="s">
        <v>11</v>
      </c>
      <c r="M6" s="28" t="s">
        <v>12</v>
      </c>
      <c r="N6" s="21" t="s">
        <v>13</v>
      </c>
      <c r="O6" s="28" t="s">
        <v>14</v>
      </c>
      <c r="P6" s="28" t="s">
        <v>15</v>
      </c>
      <c r="Q6" s="28" t="s">
        <v>16</v>
      </c>
      <c r="R6" s="28" t="s">
        <v>17</v>
      </c>
      <c r="S6" s="22" t="s">
        <v>18</v>
      </c>
      <c r="T6" s="20" t="s">
        <v>19</v>
      </c>
      <c r="U6" s="31" t="s">
        <v>20</v>
      </c>
      <c r="V6" s="31" t="s">
        <v>21</v>
      </c>
      <c r="W6" s="32" t="s">
        <v>22</v>
      </c>
      <c r="X6" s="23" t="s">
        <v>23</v>
      </c>
    </row>
    <row r="7" spans="1:24" x14ac:dyDescent="0.25">
      <c r="A7" s="33" t="s">
        <v>347</v>
      </c>
      <c r="B7" s="33" t="s">
        <v>390</v>
      </c>
      <c r="C7" s="33" t="s">
        <v>391</v>
      </c>
      <c r="D7" s="33" t="s">
        <v>392</v>
      </c>
      <c r="E7" s="33" t="s">
        <v>393</v>
      </c>
      <c r="F7" s="26" t="str">
        <f>HYPERLINK("https://mapwv.gov/flood/map/?wkid=102100&amp;x=-9079355.827496776&amp;y=4696252.674581245&amp;l=13&amp;v=2","FT")</f>
        <v>FT</v>
      </c>
      <c r="G7" s="34" t="s">
        <v>38</v>
      </c>
      <c r="H7" s="34" t="s">
        <v>25</v>
      </c>
      <c r="I7" s="33" t="s">
        <v>489</v>
      </c>
      <c r="J7" s="34" t="s">
        <v>39</v>
      </c>
      <c r="K7" s="34" t="s">
        <v>144</v>
      </c>
      <c r="L7" s="34" t="s">
        <v>45</v>
      </c>
      <c r="M7" s="33" t="s">
        <v>69</v>
      </c>
      <c r="N7" s="3" t="s">
        <v>110</v>
      </c>
      <c r="O7" s="34" t="s">
        <v>114</v>
      </c>
      <c r="P7" s="33" t="s">
        <v>533</v>
      </c>
      <c r="Q7" s="33" t="s">
        <v>30</v>
      </c>
      <c r="R7" s="34" t="s">
        <v>119</v>
      </c>
      <c r="S7" s="35">
        <v>3650000</v>
      </c>
      <c r="T7" s="2" t="s">
        <v>70</v>
      </c>
      <c r="U7" s="36">
        <v>0</v>
      </c>
      <c r="V7" s="36">
        <v>-1</v>
      </c>
      <c r="W7" s="37">
        <v>0</v>
      </c>
      <c r="X7" s="38">
        <v>0</v>
      </c>
    </row>
    <row r="8" spans="1:24" x14ac:dyDescent="0.25">
      <c r="A8" s="33" t="s">
        <v>348</v>
      </c>
      <c r="B8" s="33" t="s">
        <v>390</v>
      </c>
      <c r="C8" s="33" t="s">
        <v>394</v>
      </c>
      <c r="D8" s="33" t="s">
        <v>395</v>
      </c>
      <c r="E8" s="33" t="s">
        <v>396</v>
      </c>
      <c r="F8" s="26" t="str">
        <f>HYPERLINK("https://mapwv.gov/flood/map/?wkid=102100&amp;x=-9100800.864935806&amp;y=4713390.197366811&amp;l=13&amp;v=2","FT")</f>
        <v>FT</v>
      </c>
      <c r="G8" s="34" t="s">
        <v>32</v>
      </c>
      <c r="H8" s="34" t="s">
        <v>25</v>
      </c>
      <c r="I8" s="33" t="s">
        <v>490</v>
      </c>
      <c r="J8" s="34" t="s">
        <v>26</v>
      </c>
      <c r="K8" s="34" t="s">
        <v>88</v>
      </c>
      <c r="L8" s="34" t="s">
        <v>50</v>
      </c>
      <c r="M8" s="33" t="s">
        <v>34</v>
      </c>
      <c r="N8" s="3" t="s">
        <v>113</v>
      </c>
      <c r="O8" s="34" t="s">
        <v>114</v>
      </c>
      <c r="P8" s="33" t="s">
        <v>534</v>
      </c>
      <c r="Q8" s="33" t="s">
        <v>30</v>
      </c>
      <c r="R8" s="34" t="s">
        <v>119</v>
      </c>
      <c r="S8" s="35">
        <v>3082400</v>
      </c>
      <c r="T8" s="2" t="s">
        <v>44</v>
      </c>
      <c r="U8" s="36">
        <v>6.8599854000000002</v>
      </c>
      <c r="V8" s="36">
        <v>5.8599853515625</v>
      </c>
      <c r="W8" s="37">
        <v>0.29439941406249903</v>
      </c>
      <c r="X8" s="38">
        <v>907456.75390624895</v>
      </c>
    </row>
    <row r="9" spans="1:24" x14ac:dyDescent="0.25">
      <c r="A9" s="33" t="s">
        <v>349</v>
      </c>
      <c r="B9" s="33" t="s">
        <v>390</v>
      </c>
      <c r="C9" s="33" t="s">
        <v>391</v>
      </c>
      <c r="D9" s="33" t="s">
        <v>392</v>
      </c>
      <c r="E9" s="33" t="s">
        <v>397</v>
      </c>
      <c r="F9" s="26" t="str">
        <f>HYPERLINK("https://mapwv.gov/flood/map/?wkid=102100&amp;x=-9079319.541572914&amp;y=4696184.885968246&amp;l=13&amp;v=2","FT")</f>
        <v>FT</v>
      </c>
      <c r="G9" s="34" t="s">
        <v>38</v>
      </c>
      <c r="H9" s="34" t="s">
        <v>25</v>
      </c>
      <c r="I9" s="33" t="s">
        <v>489</v>
      </c>
      <c r="J9" s="34" t="s">
        <v>39</v>
      </c>
      <c r="K9" s="34" t="s">
        <v>144</v>
      </c>
      <c r="L9" s="34" t="s">
        <v>45</v>
      </c>
      <c r="M9" s="33" t="s">
        <v>69</v>
      </c>
      <c r="N9" s="3" t="s">
        <v>110</v>
      </c>
      <c r="O9" s="34" t="s">
        <v>114</v>
      </c>
      <c r="P9" s="33" t="s">
        <v>535</v>
      </c>
      <c r="Q9" s="33" t="s">
        <v>30</v>
      </c>
      <c r="R9" s="34" t="s">
        <v>119</v>
      </c>
      <c r="S9" s="35">
        <v>2400000</v>
      </c>
      <c r="T9" s="2" t="s">
        <v>70</v>
      </c>
      <c r="U9" s="36">
        <v>0</v>
      </c>
      <c r="V9" s="36">
        <v>-1</v>
      </c>
      <c r="W9" s="37">
        <v>0</v>
      </c>
      <c r="X9" s="38">
        <v>0</v>
      </c>
    </row>
    <row r="10" spans="1:24" x14ac:dyDescent="0.25">
      <c r="A10" s="33" t="s">
        <v>350</v>
      </c>
      <c r="B10" s="33" t="s">
        <v>398</v>
      </c>
      <c r="C10" s="33" t="s">
        <v>399</v>
      </c>
      <c r="D10" s="33" t="s">
        <v>400</v>
      </c>
      <c r="E10" s="33" t="s">
        <v>401</v>
      </c>
      <c r="F10" s="26" t="str">
        <f>HYPERLINK("https://mapwv.gov/flood/map/?wkid=102100&amp;x=-9097880.789716812&amp;y=4696659.800973576&amp;l=13&amp;v=2","FT")</f>
        <v>FT</v>
      </c>
      <c r="G10" s="34" t="s">
        <v>55</v>
      </c>
      <c r="H10" s="34" t="s">
        <v>25</v>
      </c>
      <c r="I10" s="33" t="s">
        <v>491</v>
      </c>
      <c r="J10" s="34" t="s">
        <v>162</v>
      </c>
      <c r="K10" s="34" t="s">
        <v>127</v>
      </c>
      <c r="L10" s="34" t="s">
        <v>27</v>
      </c>
      <c r="M10" s="33" t="s">
        <v>71</v>
      </c>
      <c r="N10" s="3" t="s">
        <v>42</v>
      </c>
      <c r="O10" s="34" t="s">
        <v>115</v>
      </c>
      <c r="P10" s="33" t="s">
        <v>536</v>
      </c>
      <c r="Q10" s="33" t="s">
        <v>30</v>
      </c>
      <c r="R10" s="34" t="s">
        <v>119</v>
      </c>
      <c r="S10" s="35">
        <v>1142200</v>
      </c>
      <c r="T10" s="2" t="s">
        <v>44</v>
      </c>
      <c r="U10" s="36">
        <v>5.3807983000000004</v>
      </c>
      <c r="V10" s="36">
        <v>4.38079833984375</v>
      </c>
      <c r="W10" s="37">
        <v>7.7615966796875005E-2</v>
      </c>
      <c r="X10" s="38">
        <v>88652.957275390596</v>
      </c>
    </row>
    <row r="11" spans="1:24" x14ac:dyDescent="0.25">
      <c r="A11" s="33" t="s">
        <v>351</v>
      </c>
      <c r="B11" s="33" t="s">
        <v>390</v>
      </c>
      <c r="C11" s="33" t="s">
        <v>394</v>
      </c>
      <c r="D11" s="33" t="s">
        <v>402</v>
      </c>
      <c r="E11" s="33" t="s">
        <v>403</v>
      </c>
      <c r="F11" s="26" t="str">
        <f>HYPERLINK("https://mapwv.gov/flood/map/?wkid=102100&amp;x=-9100466.056093838&amp;y=4713217.542173764&amp;l=13&amp;v=2","FT")</f>
        <v>FT</v>
      </c>
      <c r="G11" s="34" t="s">
        <v>32</v>
      </c>
      <c r="H11" s="34" t="s">
        <v>25</v>
      </c>
      <c r="I11" s="33" t="s">
        <v>492</v>
      </c>
      <c r="J11" s="34" t="s">
        <v>26</v>
      </c>
      <c r="K11" s="34" t="s">
        <v>133</v>
      </c>
      <c r="L11" s="34" t="s">
        <v>54</v>
      </c>
      <c r="M11" s="33" t="s">
        <v>72</v>
      </c>
      <c r="N11" s="3" t="s">
        <v>35</v>
      </c>
      <c r="O11" s="34" t="s">
        <v>114</v>
      </c>
      <c r="P11" s="33" t="s">
        <v>537</v>
      </c>
      <c r="Q11" s="33" t="s">
        <v>30</v>
      </c>
      <c r="R11" s="34" t="s">
        <v>119</v>
      </c>
      <c r="S11" s="35">
        <v>1081000</v>
      </c>
      <c r="T11" s="2" t="s">
        <v>44</v>
      </c>
      <c r="U11" s="36">
        <v>6.6481323000000003</v>
      </c>
      <c r="V11" s="36">
        <v>5.64813232421875</v>
      </c>
      <c r="W11" s="37">
        <v>0.17944396972656201</v>
      </c>
      <c r="X11" s="38">
        <v>193978.931274414</v>
      </c>
    </row>
    <row r="12" spans="1:24" x14ac:dyDescent="0.25">
      <c r="A12" s="33" t="s">
        <v>352</v>
      </c>
      <c r="B12" s="33" t="s">
        <v>390</v>
      </c>
      <c r="C12" s="33" t="s">
        <v>404</v>
      </c>
      <c r="D12" s="33" t="s">
        <v>405</v>
      </c>
      <c r="E12" s="33" t="s">
        <v>406</v>
      </c>
      <c r="F12" s="26" t="str">
        <f>HYPERLINK("https://mapwv.gov/flood/map/?wkid=102100&amp;x=-9105278.32587976&amp;y=4710671.947391682&amp;l=13&amp;v=2","FT")</f>
        <v>FT</v>
      </c>
      <c r="G12" s="34" t="s">
        <v>38</v>
      </c>
      <c r="H12" s="34" t="s">
        <v>25</v>
      </c>
      <c r="I12" s="33" t="s">
        <v>493</v>
      </c>
      <c r="J12" s="34" t="s">
        <v>26</v>
      </c>
      <c r="K12" s="34" t="s">
        <v>139</v>
      </c>
      <c r="L12" s="34" t="s">
        <v>33</v>
      </c>
      <c r="M12" s="33" t="s">
        <v>72</v>
      </c>
      <c r="N12" s="3" t="s">
        <v>35</v>
      </c>
      <c r="O12" s="34" t="s">
        <v>114</v>
      </c>
      <c r="P12" s="33" t="s">
        <v>538</v>
      </c>
      <c r="Q12" s="33" t="s">
        <v>30</v>
      </c>
      <c r="R12" s="34" t="s">
        <v>119</v>
      </c>
      <c r="S12" s="35">
        <v>1024200</v>
      </c>
      <c r="T12" s="2" t="s">
        <v>44</v>
      </c>
      <c r="U12" s="36">
        <v>28</v>
      </c>
      <c r="V12" s="36">
        <v>27</v>
      </c>
      <c r="W12" s="37">
        <v>0.73</v>
      </c>
      <c r="X12" s="38">
        <v>747666</v>
      </c>
    </row>
    <row r="13" spans="1:24" x14ac:dyDescent="0.25">
      <c r="A13" s="33" t="s">
        <v>353</v>
      </c>
      <c r="B13" s="33" t="s">
        <v>390</v>
      </c>
      <c r="C13" s="33" t="s">
        <v>407</v>
      </c>
      <c r="D13" s="33" t="s">
        <v>408</v>
      </c>
      <c r="E13" s="33" t="s">
        <v>409</v>
      </c>
      <c r="F13" s="26" t="str">
        <f>HYPERLINK("https://mapwv.gov/flood/map/?wkid=102100&amp;x=-9104709.270995535&amp;y=4696412.009712842&amp;l=13&amp;v=2","FT")</f>
        <v>FT</v>
      </c>
      <c r="G13" s="34" t="s">
        <v>38</v>
      </c>
      <c r="H13" s="34" t="s">
        <v>25</v>
      </c>
      <c r="I13" s="33" t="s">
        <v>494</v>
      </c>
      <c r="J13" s="34" t="s">
        <v>26</v>
      </c>
      <c r="K13" s="34" t="s">
        <v>83</v>
      </c>
      <c r="L13" s="34" t="s">
        <v>38</v>
      </c>
      <c r="M13" s="33" t="s">
        <v>41</v>
      </c>
      <c r="N13" s="3" t="s">
        <v>42</v>
      </c>
      <c r="O13" s="34" t="s">
        <v>114</v>
      </c>
      <c r="P13" s="33" t="s">
        <v>539</v>
      </c>
      <c r="Q13" s="33" t="s">
        <v>43</v>
      </c>
      <c r="R13" s="34" t="s">
        <v>120</v>
      </c>
      <c r="S13" s="35">
        <v>800400</v>
      </c>
      <c r="T13" s="2" t="s">
        <v>44</v>
      </c>
      <c r="U13" s="36">
        <v>0</v>
      </c>
      <c r="V13" s="36">
        <v>-4</v>
      </c>
      <c r="W13" s="37">
        <v>0</v>
      </c>
      <c r="X13" s="38">
        <v>0</v>
      </c>
    </row>
    <row r="14" spans="1:24" x14ac:dyDescent="0.25">
      <c r="A14" s="33" t="s">
        <v>354</v>
      </c>
      <c r="B14" s="33" t="s">
        <v>390</v>
      </c>
      <c r="C14" s="33" t="s">
        <v>394</v>
      </c>
      <c r="D14" s="33" t="s">
        <v>410</v>
      </c>
      <c r="E14" s="33" t="s">
        <v>411</v>
      </c>
      <c r="F14" s="26" t="str">
        <f>HYPERLINK("https://mapwv.gov/flood/map/?wkid=102100&amp;x=-9103445.280590307&amp;y=4716803.24193763&amp;l=13&amp;v=2","FT")</f>
        <v>FT</v>
      </c>
      <c r="G14" s="34" t="s">
        <v>32</v>
      </c>
      <c r="H14" s="34" t="s">
        <v>25</v>
      </c>
      <c r="I14" s="33" t="s">
        <v>495</v>
      </c>
      <c r="J14" s="34" t="s">
        <v>26</v>
      </c>
      <c r="K14" s="34" t="s">
        <v>99</v>
      </c>
      <c r="L14" s="34" t="s">
        <v>82</v>
      </c>
      <c r="M14" s="33" t="s">
        <v>41</v>
      </c>
      <c r="N14" s="3" t="s">
        <v>42</v>
      </c>
      <c r="O14" s="34" t="s">
        <v>115</v>
      </c>
      <c r="P14" s="33" t="s">
        <v>540</v>
      </c>
      <c r="Q14" s="33" t="s">
        <v>53</v>
      </c>
      <c r="R14" s="34" t="s">
        <v>120</v>
      </c>
      <c r="S14" s="35">
        <v>741200</v>
      </c>
      <c r="T14" s="2" t="s">
        <v>44</v>
      </c>
      <c r="U14" s="36">
        <v>1</v>
      </c>
      <c r="V14" s="36">
        <v>-3</v>
      </c>
      <c r="W14" s="37">
        <v>0</v>
      </c>
      <c r="X14" s="38">
        <v>0</v>
      </c>
    </row>
    <row r="15" spans="1:24" x14ac:dyDescent="0.25">
      <c r="A15" s="33" t="s">
        <v>355</v>
      </c>
      <c r="B15" s="33" t="s">
        <v>390</v>
      </c>
      <c r="C15" s="33" t="s">
        <v>394</v>
      </c>
      <c r="D15" s="33" t="s">
        <v>412</v>
      </c>
      <c r="E15" s="33" t="s">
        <v>413</v>
      </c>
      <c r="F15" s="26" t="str">
        <f>HYPERLINK("https://mapwv.gov/flood/map/?wkid=102100&amp;x=-9102689.818881042&amp;y=4726356.476714035&amp;l=13&amp;v=2","FT")</f>
        <v>FT</v>
      </c>
      <c r="G15" s="34" t="s">
        <v>32</v>
      </c>
      <c r="H15" s="34" t="s">
        <v>25</v>
      </c>
      <c r="I15" s="33" t="s">
        <v>496</v>
      </c>
      <c r="J15" s="34" t="s">
        <v>26</v>
      </c>
      <c r="K15" s="34" t="s">
        <v>106</v>
      </c>
      <c r="L15" s="34" t="s">
        <v>27</v>
      </c>
      <c r="M15" s="33" t="s">
        <v>72</v>
      </c>
      <c r="N15" s="3" t="s">
        <v>35</v>
      </c>
      <c r="O15" s="34" t="s">
        <v>115</v>
      </c>
      <c r="P15" s="33" t="s">
        <v>541</v>
      </c>
      <c r="Q15" s="33" t="s">
        <v>30</v>
      </c>
      <c r="R15" s="34" t="s">
        <v>119</v>
      </c>
      <c r="S15" s="35">
        <v>675900</v>
      </c>
      <c r="T15" s="2" t="s">
        <v>44</v>
      </c>
      <c r="U15" s="36">
        <v>4.3800049999999997</v>
      </c>
      <c r="V15" s="36">
        <v>3.3800048828125</v>
      </c>
      <c r="W15" s="37">
        <v>0.11760009765625</v>
      </c>
      <c r="X15" s="38">
        <v>79485.906005859302</v>
      </c>
    </row>
    <row r="16" spans="1:24" x14ac:dyDescent="0.25">
      <c r="A16" s="33" t="s">
        <v>356</v>
      </c>
      <c r="B16" s="33" t="s">
        <v>390</v>
      </c>
      <c r="C16" s="33" t="s">
        <v>414</v>
      </c>
      <c r="D16" s="33" t="s">
        <v>415</v>
      </c>
      <c r="E16" s="33" t="s">
        <v>416</v>
      </c>
      <c r="F16" s="26" t="str">
        <f>HYPERLINK("https://mapwv.gov/flood/map/?wkid=102100&amp;x=-9086762.210330969&amp;y=4720943.668599954&amp;l=13&amp;v=2","FT")</f>
        <v>FT</v>
      </c>
      <c r="G16" s="34" t="s">
        <v>38</v>
      </c>
      <c r="H16" s="34" t="s">
        <v>25</v>
      </c>
      <c r="I16" s="33"/>
      <c r="J16" s="34" t="s">
        <v>39</v>
      </c>
      <c r="K16" s="34" t="s">
        <v>131</v>
      </c>
      <c r="L16" s="34"/>
      <c r="M16" s="33" t="s">
        <v>28</v>
      </c>
      <c r="N16" s="3" t="s">
        <v>111</v>
      </c>
      <c r="O16" s="34" t="s">
        <v>114</v>
      </c>
      <c r="P16" s="33" t="s">
        <v>542</v>
      </c>
      <c r="Q16" s="33" t="s">
        <v>30</v>
      </c>
      <c r="R16" s="34" t="s">
        <v>119</v>
      </c>
      <c r="S16" s="35">
        <v>643200</v>
      </c>
      <c r="T16" s="2" t="s">
        <v>70</v>
      </c>
      <c r="U16" s="36">
        <v>0</v>
      </c>
      <c r="V16" s="36">
        <v>-1</v>
      </c>
      <c r="W16" s="37">
        <v>0</v>
      </c>
      <c r="X16" s="38">
        <v>0</v>
      </c>
    </row>
    <row r="17" spans="1:24" x14ac:dyDescent="0.25">
      <c r="A17" s="33" t="s">
        <v>357</v>
      </c>
      <c r="B17" s="33" t="s">
        <v>398</v>
      </c>
      <c r="C17" s="33" t="s">
        <v>399</v>
      </c>
      <c r="D17" s="33" t="s">
        <v>417</v>
      </c>
      <c r="E17" s="33" t="s">
        <v>418</v>
      </c>
      <c r="F17" s="26" t="str">
        <f>HYPERLINK("https://mapwv.gov/flood/map/?wkid=102100&amp;x=-9095790.672323523&amp;y=4696510.902132055&amp;l=13&amp;v=2","FT")</f>
        <v>FT</v>
      </c>
      <c r="G17" s="34" t="s">
        <v>32</v>
      </c>
      <c r="H17" s="34" t="s">
        <v>25</v>
      </c>
      <c r="I17" s="33" t="s">
        <v>497</v>
      </c>
      <c r="J17" s="34" t="s">
        <v>26</v>
      </c>
      <c r="K17" s="34" t="s">
        <v>94</v>
      </c>
      <c r="L17" s="34" t="s">
        <v>45</v>
      </c>
      <c r="M17" s="33" t="s">
        <v>67</v>
      </c>
      <c r="N17" s="3" t="s">
        <v>112</v>
      </c>
      <c r="O17" s="34" t="s">
        <v>114</v>
      </c>
      <c r="P17" s="33" t="s">
        <v>543</v>
      </c>
      <c r="Q17" s="33" t="s">
        <v>30</v>
      </c>
      <c r="R17" s="34" t="s">
        <v>119</v>
      </c>
      <c r="S17" s="35">
        <v>592500</v>
      </c>
      <c r="T17" s="2" t="s">
        <v>44</v>
      </c>
      <c r="U17" s="36">
        <v>0</v>
      </c>
      <c r="V17" s="36">
        <v>-1</v>
      </c>
      <c r="W17" s="37">
        <v>0</v>
      </c>
      <c r="X17" s="38">
        <v>0</v>
      </c>
    </row>
    <row r="18" spans="1:24" x14ac:dyDescent="0.25">
      <c r="A18" s="33" t="s">
        <v>358</v>
      </c>
      <c r="B18" s="33" t="s">
        <v>390</v>
      </c>
      <c r="C18" s="33" t="s">
        <v>394</v>
      </c>
      <c r="D18" s="33" t="s">
        <v>419</v>
      </c>
      <c r="E18" s="33" t="s">
        <v>420</v>
      </c>
      <c r="F18" s="26" t="str">
        <f>HYPERLINK("https://mapwv.gov/flood/map/?wkid=102100&amp;x=-9102850.060171088&amp;y=4726243.998729629&amp;l=13&amp;v=2","FT")</f>
        <v>FT</v>
      </c>
      <c r="G18" s="34" t="s">
        <v>32</v>
      </c>
      <c r="H18" s="34" t="s">
        <v>25</v>
      </c>
      <c r="I18" s="33" t="s">
        <v>498</v>
      </c>
      <c r="J18" s="34" t="s">
        <v>26</v>
      </c>
      <c r="K18" s="34" t="s">
        <v>93</v>
      </c>
      <c r="L18" s="34" t="s">
        <v>40</v>
      </c>
      <c r="M18" s="33" t="s">
        <v>41</v>
      </c>
      <c r="N18" s="3" t="s">
        <v>42</v>
      </c>
      <c r="O18" s="34" t="s">
        <v>115</v>
      </c>
      <c r="P18" s="33" t="s">
        <v>544</v>
      </c>
      <c r="Q18" s="33" t="s">
        <v>53</v>
      </c>
      <c r="R18" s="34" t="s">
        <v>120</v>
      </c>
      <c r="S18" s="35">
        <v>537200</v>
      </c>
      <c r="T18" s="2" t="s">
        <v>44</v>
      </c>
      <c r="U18" s="36">
        <v>6.1238403000000003</v>
      </c>
      <c r="V18" s="36">
        <v>2.12384033203125</v>
      </c>
      <c r="W18" s="37">
        <v>0.14495361328125</v>
      </c>
      <c r="X18" s="38">
        <v>77869.0810546875</v>
      </c>
    </row>
    <row r="19" spans="1:24" x14ac:dyDescent="0.25">
      <c r="A19" s="33" t="s">
        <v>359</v>
      </c>
      <c r="B19" s="33" t="s">
        <v>390</v>
      </c>
      <c r="C19" s="33" t="s">
        <v>394</v>
      </c>
      <c r="D19" s="33" t="s">
        <v>421</v>
      </c>
      <c r="E19" s="33" t="s">
        <v>422</v>
      </c>
      <c r="F19" s="26" t="str">
        <f>HYPERLINK("https://mapwv.gov/flood/map/?wkid=102100&amp;x=-9100291.185864221&amp;y=4713180.378881137&amp;l=13&amp;v=2","FT")</f>
        <v>FT</v>
      </c>
      <c r="G19" s="34" t="s">
        <v>32</v>
      </c>
      <c r="H19" s="34" t="s">
        <v>25</v>
      </c>
      <c r="I19" s="33" t="s">
        <v>499</v>
      </c>
      <c r="J19" s="34" t="s">
        <v>26</v>
      </c>
      <c r="K19" s="34" t="s">
        <v>126</v>
      </c>
      <c r="L19" s="34" t="s">
        <v>54</v>
      </c>
      <c r="M19" s="33" t="s">
        <v>72</v>
      </c>
      <c r="N19" s="3" t="s">
        <v>35</v>
      </c>
      <c r="O19" s="34" t="s">
        <v>114</v>
      </c>
      <c r="P19" s="33" t="s">
        <v>545</v>
      </c>
      <c r="Q19" s="33" t="s">
        <v>30</v>
      </c>
      <c r="R19" s="34" t="s">
        <v>119</v>
      </c>
      <c r="S19" s="35">
        <v>517600</v>
      </c>
      <c r="T19" s="2" t="s">
        <v>44</v>
      </c>
      <c r="U19" s="36">
        <v>10.060608</v>
      </c>
      <c r="V19" s="36">
        <v>9.06060791015625</v>
      </c>
      <c r="W19" s="37">
        <v>0.29181823730468698</v>
      </c>
      <c r="X19" s="38">
        <v>151045.11962890599</v>
      </c>
    </row>
    <row r="20" spans="1:24" x14ac:dyDescent="0.25">
      <c r="A20" s="33" t="s">
        <v>360</v>
      </c>
      <c r="B20" s="33" t="s">
        <v>423</v>
      </c>
      <c r="C20" s="33" t="s">
        <v>394</v>
      </c>
      <c r="D20" s="33" t="s">
        <v>424</v>
      </c>
      <c r="E20" s="33" t="s">
        <v>425</v>
      </c>
      <c r="F20" s="26" t="str">
        <f>HYPERLINK("https://mapwv.gov/flood/map/?wkid=102100&amp;x=-9103155.876408277&amp;y=4715480.4184490135&amp;l=13&amp;v=2","FT")</f>
        <v>FT</v>
      </c>
      <c r="G20" s="34" t="s">
        <v>32</v>
      </c>
      <c r="H20" s="34" t="s">
        <v>25</v>
      </c>
      <c r="I20" s="33" t="s">
        <v>500</v>
      </c>
      <c r="J20" s="34" t="s">
        <v>26</v>
      </c>
      <c r="K20" s="34" t="s">
        <v>104</v>
      </c>
      <c r="L20" s="34" t="s">
        <v>40</v>
      </c>
      <c r="M20" s="33" t="s">
        <v>41</v>
      </c>
      <c r="N20" s="3" t="s">
        <v>42</v>
      </c>
      <c r="O20" s="34" t="s">
        <v>114</v>
      </c>
      <c r="P20" s="33" t="s">
        <v>546</v>
      </c>
      <c r="Q20" s="33" t="s">
        <v>43</v>
      </c>
      <c r="R20" s="34" t="s">
        <v>120</v>
      </c>
      <c r="S20" s="35">
        <v>510700</v>
      </c>
      <c r="T20" s="2" t="s">
        <v>44</v>
      </c>
      <c r="U20" s="36">
        <v>1</v>
      </c>
      <c r="V20" s="36">
        <v>-3</v>
      </c>
      <c r="W20" s="37">
        <v>0</v>
      </c>
      <c r="X20" s="38">
        <v>0</v>
      </c>
    </row>
    <row r="21" spans="1:24" x14ac:dyDescent="0.25">
      <c r="A21" s="33" t="s">
        <v>361</v>
      </c>
      <c r="B21" s="33" t="s">
        <v>423</v>
      </c>
      <c r="C21" s="33" t="s">
        <v>394</v>
      </c>
      <c r="D21" s="33" t="s">
        <v>426</v>
      </c>
      <c r="E21" s="33" t="s">
        <v>427</v>
      </c>
      <c r="F21" s="26" t="str">
        <f>HYPERLINK("https://mapwv.gov/flood/map/?wkid=102100&amp;x=-9102793.570761532&amp;y=4714975.790584389&amp;l=13&amp;v=2","FT")</f>
        <v>FT</v>
      </c>
      <c r="G21" s="34" t="s">
        <v>32</v>
      </c>
      <c r="H21" s="34" t="s">
        <v>25</v>
      </c>
      <c r="I21" s="33" t="s">
        <v>501</v>
      </c>
      <c r="J21" s="34" t="s">
        <v>26</v>
      </c>
      <c r="K21" s="34" t="s">
        <v>141</v>
      </c>
      <c r="L21" s="34" t="s">
        <v>38</v>
      </c>
      <c r="M21" s="33" t="s">
        <v>41</v>
      </c>
      <c r="N21" s="3" t="s">
        <v>42</v>
      </c>
      <c r="O21" s="34" t="s">
        <v>115</v>
      </c>
      <c r="P21" s="33" t="s">
        <v>547</v>
      </c>
      <c r="Q21" s="33" t="s">
        <v>43</v>
      </c>
      <c r="R21" s="34" t="s">
        <v>120</v>
      </c>
      <c r="S21" s="35">
        <v>507000</v>
      </c>
      <c r="T21" s="2" t="s">
        <v>44</v>
      </c>
      <c r="U21" s="36">
        <v>3.1943359999999998</v>
      </c>
      <c r="V21" s="36">
        <v>-0.8056640625</v>
      </c>
      <c r="W21" s="37">
        <v>0.149716796875</v>
      </c>
      <c r="X21" s="38">
        <v>75906.416015625</v>
      </c>
    </row>
    <row r="22" spans="1:24" x14ac:dyDescent="0.25">
      <c r="A22" s="33" t="s">
        <v>362</v>
      </c>
      <c r="B22" s="33" t="s">
        <v>390</v>
      </c>
      <c r="C22" s="33" t="s">
        <v>428</v>
      </c>
      <c r="D22" s="33" t="s">
        <v>429</v>
      </c>
      <c r="E22" s="33" t="s">
        <v>430</v>
      </c>
      <c r="F22" s="26" t="str">
        <f>HYPERLINK("https://mapwv.gov/flood/map/?wkid=102100&amp;x=-9088336.304888858&amp;y=4710994.279291164&amp;l=13&amp;v=2","FT")</f>
        <v>FT</v>
      </c>
      <c r="G22" s="34" t="s">
        <v>38</v>
      </c>
      <c r="H22" s="34" t="s">
        <v>25</v>
      </c>
      <c r="I22" s="33" t="s">
        <v>502</v>
      </c>
      <c r="J22" s="34" t="s">
        <v>26</v>
      </c>
      <c r="K22" s="34" t="s">
        <v>84</v>
      </c>
      <c r="L22" s="34" t="s">
        <v>40</v>
      </c>
      <c r="M22" s="33" t="s">
        <v>41</v>
      </c>
      <c r="N22" s="3" t="s">
        <v>42</v>
      </c>
      <c r="O22" s="34" t="s">
        <v>115</v>
      </c>
      <c r="P22" s="33" t="s">
        <v>172</v>
      </c>
      <c r="Q22" s="33" t="s">
        <v>53</v>
      </c>
      <c r="R22" s="34" t="s">
        <v>120</v>
      </c>
      <c r="S22" s="35">
        <v>484700</v>
      </c>
      <c r="T22" s="2" t="s">
        <v>44</v>
      </c>
      <c r="U22" s="36">
        <v>0</v>
      </c>
      <c r="V22" s="36">
        <v>-4</v>
      </c>
      <c r="W22" s="37">
        <v>0</v>
      </c>
      <c r="X22" s="38">
        <v>0</v>
      </c>
    </row>
    <row r="23" spans="1:24" x14ac:dyDescent="0.25">
      <c r="A23" s="33" t="s">
        <v>363</v>
      </c>
      <c r="B23" s="33" t="s">
        <v>390</v>
      </c>
      <c r="C23" s="33" t="s">
        <v>431</v>
      </c>
      <c r="D23" s="33" t="s">
        <v>432</v>
      </c>
      <c r="E23" s="33" t="s">
        <v>433</v>
      </c>
      <c r="F23" s="26" t="str">
        <f>HYPERLINK("https://mapwv.gov/flood/map/?wkid=102100&amp;x=-9090704.554920452&amp;y=4708667.950785543&amp;l=13&amp;v=2","FT")</f>
        <v>FT</v>
      </c>
      <c r="G23" s="34" t="s">
        <v>32</v>
      </c>
      <c r="H23" s="34" t="s">
        <v>25</v>
      </c>
      <c r="I23" s="33" t="s">
        <v>503</v>
      </c>
      <c r="J23" s="34" t="s">
        <v>26</v>
      </c>
      <c r="K23" s="34" t="s">
        <v>125</v>
      </c>
      <c r="L23" s="34" t="s">
        <v>51</v>
      </c>
      <c r="M23" s="33" t="s">
        <v>48</v>
      </c>
      <c r="N23" s="3" t="s">
        <v>35</v>
      </c>
      <c r="O23" s="34" t="s">
        <v>114</v>
      </c>
      <c r="P23" s="33" t="s">
        <v>548</v>
      </c>
      <c r="Q23" s="33" t="s">
        <v>30</v>
      </c>
      <c r="R23" s="34" t="s">
        <v>119</v>
      </c>
      <c r="S23" s="35">
        <v>445700</v>
      </c>
      <c r="T23" s="2" t="s">
        <v>44</v>
      </c>
      <c r="U23" s="36">
        <v>0.91992189999999996</v>
      </c>
      <c r="V23" s="36">
        <v>-8.0078125E-2</v>
      </c>
      <c r="W23" s="37">
        <v>9.1992187499999999E-3</v>
      </c>
      <c r="X23" s="38">
        <v>4100.091796875</v>
      </c>
    </row>
    <row r="24" spans="1:24" x14ac:dyDescent="0.25">
      <c r="A24" s="33" t="s">
        <v>364</v>
      </c>
      <c r="B24" s="33" t="s">
        <v>390</v>
      </c>
      <c r="C24" s="33" t="s">
        <v>394</v>
      </c>
      <c r="D24" s="33" t="s">
        <v>434</v>
      </c>
      <c r="E24" s="33" t="s">
        <v>435</v>
      </c>
      <c r="F24" s="26" t="str">
        <f>HYPERLINK("https://mapwv.gov/flood/map/?wkid=102100&amp;x=-9100392.932101445&amp;y=4712504.305278582&amp;l=13&amp;v=2","FT")</f>
        <v>FT</v>
      </c>
      <c r="G24" s="34" t="s">
        <v>32</v>
      </c>
      <c r="H24" s="34" t="s">
        <v>25</v>
      </c>
      <c r="I24" s="33" t="s">
        <v>504</v>
      </c>
      <c r="J24" s="34" t="s">
        <v>26</v>
      </c>
      <c r="K24" s="34" t="s">
        <v>165</v>
      </c>
      <c r="L24" s="34" t="s">
        <v>45</v>
      </c>
      <c r="M24" s="33" t="s">
        <v>67</v>
      </c>
      <c r="N24" s="3" t="s">
        <v>112</v>
      </c>
      <c r="O24" s="34" t="s">
        <v>114</v>
      </c>
      <c r="P24" s="33" t="s">
        <v>549</v>
      </c>
      <c r="Q24" s="33" t="s">
        <v>30</v>
      </c>
      <c r="R24" s="34" t="s">
        <v>119</v>
      </c>
      <c r="S24" s="35">
        <v>442900</v>
      </c>
      <c r="T24" s="2" t="s">
        <v>44</v>
      </c>
      <c r="U24" s="36">
        <v>1.081604</v>
      </c>
      <c r="V24" s="36">
        <v>8.160400390625E-2</v>
      </c>
      <c r="W24" s="37">
        <v>8.1604003906249906E-3</v>
      </c>
      <c r="X24" s="38">
        <v>3614.2413330078102</v>
      </c>
    </row>
    <row r="25" spans="1:24" x14ac:dyDescent="0.25">
      <c r="A25" s="33" t="s">
        <v>365</v>
      </c>
      <c r="B25" s="33" t="s">
        <v>390</v>
      </c>
      <c r="C25" s="33" t="s">
        <v>394</v>
      </c>
      <c r="D25" s="33" t="s">
        <v>436</v>
      </c>
      <c r="E25" s="33" t="s">
        <v>437</v>
      </c>
      <c r="F25" s="26" t="str">
        <f>HYPERLINK("https://mapwv.gov/flood/map/?wkid=102100&amp;x=-9111157.316355998&amp;y=4705887.232507135&amp;l=13&amp;v=2","FT")</f>
        <v>FT</v>
      </c>
      <c r="G25" s="34" t="s">
        <v>32</v>
      </c>
      <c r="H25" s="34" t="s">
        <v>25</v>
      </c>
      <c r="I25" s="33" t="s">
        <v>505</v>
      </c>
      <c r="J25" s="34" t="s">
        <v>26</v>
      </c>
      <c r="K25" s="34" t="s">
        <v>139</v>
      </c>
      <c r="L25" s="34" t="s">
        <v>54</v>
      </c>
      <c r="M25" s="33" t="s">
        <v>72</v>
      </c>
      <c r="N25" s="3" t="s">
        <v>35</v>
      </c>
      <c r="O25" s="34" t="s">
        <v>114</v>
      </c>
      <c r="P25" s="33" t="s">
        <v>550</v>
      </c>
      <c r="Q25" s="33" t="s">
        <v>30</v>
      </c>
      <c r="R25" s="34" t="s">
        <v>119</v>
      </c>
      <c r="S25" s="35">
        <v>400500</v>
      </c>
      <c r="T25" s="2" t="s">
        <v>44</v>
      </c>
      <c r="U25" s="36">
        <v>2.6600342000000001</v>
      </c>
      <c r="V25" s="36">
        <v>1.6600341796875</v>
      </c>
      <c r="W25" s="37">
        <v>6.9801025390624896E-2</v>
      </c>
      <c r="X25" s="38">
        <v>27955.310668945302</v>
      </c>
    </row>
    <row r="26" spans="1:24" x14ac:dyDescent="0.25">
      <c r="A26" s="33" t="s">
        <v>366</v>
      </c>
      <c r="B26" s="33" t="s">
        <v>390</v>
      </c>
      <c r="C26" s="33" t="s">
        <v>438</v>
      </c>
      <c r="D26" s="33" t="s">
        <v>439</v>
      </c>
      <c r="E26" s="33" t="s">
        <v>440</v>
      </c>
      <c r="F26" s="26" t="str">
        <f>HYPERLINK("https://mapwv.gov/flood/map/?wkid=102100&amp;x=-9101264.050086232&amp;y=4694000.115078657&amp;l=13&amp;v=2","FT")</f>
        <v>FT</v>
      </c>
      <c r="G26" s="34" t="s">
        <v>38</v>
      </c>
      <c r="H26" s="34" t="s">
        <v>25</v>
      </c>
      <c r="I26" s="33" t="s">
        <v>506</v>
      </c>
      <c r="J26" s="34" t="s">
        <v>26</v>
      </c>
      <c r="K26" s="34" t="s">
        <v>128</v>
      </c>
      <c r="L26" s="34" t="s">
        <v>37</v>
      </c>
      <c r="M26" s="33" t="s">
        <v>67</v>
      </c>
      <c r="N26" s="3" t="s">
        <v>112</v>
      </c>
      <c r="O26" s="34" t="s">
        <v>115</v>
      </c>
      <c r="P26" s="33" t="s">
        <v>551</v>
      </c>
      <c r="Q26" s="33" t="s">
        <v>30</v>
      </c>
      <c r="R26" s="34" t="s">
        <v>119</v>
      </c>
      <c r="S26" s="35">
        <v>393200</v>
      </c>
      <c r="T26" s="2" t="s">
        <v>31</v>
      </c>
      <c r="U26" s="36">
        <v>0</v>
      </c>
      <c r="V26" s="36">
        <v>-1</v>
      </c>
      <c r="W26" s="37">
        <v>0</v>
      </c>
      <c r="X26" s="38">
        <v>0</v>
      </c>
    </row>
    <row r="27" spans="1:24" x14ac:dyDescent="0.25">
      <c r="A27" s="33" t="s">
        <v>367</v>
      </c>
      <c r="B27" s="33" t="s">
        <v>390</v>
      </c>
      <c r="C27" s="33" t="s">
        <v>431</v>
      </c>
      <c r="D27" s="33" t="s">
        <v>441</v>
      </c>
      <c r="E27" s="33" t="s">
        <v>442</v>
      </c>
      <c r="F27" s="26" t="str">
        <f>HYPERLINK("https://mapwv.gov/flood/map/?wkid=102100&amp;x=-9090850.939048972&amp;y=4708697.412894062&amp;l=13&amp;v=2","FT")</f>
        <v>FT</v>
      </c>
      <c r="G27" s="34" t="s">
        <v>38</v>
      </c>
      <c r="H27" s="34" t="s">
        <v>25</v>
      </c>
      <c r="I27" s="33" t="s">
        <v>507</v>
      </c>
      <c r="J27" s="34" t="s">
        <v>39</v>
      </c>
      <c r="K27" s="34" t="s">
        <v>98</v>
      </c>
      <c r="L27" s="34" t="s">
        <v>37</v>
      </c>
      <c r="M27" s="33" t="s">
        <v>67</v>
      </c>
      <c r="N27" s="3" t="s">
        <v>112</v>
      </c>
      <c r="O27" s="34" t="s">
        <v>115</v>
      </c>
      <c r="P27" s="33" t="s">
        <v>170</v>
      </c>
      <c r="Q27" s="33" t="s">
        <v>30</v>
      </c>
      <c r="R27" s="34" t="s">
        <v>119</v>
      </c>
      <c r="S27" s="35">
        <v>354300</v>
      </c>
      <c r="T27" s="2" t="s">
        <v>44</v>
      </c>
      <c r="U27" s="36">
        <v>0</v>
      </c>
      <c r="V27" s="36">
        <v>-1</v>
      </c>
      <c r="W27" s="37">
        <v>0</v>
      </c>
      <c r="X27" s="38">
        <v>0</v>
      </c>
    </row>
    <row r="28" spans="1:24" x14ac:dyDescent="0.25">
      <c r="A28" s="33" t="s">
        <v>368</v>
      </c>
      <c r="B28" s="33" t="s">
        <v>423</v>
      </c>
      <c r="C28" s="33" t="s">
        <v>394</v>
      </c>
      <c r="D28" s="33" t="s">
        <v>443</v>
      </c>
      <c r="E28" s="33" t="s">
        <v>444</v>
      </c>
      <c r="F28" s="26" t="str">
        <f>HYPERLINK("https://mapwv.gov/flood/map/?wkid=102100&amp;x=-9102996.120693848&amp;y=4715219.694873813&amp;l=13&amp;v=2","FT")</f>
        <v>FT</v>
      </c>
      <c r="G28" s="34" t="s">
        <v>32</v>
      </c>
      <c r="H28" s="34" t="s">
        <v>25</v>
      </c>
      <c r="I28" s="33" t="s">
        <v>508</v>
      </c>
      <c r="J28" s="34" t="s">
        <v>26</v>
      </c>
      <c r="K28" s="34" t="s">
        <v>83</v>
      </c>
      <c r="L28" s="34" t="s">
        <v>40</v>
      </c>
      <c r="M28" s="33" t="s">
        <v>41</v>
      </c>
      <c r="N28" s="3" t="s">
        <v>42</v>
      </c>
      <c r="O28" s="34" t="s">
        <v>114</v>
      </c>
      <c r="P28" s="33" t="s">
        <v>552</v>
      </c>
      <c r="Q28" s="33" t="s">
        <v>53</v>
      </c>
      <c r="R28" s="34" t="s">
        <v>120</v>
      </c>
      <c r="S28" s="35">
        <v>322000</v>
      </c>
      <c r="T28" s="2" t="s">
        <v>44</v>
      </c>
      <c r="U28" s="36">
        <v>2.6756592000000001</v>
      </c>
      <c r="V28" s="36">
        <v>-1.3243408203125</v>
      </c>
      <c r="W28" s="37">
        <v>2.0269775390625001E-2</v>
      </c>
      <c r="X28" s="38">
        <v>6526.86767578125</v>
      </c>
    </row>
    <row r="29" spans="1:24" x14ac:dyDescent="0.25">
      <c r="A29" s="33" t="s">
        <v>369</v>
      </c>
      <c r="B29" s="33" t="s">
        <v>398</v>
      </c>
      <c r="C29" s="33" t="s">
        <v>399</v>
      </c>
      <c r="D29" s="33" t="s">
        <v>445</v>
      </c>
      <c r="E29" s="33" t="s">
        <v>446</v>
      </c>
      <c r="F29" s="26" t="str">
        <f>HYPERLINK("https://mapwv.gov/flood/map/?wkid=102100&amp;x=-9096544.352586973&amp;y=4696098.066022656&amp;l=13&amp;v=2","FT")</f>
        <v>FT</v>
      </c>
      <c r="G29" s="34" t="s">
        <v>55</v>
      </c>
      <c r="H29" s="34" t="s">
        <v>25</v>
      </c>
      <c r="I29" s="33" t="s">
        <v>509</v>
      </c>
      <c r="J29" s="34" t="s">
        <v>39</v>
      </c>
      <c r="K29" s="34" t="s">
        <v>157</v>
      </c>
      <c r="L29" s="34" t="s">
        <v>27</v>
      </c>
      <c r="M29" s="33" t="s">
        <v>67</v>
      </c>
      <c r="N29" s="3" t="s">
        <v>112</v>
      </c>
      <c r="O29" s="34" t="s">
        <v>114</v>
      </c>
      <c r="P29" s="33" t="s">
        <v>553</v>
      </c>
      <c r="Q29" s="33" t="s">
        <v>30</v>
      </c>
      <c r="R29" s="34" t="s">
        <v>119</v>
      </c>
      <c r="S29" s="35">
        <v>319660</v>
      </c>
      <c r="T29" s="2" t="s">
        <v>31</v>
      </c>
      <c r="U29" s="36">
        <v>0.39166260000000003</v>
      </c>
      <c r="V29" s="36">
        <v>-0.60833740234375</v>
      </c>
      <c r="W29" s="37">
        <v>0</v>
      </c>
      <c r="X29" s="38">
        <v>0</v>
      </c>
    </row>
    <row r="30" spans="1:24" x14ac:dyDescent="0.25">
      <c r="A30" s="33" t="s">
        <v>370</v>
      </c>
      <c r="B30" s="33" t="s">
        <v>423</v>
      </c>
      <c r="C30" s="33" t="s">
        <v>394</v>
      </c>
      <c r="D30" s="33" t="s">
        <v>447</v>
      </c>
      <c r="E30" s="33" t="s">
        <v>448</v>
      </c>
      <c r="F30" s="26" t="str">
        <f>HYPERLINK("https://mapwv.gov/flood/map/?wkid=102100&amp;x=-9103177.838296663&amp;y=4715550.795053197&amp;l=13&amp;v=2","FT")</f>
        <v>FT</v>
      </c>
      <c r="G30" s="34" t="s">
        <v>32</v>
      </c>
      <c r="H30" s="34" t="s">
        <v>25</v>
      </c>
      <c r="I30" s="33" t="s">
        <v>510</v>
      </c>
      <c r="J30" s="34" t="s">
        <v>26</v>
      </c>
      <c r="K30" s="34" t="s">
        <v>106</v>
      </c>
      <c r="L30" s="34" t="s">
        <v>40</v>
      </c>
      <c r="M30" s="33" t="s">
        <v>41</v>
      </c>
      <c r="N30" s="3" t="s">
        <v>42</v>
      </c>
      <c r="O30" s="34" t="s">
        <v>115</v>
      </c>
      <c r="P30" s="33" t="s">
        <v>554</v>
      </c>
      <c r="Q30" s="33" t="s">
        <v>53</v>
      </c>
      <c r="R30" s="34" t="s">
        <v>120</v>
      </c>
      <c r="S30" s="35">
        <v>312700</v>
      </c>
      <c r="T30" s="2" t="s">
        <v>44</v>
      </c>
      <c r="U30" s="36">
        <v>0.79766846000000002</v>
      </c>
      <c r="V30" s="36">
        <v>-3.20233154296875</v>
      </c>
      <c r="W30" s="37">
        <v>0</v>
      </c>
      <c r="X30" s="38">
        <v>0</v>
      </c>
    </row>
    <row r="31" spans="1:24" x14ac:dyDescent="0.25">
      <c r="A31" s="33" t="s">
        <v>371</v>
      </c>
      <c r="B31" s="33" t="s">
        <v>390</v>
      </c>
      <c r="C31" s="33" t="s">
        <v>449</v>
      </c>
      <c r="D31" s="33" t="s">
        <v>450</v>
      </c>
      <c r="E31" s="33" t="s">
        <v>451</v>
      </c>
      <c r="F31" s="26" t="str">
        <f>HYPERLINK("https://mapwv.gov/flood/map/?wkid=102100&amp;x=-9092024.49216405&amp;y=4682894.66736964&amp;l=13&amp;v=2","FT")</f>
        <v>FT</v>
      </c>
      <c r="G31" s="34" t="s">
        <v>32</v>
      </c>
      <c r="H31" s="34" t="s">
        <v>25</v>
      </c>
      <c r="I31" s="33" t="s">
        <v>511</v>
      </c>
      <c r="J31" s="34" t="s">
        <v>26</v>
      </c>
      <c r="K31" s="34" t="s">
        <v>84</v>
      </c>
      <c r="L31" s="34" t="s">
        <v>51</v>
      </c>
      <c r="M31" s="33" t="s">
        <v>41</v>
      </c>
      <c r="N31" s="3" t="s">
        <v>42</v>
      </c>
      <c r="O31" s="34" t="s">
        <v>114</v>
      </c>
      <c r="P31" s="33" t="s">
        <v>555</v>
      </c>
      <c r="Q31" s="33" t="s">
        <v>53</v>
      </c>
      <c r="R31" s="34" t="s">
        <v>120</v>
      </c>
      <c r="S31" s="35">
        <v>302000</v>
      </c>
      <c r="T31" s="2" t="s">
        <v>44</v>
      </c>
      <c r="U31" s="36">
        <v>0</v>
      </c>
      <c r="V31" s="36">
        <v>-4</v>
      </c>
      <c r="W31" s="37">
        <v>0</v>
      </c>
      <c r="X31" s="38">
        <v>0</v>
      </c>
    </row>
    <row r="32" spans="1:24" x14ac:dyDescent="0.25">
      <c r="A32" s="33" t="s">
        <v>372</v>
      </c>
      <c r="B32" s="33" t="s">
        <v>423</v>
      </c>
      <c r="C32" s="33" t="s">
        <v>394</v>
      </c>
      <c r="D32" s="33" t="s">
        <v>452</v>
      </c>
      <c r="E32" s="33" t="s">
        <v>453</v>
      </c>
      <c r="F32" s="26" t="str">
        <f>HYPERLINK("https://mapwv.gov/flood/map/?wkid=102100&amp;x=-9103210.865231104&amp;y=4715632.299379064&amp;l=13&amp;v=2","FT")</f>
        <v>FT</v>
      </c>
      <c r="G32" s="34" t="s">
        <v>32</v>
      </c>
      <c r="H32" s="34" t="s">
        <v>25</v>
      </c>
      <c r="I32" s="33" t="s">
        <v>512</v>
      </c>
      <c r="J32" s="34" t="s">
        <v>26</v>
      </c>
      <c r="K32" s="34" t="s">
        <v>106</v>
      </c>
      <c r="L32" s="34" t="s">
        <v>38</v>
      </c>
      <c r="M32" s="33" t="s">
        <v>41</v>
      </c>
      <c r="N32" s="3" t="s">
        <v>42</v>
      </c>
      <c r="O32" s="34" t="s">
        <v>115</v>
      </c>
      <c r="P32" s="33" t="s">
        <v>556</v>
      </c>
      <c r="Q32" s="33" t="s">
        <v>53</v>
      </c>
      <c r="R32" s="34" t="s">
        <v>120</v>
      </c>
      <c r="S32" s="35">
        <v>301700</v>
      </c>
      <c r="T32" s="2" t="s">
        <v>44</v>
      </c>
      <c r="U32" s="36">
        <v>2.0365600000000001</v>
      </c>
      <c r="V32" s="36">
        <v>-1.96343994140625</v>
      </c>
      <c r="W32" s="37">
        <v>0</v>
      </c>
      <c r="X32" s="38">
        <v>0</v>
      </c>
    </row>
    <row r="33" spans="1:24" x14ac:dyDescent="0.25">
      <c r="A33" s="33" t="s">
        <v>373</v>
      </c>
      <c r="B33" s="33" t="s">
        <v>390</v>
      </c>
      <c r="C33" s="33" t="s">
        <v>394</v>
      </c>
      <c r="D33" s="33" t="s">
        <v>454</v>
      </c>
      <c r="E33" s="33" t="s">
        <v>455</v>
      </c>
      <c r="F33" s="26" t="str">
        <f>HYPERLINK("https://mapwv.gov/flood/map/?wkid=102100&amp;x=-9102118.514675189&amp;y=4726000.446668941&amp;l=13&amp;v=2","FT")</f>
        <v>FT</v>
      </c>
      <c r="G33" s="34" t="s">
        <v>32</v>
      </c>
      <c r="H33" s="34" t="s">
        <v>25</v>
      </c>
      <c r="I33" s="33" t="s">
        <v>513</v>
      </c>
      <c r="J33" s="34" t="s">
        <v>26</v>
      </c>
      <c r="K33" s="34" t="s">
        <v>142</v>
      </c>
      <c r="L33" s="34" t="s">
        <v>54</v>
      </c>
      <c r="M33" s="33" t="s">
        <v>147</v>
      </c>
      <c r="N33" s="3" t="s">
        <v>35</v>
      </c>
      <c r="O33" s="34" t="s">
        <v>114</v>
      </c>
      <c r="P33" s="33" t="s">
        <v>557</v>
      </c>
      <c r="Q33" s="33" t="s">
        <v>30</v>
      </c>
      <c r="R33" s="34" t="s">
        <v>119</v>
      </c>
      <c r="S33" s="35">
        <v>297100</v>
      </c>
      <c r="T33" s="2" t="s">
        <v>44</v>
      </c>
      <c r="U33" s="36">
        <v>0.24707030999999999</v>
      </c>
      <c r="V33" s="36">
        <v>-0.7529296875</v>
      </c>
      <c r="W33" s="37">
        <v>0</v>
      </c>
      <c r="X33" s="38">
        <v>0</v>
      </c>
    </row>
    <row r="34" spans="1:24" x14ac:dyDescent="0.25">
      <c r="A34" s="33" t="s">
        <v>374</v>
      </c>
      <c r="B34" s="33" t="s">
        <v>423</v>
      </c>
      <c r="C34" s="33" t="s">
        <v>394</v>
      </c>
      <c r="D34" s="33" t="s">
        <v>456</v>
      </c>
      <c r="E34" s="33" t="s">
        <v>457</v>
      </c>
      <c r="F34" s="26" t="str">
        <f>HYPERLINK("https://mapwv.gov/flood/map/?wkid=102100&amp;x=-9103128.651557019&amp;y=4715427.101173691&amp;l=13&amp;v=2","FT")</f>
        <v>FT</v>
      </c>
      <c r="G34" s="34" t="s">
        <v>32</v>
      </c>
      <c r="H34" s="34" t="s">
        <v>25</v>
      </c>
      <c r="I34" s="33" t="s">
        <v>514</v>
      </c>
      <c r="J34" s="34" t="s">
        <v>26</v>
      </c>
      <c r="K34" s="34" t="s">
        <v>86</v>
      </c>
      <c r="L34" s="34" t="s">
        <v>38</v>
      </c>
      <c r="M34" s="33" t="s">
        <v>41</v>
      </c>
      <c r="N34" s="3" t="s">
        <v>42</v>
      </c>
      <c r="O34" s="34" t="s">
        <v>115</v>
      </c>
      <c r="P34" s="33" t="s">
        <v>558</v>
      </c>
      <c r="Q34" s="33" t="s">
        <v>53</v>
      </c>
      <c r="R34" s="34" t="s">
        <v>120</v>
      </c>
      <c r="S34" s="35">
        <v>286300</v>
      </c>
      <c r="T34" s="2" t="s">
        <v>44</v>
      </c>
      <c r="U34" s="36">
        <v>0.60131836000000005</v>
      </c>
      <c r="V34" s="36">
        <v>-3.398681640625</v>
      </c>
      <c r="W34" s="37">
        <v>0</v>
      </c>
      <c r="X34" s="38">
        <v>0</v>
      </c>
    </row>
    <row r="35" spans="1:24" x14ac:dyDescent="0.25">
      <c r="A35" s="33" t="s">
        <v>375</v>
      </c>
      <c r="B35" s="33" t="s">
        <v>423</v>
      </c>
      <c r="C35" s="33" t="s">
        <v>394</v>
      </c>
      <c r="D35" s="33" t="s">
        <v>458</v>
      </c>
      <c r="E35" s="33" t="s">
        <v>459</v>
      </c>
      <c r="F35" s="26" t="str">
        <f>HYPERLINK("https://mapwv.gov/flood/map/?wkid=102100&amp;x=-9103231.726392362&amp;y=4715700.132992059&amp;l=13&amp;v=2","FT")</f>
        <v>FT</v>
      </c>
      <c r="G35" s="34" t="s">
        <v>32</v>
      </c>
      <c r="H35" s="34" t="s">
        <v>25</v>
      </c>
      <c r="I35" s="33" t="s">
        <v>515</v>
      </c>
      <c r="J35" s="34" t="s">
        <v>26</v>
      </c>
      <c r="K35" s="34" t="s">
        <v>104</v>
      </c>
      <c r="L35" s="34" t="s">
        <v>38</v>
      </c>
      <c r="M35" s="33" t="s">
        <v>41</v>
      </c>
      <c r="N35" s="3" t="s">
        <v>42</v>
      </c>
      <c r="O35" s="34" t="s">
        <v>115</v>
      </c>
      <c r="P35" s="33" t="s">
        <v>559</v>
      </c>
      <c r="Q35" s="33" t="s">
        <v>43</v>
      </c>
      <c r="R35" s="34" t="s">
        <v>120</v>
      </c>
      <c r="S35" s="35">
        <v>278700</v>
      </c>
      <c r="T35" s="2" t="s">
        <v>44</v>
      </c>
      <c r="U35" s="36">
        <v>2.6075439999999999</v>
      </c>
      <c r="V35" s="36">
        <v>-1.3924560546875</v>
      </c>
      <c r="W35" s="37">
        <v>0.11645263671875</v>
      </c>
      <c r="X35" s="38">
        <v>32455.3498535156</v>
      </c>
    </row>
    <row r="36" spans="1:24" x14ac:dyDescent="0.25">
      <c r="A36" s="33" t="s">
        <v>376</v>
      </c>
      <c r="B36" s="33" t="s">
        <v>390</v>
      </c>
      <c r="C36" s="33" t="s">
        <v>399</v>
      </c>
      <c r="D36" s="33" t="s">
        <v>460</v>
      </c>
      <c r="E36" s="33" t="s">
        <v>461</v>
      </c>
      <c r="F36" s="26" t="str">
        <f>HYPERLINK("https://mapwv.gov/flood/map/?wkid=102100&amp;x=-9098238.466365179&amp;y=4695627.287593209&amp;l=13&amp;v=2","FT")</f>
        <v>FT</v>
      </c>
      <c r="G36" s="34" t="s">
        <v>32</v>
      </c>
      <c r="H36" s="34" t="s">
        <v>25</v>
      </c>
      <c r="I36" s="33" t="s">
        <v>516</v>
      </c>
      <c r="J36" s="34" t="s">
        <v>26</v>
      </c>
      <c r="K36" s="34" t="s">
        <v>171</v>
      </c>
      <c r="L36" s="34" t="s">
        <v>58</v>
      </c>
      <c r="M36" s="33" t="s">
        <v>56</v>
      </c>
      <c r="N36" s="3" t="s">
        <v>35</v>
      </c>
      <c r="O36" s="34" t="s">
        <v>114</v>
      </c>
      <c r="P36" s="33" t="s">
        <v>560</v>
      </c>
      <c r="Q36" s="33" t="s">
        <v>30</v>
      </c>
      <c r="R36" s="34" t="s">
        <v>119</v>
      </c>
      <c r="S36" s="35">
        <v>270100</v>
      </c>
      <c r="T36" s="2" t="s">
        <v>44</v>
      </c>
      <c r="U36" s="36">
        <v>0</v>
      </c>
      <c r="V36" s="36">
        <v>-1</v>
      </c>
      <c r="W36" s="37">
        <v>0</v>
      </c>
      <c r="X36" s="38">
        <v>0</v>
      </c>
    </row>
    <row r="37" spans="1:24" x14ac:dyDescent="0.25">
      <c r="A37" s="33" t="s">
        <v>377</v>
      </c>
      <c r="B37" s="33" t="s">
        <v>423</v>
      </c>
      <c r="C37" s="33" t="s">
        <v>394</v>
      </c>
      <c r="D37" s="33" t="s">
        <v>462</v>
      </c>
      <c r="E37" s="33" t="s">
        <v>463</v>
      </c>
      <c r="F37" s="26" t="str">
        <f>HYPERLINK("https://mapwv.gov/flood/map/?wkid=102100&amp;x=-9103078.110393126&amp;y=4715340.693677825&amp;l=13&amp;v=2","FT")</f>
        <v>FT</v>
      </c>
      <c r="G37" s="34" t="s">
        <v>32</v>
      </c>
      <c r="H37" s="34" t="s">
        <v>25</v>
      </c>
      <c r="I37" s="33" t="s">
        <v>517</v>
      </c>
      <c r="J37" s="34" t="s">
        <v>26</v>
      </c>
      <c r="K37" s="34" t="s">
        <v>104</v>
      </c>
      <c r="L37" s="34" t="s">
        <v>49</v>
      </c>
      <c r="M37" s="33" t="s">
        <v>41</v>
      </c>
      <c r="N37" s="3" t="s">
        <v>42</v>
      </c>
      <c r="O37" s="34" t="s">
        <v>115</v>
      </c>
      <c r="P37" s="33" t="s">
        <v>561</v>
      </c>
      <c r="Q37" s="33" t="s">
        <v>43</v>
      </c>
      <c r="R37" s="34" t="s">
        <v>120</v>
      </c>
      <c r="S37" s="35">
        <v>257100</v>
      </c>
      <c r="T37" s="2" t="s">
        <v>44</v>
      </c>
      <c r="U37" s="36">
        <v>1.4368896</v>
      </c>
      <c r="V37" s="36">
        <v>-2.5631103515625</v>
      </c>
      <c r="W37" s="37">
        <v>5.7475585937499997E-2</v>
      </c>
      <c r="X37" s="38">
        <v>14776.973144531201</v>
      </c>
    </row>
    <row r="38" spans="1:24" x14ac:dyDescent="0.25">
      <c r="A38" s="33" t="s">
        <v>378</v>
      </c>
      <c r="B38" s="33" t="s">
        <v>423</v>
      </c>
      <c r="C38" s="33" t="s">
        <v>394</v>
      </c>
      <c r="D38" s="33" t="s">
        <v>464</v>
      </c>
      <c r="E38" s="33" t="s">
        <v>465</v>
      </c>
      <c r="F38" s="26" t="str">
        <f>HYPERLINK("https://mapwv.gov/flood/map/?wkid=102100&amp;x=-9101946.727772826&amp;y=4714200.830788379&amp;l=13&amp;v=2","FT")</f>
        <v>FT</v>
      </c>
      <c r="G38" s="34" t="s">
        <v>32</v>
      </c>
      <c r="H38" s="34" t="s">
        <v>25</v>
      </c>
      <c r="I38" s="33" t="s">
        <v>518</v>
      </c>
      <c r="J38" s="34" t="s">
        <v>26</v>
      </c>
      <c r="K38" s="34" t="s">
        <v>140</v>
      </c>
      <c r="L38" s="34" t="s">
        <v>38</v>
      </c>
      <c r="M38" s="33" t="s">
        <v>41</v>
      </c>
      <c r="N38" s="3" t="s">
        <v>42</v>
      </c>
      <c r="O38" s="34" t="s">
        <v>114</v>
      </c>
      <c r="P38" s="33" t="s">
        <v>562</v>
      </c>
      <c r="Q38" s="33" t="s">
        <v>43</v>
      </c>
      <c r="R38" s="34" t="s">
        <v>120</v>
      </c>
      <c r="S38" s="35">
        <v>253400</v>
      </c>
      <c r="T38" s="2" t="s">
        <v>44</v>
      </c>
      <c r="U38" s="36">
        <v>5.1300049999999997</v>
      </c>
      <c r="V38" s="36">
        <v>1.1300048828125</v>
      </c>
      <c r="W38" s="37">
        <v>0.32910034179687497</v>
      </c>
      <c r="X38" s="38">
        <v>83394.026611328096</v>
      </c>
    </row>
    <row r="39" spans="1:24" x14ac:dyDescent="0.25">
      <c r="A39" s="33" t="s">
        <v>379</v>
      </c>
      <c r="B39" s="33" t="s">
        <v>423</v>
      </c>
      <c r="C39" s="33" t="s">
        <v>394</v>
      </c>
      <c r="D39" s="33" t="s">
        <v>466</v>
      </c>
      <c r="E39" s="33" t="s">
        <v>467</v>
      </c>
      <c r="F39" s="26" t="str">
        <f>HYPERLINK("https://mapwv.gov/flood/map/?wkid=102100&amp;x=-9103099.721736427&amp;y=4715385.03697185&amp;l=13&amp;v=2","FT")</f>
        <v>FT</v>
      </c>
      <c r="G39" s="34" t="s">
        <v>32</v>
      </c>
      <c r="H39" s="34" t="s">
        <v>25</v>
      </c>
      <c r="I39" s="33" t="s">
        <v>519</v>
      </c>
      <c r="J39" s="34" t="s">
        <v>26</v>
      </c>
      <c r="K39" s="34" t="s">
        <v>160</v>
      </c>
      <c r="L39" s="34" t="s">
        <v>40</v>
      </c>
      <c r="M39" s="33" t="s">
        <v>41</v>
      </c>
      <c r="N39" s="3" t="s">
        <v>42</v>
      </c>
      <c r="O39" s="34" t="s">
        <v>114</v>
      </c>
      <c r="P39" s="33" t="s">
        <v>563</v>
      </c>
      <c r="Q39" s="33" t="s">
        <v>53</v>
      </c>
      <c r="R39" s="34" t="s">
        <v>120</v>
      </c>
      <c r="S39" s="35">
        <v>239500</v>
      </c>
      <c r="T39" s="2" t="s">
        <v>44</v>
      </c>
      <c r="U39" s="36">
        <v>1.5341796999999999</v>
      </c>
      <c r="V39" s="36">
        <v>-2.4658203125</v>
      </c>
      <c r="W39" s="37">
        <v>0</v>
      </c>
      <c r="X39" s="38">
        <v>0</v>
      </c>
    </row>
    <row r="40" spans="1:24" x14ac:dyDescent="0.25">
      <c r="A40" s="33" t="s">
        <v>380</v>
      </c>
      <c r="B40" s="33" t="s">
        <v>390</v>
      </c>
      <c r="C40" s="33" t="s">
        <v>399</v>
      </c>
      <c r="D40" s="33" t="s">
        <v>468</v>
      </c>
      <c r="E40" s="33" t="s">
        <v>469</v>
      </c>
      <c r="F40" s="26" t="str">
        <f>HYPERLINK("https://mapwv.gov/flood/map/?wkid=102100&amp;x=-9102241.285268039&amp;y=4697174.50181141&amp;l=13&amp;v=2","FT")</f>
        <v>FT</v>
      </c>
      <c r="G40" s="34" t="s">
        <v>55</v>
      </c>
      <c r="H40" s="34" t="s">
        <v>25</v>
      </c>
      <c r="I40" s="33" t="s">
        <v>520</v>
      </c>
      <c r="J40" s="34" t="s">
        <v>162</v>
      </c>
      <c r="K40" s="34" t="s">
        <v>104</v>
      </c>
      <c r="L40" s="34" t="s">
        <v>54</v>
      </c>
      <c r="M40" s="33" t="s">
        <v>109</v>
      </c>
      <c r="N40" s="3" t="s">
        <v>113</v>
      </c>
      <c r="O40" s="34" t="s">
        <v>114</v>
      </c>
      <c r="P40" s="33" t="s">
        <v>564</v>
      </c>
      <c r="Q40" s="33" t="s">
        <v>30</v>
      </c>
      <c r="R40" s="34" t="s">
        <v>119</v>
      </c>
      <c r="S40" s="35">
        <v>237300</v>
      </c>
      <c r="T40" s="2" t="s">
        <v>44</v>
      </c>
      <c r="U40" s="36">
        <v>3.1120605000000001</v>
      </c>
      <c r="V40" s="36">
        <v>2.112060546875</v>
      </c>
      <c r="W40" s="37">
        <v>0.12336181640625</v>
      </c>
      <c r="X40" s="38">
        <v>29273.7590332031</v>
      </c>
    </row>
    <row r="41" spans="1:24" x14ac:dyDescent="0.25">
      <c r="A41" s="33" t="s">
        <v>381</v>
      </c>
      <c r="B41" s="33" t="s">
        <v>390</v>
      </c>
      <c r="C41" s="33" t="s">
        <v>394</v>
      </c>
      <c r="D41" s="33" t="s">
        <v>470</v>
      </c>
      <c r="E41" s="33" t="s">
        <v>471</v>
      </c>
      <c r="F41" s="26" t="str">
        <f>HYPERLINK("https://mapwv.gov/flood/map/?wkid=102100&amp;x=-9103723.714236509&amp;y=4727717.89565984&amp;l=13&amp;v=2","FT")</f>
        <v>FT</v>
      </c>
      <c r="G41" s="34" t="s">
        <v>32</v>
      </c>
      <c r="H41" s="34" t="s">
        <v>25</v>
      </c>
      <c r="I41" s="33" t="s">
        <v>521</v>
      </c>
      <c r="J41" s="34" t="s">
        <v>39</v>
      </c>
      <c r="K41" s="34" t="s">
        <v>530</v>
      </c>
      <c r="L41" s="34" t="s">
        <v>45</v>
      </c>
      <c r="M41" s="33" t="s">
        <v>67</v>
      </c>
      <c r="N41" s="3" t="s">
        <v>112</v>
      </c>
      <c r="O41" s="34" t="s">
        <v>114</v>
      </c>
      <c r="P41" s="33" t="s">
        <v>565</v>
      </c>
      <c r="Q41" s="33" t="s">
        <v>30</v>
      </c>
      <c r="R41" s="34" t="s">
        <v>119</v>
      </c>
      <c r="S41" s="35">
        <v>234450</v>
      </c>
      <c r="T41" s="2" t="s">
        <v>31</v>
      </c>
      <c r="U41" s="36">
        <v>0</v>
      </c>
      <c r="V41" s="36">
        <v>-1</v>
      </c>
      <c r="W41" s="37">
        <v>0</v>
      </c>
      <c r="X41" s="38">
        <v>0</v>
      </c>
    </row>
    <row r="42" spans="1:24" x14ac:dyDescent="0.25">
      <c r="A42" s="33" t="s">
        <v>382</v>
      </c>
      <c r="B42" s="33" t="s">
        <v>390</v>
      </c>
      <c r="C42" s="33" t="s">
        <v>472</v>
      </c>
      <c r="D42" s="33" t="s">
        <v>473</v>
      </c>
      <c r="E42" s="33" t="s">
        <v>474</v>
      </c>
      <c r="F42" s="26" t="str">
        <f>HYPERLINK("https://mapwv.gov/flood/map/?wkid=102100&amp;x=-9100272.201883541&amp;y=4690242.708624356&amp;l=13&amp;v=2","FT")</f>
        <v>FT</v>
      </c>
      <c r="G42" s="34" t="s">
        <v>38</v>
      </c>
      <c r="H42" s="34" t="s">
        <v>25</v>
      </c>
      <c r="I42" s="33" t="s">
        <v>522</v>
      </c>
      <c r="J42" s="34" t="s">
        <v>26</v>
      </c>
      <c r="K42" s="34" t="s">
        <v>93</v>
      </c>
      <c r="L42" s="34" t="s">
        <v>49</v>
      </c>
      <c r="M42" s="33" t="s">
        <v>41</v>
      </c>
      <c r="N42" s="3" t="s">
        <v>42</v>
      </c>
      <c r="O42" s="34" t="s">
        <v>115</v>
      </c>
      <c r="P42" s="33" t="s">
        <v>566</v>
      </c>
      <c r="Q42" s="33" t="s">
        <v>43</v>
      </c>
      <c r="R42" s="34" t="s">
        <v>120</v>
      </c>
      <c r="S42" s="35">
        <v>228100</v>
      </c>
      <c r="T42" s="2" t="s">
        <v>44</v>
      </c>
      <c r="U42" s="36">
        <v>0</v>
      </c>
      <c r="V42" s="36">
        <v>-4</v>
      </c>
      <c r="W42" s="37">
        <v>0</v>
      </c>
      <c r="X42" s="38">
        <v>0</v>
      </c>
    </row>
    <row r="43" spans="1:24" x14ac:dyDescent="0.25">
      <c r="A43" s="33" t="s">
        <v>383</v>
      </c>
      <c r="B43" s="33" t="s">
        <v>390</v>
      </c>
      <c r="C43" s="33" t="s">
        <v>428</v>
      </c>
      <c r="D43" s="33" t="s">
        <v>475</v>
      </c>
      <c r="E43" s="33" t="s">
        <v>476</v>
      </c>
      <c r="F43" s="26" t="str">
        <f>HYPERLINK("https://mapwv.gov/flood/map/?wkid=102100&amp;x=-9087482.511556432&amp;y=4713181.012337085&amp;l=13&amp;v=2","FT")</f>
        <v>FT</v>
      </c>
      <c r="G43" s="34" t="s">
        <v>38</v>
      </c>
      <c r="H43" s="34" t="s">
        <v>25</v>
      </c>
      <c r="I43" s="33" t="s">
        <v>523</v>
      </c>
      <c r="J43" s="34" t="s">
        <v>39</v>
      </c>
      <c r="K43" s="34" t="s">
        <v>105</v>
      </c>
      <c r="L43" s="34" t="s">
        <v>54</v>
      </c>
      <c r="M43" s="33" t="s">
        <v>67</v>
      </c>
      <c r="N43" s="3" t="s">
        <v>112</v>
      </c>
      <c r="O43" s="34" t="s">
        <v>114</v>
      </c>
      <c r="P43" s="33" t="s">
        <v>567</v>
      </c>
      <c r="Q43" s="33" t="s">
        <v>30</v>
      </c>
      <c r="R43" s="34" t="s">
        <v>119</v>
      </c>
      <c r="S43" s="35">
        <v>226500</v>
      </c>
      <c r="T43" s="2" t="s">
        <v>44</v>
      </c>
      <c r="U43" s="36">
        <v>1</v>
      </c>
      <c r="V43" s="36">
        <v>0</v>
      </c>
      <c r="W43" s="37">
        <v>0</v>
      </c>
      <c r="X43" s="38">
        <v>0</v>
      </c>
    </row>
    <row r="44" spans="1:24" x14ac:dyDescent="0.25">
      <c r="A44" s="33" t="s">
        <v>384</v>
      </c>
      <c r="B44" s="33" t="s">
        <v>390</v>
      </c>
      <c r="C44" s="33" t="s">
        <v>394</v>
      </c>
      <c r="D44" s="33" t="s">
        <v>477</v>
      </c>
      <c r="E44" s="33" t="s">
        <v>478</v>
      </c>
      <c r="F44" s="26" t="str">
        <f>HYPERLINK("https://mapwv.gov/flood/map/?wkid=102100&amp;x=-9105341.290076185&amp;y=4728275.649458984&amp;l=13&amp;v=2","FT")</f>
        <v>FT</v>
      </c>
      <c r="G44" s="34" t="s">
        <v>32</v>
      </c>
      <c r="H44" s="34" t="s">
        <v>25</v>
      </c>
      <c r="I44" s="33" t="s">
        <v>524</v>
      </c>
      <c r="J44" s="34" t="s">
        <v>26</v>
      </c>
      <c r="K44" s="34" t="s">
        <v>133</v>
      </c>
      <c r="L44" s="34" t="s">
        <v>47</v>
      </c>
      <c r="M44" s="33" t="s">
        <v>41</v>
      </c>
      <c r="N44" s="3" t="s">
        <v>42</v>
      </c>
      <c r="O44" s="34" t="s">
        <v>115</v>
      </c>
      <c r="P44" s="33" t="s">
        <v>568</v>
      </c>
      <c r="Q44" s="33" t="s">
        <v>53</v>
      </c>
      <c r="R44" s="34" t="s">
        <v>120</v>
      </c>
      <c r="S44" s="35">
        <v>226000</v>
      </c>
      <c r="T44" s="2" t="s">
        <v>44</v>
      </c>
      <c r="U44" s="36">
        <v>5.2687989999999996</v>
      </c>
      <c r="V44" s="36">
        <v>1.268798828125</v>
      </c>
      <c r="W44" s="37">
        <v>0.12537597656249999</v>
      </c>
      <c r="X44" s="38">
        <v>28334.970703124902</v>
      </c>
    </row>
    <row r="45" spans="1:24" x14ac:dyDescent="0.25">
      <c r="A45" s="33" t="s">
        <v>385</v>
      </c>
      <c r="B45" s="33" t="s">
        <v>390</v>
      </c>
      <c r="C45" s="33" t="s">
        <v>399</v>
      </c>
      <c r="D45" s="33" t="s">
        <v>479</v>
      </c>
      <c r="E45" s="33" t="s">
        <v>480</v>
      </c>
      <c r="F45" s="26" t="str">
        <f>HYPERLINK("https://mapwv.gov/flood/map/?wkid=102100&amp;x=-9108689.961810015&amp;y=4703109.201084439&amp;l=13&amp;v=2","FT")</f>
        <v>FT</v>
      </c>
      <c r="G45" s="34" t="s">
        <v>55</v>
      </c>
      <c r="H45" s="34" t="s">
        <v>25</v>
      </c>
      <c r="I45" s="33" t="s">
        <v>525</v>
      </c>
      <c r="J45" s="34" t="s">
        <v>39</v>
      </c>
      <c r="K45" s="34" t="s">
        <v>146</v>
      </c>
      <c r="L45" s="34" t="s">
        <v>58</v>
      </c>
      <c r="M45" s="33" t="s">
        <v>67</v>
      </c>
      <c r="N45" s="3" t="s">
        <v>112</v>
      </c>
      <c r="O45" s="34" t="s">
        <v>114</v>
      </c>
      <c r="P45" s="33" t="s">
        <v>569</v>
      </c>
      <c r="Q45" s="33" t="s">
        <v>30</v>
      </c>
      <c r="R45" s="34" t="s">
        <v>119</v>
      </c>
      <c r="S45" s="35">
        <v>221900</v>
      </c>
      <c r="T45" s="2" t="s">
        <v>44</v>
      </c>
      <c r="U45" s="36">
        <v>6.9178467000000001</v>
      </c>
      <c r="V45" s="36">
        <v>5.9178466796875</v>
      </c>
      <c r="W45" s="37">
        <v>0.129178466796875</v>
      </c>
      <c r="X45" s="38">
        <v>28664.701782226501</v>
      </c>
    </row>
    <row r="46" spans="1:24" x14ac:dyDescent="0.25">
      <c r="A46" s="33" t="s">
        <v>386</v>
      </c>
      <c r="B46" s="33" t="s">
        <v>390</v>
      </c>
      <c r="C46" s="33" t="s">
        <v>399</v>
      </c>
      <c r="D46" s="33" t="s">
        <v>481</v>
      </c>
      <c r="E46" s="33" t="s">
        <v>482</v>
      </c>
      <c r="F46" s="26" t="str">
        <f>HYPERLINK("https://mapwv.gov/flood/map/?wkid=102100&amp;x=-9104677.773256935&amp;y=4698676.434972478&amp;l=13&amp;v=2","FT")</f>
        <v>FT</v>
      </c>
      <c r="G46" s="34" t="s">
        <v>55</v>
      </c>
      <c r="H46" s="34" t="s">
        <v>25</v>
      </c>
      <c r="I46" s="33" t="s">
        <v>526</v>
      </c>
      <c r="J46" s="34" t="s">
        <v>39</v>
      </c>
      <c r="K46" s="34" t="s">
        <v>531</v>
      </c>
      <c r="L46" s="34" t="s">
        <v>38</v>
      </c>
      <c r="M46" s="33" t="s">
        <v>41</v>
      </c>
      <c r="N46" s="3" t="s">
        <v>42</v>
      </c>
      <c r="O46" s="34" t="s">
        <v>115</v>
      </c>
      <c r="P46" s="33" t="s">
        <v>570</v>
      </c>
      <c r="Q46" s="33" t="s">
        <v>43</v>
      </c>
      <c r="R46" s="34" t="s">
        <v>120</v>
      </c>
      <c r="S46" s="35">
        <v>216100</v>
      </c>
      <c r="T46" s="2" t="s">
        <v>44</v>
      </c>
      <c r="U46" s="36">
        <v>4.6212160000000004</v>
      </c>
      <c r="V46" s="36">
        <v>0.6212158203125</v>
      </c>
      <c r="W46" s="37">
        <v>0.20242431640625</v>
      </c>
      <c r="X46" s="38">
        <v>43743.894775390603</v>
      </c>
    </row>
    <row r="47" spans="1:24" x14ac:dyDescent="0.25">
      <c r="A47" s="33" t="s">
        <v>387</v>
      </c>
      <c r="B47" s="33" t="s">
        <v>423</v>
      </c>
      <c r="C47" s="33" t="s">
        <v>394</v>
      </c>
      <c r="D47" s="33" t="s">
        <v>483</v>
      </c>
      <c r="E47" s="33" t="s">
        <v>484</v>
      </c>
      <c r="F47" s="26" t="str">
        <f>HYPERLINK("https://mapwv.gov/flood/map/?wkid=102100&amp;x=-9101378.708048547&amp;y=4713549.478433925&amp;l=13&amp;v=2","FT")</f>
        <v>FT</v>
      </c>
      <c r="G47" s="34" t="s">
        <v>32</v>
      </c>
      <c r="H47" s="34" t="s">
        <v>25</v>
      </c>
      <c r="I47" s="33" t="s">
        <v>527</v>
      </c>
      <c r="J47" s="34" t="s">
        <v>39</v>
      </c>
      <c r="K47" s="34" t="s">
        <v>532</v>
      </c>
      <c r="L47" s="34" t="s">
        <v>27</v>
      </c>
      <c r="M47" s="33" t="s">
        <v>28</v>
      </c>
      <c r="N47" s="3" t="s">
        <v>111</v>
      </c>
      <c r="O47" s="34" t="s">
        <v>115</v>
      </c>
      <c r="P47" s="33" t="s">
        <v>571</v>
      </c>
      <c r="Q47" s="33" t="s">
        <v>30</v>
      </c>
      <c r="R47" s="34" t="s">
        <v>119</v>
      </c>
      <c r="S47" s="35">
        <v>204500</v>
      </c>
      <c r="T47" s="2" t="s">
        <v>44</v>
      </c>
      <c r="U47" s="36">
        <v>3.6300050000000001</v>
      </c>
      <c r="V47" s="36">
        <v>2.6300048828125</v>
      </c>
      <c r="W47" s="37">
        <v>0.111500244140625</v>
      </c>
      <c r="X47" s="38">
        <v>22801.799926757802</v>
      </c>
    </row>
    <row r="48" spans="1:24" x14ac:dyDescent="0.25">
      <c r="A48" s="33" t="s">
        <v>388</v>
      </c>
      <c r="B48" s="33" t="s">
        <v>423</v>
      </c>
      <c r="C48" s="33" t="s">
        <v>394</v>
      </c>
      <c r="D48" s="33" t="s">
        <v>485</v>
      </c>
      <c r="E48" s="33" t="s">
        <v>486</v>
      </c>
      <c r="F48" s="26" t="str">
        <f>HYPERLINK("https://mapwv.gov/flood/map/?wkid=102100&amp;x=-9103060.884369845&amp;y=4715478.6656717695&amp;l=13&amp;v=2","FT")</f>
        <v>FT</v>
      </c>
      <c r="G48" s="34" t="s">
        <v>32</v>
      </c>
      <c r="H48" s="34" t="s">
        <v>25</v>
      </c>
      <c r="I48" s="33" t="s">
        <v>528</v>
      </c>
      <c r="J48" s="34" t="s">
        <v>26</v>
      </c>
      <c r="K48" s="34" t="s">
        <v>93</v>
      </c>
      <c r="L48" s="34" t="s">
        <v>45</v>
      </c>
      <c r="M48" s="33" t="s">
        <v>41</v>
      </c>
      <c r="N48" s="3" t="s">
        <v>42</v>
      </c>
      <c r="O48" s="34" t="s">
        <v>114</v>
      </c>
      <c r="P48" s="33" t="s">
        <v>572</v>
      </c>
      <c r="Q48" s="33" t="s">
        <v>53</v>
      </c>
      <c r="R48" s="34" t="s">
        <v>120</v>
      </c>
      <c r="S48" s="35">
        <v>203400</v>
      </c>
      <c r="T48" s="2" t="s">
        <v>44</v>
      </c>
      <c r="U48" s="36">
        <v>0.5437012</v>
      </c>
      <c r="V48" s="36">
        <v>-3.456298828125</v>
      </c>
      <c r="W48" s="37">
        <v>0</v>
      </c>
      <c r="X48" s="38">
        <v>0</v>
      </c>
    </row>
    <row r="49" spans="1:24" x14ac:dyDescent="0.25">
      <c r="A49" s="33" t="s">
        <v>389</v>
      </c>
      <c r="B49" s="33" t="s">
        <v>423</v>
      </c>
      <c r="C49" s="33" t="s">
        <v>394</v>
      </c>
      <c r="D49" s="33" t="s">
        <v>487</v>
      </c>
      <c r="E49" s="33" t="s">
        <v>488</v>
      </c>
      <c r="F49" s="26" t="str">
        <f>HYPERLINK("https://mapwv.gov/flood/map/?wkid=102100&amp;x=-9103115.829778066&amp;y=4715568.172221418&amp;l=13&amp;v=2","FT")</f>
        <v>FT</v>
      </c>
      <c r="G49" s="34" t="s">
        <v>32</v>
      </c>
      <c r="H49" s="34" t="s">
        <v>25</v>
      </c>
      <c r="I49" s="33" t="s">
        <v>529</v>
      </c>
      <c r="J49" s="34" t="s">
        <v>26</v>
      </c>
      <c r="K49" s="34" t="s">
        <v>99</v>
      </c>
      <c r="L49" s="34" t="s">
        <v>45</v>
      </c>
      <c r="M49" s="33" t="s">
        <v>41</v>
      </c>
      <c r="N49" s="3" t="s">
        <v>42</v>
      </c>
      <c r="O49" s="34" t="s">
        <v>115</v>
      </c>
      <c r="P49" s="33" t="s">
        <v>573</v>
      </c>
      <c r="Q49" s="33" t="s">
        <v>53</v>
      </c>
      <c r="R49" s="34" t="s">
        <v>120</v>
      </c>
      <c r="S49" s="35">
        <v>202300</v>
      </c>
      <c r="T49" s="2" t="s">
        <v>44</v>
      </c>
      <c r="U49" s="36">
        <v>0.65075684</v>
      </c>
      <c r="V49" s="36">
        <v>-3.3492431640625</v>
      </c>
      <c r="W49" s="37">
        <v>0</v>
      </c>
      <c r="X49" s="38">
        <v>0</v>
      </c>
    </row>
    <row r="51" spans="1:24" x14ac:dyDescent="0.25">
      <c r="A51" s="4" t="s">
        <v>60</v>
      </c>
      <c r="B51" s="4" t="s">
        <v>1</v>
      </c>
      <c r="C51" s="4" t="s">
        <v>61</v>
      </c>
      <c r="D51" s="4" t="s">
        <v>62</v>
      </c>
      <c r="E51" s="4" t="s">
        <v>63</v>
      </c>
    </row>
    <row r="52" spans="1:24" x14ac:dyDescent="0.25">
      <c r="A52" s="4">
        <v>540063</v>
      </c>
      <c r="B52" s="1" t="s">
        <v>574</v>
      </c>
      <c r="C52" s="4" t="s">
        <v>346</v>
      </c>
      <c r="D52" s="1" t="s">
        <v>65</v>
      </c>
      <c r="E52" s="4">
        <v>5</v>
      </c>
      <c r="S52" s="39" t="s">
        <v>166</v>
      </c>
    </row>
    <row r="53" spans="1:24" x14ac:dyDescent="0.25">
      <c r="A53" s="33" t="s">
        <v>347</v>
      </c>
      <c r="B53" s="33" t="s">
        <v>390</v>
      </c>
      <c r="C53" s="33" t="s">
        <v>391</v>
      </c>
      <c r="D53" s="33" t="s">
        <v>392</v>
      </c>
      <c r="E53" s="33" t="s">
        <v>393</v>
      </c>
      <c r="F53" s="26" t="s">
        <v>24</v>
      </c>
      <c r="G53" s="34" t="s">
        <v>38</v>
      </c>
      <c r="H53" s="34" t="s">
        <v>25</v>
      </c>
      <c r="I53" s="33" t="s">
        <v>489</v>
      </c>
      <c r="J53" s="34" t="s">
        <v>39</v>
      </c>
      <c r="K53" s="34" t="s">
        <v>144</v>
      </c>
      <c r="L53" s="34" t="s">
        <v>45</v>
      </c>
      <c r="M53" s="33" t="s">
        <v>69</v>
      </c>
      <c r="N53" s="3" t="s">
        <v>110</v>
      </c>
      <c r="O53" s="34" t="s">
        <v>114</v>
      </c>
      <c r="P53" s="33" t="s">
        <v>533</v>
      </c>
      <c r="Q53" s="33" t="s">
        <v>30</v>
      </c>
      <c r="R53" s="34" t="s">
        <v>119</v>
      </c>
      <c r="S53" s="35">
        <v>3650000</v>
      </c>
      <c r="T53" s="2" t="s">
        <v>70</v>
      </c>
      <c r="U53" s="36">
        <v>0</v>
      </c>
      <c r="V53" s="36">
        <v>-1</v>
      </c>
      <c r="W53" s="37">
        <v>0</v>
      </c>
      <c r="X53" s="38">
        <v>0</v>
      </c>
    </row>
    <row r="54" spans="1:24" x14ac:dyDescent="0.25">
      <c r="A54" s="33" t="s">
        <v>348</v>
      </c>
      <c r="B54" s="33" t="s">
        <v>390</v>
      </c>
      <c r="C54" s="33" t="s">
        <v>394</v>
      </c>
      <c r="D54" s="33" t="s">
        <v>395</v>
      </c>
      <c r="E54" s="33" t="s">
        <v>396</v>
      </c>
      <c r="F54" s="26" t="s">
        <v>24</v>
      </c>
      <c r="G54" s="34" t="s">
        <v>32</v>
      </c>
      <c r="H54" s="34" t="s">
        <v>25</v>
      </c>
      <c r="I54" s="33" t="s">
        <v>490</v>
      </c>
      <c r="J54" s="34" t="s">
        <v>26</v>
      </c>
      <c r="K54" s="34" t="s">
        <v>88</v>
      </c>
      <c r="L54" s="34" t="s">
        <v>50</v>
      </c>
      <c r="M54" s="33" t="s">
        <v>34</v>
      </c>
      <c r="N54" s="3" t="s">
        <v>113</v>
      </c>
      <c r="O54" s="34" t="s">
        <v>114</v>
      </c>
      <c r="P54" s="33" t="s">
        <v>534</v>
      </c>
      <c r="Q54" s="33" t="s">
        <v>30</v>
      </c>
      <c r="R54" s="34" t="s">
        <v>119</v>
      </c>
      <c r="S54" s="35">
        <v>3082400</v>
      </c>
      <c r="T54" s="2" t="s">
        <v>44</v>
      </c>
      <c r="U54" s="36">
        <v>6.8599854000000002</v>
      </c>
      <c r="V54" s="36">
        <v>5.8599853515625</v>
      </c>
      <c r="W54" s="37">
        <v>0.29439941406249903</v>
      </c>
      <c r="X54" s="38">
        <v>907456.75390624895</v>
      </c>
    </row>
    <row r="55" spans="1:24" x14ac:dyDescent="0.25">
      <c r="A55" s="33" t="s">
        <v>349</v>
      </c>
      <c r="B55" s="33" t="s">
        <v>390</v>
      </c>
      <c r="C55" s="33" t="s">
        <v>391</v>
      </c>
      <c r="D55" s="33" t="s">
        <v>392</v>
      </c>
      <c r="E55" s="33" t="s">
        <v>397</v>
      </c>
      <c r="F55" s="26" t="s">
        <v>24</v>
      </c>
      <c r="G55" s="34" t="s">
        <v>38</v>
      </c>
      <c r="H55" s="34" t="s">
        <v>25</v>
      </c>
      <c r="I55" s="33" t="s">
        <v>489</v>
      </c>
      <c r="J55" s="34" t="s">
        <v>39</v>
      </c>
      <c r="K55" s="34" t="s">
        <v>144</v>
      </c>
      <c r="L55" s="34" t="s">
        <v>45</v>
      </c>
      <c r="M55" s="33" t="s">
        <v>69</v>
      </c>
      <c r="N55" s="3" t="s">
        <v>110</v>
      </c>
      <c r="O55" s="34" t="s">
        <v>114</v>
      </c>
      <c r="P55" s="33" t="s">
        <v>535</v>
      </c>
      <c r="Q55" s="33" t="s">
        <v>30</v>
      </c>
      <c r="R55" s="34" t="s">
        <v>119</v>
      </c>
      <c r="S55" s="35">
        <v>2400000</v>
      </c>
      <c r="T55" s="2" t="s">
        <v>70</v>
      </c>
      <c r="U55" s="36">
        <v>0</v>
      </c>
      <c r="V55" s="36">
        <v>-1</v>
      </c>
      <c r="W55" s="37">
        <v>0</v>
      </c>
      <c r="X55" s="38">
        <v>0</v>
      </c>
    </row>
    <row r="56" spans="1:24" x14ac:dyDescent="0.25">
      <c r="A56" s="33" t="s">
        <v>351</v>
      </c>
      <c r="B56" s="33" t="s">
        <v>390</v>
      </c>
      <c r="C56" s="33" t="s">
        <v>394</v>
      </c>
      <c r="D56" s="33" t="s">
        <v>402</v>
      </c>
      <c r="E56" s="33" t="s">
        <v>403</v>
      </c>
      <c r="F56" s="26" t="s">
        <v>24</v>
      </c>
      <c r="G56" s="34" t="s">
        <v>32</v>
      </c>
      <c r="H56" s="34" t="s">
        <v>25</v>
      </c>
      <c r="I56" s="33" t="s">
        <v>492</v>
      </c>
      <c r="J56" s="34" t="s">
        <v>26</v>
      </c>
      <c r="K56" s="34" t="s">
        <v>133</v>
      </c>
      <c r="L56" s="34" t="s">
        <v>54</v>
      </c>
      <c r="M56" s="33" t="s">
        <v>72</v>
      </c>
      <c r="N56" s="3" t="s">
        <v>35</v>
      </c>
      <c r="O56" s="34" t="s">
        <v>114</v>
      </c>
      <c r="P56" s="33" t="s">
        <v>537</v>
      </c>
      <c r="Q56" s="33" t="s">
        <v>30</v>
      </c>
      <c r="R56" s="34" t="s">
        <v>119</v>
      </c>
      <c r="S56" s="35">
        <v>1081000</v>
      </c>
      <c r="T56" s="2" t="s">
        <v>44</v>
      </c>
      <c r="U56" s="36">
        <v>6.6481323000000003</v>
      </c>
      <c r="V56" s="36">
        <v>5.64813232421875</v>
      </c>
      <c r="W56" s="37">
        <v>0.17944396972656201</v>
      </c>
      <c r="X56" s="38">
        <v>193978.931274414</v>
      </c>
    </row>
    <row r="57" spans="1:24" x14ac:dyDescent="0.25">
      <c r="A57" s="33" t="s">
        <v>352</v>
      </c>
      <c r="B57" s="33" t="s">
        <v>390</v>
      </c>
      <c r="C57" s="33" t="s">
        <v>404</v>
      </c>
      <c r="D57" s="33" t="s">
        <v>405</v>
      </c>
      <c r="E57" s="33" t="s">
        <v>406</v>
      </c>
      <c r="F57" s="26" t="s">
        <v>24</v>
      </c>
      <c r="G57" s="34" t="s">
        <v>38</v>
      </c>
      <c r="H57" s="34" t="s">
        <v>25</v>
      </c>
      <c r="I57" s="33" t="s">
        <v>493</v>
      </c>
      <c r="J57" s="34" t="s">
        <v>26</v>
      </c>
      <c r="K57" s="34" t="s">
        <v>139</v>
      </c>
      <c r="L57" s="34" t="s">
        <v>33</v>
      </c>
      <c r="M57" s="33" t="s">
        <v>72</v>
      </c>
      <c r="N57" s="3" t="s">
        <v>35</v>
      </c>
      <c r="O57" s="34" t="s">
        <v>114</v>
      </c>
      <c r="P57" s="33" t="s">
        <v>538</v>
      </c>
      <c r="Q57" s="33" t="s">
        <v>30</v>
      </c>
      <c r="R57" s="34" t="s">
        <v>119</v>
      </c>
      <c r="S57" s="35">
        <v>1024200</v>
      </c>
      <c r="T57" s="2" t="s">
        <v>44</v>
      </c>
      <c r="U57" s="36">
        <v>28</v>
      </c>
      <c r="V57" s="36">
        <v>27</v>
      </c>
      <c r="W57" s="37">
        <v>0.73</v>
      </c>
      <c r="X57" s="38">
        <v>747666</v>
      </c>
    </row>
    <row r="58" spans="1:24" x14ac:dyDescent="0.25">
      <c r="A58" s="33" t="s">
        <v>353</v>
      </c>
      <c r="B58" s="33" t="s">
        <v>390</v>
      </c>
      <c r="C58" s="33" t="s">
        <v>407</v>
      </c>
      <c r="D58" s="33" t="s">
        <v>408</v>
      </c>
      <c r="E58" s="33" t="s">
        <v>409</v>
      </c>
      <c r="F58" s="26" t="s">
        <v>24</v>
      </c>
      <c r="G58" s="34" t="s">
        <v>38</v>
      </c>
      <c r="H58" s="34" t="s">
        <v>25</v>
      </c>
      <c r="I58" s="33" t="s">
        <v>494</v>
      </c>
      <c r="J58" s="34" t="s">
        <v>26</v>
      </c>
      <c r="K58" s="34" t="s">
        <v>83</v>
      </c>
      <c r="L58" s="34" t="s">
        <v>38</v>
      </c>
      <c r="M58" s="33" t="s">
        <v>41</v>
      </c>
      <c r="N58" s="3" t="s">
        <v>42</v>
      </c>
      <c r="O58" s="34" t="s">
        <v>114</v>
      </c>
      <c r="P58" s="33" t="s">
        <v>539</v>
      </c>
      <c r="Q58" s="33" t="s">
        <v>43</v>
      </c>
      <c r="R58" s="34" t="s">
        <v>120</v>
      </c>
      <c r="S58" s="35">
        <v>800400</v>
      </c>
      <c r="T58" s="2" t="s">
        <v>44</v>
      </c>
      <c r="U58" s="36">
        <v>0</v>
      </c>
      <c r="V58" s="36">
        <v>-4</v>
      </c>
      <c r="W58" s="37">
        <v>0</v>
      </c>
      <c r="X58" s="38">
        <v>0</v>
      </c>
    </row>
    <row r="59" spans="1:24" x14ac:dyDescent="0.25">
      <c r="A59" s="33" t="s">
        <v>354</v>
      </c>
      <c r="B59" s="33" t="s">
        <v>390</v>
      </c>
      <c r="C59" s="33" t="s">
        <v>394</v>
      </c>
      <c r="D59" s="33" t="s">
        <v>410</v>
      </c>
      <c r="E59" s="33" t="s">
        <v>411</v>
      </c>
      <c r="F59" s="26" t="s">
        <v>24</v>
      </c>
      <c r="G59" s="34" t="s">
        <v>32</v>
      </c>
      <c r="H59" s="34" t="s">
        <v>25</v>
      </c>
      <c r="I59" s="33" t="s">
        <v>495</v>
      </c>
      <c r="J59" s="34" t="s">
        <v>26</v>
      </c>
      <c r="K59" s="34" t="s">
        <v>99</v>
      </c>
      <c r="L59" s="34" t="s">
        <v>82</v>
      </c>
      <c r="M59" s="33" t="s">
        <v>41</v>
      </c>
      <c r="N59" s="3" t="s">
        <v>42</v>
      </c>
      <c r="O59" s="34" t="s">
        <v>115</v>
      </c>
      <c r="P59" s="33" t="s">
        <v>540</v>
      </c>
      <c r="Q59" s="33" t="s">
        <v>53</v>
      </c>
      <c r="R59" s="34" t="s">
        <v>120</v>
      </c>
      <c r="S59" s="35">
        <v>741200</v>
      </c>
      <c r="T59" s="2" t="s">
        <v>44</v>
      </c>
      <c r="U59" s="36">
        <v>1</v>
      </c>
      <c r="V59" s="36">
        <v>-3</v>
      </c>
      <c r="W59" s="37">
        <v>0</v>
      </c>
      <c r="X59" s="38">
        <v>0</v>
      </c>
    </row>
    <row r="60" spans="1:24" x14ac:dyDescent="0.25">
      <c r="A60" s="33" t="s">
        <v>355</v>
      </c>
      <c r="B60" s="33" t="s">
        <v>390</v>
      </c>
      <c r="C60" s="33" t="s">
        <v>394</v>
      </c>
      <c r="D60" s="33" t="s">
        <v>412</v>
      </c>
      <c r="E60" s="33" t="s">
        <v>413</v>
      </c>
      <c r="F60" s="26" t="s">
        <v>24</v>
      </c>
      <c r="G60" s="34" t="s">
        <v>32</v>
      </c>
      <c r="H60" s="34" t="s">
        <v>25</v>
      </c>
      <c r="I60" s="33" t="s">
        <v>496</v>
      </c>
      <c r="J60" s="34" t="s">
        <v>26</v>
      </c>
      <c r="K60" s="34" t="s">
        <v>106</v>
      </c>
      <c r="L60" s="34" t="s">
        <v>27</v>
      </c>
      <c r="M60" s="33" t="s">
        <v>72</v>
      </c>
      <c r="N60" s="3" t="s">
        <v>35</v>
      </c>
      <c r="O60" s="34" t="s">
        <v>115</v>
      </c>
      <c r="P60" s="33" t="s">
        <v>541</v>
      </c>
      <c r="Q60" s="33" t="s">
        <v>30</v>
      </c>
      <c r="R60" s="34" t="s">
        <v>119</v>
      </c>
      <c r="S60" s="35">
        <v>675900</v>
      </c>
      <c r="T60" s="2" t="s">
        <v>44</v>
      </c>
      <c r="U60" s="36">
        <v>4.3800049999999997</v>
      </c>
      <c r="V60" s="36">
        <v>3.3800048828125</v>
      </c>
      <c r="W60" s="37">
        <v>0.11760009765625</v>
      </c>
      <c r="X60" s="38">
        <v>79485.906005859302</v>
      </c>
    </row>
    <row r="61" spans="1:24" x14ac:dyDescent="0.25">
      <c r="A61" s="33" t="s">
        <v>356</v>
      </c>
      <c r="B61" s="33" t="s">
        <v>390</v>
      </c>
      <c r="C61" s="33" t="s">
        <v>414</v>
      </c>
      <c r="D61" s="33" t="s">
        <v>415</v>
      </c>
      <c r="E61" s="33" t="s">
        <v>416</v>
      </c>
      <c r="F61" s="26" t="s">
        <v>24</v>
      </c>
      <c r="G61" s="34" t="s">
        <v>38</v>
      </c>
      <c r="H61" s="34" t="s">
        <v>25</v>
      </c>
      <c r="I61" s="33"/>
      <c r="J61" s="34" t="s">
        <v>39</v>
      </c>
      <c r="K61" s="34" t="s">
        <v>131</v>
      </c>
      <c r="L61" s="34"/>
      <c r="M61" s="33" t="s">
        <v>28</v>
      </c>
      <c r="N61" s="3" t="s">
        <v>111</v>
      </c>
      <c r="O61" s="34" t="s">
        <v>114</v>
      </c>
      <c r="P61" s="33" t="s">
        <v>542</v>
      </c>
      <c r="Q61" s="33" t="s">
        <v>30</v>
      </c>
      <c r="R61" s="34" t="s">
        <v>119</v>
      </c>
      <c r="S61" s="35">
        <v>643200</v>
      </c>
      <c r="T61" s="2" t="s">
        <v>70</v>
      </c>
      <c r="U61" s="36">
        <v>0</v>
      </c>
      <c r="V61" s="36">
        <v>-1</v>
      </c>
      <c r="W61" s="37">
        <v>0</v>
      </c>
      <c r="X61" s="38">
        <v>0</v>
      </c>
    </row>
    <row r="62" spans="1:24" x14ac:dyDescent="0.25">
      <c r="A62" s="33" t="s">
        <v>358</v>
      </c>
      <c r="B62" s="33" t="s">
        <v>390</v>
      </c>
      <c r="C62" s="33" t="s">
        <v>394</v>
      </c>
      <c r="D62" s="33" t="s">
        <v>419</v>
      </c>
      <c r="E62" s="33" t="s">
        <v>420</v>
      </c>
      <c r="F62" s="26" t="s">
        <v>24</v>
      </c>
      <c r="G62" s="34" t="s">
        <v>32</v>
      </c>
      <c r="H62" s="34" t="s">
        <v>25</v>
      </c>
      <c r="I62" s="33" t="s">
        <v>498</v>
      </c>
      <c r="J62" s="34" t="s">
        <v>26</v>
      </c>
      <c r="K62" s="34" t="s">
        <v>93</v>
      </c>
      <c r="L62" s="34" t="s">
        <v>40</v>
      </c>
      <c r="M62" s="33" t="s">
        <v>41</v>
      </c>
      <c r="N62" s="3" t="s">
        <v>42</v>
      </c>
      <c r="O62" s="34" t="s">
        <v>115</v>
      </c>
      <c r="P62" s="33" t="s">
        <v>544</v>
      </c>
      <c r="Q62" s="33" t="s">
        <v>53</v>
      </c>
      <c r="R62" s="34" t="s">
        <v>120</v>
      </c>
      <c r="S62" s="35">
        <v>537200</v>
      </c>
      <c r="T62" s="2" t="s">
        <v>44</v>
      </c>
      <c r="U62" s="36">
        <v>6.1238403000000003</v>
      </c>
      <c r="V62" s="36">
        <v>2.12384033203125</v>
      </c>
      <c r="W62" s="37">
        <v>0.14495361328125</v>
      </c>
      <c r="X62" s="38">
        <v>77869.0810546875</v>
      </c>
    </row>
    <row r="63" spans="1:24" x14ac:dyDescent="0.25">
      <c r="A63" s="33" t="s">
        <v>359</v>
      </c>
      <c r="B63" s="33" t="s">
        <v>390</v>
      </c>
      <c r="C63" s="33" t="s">
        <v>394</v>
      </c>
      <c r="D63" s="33" t="s">
        <v>421</v>
      </c>
      <c r="E63" s="33" t="s">
        <v>422</v>
      </c>
      <c r="F63" s="26" t="s">
        <v>24</v>
      </c>
      <c r="G63" s="34" t="s">
        <v>32</v>
      </c>
      <c r="H63" s="34" t="s">
        <v>25</v>
      </c>
      <c r="I63" s="33" t="s">
        <v>499</v>
      </c>
      <c r="J63" s="34" t="s">
        <v>26</v>
      </c>
      <c r="K63" s="34" t="s">
        <v>126</v>
      </c>
      <c r="L63" s="34" t="s">
        <v>54</v>
      </c>
      <c r="M63" s="33" t="s">
        <v>72</v>
      </c>
      <c r="N63" s="3" t="s">
        <v>35</v>
      </c>
      <c r="O63" s="34" t="s">
        <v>114</v>
      </c>
      <c r="P63" s="33" t="s">
        <v>545</v>
      </c>
      <c r="Q63" s="33" t="s">
        <v>30</v>
      </c>
      <c r="R63" s="34" t="s">
        <v>119</v>
      </c>
      <c r="S63" s="35">
        <v>517600</v>
      </c>
      <c r="T63" s="2" t="s">
        <v>44</v>
      </c>
      <c r="U63" s="36">
        <v>10.060608</v>
      </c>
      <c r="V63" s="36">
        <v>9.06060791015625</v>
      </c>
      <c r="W63" s="37">
        <v>0.29181823730468698</v>
      </c>
      <c r="X63" s="38">
        <v>151045.11962890599</v>
      </c>
    </row>
    <row r="64" spans="1:24" x14ac:dyDescent="0.25">
      <c r="A64" s="33" t="s">
        <v>362</v>
      </c>
      <c r="B64" s="33" t="s">
        <v>390</v>
      </c>
      <c r="C64" s="33" t="s">
        <v>428</v>
      </c>
      <c r="D64" s="33" t="s">
        <v>429</v>
      </c>
      <c r="E64" s="33" t="s">
        <v>430</v>
      </c>
      <c r="F64" s="26" t="s">
        <v>24</v>
      </c>
      <c r="G64" s="34" t="s">
        <v>38</v>
      </c>
      <c r="H64" s="34" t="s">
        <v>25</v>
      </c>
      <c r="I64" s="33" t="s">
        <v>502</v>
      </c>
      <c r="J64" s="34" t="s">
        <v>26</v>
      </c>
      <c r="K64" s="34" t="s">
        <v>84</v>
      </c>
      <c r="L64" s="34" t="s">
        <v>40</v>
      </c>
      <c r="M64" s="33" t="s">
        <v>41</v>
      </c>
      <c r="N64" s="3" t="s">
        <v>42</v>
      </c>
      <c r="O64" s="34" t="s">
        <v>115</v>
      </c>
      <c r="P64" s="33" t="s">
        <v>172</v>
      </c>
      <c r="Q64" s="33" t="s">
        <v>53</v>
      </c>
      <c r="R64" s="34" t="s">
        <v>120</v>
      </c>
      <c r="S64" s="35">
        <v>484700</v>
      </c>
      <c r="T64" s="2" t="s">
        <v>44</v>
      </c>
      <c r="U64" s="36">
        <v>0</v>
      </c>
      <c r="V64" s="36">
        <v>-4</v>
      </c>
      <c r="W64" s="37">
        <v>0</v>
      </c>
      <c r="X64" s="38">
        <v>0</v>
      </c>
    </row>
    <row r="65" spans="1:24" x14ac:dyDescent="0.25">
      <c r="A65" s="33" t="s">
        <v>363</v>
      </c>
      <c r="B65" s="33" t="s">
        <v>390</v>
      </c>
      <c r="C65" s="33" t="s">
        <v>431</v>
      </c>
      <c r="D65" s="33" t="s">
        <v>432</v>
      </c>
      <c r="E65" s="33" t="s">
        <v>433</v>
      </c>
      <c r="F65" s="26" t="s">
        <v>24</v>
      </c>
      <c r="G65" s="34" t="s">
        <v>32</v>
      </c>
      <c r="H65" s="34" t="s">
        <v>25</v>
      </c>
      <c r="I65" s="33" t="s">
        <v>503</v>
      </c>
      <c r="J65" s="34" t="s">
        <v>26</v>
      </c>
      <c r="K65" s="34" t="s">
        <v>125</v>
      </c>
      <c r="L65" s="34" t="s">
        <v>51</v>
      </c>
      <c r="M65" s="33" t="s">
        <v>48</v>
      </c>
      <c r="N65" s="3" t="s">
        <v>35</v>
      </c>
      <c r="O65" s="34" t="s">
        <v>114</v>
      </c>
      <c r="P65" s="33" t="s">
        <v>548</v>
      </c>
      <c r="Q65" s="33" t="s">
        <v>30</v>
      </c>
      <c r="R65" s="34" t="s">
        <v>119</v>
      </c>
      <c r="S65" s="35">
        <v>445700</v>
      </c>
      <c r="T65" s="2" t="s">
        <v>44</v>
      </c>
      <c r="U65" s="36">
        <v>0.91992189999999996</v>
      </c>
      <c r="V65" s="36">
        <v>-8.0078125E-2</v>
      </c>
      <c r="W65" s="37">
        <v>9.1992187499999999E-3</v>
      </c>
      <c r="X65" s="38">
        <v>4100.091796875</v>
      </c>
    </row>
    <row r="66" spans="1:24" x14ac:dyDescent="0.25">
      <c r="A66" s="33" t="s">
        <v>364</v>
      </c>
      <c r="B66" s="33" t="s">
        <v>390</v>
      </c>
      <c r="C66" s="33" t="s">
        <v>394</v>
      </c>
      <c r="D66" s="33" t="s">
        <v>434</v>
      </c>
      <c r="E66" s="33" t="s">
        <v>435</v>
      </c>
      <c r="F66" s="26" t="s">
        <v>24</v>
      </c>
      <c r="G66" s="34" t="s">
        <v>32</v>
      </c>
      <c r="H66" s="34" t="s">
        <v>25</v>
      </c>
      <c r="I66" s="33" t="s">
        <v>504</v>
      </c>
      <c r="J66" s="34" t="s">
        <v>26</v>
      </c>
      <c r="K66" s="34" t="s">
        <v>165</v>
      </c>
      <c r="L66" s="34" t="s">
        <v>45</v>
      </c>
      <c r="M66" s="33" t="s">
        <v>67</v>
      </c>
      <c r="N66" s="3" t="s">
        <v>112</v>
      </c>
      <c r="O66" s="34" t="s">
        <v>114</v>
      </c>
      <c r="P66" s="33" t="s">
        <v>549</v>
      </c>
      <c r="Q66" s="33" t="s">
        <v>30</v>
      </c>
      <c r="R66" s="34" t="s">
        <v>119</v>
      </c>
      <c r="S66" s="35">
        <v>442900</v>
      </c>
      <c r="T66" s="2" t="s">
        <v>44</v>
      </c>
      <c r="U66" s="36">
        <v>1.081604</v>
      </c>
      <c r="V66" s="36">
        <v>8.160400390625E-2</v>
      </c>
      <c r="W66" s="37">
        <v>8.1604003906249906E-3</v>
      </c>
      <c r="X66" s="38">
        <v>3614.2413330078102</v>
      </c>
    </row>
    <row r="67" spans="1:24" x14ac:dyDescent="0.25">
      <c r="A67" s="33" t="s">
        <v>365</v>
      </c>
      <c r="B67" s="33" t="s">
        <v>390</v>
      </c>
      <c r="C67" s="33" t="s">
        <v>394</v>
      </c>
      <c r="D67" s="33" t="s">
        <v>436</v>
      </c>
      <c r="E67" s="33" t="s">
        <v>437</v>
      </c>
      <c r="F67" s="26" t="s">
        <v>24</v>
      </c>
      <c r="G67" s="34" t="s">
        <v>32</v>
      </c>
      <c r="H67" s="34" t="s">
        <v>25</v>
      </c>
      <c r="I67" s="33" t="s">
        <v>505</v>
      </c>
      <c r="J67" s="34" t="s">
        <v>26</v>
      </c>
      <c r="K67" s="34" t="s">
        <v>139</v>
      </c>
      <c r="L67" s="34" t="s">
        <v>54</v>
      </c>
      <c r="M67" s="33" t="s">
        <v>72</v>
      </c>
      <c r="N67" s="3" t="s">
        <v>35</v>
      </c>
      <c r="O67" s="34" t="s">
        <v>114</v>
      </c>
      <c r="P67" s="33" t="s">
        <v>550</v>
      </c>
      <c r="Q67" s="33" t="s">
        <v>30</v>
      </c>
      <c r="R67" s="34" t="s">
        <v>119</v>
      </c>
      <c r="S67" s="35">
        <v>400500</v>
      </c>
      <c r="T67" s="2" t="s">
        <v>44</v>
      </c>
      <c r="U67" s="36">
        <v>2.6600342000000001</v>
      </c>
      <c r="V67" s="36">
        <v>1.6600341796875</v>
      </c>
      <c r="W67" s="37">
        <v>6.9801025390624896E-2</v>
      </c>
      <c r="X67" s="38">
        <v>27955.310668945302</v>
      </c>
    </row>
    <row r="68" spans="1:24" x14ac:dyDescent="0.25">
      <c r="A68" s="33" t="s">
        <v>366</v>
      </c>
      <c r="B68" s="33" t="s">
        <v>390</v>
      </c>
      <c r="C68" s="33" t="s">
        <v>438</v>
      </c>
      <c r="D68" s="33" t="s">
        <v>439</v>
      </c>
      <c r="E68" s="33" t="s">
        <v>440</v>
      </c>
      <c r="F68" s="26" t="s">
        <v>24</v>
      </c>
      <c r="G68" s="34" t="s">
        <v>38</v>
      </c>
      <c r="H68" s="34" t="s">
        <v>25</v>
      </c>
      <c r="I68" s="33" t="s">
        <v>506</v>
      </c>
      <c r="J68" s="34" t="s">
        <v>26</v>
      </c>
      <c r="K68" s="34" t="s">
        <v>128</v>
      </c>
      <c r="L68" s="34" t="s">
        <v>37</v>
      </c>
      <c r="M68" s="33" t="s">
        <v>67</v>
      </c>
      <c r="N68" s="3" t="s">
        <v>112</v>
      </c>
      <c r="O68" s="34" t="s">
        <v>115</v>
      </c>
      <c r="P68" s="33" t="s">
        <v>551</v>
      </c>
      <c r="Q68" s="33" t="s">
        <v>30</v>
      </c>
      <c r="R68" s="34" t="s">
        <v>119</v>
      </c>
      <c r="S68" s="35">
        <v>393200</v>
      </c>
      <c r="T68" s="2" t="s">
        <v>31</v>
      </c>
      <c r="U68" s="36">
        <v>0</v>
      </c>
      <c r="V68" s="36">
        <v>-1</v>
      </c>
      <c r="W68" s="37">
        <v>0</v>
      </c>
      <c r="X68" s="38">
        <v>0</v>
      </c>
    </row>
    <row r="69" spans="1:24" x14ac:dyDescent="0.25">
      <c r="A69" s="33" t="s">
        <v>367</v>
      </c>
      <c r="B69" s="33" t="s">
        <v>390</v>
      </c>
      <c r="C69" s="33" t="s">
        <v>431</v>
      </c>
      <c r="D69" s="33" t="s">
        <v>441</v>
      </c>
      <c r="E69" s="33" t="s">
        <v>442</v>
      </c>
      <c r="F69" s="26" t="s">
        <v>24</v>
      </c>
      <c r="G69" s="34" t="s">
        <v>38</v>
      </c>
      <c r="H69" s="34" t="s">
        <v>25</v>
      </c>
      <c r="I69" s="33" t="s">
        <v>507</v>
      </c>
      <c r="J69" s="34" t="s">
        <v>39</v>
      </c>
      <c r="K69" s="34" t="s">
        <v>98</v>
      </c>
      <c r="L69" s="34" t="s">
        <v>37</v>
      </c>
      <c r="M69" s="33" t="s">
        <v>67</v>
      </c>
      <c r="N69" s="3" t="s">
        <v>112</v>
      </c>
      <c r="O69" s="34" t="s">
        <v>115</v>
      </c>
      <c r="P69" s="33" t="s">
        <v>170</v>
      </c>
      <c r="Q69" s="33" t="s">
        <v>30</v>
      </c>
      <c r="R69" s="34" t="s">
        <v>119</v>
      </c>
      <c r="S69" s="35">
        <v>354300</v>
      </c>
      <c r="T69" s="2" t="s">
        <v>44</v>
      </c>
      <c r="U69" s="36">
        <v>0</v>
      </c>
      <c r="V69" s="36">
        <v>-1</v>
      </c>
      <c r="W69" s="37">
        <v>0</v>
      </c>
      <c r="X69" s="38">
        <v>0</v>
      </c>
    </row>
    <row r="70" spans="1:24" x14ac:dyDescent="0.25">
      <c r="A70" s="33" t="s">
        <v>371</v>
      </c>
      <c r="B70" s="33" t="s">
        <v>390</v>
      </c>
      <c r="C70" s="33" t="s">
        <v>449</v>
      </c>
      <c r="D70" s="33" t="s">
        <v>450</v>
      </c>
      <c r="E70" s="33" t="s">
        <v>451</v>
      </c>
      <c r="F70" s="26" t="s">
        <v>24</v>
      </c>
      <c r="G70" s="34" t="s">
        <v>32</v>
      </c>
      <c r="H70" s="34" t="s">
        <v>25</v>
      </c>
      <c r="I70" s="33" t="s">
        <v>511</v>
      </c>
      <c r="J70" s="34" t="s">
        <v>26</v>
      </c>
      <c r="K70" s="34" t="s">
        <v>84</v>
      </c>
      <c r="L70" s="34" t="s">
        <v>51</v>
      </c>
      <c r="M70" s="33" t="s">
        <v>41</v>
      </c>
      <c r="N70" s="3" t="s">
        <v>42</v>
      </c>
      <c r="O70" s="34" t="s">
        <v>114</v>
      </c>
      <c r="P70" s="33" t="s">
        <v>555</v>
      </c>
      <c r="Q70" s="33" t="s">
        <v>53</v>
      </c>
      <c r="R70" s="34" t="s">
        <v>120</v>
      </c>
      <c r="S70" s="35">
        <v>302000</v>
      </c>
      <c r="T70" s="2" t="s">
        <v>44</v>
      </c>
      <c r="U70" s="36">
        <v>0</v>
      </c>
      <c r="V70" s="36">
        <v>-4</v>
      </c>
      <c r="W70" s="37">
        <v>0</v>
      </c>
      <c r="X70" s="38">
        <v>0</v>
      </c>
    </row>
    <row r="71" spans="1:24" x14ac:dyDescent="0.25">
      <c r="A71" s="33" t="s">
        <v>373</v>
      </c>
      <c r="B71" s="33" t="s">
        <v>390</v>
      </c>
      <c r="C71" s="33" t="s">
        <v>394</v>
      </c>
      <c r="D71" s="33" t="s">
        <v>454</v>
      </c>
      <c r="E71" s="33" t="s">
        <v>455</v>
      </c>
      <c r="F71" s="26" t="s">
        <v>24</v>
      </c>
      <c r="G71" s="34" t="s">
        <v>32</v>
      </c>
      <c r="H71" s="34" t="s">
        <v>25</v>
      </c>
      <c r="I71" s="33" t="s">
        <v>513</v>
      </c>
      <c r="J71" s="34" t="s">
        <v>26</v>
      </c>
      <c r="K71" s="34" t="s">
        <v>142</v>
      </c>
      <c r="L71" s="34" t="s">
        <v>54</v>
      </c>
      <c r="M71" s="33" t="s">
        <v>147</v>
      </c>
      <c r="N71" s="3" t="s">
        <v>35</v>
      </c>
      <c r="O71" s="34" t="s">
        <v>114</v>
      </c>
      <c r="P71" s="33" t="s">
        <v>557</v>
      </c>
      <c r="Q71" s="33" t="s">
        <v>30</v>
      </c>
      <c r="R71" s="34" t="s">
        <v>119</v>
      </c>
      <c r="S71" s="35">
        <v>297100</v>
      </c>
      <c r="T71" s="2" t="s">
        <v>44</v>
      </c>
      <c r="U71" s="36">
        <v>0.24707030999999999</v>
      </c>
      <c r="V71" s="36">
        <v>-0.7529296875</v>
      </c>
      <c r="W71" s="37">
        <v>0</v>
      </c>
      <c r="X71" s="38">
        <v>0</v>
      </c>
    </row>
    <row r="72" spans="1:24" x14ac:dyDescent="0.25">
      <c r="A72" s="33" t="s">
        <v>376</v>
      </c>
      <c r="B72" s="33" t="s">
        <v>390</v>
      </c>
      <c r="C72" s="33" t="s">
        <v>399</v>
      </c>
      <c r="D72" s="33" t="s">
        <v>460</v>
      </c>
      <c r="E72" s="33" t="s">
        <v>461</v>
      </c>
      <c r="F72" s="26" t="s">
        <v>24</v>
      </c>
      <c r="G72" s="34" t="s">
        <v>32</v>
      </c>
      <c r="H72" s="34" t="s">
        <v>25</v>
      </c>
      <c r="I72" s="33" t="s">
        <v>516</v>
      </c>
      <c r="J72" s="34" t="s">
        <v>26</v>
      </c>
      <c r="K72" s="34" t="s">
        <v>171</v>
      </c>
      <c r="L72" s="34" t="s">
        <v>58</v>
      </c>
      <c r="M72" s="33" t="s">
        <v>56</v>
      </c>
      <c r="N72" s="3" t="s">
        <v>35</v>
      </c>
      <c r="O72" s="34" t="s">
        <v>114</v>
      </c>
      <c r="P72" s="33" t="s">
        <v>560</v>
      </c>
      <c r="Q72" s="33" t="s">
        <v>30</v>
      </c>
      <c r="R72" s="34" t="s">
        <v>119</v>
      </c>
      <c r="S72" s="35">
        <v>270100</v>
      </c>
      <c r="T72" s="2" t="s">
        <v>44</v>
      </c>
      <c r="U72" s="36">
        <v>0</v>
      </c>
      <c r="V72" s="36">
        <v>-1</v>
      </c>
      <c r="W72" s="37">
        <v>0</v>
      </c>
      <c r="X72" s="38">
        <v>0</v>
      </c>
    </row>
    <row r="73" spans="1:24" x14ac:dyDescent="0.25">
      <c r="A73" s="33" t="s">
        <v>380</v>
      </c>
      <c r="B73" s="33" t="s">
        <v>390</v>
      </c>
      <c r="C73" s="33" t="s">
        <v>399</v>
      </c>
      <c r="D73" s="33" t="s">
        <v>468</v>
      </c>
      <c r="E73" s="33" t="s">
        <v>469</v>
      </c>
      <c r="F73" s="26" t="s">
        <v>24</v>
      </c>
      <c r="G73" s="34" t="s">
        <v>55</v>
      </c>
      <c r="H73" s="34" t="s">
        <v>25</v>
      </c>
      <c r="I73" s="33" t="s">
        <v>520</v>
      </c>
      <c r="J73" s="34" t="s">
        <v>162</v>
      </c>
      <c r="K73" s="34" t="s">
        <v>104</v>
      </c>
      <c r="L73" s="34" t="s">
        <v>54</v>
      </c>
      <c r="M73" s="33" t="s">
        <v>109</v>
      </c>
      <c r="N73" s="3" t="s">
        <v>113</v>
      </c>
      <c r="O73" s="34" t="s">
        <v>114</v>
      </c>
      <c r="P73" s="33" t="s">
        <v>564</v>
      </c>
      <c r="Q73" s="33" t="s">
        <v>30</v>
      </c>
      <c r="R73" s="34" t="s">
        <v>119</v>
      </c>
      <c r="S73" s="35">
        <v>237300</v>
      </c>
      <c r="T73" s="2" t="s">
        <v>44</v>
      </c>
      <c r="U73" s="36">
        <v>3.1120605000000001</v>
      </c>
      <c r="V73" s="36">
        <v>2.112060546875</v>
      </c>
      <c r="W73" s="37">
        <v>0.12336181640625</v>
      </c>
      <c r="X73" s="38">
        <v>29273.7590332031</v>
      </c>
    </row>
    <row r="74" spans="1:24" x14ac:dyDescent="0.25">
      <c r="A74" s="33" t="s">
        <v>381</v>
      </c>
      <c r="B74" s="33" t="s">
        <v>390</v>
      </c>
      <c r="C74" s="33" t="s">
        <v>394</v>
      </c>
      <c r="D74" s="33" t="s">
        <v>470</v>
      </c>
      <c r="E74" s="33" t="s">
        <v>471</v>
      </c>
      <c r="F74" s="26" t="s">
        <v>24</v>
      </c>
      <c r="G74" s="34" t="s">
        <v>32</v>
      </c>
      <c r="H74" s="34" t="s">
        <v>25</v>
      </c>
      <c r="I74" s="33" t="s">
        <v>521</v>
      </c>
      <c r="J74" s="34" t="s">
        <v>39</v>
      </c>
      <c r="K74" s="34" t="s">
        <v>530</v>
      </c>
      <c r="L74" s="34" t="s">
        <v>45</v>
      </c>
      <c r="M74" s="33" t="s">
        <v>67</v>
      </c>
      <c r="N74" s="3" t="s">
        <v>112</v>
      </c>
      <c r="O74" s="34" t="s">
        <v>114</v>
      </c>
      <c r="P74" s="33" t="s">
        <v>565</v>
      </c>
      <c r="Q74" s="33" t="s">
        <v>30</v>
      </c>
      <c r="R74" s="34" t="s">
        <v>119</v>
      </c>
      <c r="S74" s="35">
        <v>234450</v>
      </c>
      <c r="T74" s="2" t="s">
        <v>31</v>
      </c>
      <c r="U74" s="36">
        <v>0</v>
      </c>
      <c r="V74" s="36">
        <v>-1</v>
      </c>
      <c r="W74" s="37">
        <v>0</v>
      </c>
      <c r="X74" s="38">
        <v>0</v>
      </c>
    </row>
    <row r="75" spans="1:24" x14ac:dyDescent="0.25">
      <c r="A75" s="33" t="s">
        <v>382</v>
      </c>
      <c r="B75" s="33" t="s">
        <v>390</v>
      </c>
      <c r="C75" s="33" t="s">
        <v>472</v>
      </c>
      <c r="D75" s="33" t="s">
        <v>473</v>
      </c>
      <c r="E75" s="33" t="s">
        <v>474</v>
      </c>
      <c r="F75" s="26" t="s">
        <v>24</v>
      </c>
      <c r="G75" s="34" t="s">
        <v>38</v>
      </c>
      <c r="H75" s="34" t="s">
        <v>25</v>
      </c>
      <c r="I75" s="33" t="s">
        <v>522</v>
      </c>
      <c r="J75" s="34" t="s">
        <v>26</v>
      </c>
      <c r="K75" s="34" t="s">
        <v>93</v>
      </c>
      <c r="L75" s="34" t="s">
        <v>49</v>
      </c>
      <c r="M75" s="33" t="s">
        <v>41</v>
      </c>
      <c r="N75" s="3" t="s">
        <v>42</v>
      </c>
      <c r="O75" s="34" t="s">
        <v>115</v>
      </c>
      <c r="P75" s="33" t="s">
        <v>566</v>
      </c>
      <c r="Q75" s="33" t="s">
        <v>43</v>
      </c>
      <c r="R75" s="34" t="s">
        <v>120</v>
      </c>
      <c r="S75" s="35">
        <v>228100</v>
      </c>
      <c r="T75" s="2" t="s">
        <v>44</v>
      </c>
      <c r="U75" s="36">
        <v>0</v>
      </c>
      <c r="V75" s="36">
        <v>-4</v>
      </c>
      <c r="W75" s="37">
        <v>0</v>
      </c>
      <c r="X75" s="38">
        <v>0</v>
      </c>
    </row>
    <row r="76" spans="1:24" x14ac:dyDescent="0.25">
      <c r="A76" s="33" t="s">
        <v>383</v>
      </c>
      <c r="B76" s="33" t="s">
        <v>390</v>
      </c>
      <c r="C76" s="33" t="s">
        <v>428</v>
      </c>
      <c r="D76" s="33" t="s">
        <v>475</v>
      </c>
      <c r="E76" s="33" t="s">
        <v>476</v>
      </c>
      <c r="F76" s="26" t="s">
        <v>24</v>
      </c>
      <c r="G76" s="34" t="s">
        <v>38</v>
      </c>
      <c r="H76" s="34" t="s">
        <v>25</v>
      </c>
      <c r="I76" s="33" t="s">
        <v>523</v>
      </c>
      <c r="J76" s="34" t="s">
        <v>39</v>
      </c>
      <c r="K76" s="34" t="s">
        <v>105</v>
      </c>
      <c r="L76" s="34" t="s">
        <v>54</v>
      </c>
      <c r="M76" s="33" t="s">
        <v>67</v>
      </c>
      <c r="N76" s="3" t="s">
        <v>112</v>
      </c>
      <c r="O76" s="34" t="s">
        <v>114</v>
      </c>
      <c r="P76" s="33" t="s">
        <v>567</v>
      </c>
      <c r="Q76" s="33" t="s">
        <v>30</v>
      </c>
      <c r="R76" s="34" t="s">
        <v>119</v>
      </c>
      <c r="S76" s="35">
        <v>226500</v>
      </c>
      <c r="T76" s="2" t="s">
        <v>44</v>
      </c>
      <c r="U76" s="36">
        <v>1</v>
      </c>
      <c r="V76" s="36">
        <v>0</v>
      </c>
      <c r="W76" s="37">
        <v>0</v>
      </c>
      <c r="X76" s="38">
        <v>0</v>
      </c>
    </row>
    <row r="77" spans="1:24" x14ac:dyDescent="0.25">
      <c r="A77" s="33" t="s">
        <v>384</v>
      </c>
      <c r="B77" s="33" t="s">
        <v>390</v>
      </c>
      <c r="C77" s="33" t="s">
        <v>394</v>
      </c>
      <c r="D77" s="33" t="s">
        <v>477</v>
      </c>
      <c r="E77" s="33" t="s">
        <v>478</v>
      </c>
      <c r="F77" s="26" t="s">
        <v>24</v>
      </c>
      <c r="G77" s="34" t="s">
        <v>32</v>
      </c>
      <c r="H77" s="34" t="s">
        <v>25</v>
      </c>
      <c r="I77" s="33" t="s">
        <v>524</v>
      </c>
      <c r="J77" s="34" t="s">
        <v>26</v>
      </c>
      <c r="K77" s="34" t="s">
        <v>133</v>
      </c>
      <c r="L77" s="34" t="s">
        <v>47</v>
      </c>
      <c r="M77" s="33" t="s">
        <v>41</v>
      </c>
      <c r="N77" s="3" t="s">
        <v>42</v>
      </c>
      <c r="O77" s="34" t="s">
        <v>115</v>
      </c>
      <c r="P77" s="33" t="s">
        <v>568</v>
      </c>
      <c r="Q77" s="33" t="s">
        <v>53</v>
      </c>
      <c r="R77" s="34" t="s">
        <v>120</v>
      </c>
      <c r="S77" s="35">
        <v>226000</v>
      </c>
      <c r="T77" s="2" t="s">
        <v>44</v>
      </c>
      <c r="U77" s="36">
        <v>5.2687989999999996</v>
      </c>
      <c r="V77" s="36">
        <v>1.268798828125</v>
      </c>
      <c r="W77" s="37">
        <v>0.12537597656249999</v>
      </c>
      <c r="X77" s="38">
        <v>28334.970703124902</v>
      </c>
    </row>
    <row r="78" spans="1:24" x14ac:dyDescent="0.25">
      <c r="A78" s="33" t="s">
        <v>385</v>
      </c>
      <c r="B78" s="33" t="s">
        <v>390</v>
      </c>
      <c r="C78" s="33" t="s">
        <v>399</v>
      </c>
      <c r="D78" s="33" t="s">
        <v>479</v>
      </c>
      <c r="E78" s="33" t="s">
        <v>480</v>
      </c>
      <c r="F78" s="26" t="s">
        <v>24</v>
      </c>
      <c r="G78" s="34" t="s">
        <v>55</v>
      </c>
      <c r="H78" s="34" t="s">
        <v>25</v>
      </c>
      <c r="I78" s="33" t="s">
        <v>525</v>
      </c>
      <c r="J78" s="34" t="s">
        <v>39</v>
      </c>
      <c r="K78" s="34" t="s">
        <v>146</v>
      </c>
      <c r="L78" s="34" t="s">
        <v>58</v>
      </c>
      <c r="M78" s="33" t="s">
        <v>67</v>
      </c>
      <c r="N78" s="3" t="s">
        <v>112</v>
      </c>
      <c r="O78" s="34" t="s">
        <v>114</v>
      </c>
      <c r="P78" s="33" t="s">
        <v>569</v>
      </c>
      <c r="Q78" s="33" t="s">
        <v>30</v>
      </c>
      <c r="R78" s="34" t="s">
        <v>119</v>
      </c>
      <c r="S78" s="35">
        <v>221900</v>
      </c>
      <c r="T78" s="2" t="s">
        <v>44</v>
      </c>
      <c r="U78" s="36">
        <v>6.9178467000000001</v>
      </c>
      <c r="V78" s="36">
        <v>5.9178466796875</v>
      </c>
      <c r="W78" s="37">
        <v>0.129178466796875</v>
      </c>
      <c r="X78" s="38">
        <v>28664.701782226501</v>
      </c>
    </row>
    <row r="79" spans="1:24" x14ac:dyDescent="0.25">
      <c r="A79" s="33" t="s">
        <v>386</v>
      </c>
      <c r="B79" s="33" t="s">
        <v>390</v>
      </c>
      <c r="C79" s="33" t="s">
        <v>399</v>
      </c>
      <c r="D79" s="33" t="s">
        <v>481</v>
      </c>
      <c r="E79" s="33" t="s">
        <v>482</v>
      </c>
      <c r="F79" s="26" t="s">
        <v>24</v>
      </c>
      <c r="G79" s="34" t="s">
        <v>55</v>
      </c>
      <c r="H79" s="34" t="s">
        <v>25</v>
      </c>
      <c r="I79" s="33" t="s">
        <v>526</v>
      </c>
      <c r="J79" s="34" t="s">
        <v>39</v>
      </c>
      <c r="K79" s="34" t="s">
        <v>531</v>
      </c>
      <c r="L79" s="34" t="s">
        <v>38</v>
      </c>
      <c r="M79" s="33" t="s">
        <v>41</v>
      </c>
      <c r="N79" s="3" t="s">
        <v>42</v>
      </c>
      <c r="O79" s="34" t="s">
        <v>115</v>
      </c>
      <c r="P79" s="33" t="s">
        <v>570</v>
      </c>
      <c r="Q79" s="33" t="s">
        <v>43</v>
      </c>
      <c r="R79" s="34" t="s">
        <v>120</v>
      </c>
      <c r="S79" s="35">
        <v>216100</v>
      </c>
      <c r="T79" s="2" t="s">
        <v>44</v>
      </c>
      <c r="U79" s="36">
        <v>4.6212160000000004</v>
      </c>
      <c r="V79" s="36">
        <v>0.6212158203125</v>
      </c>
      <c r="W79" s="37">
        <v>0.20242431640625</v>
      </c>
      <c r="X79" s="38">
        <v>43743.894775390603</v>
      </c>
    </row>
    <row r="81" spans="1:24" x14ac:dyDescent="0.25">
      <c r="A81" s="4" t="s">
        <v>60</v>
      </c>
      <c r="B81" s="4" t="s">
        <v>1</v>
      </c>
      <c r="C81" s="4" t="s">
        <v>61</v>
      </c>
      <c r="D81" s="4" t="s">
        <v>62</v>
      </c>
      <c r="E81" s="4" t="s">
        <v>63</v>
      </c>
    </row>
    <row r="82" spans="1:24" x14ac:dyDescent="0.25">
      <c r="A82" s="4">
        <v>540241</v>
      </c>
      <c r="B82" s="1" t="s">
        <v>575</v>
      </c>
      <c r="C82" s="4" t="s">
        <v>346</v>
      </c>
      <c r="D82" s="1" t="s">
        <v>64</v>
      </c>
      <c r="E82" s="4">
        <v>5</v>
      </c>
      <c r="S82" s="39" t="s">
        <v>166</v>
      </c>
    </row>
    <row r="83" spans="1:24" x14ac:dyDescent="0.25">
      <c r="A83" s="33" t="s">
        <v>360</v>
      </c>
      <c r="B83" s="33" t="s">
        <v>423</v>
      </c>
      <c r="C83" s="33" t="s">
        <v>394</v>
      </c>
      <c r="D83" s="33" t="s">
        <v>424</v>
      </c>
      <c r="E83" s="33" t="s">
        <v>425</v>
      </c>
      <c r="F83" s="26" t="s">
        <v>24</v>
      </c>
      <c r="G83" s="34" t="s">
        <v>32</v>
      </c>
      <c r="H83" s="34" t="s">
        <v>25</v>
      </c>
      <c r="I83" s="33" t="s">
        <v>500</v>
      </c>
      <c r="J83" s="34" t="s">
        <v>26</v>
      </c>
      <c r="K83" s="34" t="s">
        <v>104</v>
      </c>
      <c r="L83" s="34" t="s">
        <v>40</v>
      </c>
      <c r="M83" s="33" t="s">
        <v>41</v>
      </c>
      <c r="N83" s="3" t="s">
        <v>42</v>
      </c>
      <c r="O83" s="34" t="s">
        <v>114</v>
      </c>
      <c r="P83" s="33" t="s">
        <v>546</v>
      </c>
      <c r="Q83" s="33" t="s">
        <v>43</v>
      </c>
      <c r="R83" s="34" t="s">
        <v>120</v>
      </c>
      <c r="S83" s="35">
        <v>510700</v>
      </c>
      <c r="T83" s="2" t="s">
        <v>44</v>
      </c>
      <c r="U83" s="36">
        <v>1</v>
      </c>
      <c r="V83" s="36">
        <v>-3</v>
      </c>
      <c r="W83" s="37">
        <v>0</v>
      </c>
      <c r="X83" s="38">
        <v>0</v>
      </c>
    </row>
    <row r="84" spans="1:24" x14ac:dyDescent="0.25">
      <c r="A84" s="33" t="s">
        <v>361</v>
      </c>
      <c r="B84" s="33" t="s">
        <v>423</v>
      </c>
      <c r="C84" s="33" t="s">
        <v>394</v>
      </c>
      <c r="D84" s="33" t="s">
        <v>426</v>
      </c>
      <c r="E84" s="33" t="s">
        <v>427</v>
      </c>
      <c r="F84" s="26" t="s">
        <v>24</v>
      </c>
      <c r="G84" s="34" t="s">
        <v>32</v>
      </c>
      <c r="H84" s="34" t="s">
        <v>25</v>
      </c>
      <c r="I84" s="33" t="s">
        <v>501</v>
      </c>
      <c r="J84" s="34" t="s">
        <v>26</v>
      </c>
      <c r="K84" s="34" t="s">
        <v>141</v>
      </c>
      <c r="L84" s="34" t="s">
        <v>38</v>
      </c>
      <c r="M84" s="33" t="s">
        <v>41</v>
      </c>
      <c r="N84" s="3" t="s">
        <v>42</v>
      </c>
      <c r="O84" s="34" t="s">
        <v>115</v>
      </c>
      <c r="P84" s="33" t="s">
        <v>547</v>
      </c>
      <c r="Q84" s="33" t="s">
        <v>43</v>
      </c>
      <c r="R84" s="34" t="s">
        <v>120</v>
      </c>
      <c r="S84" s="35">
        <v>507000</v>
      </c>
      <c r="T84" s="2" t="s">
        <v>44</v>
      </c>
      <c r="U84" s="36">
        <v>3.1943359999999998</v>
      </c>
      <c r="V84" s="36">
        <v>-0.8056640625</v>
      </c>
      <c r="W84" s="37">
        <v>0.149716796875</v>
      </c>
      <c r="X84" s="38">
        <v>75906.416015625</v>
      </c>
    </row>
    <row r="85" spans="1:24" x14ac:dyDescent="0.25">
      <c r="A85" s="33" t="s">
        <v>368</v>
      </c>
      <c r="B85" s="33" t="s">
        <v>423</v>
      </c>
      <c r="C85" s="33" t="s">
        <v>394</v>
      </c>
      <c r="D85" s="33" t="s">
        <v>443</v>
      </c>
      <c r="E85" s="33" t="s">
        <v>444</v>
      </c>
      <c r="F85" s="26" t="s">
        <v>24</v>
      </c>
      <c r="G85" s="34" t="s">
        <v>32</v>
      </c>
      <c r="H85" s="34" t="s">
        <v>25</v>
      </c>
      <c r="I85" s="33" t="s">
        <v>508</v>
      </c>
      <c r="J85" s="34" t="s">
        <v>26</v>
      </c>
      <c r="K85" s="34" t="s">
        <v>83</v>
      </c>
      <c r="L85" s="34" t="s">
        <v>40</v>
      </c>
      <c r="M85" s="33" t="s">
        <v>41</v>
      </c>
      <c r="N85" s="3" t="s">
        <v>42</v>
      </c>
      <c r="O85" s="34" t="s">
        <v>114</v>
      </c>
      <c r="P85" s="33" t="s">
        <v>552</v>
      </c>
      <c r="Q85" s="33" t="s">
        <v>53</v>
      </c>
      <c r="R85" s="34" t="s">
        <v>120</v>
      </c>
      <c r="S85" s="35">
        <v>322000</v>
      </c>
      <c r="T85" s="2" t="s">
        <v>44</v>
      </c>
      <c r="U85" s="36">
        <v>2.6756592000000001</v>
      </c>
      <c r="V85" s="36">
        <v>-1.3243408203125</v>
      </c>
      <c r="W85" s="37">
        <v>2.0269775390625001E-2</v>
      </c>
      <c r="X85" s="38">
        <v>6526.86767578125</v>
      </c>
    </row>
    <row r="86" spans="1:24" x14ac:dyDescent="0.25">
      <c r="A86" s="33" t="s">
        <v>370</v>
      </c>
      <c r="B86" s="33" t="s">
        <v>423</v>
      </c>
      <c r="C86" s="33" t="s">
        <v>394</v>
      </c>
      <c r="D86" s="33" t="s">
        <v>447</v>
      </c>
      <c r="E86" s="33" t="s">
        <v>448</v>
      </c>
      <c r="F86" s="26" t="s">
        <v>24</v>
      </c>
      <c r="G86" s="34" t="s">
        <v>32</v>
      </c>
      <c r="H86" s="34" t="s">
        <v>25</v>
      </c>
      <c r="I86" s="33" t="s">
        <v>510</v>
      </c>
      <c r="J86" s="34" t="s">
        <v>26</v>
      </c>
      <c r="K86" s="34" t="s">
        <v>106</v>
      </c>
      <c r="L86" s="34" t="s">
        <v>40</v>
      </c>
      <c r="M86" s="33" t="s">
        <v>41</v>
      </c>
      <c r="N86" s="3" t="s">
        <v>42</v>
      </c>
      <c r="O86" s="34" t="s">
        <v>115</v>
      </c>
      <c r="P86" s="33" t="s">
        <v>554</v>
      </c>
      <c r="Q86" s="33" t="s">
        <v>53</v>
      </c>
      <c r="R86" s="34" t="s">
        <v>120</v>
      </c>
      <c r="S86" s="35">
        <v>312700</v>
      </c>
      <c r="T86" s="2" t="s">
        <v>44</v>
      </c>
      <c r="U86" s="36">
        <v>0.79766846000000002</v>
      </c>
      <c r="V86" s="36">
        <v>-3.20233154296875</v>
      </c>
      <c r="W86" s="37">
        <v>0</v>
      </c>
      <c r="X86" s="38">
        <v>0</v>
      </c>
    </row>
    <row r="87" spans="1:24" x14ac:dyDescent="0.25">
      <c r="A87" s="33" t="s">
        <v>372</v>
      </c>
      <c r="B87" s="33" t="s">
        <v>423</v>
      </c>
      <c r="C87" s="33" t="s">
        <v>394</v>
      </c>
      <c r="D87" s="33" t="s">
        <v>452</v>
      </c>
      <c r="E87" s="33" t="s">
        <v>453</v>
      </c>
      <c r="F87" s="26" t="s">
        <v>24</v>
      </c>
      <c r="G87" s="34" t="s">
        <v>32</v>
      </c>
      <c r="H87" s="34" t="s">
        <v>25</v>
      </c>
      <c r="I87" s="33" t="s">
        <v>512</v>
      </c>
      <c r="J87" s="34" t="s">
        <v>26</v>
      </c>
      <c r="K87" s="34" t="s">
        <v>106</v>
      </c>
      <c r="L87" s="34" t="s">
        <v>38</v>
      </c>
      <c r="M87" s="33" t="s">
        <v>41</v>
      </c>
      <c r="N87" s="3" t="s">
        <v>42</v>
      </c>
      <c r="O87" s="34" t="s">
        <v>115</v>
      </c>
      <c r="P87" s="33" t="s">
        <v>556</v>
      </c>
      <c r="Q87" s="33" t="s">
        <v>53</v>
      </c>
      <c r="R87" s="34" t="s">
        <v>120</v>
      </c>
      <c r="S87" s="35">
        <v>301700</v>
      </c>
      <c r="T87" s="2" t="s">
        <v>44</v>
      </c>
      <c r="U87" s="36">
        <v>2.0365600000000001</v>
      </c>
      <c r="V87" s="36">
        <v>-1.96343994140625</v>
      </c>
      <c r="W87" s="37">
        <v>0</v>
      </c>
      <c r="X87" s="38">
        <v>0</v>
      </c>
    </row>
    <row r="88" spans="1:24" x14ac:dyDescent="0.25">
      <c r="A88" s="33" t="s">
        <v>374</v>
      </c>
      <c r="B88" s="33" t="s">
        <v>423</v>
      </c>
      <c r="C88" s="33" t="s">
        <v>394</v>
      </c>
      <c r="D88" s="33" t="s">
        <v>456</v>
      </c>
      <c r="E88" s="33" t="s">
        <v>457</v>
      </c>
      <c r="F88" s="26" t="s">
        <v>24</v>
      </c>
      <c r="G88" s="34" t="s">
        <v>32</v>
      </c>
      <c r="H88" s="34" t="s">
        <v>25</v>
      </c>
      <c r="I88" s="33" t="s">
        <v>514</v>
      </c>
      <c r="J88" s="34" t="s">
        <v>26</v>
      </c>
      <c r="K88" s="34" t="s">
        <v>86</v>
      </c>
      <c r="L88" s="34" t="s">
        <v>38</v>
      </c>
      <c r="M88" s="33" t="s">
        <v>41</v>
      </c>
      <c r="N88" s="3" t="s">
        <v>42</v>
      </c>
      <c r="O88" s="34" t="s">
        <v>115</v>
      </c>
      <c r="P88" s="33" t="s">
        <v>558</v>
      </c>
      <c r="Q88" s="33" t="s">
        <v>53</v>
      </c>
      <c r="R88" s="34" t="s">
        <v>120</v>
      </c>
      <c r="S88" s="35">
        <v>286300</v>
      </c>
      <c r="T88" s="2" t="s">
        <v>44</v>
      </c>
      <c r="U88" s="36">
        <v>0.60131836000000005</v>
      </c>
      <c r="V88" s="36">
        <v>-3.398681640625</v>
      </c>
      <c r="W88" s="37">
        <v>0</v>
      </c>
      <c r="X88" s="38">
        <v>0</v>
      </c>
    </row>
    <row r="89" spans="1:24" x14ac:dyDescent="0.25">
      <c r="A89" s="33" t="s">
        <v>375</v>
      </c>
      <c r="B89" s="33" t="s">
        <v>423</v>
      </c>
      <c r="C89" s="33" t="s">
        <v>394</v>
      </c>
      <c r="D89" s="33" t="s">
        <v>458</v>
      </c>
      <c r="E89" s="33" t="s">
        <v>459</v>
      </c>
      <c r="F89" s="26" t="s">
        <v>24</v>
      </c>
      <c r="G89" s="34" t="s">
        <v>32</v>
      </c>
      <c r="H89" s="34" t="s">
        <v>25</v>
      </c>
      <c r="I89" s="33" t="s">
        <v>515</v>
      </c>
      <c r="J89" s="34" t="s">
        <v>26</v>
      </c>
      <c r="K89" s="34" t="s">
        <v>104</v>
      </c>
      <c r="L89" s="34" t="s">
        <v>38</v>
      </c>
      <c r="M89" s="33" t="s">
        <v>41</v>
      </c>
      <c r="N89" s="3" t="s">
        <v>42</v>
      </c>
      <c r="O89" s="34" t="s">
        <v>115</v>
      </c>
      <c r="P89" s="33" t="s">
        <v>559</v>
      </c>
      <c r="Q89" s="33" t="s">
        <v>43</v>
      </c>
      <c r="R89" s="34" t="s">
        <v>120</v>
      </c>
      <c r="S89" s="35">
        <v>278700</v>
      </c>
      <c r="T89" s="2" t="s">
        <v>44</v>
      </c>
      <c r="U89" s="36">
        <v>2.6075439999999999</v>
      </c>
      <c r="V89" s="36">
        <v>-1.3924560546875</v>
      </c>
      <c r="W89" s="37">
        <v>0.11645263671875</v>
      </c>
      <c r="X89" s="38">
        <v>32455.3498535156</v>
      </c>
    </row>
    <row r="90" spans="1:24" x14ac:dyDescent="0.25">
      <c r="A90" s="33" t="s">
        <v>377</v>
      </c>
      <c r="B90" s="33" t="s">
        <v>423</v>
      </c>
      <c r="C90" s="33" t="s">
        <v>394</v>
      </c>
      <c r="D90" s="33" t="s">
        <v>462</v>
      </c>
      <c r="E90" s="33" t="s">
        <v>463</v>
      </c>
      <c r="F90" s="26" t="s">
        <v>24</v>
      </c>
      <c r="G90" s="34" t="s">
        <v>32</v>
      </c>
      <c r="H90" s="34" t="s">
        <v>25</v>
      </c>
      <c r="I90" s="33" t="s">
        <v>517</v>
      </c>
      <c r="J90" s="34" t="s">
        <v>26</v>
      </c>
      <c r="K90" s="34" t="s">
        <v>104</v>
      </c>
      <c r="L90" s="34" t="s">
        <v>49</v>
      </c>
      <c r="M90" s="33" t="s">
        <v>41</v>
      </c>
      <c r="N90" s="3" t="s">
        <v>42</v>
      </c>
      <c r="O90" s="34" t="s">
        <v>115</v>
      </c>
      <c r="P90" s="33" t="s">
        <v>561</v>
      </c>
      <c r="Q90" s="33" t="s">
        <v>43</v>
      </c>
      <c r="R90" s="34" t="s">
        <v>120</v>
      </c>
      <c r="S90" s="35">
        <v>257100</v>
      </c>
      <c r="T90" s="2" t="s">
        <v>44</v>
      </c>
      <c r="U90" s="36">
        <v>1.4368896</v>
      </c>
      <c r="V90" s="36">
        <v>-2.5631103515625</v>
      </c>
      <c r="W90" s="37">
        <v>5.7475585937499997E-2</v>
      </c>
      <c r="X90" s="38">
        <v>14776.973144531201</v>
      </c>
    </row>
    <row r="91" spans="1:24" x14ac:dyDescent="0.25">
      <c r="A91" s="33" t="s">
        <v>378</v>
      </c>
      <c r="B91" s="33" t="s">
        <v>423</v>
      </c>
      <c r="C91" s="33" t="s">
        <v>394</v>
      </c>
      <c r="D91" s="33" t="s">
        <v>464</v>
      </c>
      <c r="E91" s="33" t="s">
        <v>465</v>
      </c>
      <c r="F91" s="26" t="s">
        <v>24</v>
      </c>
      <c r="G91" s="34" t="s">
        <v>32</v>
      </c>
      <c r="H91" s="34" t="s">
        <v>25</v>
      </c>
      <c r="I91" s="33" t="s">
        <v>518</v>
      </c>
      <c r="J91" s="34" t="s">
        <v>26</v>
      </c>
      <c r="K91" s="34" t="s">
        <v>140</v>
      </c>
      <c r="L91" s="34" t="s">
        <v>38</v>
      </c>
      <c r="M91" s="33" t="s">
        <v>41</v>
      </c>
      <c r="N91" s="3" t="s">
        <v>42</v>
      </c>
      <c r="O91" s="34" t="s">
        <v>114</v>
      </c>
      <c r="P91" s="33" t="s">
        <v>562</v>
      </c>
      <c r="Q91" s="33" t="s">
        <v>43</v>
      </c>
      <c r="R91" s="34" t="s">
        <v>120</v>
      </c>
      <c r="S91" s="35">
        <v>253400</v>
      </c>
      <c r="T91" s="2" t="s">
        <v>44</v>
      </c>
      <c r="U91" s="36">
        <v>5.1300049999999997</v>
      </c>
      <c r="V91" s="36">
        <v>1.1300048828125</v>
      </c>
      <c r="W91" s="37">
        <v>0.32910034179687497</v>
      </c>
      <c r="X91" s="38">
        <v>83394.026611328096</v>
      </c>
    </row>
    <row r="92" spans="1:24" x14ac:dyDescent="0.25">
      <c r="A92" s="33" t="s">
        <v>379</v>
      </c>
      <c r="B92" s="33" t="s">
        <v>423</v>
      </c>
      <c r="C92" s="33" t="s">
        <v>394</v>
      </c>
      <c r="D92" s="33" t="s">
        <v>466</v>
      </c>
      <c r="E92" s="33" t="s">
        <v>467</v>
      </c>
      <c r="F92" s="26" t="s">
        <v>24</v>
      </c>
      <c r="G92" s="34" t="s">
        <v>32</v>
      </c>
      <c r="H92" s="34" t="s">
        <v>25</v>
      </c>
      <c r="I92" s="33" t="s">
        <v>519</v>
      </c>
      <c r="J92" s="34" t="s">
        <v>26</v>
      </c>
      <c r="K92" s="34" t="s">
        <v>160</v>
      </c>
      <c r="L92" s="34" t="s">
        <v>40</v>
      </c>
      <c r="M92" s="33" t="s">
        <v>41</v>
      </c>
      <c r="N92" s="3" t="s">
        <v>42</v>
      </c>
      <c r="O92" s="34" t="s">
        <v>114</v>
      </c>
      <c r="P92" s="33" t="s">
        <v>563</v>
      </c>
      <c r="Q92" s="33" t="s">
        <v>53</v>
      </c>
      <c r="R92" s="34" t="s">
        <v>120</v>
      </c>
      <c r="S92" s="35">
        <v>239500</v>
      </c>
      <c r="T92" s="2" t="s">
        <v>44</v>
      </c>
      <c r="U92" s="36">
        <v>1.5341796999999999</v>
      </c>
      <c r="V92" s="36">
        <v>-2.4658203125</v>
      </c>
      <c r="W92" s="37">
        <v>0</v>
      </c>
      <c r="X92" s="38">
        <v>0</v>
      </c>
    </row>
    <row r="93" spans="1:24" x14ac:dyDescent="0.25">
      <c r="A93" s="33" t="s">
        <v>387</v>
      </c>
      <c r="B93" s="33" t="s">
        <v>423</v>
      </c>
      <c r="C93" s="33" t="s">
        <v>394</v>
      </c>
      <c r="D93" s="33" t="s">
        <v>483</v>
      </c>
      <c r="E93" s="33" t="s">
        <v>484</v>
      </c>
      <c r="F93" s="26" t="s">
        <v>24</v>
      </c>
      <c r="G93" s="34" t="s">
        <v>32</v>
      </c>
      <c r="H93" s="34" t="s">
        <v>25</v>
      </c>
      <c r="I93" s="33" t="s">
        <v>527</v>
      </c>
      <c r="J93" s="34" t="s">
        <v>39</v>
      </c>
      <c r="K93" s="34" t="s">
        <v>532</v>
      </c>
      <c r="L93" s="34" t="s">
        <v>27</v>
      </c>
      <c r="M93" s="33" t="s">
        <v>28</v>
      </c>
      <c r="N93" s="3" t="s">
        <v>111</v>
      </c>
      <c r="O93" s="34" t="s">
        <v>115</v>
      </c>
      <c r="P93" s="33" t="s">
        <v>571</v>
      </c>
      <c r="Q93" s="33" t="s">
        <v>30</v>
      </c>
      <c r="R93" s="34" t="s">
        <v>119</v>
      </c>
      <c r="S93" s="35">
        <v>204500</v>
      </c>
      <c r="T93" s="2" t="s">
        <v>44</v>
      </c>
      <c r="U93" s="36">
        <v>3.6300050000000001</v>
      </c>
      <c r="V93" s="36">
        <v>2.6300048828125</v>
      </c>
      <c r="W93" s="37">
        <v>0.111500244140625</v>
      </c>
      <c r="X93" s="38">
        <v>22801.799926757802</v>
      </c>
    </row>
    <row r="94" spans="1:24" x14ac:dyDescent="0.25">
      <c r="A94" s="33" t="s">
        <v>388</v>
      </c>
      <c r="B94" s="33" t="s">
        <v>423</v>
      </c>
      <c r="C94" s="33" t="s">
        <v>394</v>
      </c>
      <c r="D94" s="33" t="s">
        <v>485</v>
      </c>
      <c r="E94" s="33" t="s">
        <v>486</v>
      </c>
      <c r="F94" s="26" t="s">
        <v>24</v>
      </c>
      <c r="G94" s="34" t="s">
        <v>32</v>
      </c>
      <c r="H94" s="34" t="s">
        <v>25</v>
      </c>
      <c r="I94" s="33" t="s">
        <v>528</v>
      </c>
      <c r="J94" s="34" t="s">
        <v>26</v>
      </c>
      <c r="K94" s="34" t="s">
        <v>93</v>
      </c>
      <c r="L94" s="34" t="s">
        <v>45</v>
      </c>
      <c r="M94" s="33" t="s">
        <v>41</v>
      </c>
      <c r="N94" s="3" t="s">
        <v>42</v>
      </c>
      <c r="O94" s="34" t="s">
        <v>114</v>
      </c>
      <c r="P94" s="33" t="s">
        <v>572</v>
      </c>
      <c r="Q94" s="33" t="s">
        <v>53</v>
      </c>
      <c r="R94" s="34" t="s">
        <v>120</v>
      </c>
      <c r="S94" s="35">
        <v>203400</v>
      </c>
      <c r="T94" s="2" t="s">
        <v>44</v>
      </c>
      <c r="U94" s="36">
        <v>0.5437012</v>
      </c>
      <c r="V94" s="36">
        <v>-3.456298828125</v>
      </c>
      <c r="W94" s="37">
        <v>0</v>
      </c>
      <c r="X94" s="38">
        <v>0</v>
      </c>
    </row>
    <row r="95" spans="1:24" x14ac:dyDescent="0.25">
      <c r="A95" s="33" t="s">
        <v>389</v>
      </c>
      <c r="B95" s="33" t="s">
        <v>423</v>
      </c>
      <c r="C95" s="33" t="s">
        <v>394</v>
      </c>
      <c r="D95" s="33" t="s">
        <v>487</v>
      </c>
      <c r="E95" s="33" t="s">
        <v>488</v>
      </c>
      <c r="F95" s="26" t="s">
        <v>24</v>
      </c>
      <c r="G95" s="34" t="s">
        <v>32</v>
      </c>
      <c r="H95" s="34" t="s">
        <v>25</v>
      </c>
      <c r="I95" s="33" t="s">
        <v>529</v>
      </c>
      <c r="J95" s="34" t="s">
        <v>26</v>
      </c>
      <c r="K95" s="34" t="s">
        <v>99</v>
      </c>
      <c r="L95" s="34" t="s">
        <v>45</v>
      </c>
      <c r="M95" s="33" t="s">
        <v>41</v>
      </c>
      <c r="N95" s="3" t="s">
        <v>42</v>
      </c>
      <c r="O95" s="34" t="s">
        <v>115</v>
      </c>
      <c r="P95" s="33" t="s">
        <v>573</v>
      </c>
      <c r="Q95" s="33" t="s">
        <v>53</v>
      </c>
      <c r="R95" s="34" t="s">
        <v>120</v>
      </c>
      <c r="S95" s="35">
        <v>202300</v>
      </c>
      <c r="T95" s="2" t="s">
        <v>44</v>
      </c>
      <c r="U95" s="36">
        <v>0.65075684</v>
      </c>
      <c r="V95" s="36">
        <v>-3.3492431640625</v>
      </c>
      <c r="W95" s="37">
        <v>0</v>
      </c>
      <c r="X95" s="38">
        <v>0</v>
      </c>
    </row>
  </sheetData>
  <hyperlinks>
    <hyperlink ref="J3" r:id="rId1" xr:uid="{F563A385-C354-4485-981E-126EAB545F6E}"/>
    <hyperlink ref="M3" r:id="rId2" xr:uid="{B0880BAF-3DFD-4B44-9741-241626EEB357}"/>
    <hyperlink ref="Q3" r:id="rId3" xr:uid="{52C22F9C-5037-4505-9B47-13144AD90F88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1E724C-021C-445F-A28A-8EC3314A082D}">
  <dimension ref="A1:X39"/>
  <sheetViews>
    <sheetView workbookViewId="0">
      <pane ySplit="6" topLeftCell="A7" activePane="bottomLeft" state="frozen"/>
      <selection pane="bottomLeft" activeCell="F3" sqref="F3"/>
    </sheetView>
  </sheetViews>
  <sheetFormatPr defaultRowHeight="15" x14ac:dyDescent="0.25"/>
  <cols>
    <col min="1" max="1" width="33.85546875" bestFit="1" customWidth="1"/>
    <col min="2" max="2" width="21.42578125" bestFit="1" customWidth="1"/>
    <col min="7" max="7" width="10.28515625" customWidth="1"/>
    <col min="10" max="10" width="8.85546875" style="8"/>
    <col min="13" max="13" width="9.7109375" customWidth="1"/>
    <col min="14" max="14" width="10.28515625" customWidth="1"/>
    <col min="15" max="15" width="8.85546875" style="8"/>
    <col min="17" max="17" width="11.140625" customWidth="1"/>
    <col min="18" max="18" width="8.85546875" style="8"/>
    <col min="19" max="19" width="21.7109375" bestFit="1" customWidth="1"/>
    <col min="24" max="24" width="9.5703125" bestFit="1" customWidth="1"/>
  </cols>
  <sheetData>
    <row r="1" spans="1:24" ht="14.25" customHeight="1" x14ac:dyDescent="0.25">
      <c r="A1" s="5" t="s">
        <v>75</v>
      </c>
      <c r="B1" s="5"/>
      <c r="C1" s="5"/>
      <c r="D1" s="5"/>
      <c r="F1" s="19" t="s">
        <v>76</v>
      </c>
      <c r="G1" s="8"/>
      <c r="H1" s="8"/>
      <c r="K1" s="8"/>
      <c r="L1" s="8"/>
      <c r="N1" s="7" t="s">
        <v>77</v>
      </c>
      <c r="P1" s="8"/>
      <c r="S1" s="9" t="s">
        <v>78</v>
      </c>
      <c r="U1" s="10"/>
      <c r="V1" s="10"/>
      <c r="W1" s="11"/>
      <c r="X1" s="12"/>
    </row>
    <row r="2" spans="1:24" x14ac:dyDescent="0.25">
      <c r="A2" s="13">
        <v>44481</v>
      </c>
      <c r="B2" s="14" t="s">
        <v>79</v>
      </c>
      <c r="F2" s="8"/>
      <c r="G2" s="8"/>
      <c r="H2" s="8"/>
      <c r="K2" s="8"/>
      <c r="L2" s="8"/>
      <c r="N2" s="15" t="s">
        <v>42</v>
      </c>
      <c r="P2" s="8"/>
      <c r="S2" s="9"/>
      <c r="U2" s="10"/>
      <c r="V2" s="10"/>
      <c r="W2" s="11"/>
      <c r="X2" s="12"/>
    </row>
    <row r="3" spans="1:24" x14ac:dyDescent="0.25">
      <c r="A3" t="s">
        <v>81</v>
      </c>
      <c r="B3" s="6"/>
      <c r="F3" s="8"/>
      <c r="G3" s="8"/>
      <c r="H3" s="8"/>
      <c r="J3" s="18" t="s">
        <v>80</v>
      </c>
      <c r="K3" s="8"/>
      <c r="L3" s="8"/>
      <c r="M3" s="16" t="s">
        <v>80</v>
      </c>
      <c r="N3" s="7"/>
      <c r="P3" s="8"/>
      <c r="Q3" s="16" t="s">
        <v>80</v>
      </c>
      <c r="R3" s="17"/>
      <c r="S3" s="9"/>
      <c r="U3" s="10"/>
      <c r="V3" s="10"/>
      <c r="W3" s="11"/>
      <c r="X3" s="12"/>
    </row>
    <row r="4" spans="1:24" x14ac:dyDescent="0.25">
      <c r="F4" s="8"/>
      <c r="G4" s="8"/>
      <c r="H4" s="8"/>
      <c r="K4" s="8"/>
      <c r="L4" s="8"/>
      <c r="N4" s="7"/>
      <c r="P4" s="8"/>
      <c r="S4" s="9"/>
      <c r="U4" s="10"/>
      <c r="V4" s="10"/>
      <c r="W4" s="11"/>
      <c r="X4" s="12"/>
    </row>
    <row r="5" spans="1:24" x14ac:dyDescent="0.25">
      <c r="A5" s="1" t="s">
        <v>576</v>
      </c>
      <c r="F5" s="8"/>
      <c r="G5" s="8"/>
      <c r="H5" s="8"/>
      <c r="K5" s="8"/>
      <c r="L5" s="8"/>
      <c r="P5" s="8"/>
      <c r="S5" s="39" t="s">
        <v>166</v>
      </c>
      <c r="U5" s="8"/>
      <c r="V5" s="8"/>
      <c r="W5" s="11"/>
      <c r="X5" s="12"/>
    </row>
    <row r="6" spans="1:24" ht="60" x14ac:dyDescent="0.25">
      <c r="A6" s="27" t="s">
        <v>0</v>
      </c>
      <c r="B6" s="20" t="s">
        <v>1</v>
      </c>
      <c r="C6" s="20" t="s">
        <v>2</v>
      </c>
      <c r="D6" s="28" t="s">
        <v>3</v>
      </c>
      <c r="E6" s="28" t="s">
        <v>4</v>
      </c>
      <c r="F6" s="20" t="s">
        <v>5</v>
      </c>
      <c r="G6" s="20" t="s">
        <v>6</v>
      </c>
      <c r="H6" s="27" t="s">
        <v>7</v>
      </c>
      <c r="I6" s="20" t="s">
        <v>8</v>
      </c>
      <c r="J6" s="27" t="s">
        <v>9</v>
      </c>
      <c r="K6" s="28" t="s">
        <v>10</v>
      </c>
      <c r="L6" s="20" t="s">
        <v>11</v>
      </c>
      <c r="M6" s="28" t="s">
        <v>12</v>
      </c>
      <c r="N6" s="21" t="s">
        <v>13</v>
      </c>
      <c r="O6" s="28" t="s">
        <v>14</v>
      </c>
      <c r="P6" s="28" t="s">
        <v>15</v>
      </c>
      <c r="Q6" s="28" t="s">
        <v>16</v>
      </c>
      <c r="R6" s="28" t="s">
        <v>17</v>
      </c>
      <c r="S6" s="22" t="s">
        <v>18</v>
      </c>
      <c r="T6" s="20" t="s">
        <v>19</v>
      </c>
      <c r="U6" s="31" t="s">
        <v>20</v>
      </c>
      <c r="V6" s="31" t="s">
        <v>21</v>
      </c>
      <c r="W6" s="32" t="s">
        <v>22</v>
      </c>
      <c r="X6" s="23" t="s">
        <v>23</v>
      </c>
    </row>
    <row r="7" spans="1:24" x14ac:dyDescent="0.25">
      <c r="A7" s="33" t="s">
        <v>577</v>
      </c>
      <c r="B7" s="33" t="s">
        <v>610</v>
      </c>
      <c r="C7" s="33" t="s">
        <v>611</v>
      </c>
      <c r="D7" s="33" t="s">
        <v>612</v>
      </c>
      <c r="E7" s="33" t="s">
        <v>613</v>
      </c>
      <c r="F7" s="26" t="str">
        <f>HYPERLINK("https://mapwv.gov/flood/map/?wkid=102100&amp;x=-9057438.231360916&amp;y=4770078.942181678&amp;l=13&amp;v=2","FT")</f>
        <v>FT</v>
      </c>
      <c r="G7" s="34" t="s">
        <v>32</v>
      </c>
      <c r="H7" s="34" t="s">
        <v>25</v>
      </c>
      <c r="I7" s="33" t="s">
        <v>685</v>
      </c>
      <c r="J7" s="34" t="s">
        <v>26</v>
      </c>
      <c r="K7" s="34" t="s">
        <v>117</v>
      </c>
      <c r="L7" s="34" t="s">
        <v>47</v>
      </c>
      <c r="M7" s="33" t="s">
        <v>109</v>
      </c>
      <c r="N7" s="3" t="s">
        <v>113</v>
      </c>
      <c r="O7" s="34" t="s">
        <v>114</v>
      </c>
      <c r="P7" s="33" t="s">
        <v>722</v>
      </c>
      <c r="Q7" s="33" t="s">
        <v>30</v>
      </c>
      <c r="R7" s="34" t="s">
        <v>119</v>
      </c>
      <c r="S7" s="35">
        <v>6578300</v>
      </c>
      <c r="T7" s="2" t="s">
        <v>44</v>
      </c>
      <c r="U7" s="36">
        <v>0</v>
      </c>
      <c r="V7" s="36">
        <v>-1</v>
      </c>
      <c r="W7" s="37">
        <v>0</v>
      </c>
      <c r="X7" s="38">
        <v>0</v>
      </c>
    </row>
    <row r="8" spans="1:24" x14ac:dyDescent="0.25">
      <c r="A8" s="33" t="s">
        <v>578</v>
      </c>
      <c r="B8" s="33" t="s">
        <v>614</v>
      </c>
      <c r="C8" s="33" t="s">
        <v>394</v>
      </c>
      <c r="D8" s="33" t="s">
        <v>615</v>
      </c>
      <c r="E8" s="33" t="s">
        <v>616</v>
      </c>
      <c r="F8" s="26" t="str">
        <f>HYPERLINK("https://mapwv.gov/flood/map/?wkid=102100&amp;x=-9039896.765710084&amp;y=4777860.712877526&amp;l=13&amp;v=2","FT")</f>
        <v>FT</v>
      </c>
      <c r="G8" s="34" t="s">
        <v>32</v>
      </c>
      <c r="H8" s="34" t="s">
        <v>25</v>
      </c>
      <c r="I8" s="33" t="s">
        <v>686</v>
      </c>
      <c r="J8" s="34" t="s">
        <v>26</v>
      </c>
      <c r="K8" s="34" t="s">
        <v>117</v>
      </c>
      <c r="L8" s="34" t="s">
        <v>27</v>
      </c>
      <c r="M8" s="33" t="s">
        <v>67</v>
      </c>
      <c r="N8" s="3" t="s">
        <v>112</v>
      </c>
      <c r="O8" s="34" t="s">
        <v>114</v>
      </c>
      <c r="P8" s="33" t="s">
        <v>723</v>
      </c>
      <c r="Q8" s="33" t="s">
        <v>30</v>
      </c>
      <c r="R8" s="34" t="s">
        <v>119</v>
      </c>
      <c r="S8" s="35">
        <v>1304480</v>
      </c>
      <c r="T8" s="2" t="s">
        <v>31</v>
      </c>
      <c r="U8" s="36">
        <v>0.58270264000000005</v>
      </c>
      <c r="V8" s="36">
        <v>-0.41729736328125</v>
      </c>
      <c r="W8" s="37">
        <v>0</v>
      </c>
      <c r="X8" s="38">
        <v>0</v>
      </c>
    </row>
    <row r="9" spans="1:24" x14ac:dyDescent="0.25">
      <c r="A9" s="33" t="s">
        <v>579</v>
      </c>
      <c r="B9" s="33" t="s">
        <v>614</v>
      </c>
      <c r="C9" s="33" t="s">
        <v>394</v>
      </c>
      <c r="D9" s="33" t="s">
        <v>617</v>
      </c>
      <c r="E9" s="33" t="s">
        <v>618</v>
      </c>
      <c r="F9" s="26" t="str">
        <f>HYPERLINK("https://mapwv.gov/flood/map/?wkid=102100&amp;x=-9039691.803595718&amp;y=4777801.264973557&amp;l=13&amp;v=2","FT")</f>
        <v>FT</v>
      </c>
      <c r="G9" s="34" t="s">
        <v>55</v>
      </c>
      <c r="H9" s="34" t="s">
        <v>25</v>
      </c>
      <c r="I9" s="33" t="s">
        <v>687</v>
      </c>
      <c r="J9" s="34" t="s">
        <v>162</v>
      </c>
      <c r="K9" s="34" t="s">
        <v>125</v>
      </c>
      <c r="L9" s="34" t="s">
        <v>38</v>
      </c>
      <c r="M9" s="33" t="s">
        <v>46</v>
      </c>
      <c r="N9" s="3" t="s">
        <v>35</v>
      </c>
      <c r="O9" s="34" t="s">
        <v>114</v>
      </c>
      <c r="P9" s="33" t="s">
        <v>724</v>
      </c>
      <c r="Q9" s="33" t="s">
        <v>30</v>
      </c>
      <c r="R9" s="34" t="s">
        <v>119</v>
      </c>
      <c r="S9" s="35">
        <v>1155000</v>
      </c>
      <c r="T9" s="2" t="s">
        <v>44</v>
      </c>
      <c r="U9" s="36">
        <v>0.25549316</v>
      </c>
      <c r="V9" s="36">
        <v>-0.7445068359375</v>
      </c>
      <c r="W9" s="37">
        <v>0</v>
      </c>
      <c r="X9" s="38">
        <v>0</v>
      </c>
    </row>
    <row r="10" spans="1:24" x14ac:dyDescent="0.25">
      <c r="A10" s="33" t="s">
        <v>580</v>
      </c>
      <c r="B10" s="33" t="s">
        <v>619</v>
      </c>
      <c r="C10" s="33" t="s">
        <v>394</v>
      </c>
      <c r="D10" s="33" t="s">
        <v>620</v>
      </c>
      <c r="E10" s="33" t="s">
        <v>621</v>
      </c>
      <c r="F10" s="26" t="str">
        <f>HYPERLINK("https://mapwv.gov/flood/map/?wkid=102100&amp;x=-9045406.805656526&amp;y=4776704.886704899&amp;l=13&amp;v=2","FT")</f>
        <v>FT</v>
      </c>
      <c r="G10" s="34" t="s">
        <v>32</v>
      </c>
      <c r="H10" s="34" t="s">
        <v>25</v>
      </c>
      <c r="I10" s="33" t="s">
        <v>688</v>
      </c>
      <c r="J10" s="34" t="s">
        <v>36</v>
      </c>
      <c r="K10" s="34" t="s">
        <v>87</v>
      </c>
      <c r="L10" s="34"/>
      <c r="M10" s="33" t="s">
        <v>28</v>
      </c>
      <c r="N10" s="3" t="s">
        <v>111</v>
      </c>
      <c r="O10" s="34" t="s">
        <v>114</v>
      </c>
      <c r="P10" s="33" t="s">
        <v>725</v>
      </c>
      <c r="Q10" s="33" t="s">
        <v>30</v>
      </c>
      <c r="R10" s="34" t="s">
        <v>119</v>
      </c>
      <c r="S10" s="35">
        <v>582120</v>
      </c>
      <c r="T10" s="2" t="s">
        <v>31</v>
      </c>
      <c r="U10" s="36">
        <v>1.9500732000000001</v>
      </c>
      <c r="V10" s="36">
        <v>0.9500732421875</v>
      </c>
      <c r="W10" s="37">
        <v>4.7503662109374997E-2</v>
      </c>
      <c r="X10" s="38">
        <v>27652.831787109299</v>
      </c>
    </row>
    <row r="11" spans="1:24" x14ac:dyDescent="0.25">
      <c r="A11" s="33" t="s">
        <v>581</v>
      </c>
      <c r="B11" s="33" t="s">
        <v>610</v>
      </c>
      <c r="C11" s="33" t="s">
        <v>394</v>
      </c>
      <c r="D11" s="33" t="s">
        <v>622</v>
      </c>
      <c r="E11" s="33" t="s">
        <v>623</v>
      </c>
      <c r="F11" s="26" t="str">
        <f>HYPERLINK("https://mapwv.gov/flood/map/?wkid=102100&amp;x=-9053200.341872336&amp;y=4771840.208346652&amp;l=13&amp;v=2","FT")</f>
        <v>FT</v>
      </c>
      <c r="G11" s="34" t="s">
        <v>32</v>
      </c>
      <c r="H11" s="34" t="s">
        <v>25</v>
      </c>
      <c r="I11" s="33" t="s">
        <v>689</v>
      </c>
      <c r="J11" s="34" t="s">
        <v>26</v>
      </c>
      <c r="K11" s="34" t="s">
        <v>101</v>
      </c>
      <c r="L11" s="34" t="s">
        <v>45</v>
      </c>
      <c r="M11" s="33" t="s">
        <v>57</v>
      </c>
      <c r="N11" s="3" t="s">
        <v>35</v>
      </c>
      <c r="O11" s="34" t="s">
        <v>114</v>
      </c>
      <c r="P11" s="33" t="s">
        <v>726</v>
      </c>
      <c r="Q11" s="33" t="s">
        <v>30</v>
      </c>
      <c r="R11" s="34" t="s">
        <v>119</v>
      </c>
      <c r="S11" s="35">
        <v>560800</v>
      </c>
      <c r="T11" s="2" t="s">
        <v>44</v>
      </c>
      <c r="U11" s="36">
        <v>3.1380615000000001</v>
      </c>
      <c r="V11" s="36">
        <v>2.1380615234375</v>
      </c>
      <c r="W11" s="37">
        <v>0.16828369140624999</v>
      </c>
      <c r="X11" s="38">
        <v>94373.494140625</v>
      </c>
    </row>
    <row r="12" spans="1:24" x14ac:dyDescent="0.25">
      <c r="A12" s="33" t="s">
        <v>582</v>
      </c>
      <c r="B12" s="33" t="s">
        <v>614</v>
      </c>
      <c r="C12" s="33" t="s">
        <v>394</v>
      </c>
      <c r="D12" s="33" t="s">
        <v>624</v>
      </c>
      <c r="E12" s="33" t="s">
        <v>625</v>
      </c>
      <c r="F12" s="26" t="str">
        <f>HYPERLINK("https://mapwv.gov/flood/map/?wkid=102100&amp;x=-9040058.801025048&amp;y=4777702.88810445&amp;l=13&amp;v=2","FT")</f>
        <v>FT</v>
      </c>
      <c r="G12" s="34" t="s">
        <v>32</v>
      </c>
      <c r="H12" s="34" t="s">
        <v>25</v>
      </c>
      <c r="I12" s="33" t="s">
        <v>690</v>
      </c>
      <c r="J12" s="34" t="s">
        <v>36</v>
      </c>
      <c r="K12" s="34" t="s">
        <v>87</v>
      </c>
      <c r="L12" s="34"/>
      <c r="M12" s="33" t="s">
        <v>69</v>
      </c>
      <c r="N12" s="3" t="s">
        <v>110</v>
      </c>
      <c r="O12" s="34" t="s">
        <v>114</v>
      </c>
      <c r="P12" s="33" t="s">
        <v>727</v>
      </c>
      <c r="Q12" s="33" t="s">
        <v>30</v>
      </c>
      <c r="R12" s="34" t="s">
        <v>119</v>
      </c>
      <c r="S12" s="35">
        <v>542000</v>
      </c>
      <c r="T12" s="2" t="s">
        <v>31</v>
      </c>
      <c r="U12" s="36">
        <v>0.30999756000000001</v>
      </c>
      <c r="V12" s="36">
        <v>-0.69000244140625</v>
      </c>
      <c r="W12" s="37">
        <v>0</v>
      </c>
      <c r="X12" s="38">
        <v>0</v>
      </c>
    </row>
    <row r="13" spans="1:24" x14ac:dyDescent="0.25">
      <c r="A13" s="33" t="s">
        <v>583</v>
      </c>
      <c r="B13" s="33" t="s">
        <v>610</v>
      </c>
      <c r="C13" s="33" t="s">
        <v>394</v>
      </c>
      <c r="D13" s="33" t="s">
        <v>626</v>
      </c>
      <c r="E13" s="33" t="s">
        <v>627</v>
      </c>
      <c r="F13" s="26" t="str">
        <f>HYPERLINK("https://mapwv.gov/flood/map/?wkid=102100&amp;x=-9053401.756679805&amp;y=4771618.592201723&amp;l=13&amp;v=2","FT")</f>
        <v>FT</v>
      </c>
      <c r="G13" s="34" t="s">
        <v>32</v>
      </c>
      <c r="H13" s="34" t="s">
        <v>25</v>
      </c>
      <c r="I13" s="33" t="s">
        <v>691</v>
      </c>
      <c r="J13" s="34" t="s">
        <v>26</v>
      </c>
      <c r="K13" s="34" t="s">
        <v>142</v>
      </c>
      <c r="L13" s="34" t="s">
        <v>54</v>
      </c>
      <c r="M13" s="33" t="s">
        <v>147</v>
      </c>
      <c r="N13" s="3" t="s">
        <v>35</v>
      </c>
      <c r="O13" s="34" t="s">
        <v>114</v>
      </c>
      <c r="P13" s="33" t="s">
        <v>728</v>
      </c>
      <c r="Q13" s="33" t="s">
        <v>30</v>
      </c>
      <c r="R13" s="34" t="s">
        <v>119</v>
      </c>
      <c r="S13" s="35">
        <v>524500</v>
      </c>
      <c r="T13" s="2" t="s">
        <v>44</v>
      </c>
      <c r="U13" s="36">
        <v>2.8421630000000002</v>
      </c>
      <c r="V13" s="36">
        <v>1.8421630859375</v>
      </c>
      <c r="W13" s="37">
        <v>0.115264892578125</v>
      </c>
      <c r="X13" s="38">
        <v>60456.436157226497</v>
      </c>
    </row>
    <row r="14" spans="1:24" x14ac:dyDescent="0.25">
      <c r="A14" s="33" t="s">
        <v>584</v>
      </c>
      <c r="B14" s="33" t="s">
        <v>614</v>
      </c>
      <c r="C14" s="33" t="s">
        <v>394</v>
      </c>
      <c r="D14" s="33" t="s">
        <v>628</v>
      </c>
      <c r="E14" s="33" t="s">
        <v>629</v>
      </c>
      <c r="F14" s="26" t="str">
        <f>HYPERLINK("https://mapwv.gov/flood/map/?wkid=102100&amp;x=-9039659.0857955&amp;y=4777977.52788949&amp;l=13&amp;v=2","FT")</f>
        <v>FT</v>
      </c>
      <c r="G14" s="34" t="s">
        <v>55</v>
      </c>
      <c r="H14" s="34" t="s">
        <v>25</v>
      </c>
      <c r="I14" s="33" t="s">
        <v>692</v>
      </c>
      <c r="J14" s="34" t="s">
        <v>162</v>
      </c>
      <c r="K14" s="34" t="s">
        <v>127</v>
      </c>
      <c r="L14" s="34" t="s">
        <v>45</v>
      </c>
      <c r="M14" s="33" t="s">
        <v>57</v>
      </c>
      <c r="N14" s="3" t="s">
        <v>35</v>
      </c>
      <c r="O14" s="34" t="s">
        <v>115</v>
      </c>
      <c r="P14" s="33" t="s">
        <v>729</v>
      </c>
      <c r="Q14" s="33" t="s">
        <v>30</v>
      </c>
      <c r="R14" s="34" t="s">
        <v>119</v>
      </c>
      <c r="S14" s="35">
        <v>433700</v>
      </c>
      <c r="T14" s="2" t="s">
        <v>44</v>
      </c>
      <c r="U14" s="36">
        <v>7.0800779999999994E-2</v>
      </c>
      <c r="V14" s="36">
        <v>-0.92919921875</v>
      </c>
      <c r="W14" s="37">
        <v>1.416015625E-3</v>
      </c>
      <c r="X14" s="38">
        <v>614.1259765625</v>
      </c>
    </row>
    <row r="15" spans="1:24" x14ac:dyDescent="0.25">
      <c r="A15" s="33" t="s">
        <v>585</v>
      </c>
      <c r="B15" s="33" t="s">
        <v>610</v>
      </c>
      <c r="C15" s="33" t="s">
        <v>394</v>
      </c>
      <c r="D15" s="33" t="s">
        <v>630</v>
      </c>
      <c r="E15" s="33" t="s">
        <v>631</v>
      </c>
      <c r="F15" s="26" t="str">
        <f>HYPERLINK("https://mapwv.gov/flood/map/?wkid=102100&amp;x=-9037999.379758699&amp;y=4781910.581134404&amp;l=13&amp;v=2","FT")</f>
        <v>FT</v>
      </c>
      <c r="G15" s="34" t="s">
        <v>32</v>
      </c>
      <c r="H15" s="34" t="s">
        <v>66</v>
      </c>
      <c r="I15" s="33" t="s">
        <v>693</v>
      </c>
      <c r="J15" s="34" t="s">
        <v>26</v>
      </c>
      <c r="K15" s="34" t="s">
        <v>89</v>
      </c>
      <c r="L15" s="34" t="s">
        <v>40</v>
      </c>
      <c r="M15" s="33" t="s">
        <v>41</v>
      </c>
      <c r="N15" s="3" t="s">
        <v>42</v>
      </c>
      <c r="O15" s="34" t="s">
        <v>114</v>
      </c>
      <c r="P15" s="33" t="s">
        <v>730</v>
      </c>
      <c r="Q15" s="33" t="s">
        <v>30</v>
      </c>
      <c r="R15" s="34" t="s">
        <v>754</v>
      </c>
      <c r="S15" s="35">
        <v>376600</v>
      </c>
      <c r="T15" s="2" t="s">
        <v>44</v>
      </c>
      <c r="U15" s="36">
        <v>14.920105</v>
      </c>
      <c r="V15" s="36">
        <v>10.4201049804687</v>
      </c>
      <c r="W15" s="37">
        <v>0.73840209960937497</v>
      </c>
      <c r="X15" s="38">
        <v>278082.23071288998</v>
      </c>
    </row>
    <row r="16" spans="1:24" x14ac:dyDescent="0.25">
      <c r="A16" s="33" t="s">
        <v>586</v>
      </c>
      <c r="B16" s="33" t="s">
        <v>619</v>
      </c>
      <c r="C16" s="33" t="s">
        <v>394</v>
      </c>
      <c r="D16" s="33" t="s">
        <v>632</v>
      </c>
      <c r="E16" s="33" t="s">
        <v>633</v>
      </c>
      <c r="F16" s="26" t="str">
        <f>HYPERLINK("https://mapwv.gov/flood/map/?wkid=102100&amp;x=-9045428.696189113&amp;y=4776625.372062907&amp;l=13&amp;v=2","FT")</f>
        <v>FT</v>
      </c>
      <c r="G16" s="34" t="s">
        <v>55</v>
      </c>
      <c r="H16" s="34" t="s">
        <v>25</v>
      </c>
      <c r="I16" s="33" t="s">
        <v>694</v>
      </c>
      <c r="J16" s="34" t="s">
        <v>39</v>
      </c>
      <c r="K16" s="34" t="s">
        <v>90</v>
      </c>
      <c r="L16" s="34" t="s">
        <v>58</v>
      </c>
      <c r="M16" s="33" t="s">
        <v>59</v>
      </c>
      <c r="N16" s="3" t="s">
        <v>42</v>
      </c>
      <c r="O16" s="34" t="s">
        <v>114</v>
      </c>
      <c r="P16" s="33" t="s">
        <v>731</v>
      </c>
      <c r="Q16" s="33" t="s">
        <v>43</v>
      </c>
      <c r="R16" s="34" t="s">
        <v>120</v>
      </c>
      <c r="S16" s="35">
        <v>373300</v>
      </c>
      <c r="T16" s="2" t="s">
        <v>44</v>
      </c>
      <c r="U16" s="36">
        <v>0.22540283</v>
      </c>
      <c r="V16" s="36">
        <v>-3.77459716796875</v>
      </c>
      <c r="W16" s="37">
        <v>0</v>
      </c>
      <c r="X16" s="38">
        <v>0</v>
      </c>
    </row>
    <row r="17" spans="1:24" x14ac:dyDescent="0.25">
      <c r="A17" s="33" t="s">
        <v>587</v>
      </c>
      <c r="B17" s="33" t="s">
        <v>610</v>
      </c>
      <c r="C17" s="33" t="s">
        <v>394</v>
      </c>
      <c r="D17" s="33" t="s">
        <v>634</v>
      </c>
      <c r="E17" s="33" t="s">
        <v>635</v>
      </c>
      <c r="F17" s="26" t="str">
        <f>HYPERLINK("https://mapwv.gov/flood/map/?wkid=102100&amp;x=-9037535.094994348&amp;y=4782444.860862776&amp;l=13&amp;v=2","FT")</f>
        <v>FT</v>
      </c>
      <c r="G17" s="34" t="s">
        <v>32</v>
      </c>
      <c r="H17" s="34" t="s">
        <v>25</v>
      </c>
      <c r="I17" s="33" t="s">
        <v>695</v>
      </c>
      <c r="J17" s="34" t="s">
        <v>26</v>
      </c>
      <c r="K17" s="34" t="s">
        <v>86</v>
      </c>
      <c r="L17" s="34" t="s">
        <v>38</v>
      </c>
      <c r="M17" s="33" t="s">
        <v>41</v>
      </c>
      <c r="N17" s="3" t="s">
        <v>42</v>
      </c>
      <c r="O17" s="34" t="s">
        <v>114</v>
      </c>
      <c r="P17" s="33" t="s">
        <v>732</v>
      </c>
      <c r="Q17" s="33" t="s">
        <v>43</v>
      </c>
      <c r="R17" s="34" t="s">
        <v>120</v>
      </c>
      <c r="S17" s="35">
        <v>372500</v>
      </c>
      <c r="T17" s="2" t="s">
        <v>44</v>
      </c>
      <c r="U17" s="36">
        <v>2.6082763999999998</v>
      </c>
      <c r="V17" s="36">
        <v>-1.3917236328125</v>
      </c>
      <c r="W17" s="37">
        <v>0.170413818359375</v>
      </c>
      <c r="X17" s="38">
        <v>63479.1473388671</v>
      </c>
    </row>
    <row r="18" spans="1:24" x14ac:dyDescent="0.25">
      <c r="A18" s="33" t="s">
        <v>588</v>
      </c>
      <c r="B18" s="33" t="s">
        <v>614</v>
      </c>
      <c r="C18" s="33" t="s">
        <v>394</v>
      </c>
      <c r="D18" s="33" t="s">
        <v>636</v>
      </c>
      <c r="E18" s="33" t="s">
        <v>637</v>
      </c>
      <c r="F18" s="26" t="str">
        <f>HYPERLINK("https://mapwv.gov/flood/map/?wkid=102100&amp;x=-9039699.273133546&amp;y=4777632.911096143&amp;l=13&amp;v=2","FT")</f>
        <v>FT</v>
      </c>
      <c r="G18" s="34" t="s">
        <v>55</v>
      </c>
      <c r="H18" s="34" t="s">
        <v>25</v>
      </c>
      <c r="I18" s="33" t="s">
        <v>696</v>
      </c>
      <c r="J18" s="34" t="s">
        <v>39</v>
      </c>
      <c r="K18" s="34" t="s">
        <v>717</v>
      </c>
      <c r="L18" s="34" t="s">
        <v>50</v>
      </c>
      <c r="M18" s="33" t="s">
        <v>48</v>
      </c>
      <c r="N18" s="3" t="s">
        <v>35</v>
      </c>
      <c r="O18" s="34" t="s">
        <v>115</v>
      </c>
      <c r="P18" s="33" t="s">
        <v>733</v>
      </c>
      <c r="Q18" s="33" t="s">
        <v>30</v>
      </c>
      <c r="R18" s="34" t="s">
        <v>119</v>
      </c>
      <c r="S18" s="35">
        <v>372200</v>
      </c>
      <c r="T18" s="2" t="s">
        <v>44</v>
      </c>
      <c r="U18" s="36">
        <v>2.0299683000000002</v>
      </c>
      <c r="V18" s="36">
        <v>1.02996826171875</v>
      </c>
      <c r="W18" s="37">
        <v>9.1498413085937494E-2</v>
      </c>
      <c r="X18" s="38">
        <v>34055.709350585901</v>
      </c>
    </row>
    <row r="19" spans="1:24" x14ac:dyDescent="0.25">
      <c r="A19" s="33" t="s">
        <v>589</v>
      </c>
      <c r="B19" s="33" t="s">
        <v>619</v>
      </c>
      <c r="C19" s="33" t="s">
        <v>394</v>
      </c>
      <c r="D19" s="33" t="s">
        <v>638</v>
      </c>
      <c r="E19" s="33" t="s">
        <v>639</v>
      </c>
      <c r="F19" s="26" t="str">
        <f>HYPERLINK("https://mapwv.gov/flood/map/?wkid=102100&amp;x=-9045504.250953903&amp;y=4776633.682074228&amp;l=13&amp;v=2","FT")</f>
        <v>FT</v>
      </c>
      <c r="G19" s="34" t="s">
        <v>55</v>
      </c>
      <c r="H19" s="34" t="s">
        <v>25</v>
      </c>
      <c r="I19" s="33" t="s">
        <v>697</v>
      </c>
      <c r="J19" s="34" t="s">
        <v>162</v>
      </c>
      <c r="K19" s="34" t="s">
        <v>139</v>
      </c>
      <c r="L19" s="34" t="s">
        <v>45</v>
      </c>
      <c r="M19" s="33" t="s">
        <v>57</v>
      </c>
      <c r="N19" s="3" t="s">
        <v>35</v>
      </c>
      <c r="O19" s="34" t="s">
        <v>114</v>
      </c>
      <c r="P19" s="33" t="s">
        <v>734</v>
      </c>
      <c r="Q19" s="33" t="s">
        <v>30</v>
      </c>
      <c r="R19" s="34" t="s">
        <v>119</v>
      </c>
      <c r="S19" s="35">
        <v>364800</v>
      </c>
      <c r="T19" s="2" t="s">
        <v>44</v>
      </c>
      <c r="U19" s="36">
        <v>1.0281372</v>
      </c>
      <c r="V19" s="36">
        <v>2.813720703125E-2</v>
      </c>
      <c r="W19" s="37">
        <v>2.2532348632812501E-2</v>
      </c>
      <c r="X19" s="38">
        <v>8219.80078125</v>
      </c>
    </row>
    <row r="20" spans="1:24" x14ac:dyDescent="0.25">
      <c r="A20" s="33" t="s">
        <v>590</v>
      </c>
      <c r="B20" s="33" t="s">
        <v>610</v>
      </c>
      <c r="C20" s="33" t="s">
        <v>394</v>
      </c>
      <c r="D20" s="33" t="s">
        <v>640</v>
      </c>
      <c r="E20" s="33" t="s">
        <v>641</v>
      </c>
      <c r="F20" s="26" t="str">
        <f>HYPERLINK("https://mapwv.gov/flood/map/?wkid=102100&amp;x=-9043790.022856908&amp;y=4777234.262084124&amp;l=13&amp;v=2","FT")</f>
        <v>FT</v>
      </c>
      <c r="G20" s="34" t="s">
        <v>32</v>
      </c>
      <c r="H20" s="34" t="s">
        <v>25</v>
      </c>
      <c r="I20" s="33" t="s">
        <v>698</v>
      </c>
      <c r="J20" s="34" t="s">
        <v>26</v>
      </c>
      <c r="K20" s="34" t="s">
        <v>93</v>
      </c>
      <c r="L20" s="34" t="s">
        <v>51</v>
      </c>
      <c r="M20" s="33" t="s">
        <v>41</v>
      </c>
      <c r="N20" s="3" t="s">
        <v>42</v>
      </c>
      <c r="O20" s="34" t="s">
        <v>114</v>
      </c>
      <c r="P20" s="33" t="s">
        <v>735</v>
      </c>
      <c r="Q20" s="33" t="s">
        <v>43</v>
      </c>
      <c r="R20" s="34" t="s">
        <v>755</v>
      </c>
      <c r="S20" s="35">
        <v>351200</v>
      </c>
      <c r="T20" s="2" t="s">
        <v>44</v>
      </c>
      <c r="U20" s="36">
        <v>7.3093260000000004</v>
      </c>
      <c r="V20" s="36">
        <v>-3.190673828125</v>
      </c>
      <c r="W20" s="37">
        <v>0</v>
      </c>
      <c r="X20" s="38">
        <v>0</v>
      </c>
    </row>
    <row r="21" spans="1:24" x14ac:dyDescent="0.25">
      <c r="A21" s="33" t="s">
        <v>591</v>
      </c>
      <c r="B21" s="33" t="s">
        <v>614</v>
      </c>
      <c r="C21" s="33" t="s">
        <v>394</v>
      </c>
      <c r="D21" s="33" t="s">
        <v>642</v>
      </c>
      <c r="E21" s="33" t="s">
        <v>643</v>
      </c>
      <c r="F21" s="26" t="str">
        <f>HYPERLINK("https://mapwv.gov/flood/map/?wkid=102100&amp;x=-9039805.968078736&amp;y=4777864.22215224&amp;l=13&amp;v=2","FT")</f>
        <v>FT</v>
      </c>
      <c r="G21" s="34" t="s">
        <v>55</v>
      </c>
      <c r="H21" s="34" t="s">
        <v>25</v>
      </c>
      <c r="I21" s="33" t="s">
        <v>699</v>
      </c>
      <c r="J21" s="34" t="s">
        <v>39</v>
      </c>
      <c r="K21" s="34" t="s">
        <v>718</v>
      </c>
      <c r="L21" s="34" t="s">
        <v>27</v>
      </c>
      <c r="M21" s="33" t="s">
        <v>46</v>
      </c>
      <c r="N21" s="3" t="s">
        <v>35</v>
      </c>
      <c r="O21" s="34" t="s">
        <v>116</v>
      </c>
      <c r="P21" s="33" t="s">
        <v>149</v>
      </c>
      <c r="Q21" s="33" t="s">
        <v>30</v>
      </c>
      <c r="R21" s="34" t="s">
        <v>119</v>
      </c>
      <c r="S21" s="35">
        <v>337000</v>
      </c>
      <c r="T21" s="2" t="s">
        <v>44</v>
      </c>
      <c r="U21" s="36">
        <v>1.3499756000000001</v>
      </c>
      <c r="V21" s="36">
        <v>0.3499755859375</v>
      </c>
      <c r="W21" s="37">
        <v>3.8497314453125001E-2</v>
      </c>
      <c r="X21" s="38">
        <v>12973.5949707031</v>
      </c>
    </row>
    <row r="22" spans="1:24" x14ac:dyDescent="0.25">
      <c r="A22" s="33" t="s">
        <v>592</v>
      </c>
      <c r="B22" s="33" t="s">
        <v>610</v>
      </c>
      <c r="C22" s="33" t="s">
        <v>394</v>
      </c>
      <c r="D22" s="33" t="s">
        <v>644</v>
      </c>
      <c r="E22" s="33" t="s">
        <v>645</v>
      </c>
      <c r="F22" s="26" t="str">
        <f>HYPERLINK("https://mapwv.gov/flood/map/?wkid=102100&amp;x=-9055432.202039301&amp;y=4770777.53979905&amp;l=13&amp;v=2","FT")</f>
        <v>FT</v>
      </c>
      <c r="G22" s="34" t="s">
        <v>32</v>
      </c>
      <c r="H22" s="34" t="s">
        <v>25</v>
      </c>
      <c r="I22" s="33" t="s">
        <v>700</v>
      </c>
      <c r="J22" s="34" t="s">
        <v>26</v>
      </c>
      <c r="K22" s="34" t="s">
        <v>127</v>
      </c>
      <c r="L22" s="34" t="s">
        <v>51</v>
      </c>
      <c r="M22" s="33" t="s">
        <v>41</v>
      </c>
      <c r="N22" s="3" t="s">
        <v>42</v>
      </c>
      <c r="O22" s="34" t="s">
        <v>114</v>
      </c>
      <c r="P22" s="33" t="s">
        <v>736</v>
      </c>
      <c r="Q22" s="33" t="s">
        <v>43</v>
      </c>
      <c r="R22" s="34" t="s">
        <v>756</v>
      </c>
      <c r="S22" s="35">
        <v>325200</v>
      </c>
      <c r="T22" s="2" t="s">
        <v>44</v>
      </c>
      <c r="U22" s="36">
        <v>10.513610999999999</v>
      </c>
      <c r="V22" s="36">
        <v>-4.48638916015625</v>
      </c>
      <c r="W22" s="37">
        <v>0</v>
      </c>
      <c r="X22" s="38">
        <v>0</v>
      </c>
    </row>
    <row r="23" spans="1:24" x14ac:dyDescent="0.25">
      <c r="A23" s="33" t="s">
        <v>593</v>
      </c>
      <c r="B23" s="33" t="s">
        <v>610</v>
      </c>
      <c r="C23" s="33" t="s">
        <v>611</v>
      </c>
      <c r="D23" s="33" t="s">
        <v>646</v>
      </c>
      <c r="E23" s="33" t="s">
        <v>647</v>
      </c>
      <c r="F23" s="26" t="str">
        <f>HYPERLINK("https://mapwv.gov/flood/map/?wkid=102100&amp;x=-9053178.055598963&amp;y=4767249.409981274&amp;l=13&amp;v=2","FT")</f>
        <v>FT</v>
      </c>
      <c r="G23" s="34" t="s">
        <v>38</v>
      </c>
      <c r="H23" s="34" t="s">
        <v>25</v>
      </c>
      <c r="I23" s="33" t="s">
        <v>701</v>
      </c>
      <c r="J23" s="34" t="s">
        <v>26</v>
      </c>
      <c r="K23" s="34" t="s">
        <v>86</v>
      </c>
      <c r="L23" s="34" t="s">
        <v>51</v>
      </c>
      <c r="M23" s="33" t="s">
        <v>41</v>
      </c>
      <c r="N23" s="3" t="s">
        <v>42</v>
      </c>
      <c r="O23" s="34" t="s">
        <v>114</v>
      </c>
      <c r="P23" s="33" t="s">
        <v>737</v>
      </c>
      <c r="Q23" s="33" t="s">
        <v>43</v>
      </c>
      <c r="R23" s="34" t="s">
        <v>120</v>
      </c>
      <c r="S23" s="35">
        <v>320800</v>
      </c>
      <c r="T23" s="2" t="s">
        <v>44</v>
      </c>
      <c r="U23" s="36">
        <v>0</v>
      </c>
      <c r="V23" s="36">
        <v>-4</v>
      </c>
      <c r="W23" s="37">
        <v>0</v>
      </c>
      <c r="X23" s="38">
        <v>0</v>
      </c>
    </row>
    <row r="24" spans="1:24" x14ac:dyDescent="0.25">
      <c r="A24" s="33" t="s">
        <v>594</v>
      </c>
      <c r="B24" s="33" t="s">
        <v>614</v>
      </c>
      <c r="C24" s="33" t="s">
        <v>394</v>
      </c>
      <c r="D24" s="33" t="s">
        <v>648</v>
      </c>
      <c r="E24" s="33" t="s">
        <v>649</v>
      </c>
      <c r="F24" s="26" t="str">
        <f>HYPERLINK("https://mapwv.gov/flood/map/?wkid=102100&amp;x=-9039849.407727031&amp;y=4777796.142038265&amp;l=13&amp;v=2","FT")</f>
        <v>FT</v>
      </c>
      <c r="G24" s="34" t="s">
        <v>32</v>
      </c>
      <c r="H24" s="34" t="s">
        <v>25</v>
      </c>
      <c r="I24" s="33" t="s">
        <v>702</v>
      </c>
      <c r="J24" s="34" t="s">
        <v>39</v>
      </c>
      <c r="K24" s="34" t="s">
        <v>92</v>
      </c>
      <c r="L24" s="34" t="s">
        <v>27</v>
      </c>
      <c r="M24" s="33" t="s">
        <v>46</v>
      </c>
      <c r="N24" s="3" t="s">
        <v>35</v>
      </c>
      <c r="O24" s="34" t="s">
        <v>114</v>
      </c>
      <c r="P24" s="33" t="s">
        <v>738</v>
      </c>
      <c r="Q24" s="33" t="s">
        <v>30</v>
      </c>
      <c r="R24" s="34" t="s">
        <v>119</v>
      </c>
      <c r="S24" s="35">
        <v>291300</v>
      </c>
      <c r="T24" s="2" t="s">
        <v>44</v>
      </c>
      <c r="U24" s="36">
        <v>0.87347410000000003</v>
      </c>
      <c r="V24" s="36">
        <v>-0.12652587890625</v>
      </c>
      <c r="W24" s="37">
        <v>0</v>
      </c>
      <c r="X24" s="38">
        <v>0</v>
      </c>
    </row>
    <row r="25" spans="1:24" x14ac:dyDescent="0.25">
      <c r="A25" s="33" t="s">
        <v>595</v>
      </c>
      <c r="B25" s="33" t="s">
        <v>614</v>
      </c>
      <c r="C25" s="33" t="s">
        <v>394</v>
      </c>
      <c r="D25" s="33" t="s">
        <v>650</v>
      </c>
      <c r="E25" s="33" t="s">
        <v>651</v>
      </c>
      <c r="F25" s="26" t="str">
        <f>HYPERLINK("https://mapwv.gov/flood/map/?wkid=102100&amp;x=-9039974.939377215&amp;y=4777509.855114156&amp;l=13&amp;v=2","FT")</f>
        <v>FT</v>
      </c>
      <c r="G25" s="34" t="s">
        <v>32</v>
      </c>
      <c r="H25" s="34" t="s">
        <v>25</v>
      </c>
      <c r="I25" s="33" t="s">
        <v>703</v>
      </c>
      <c r="J25" s="34" t="s">
        <v>39</v>
      </c>
      <c r="K25" s="34" t="s">
        <v>88</v>
      </c>
      <c r="L25" s="34" t="s">
        <v>45</v>
      </c>
      <c r="M25" s="33" t="s">
        <v>52</v>
      </c>
      <c r="N25" s="3" t="s">
        <v>35</v>
      </c>
      <c r="O25" s="34" t="s">
        <v>114</v>
      </c>
      <c r="P25" s="33" t="s">
        <v>739</v>
      </c>
      <c r="Q25" s="33" t="s">
        <v>30</v>
      </c>
      <c r="R25" s="34" t="s">
        <v>119</v>
      </c>
      <c r="S25" s="35">
        <v>277300</v>
      </c>
      <c r="T25" s="2" t="s">
        <v>44</v>
      </c>
      <c r="U25" s="36">
        <v>5.5587160000000004</v>
      </c>
      <c r="V25" s="36">
        <v>4.5587158203125</v>
      </c>
      <c r="W25" s="37">
        <v>0.15117431640625001</v>
      </c>
      <c r="X25" s="38">
        <v>41920.637939453103</v>
      </c>
    </row>
    <row r="26" spans="1:24" x14ac:dyDescent="0.25">
      <c r="A26" s="33" t="s">
        <v>596</v>
      </c>
      <c r="B26" s="33" t="s">
        <v>614</v>
      </c>
      <c r="C26" s="33" t="s">
        <v>394</v>
      </c>
      <c r="D26" s="33" t="s">
        <v>652</v>
      </c>
      <c r="E26" s="33" t="s">
        <v>653</v>
      </c>
      <c r="F26" s="26" t="str">
        <f>HYPERLINK("https://mapwv.gov/flood/map/?wkid=102100&amp;x=-9039992.051743297&amp;y=4777740.610658955&amp;l=13&amp;v=2","FT")</f>
        <v>FT</v>
      </c>
      <c r="G26" s="34" t="s">
        <v>32</v>
      </c>
      <c r="H26" s="34" t="s">
        <v>25</v>
      </c>
      <c r="I26" s="33" t="s">
        <v>704</v>
      </c>
      <c r="J26" s="34" t="s">
        <v>39</v>
      </c>
      <c r="K26" s="34" t="s">
        <v>719</v>
      </c>
      <c r="L26" s="34" t="s">
        <v>27</v>
      </c>
      <c r="M26" s="33" t="s">
        <v>67</v>
      </c>
      <c r="N26" s="3" t="s">
        <v>112</v>
      </c>
      <c r="O26" s="34" t="s">
        <v>114</v>
      </c>
      <c r="P26" s="33" t="s">
        <v>740</v>
      </c>
      <c r="Q26" s="33" t="s">
        <v>30</v>
      </c>
      <c r="R26" s="34" t="s">
        <v>119</v>
      </c>
      <c r="S26" s="35">
        <v>274740</v>
      </c>
      <c r="T26" s="2" t="s">
        <v>31</v>
      </c>
      <c r="U26" s="36">
        <v>0</v>
      </c>
      <c r="V26" s="36">
        <v>-1</v>
      </c>
      <c r="W26" s="37">
        <v>0</v>
      </c>
      <c r="X26" s="38">
        <v>0</v>
      </c>
    </row>
    <row r="27" spans="1:24" x14ac:dyDescent="0.25">
      <c r="A27" s="33" t="s">
        <v>597</v>
      </c>
      <c r="B27" s="33" t="s">
        <v>610</v>
      </c>
      <c r="C27" s="33" t="s">
        <v>394</v>
      </c>
      <c r="D27" s="33" t="s">
        <v>654</v>
      </c>
      <c r="E27" s="33" t="s">
        <v>655</v>
      </c>
      <c r="F27" s="26" t="str">
        <f>HYPERLINK("https://mapwv.gov/flood/map/?wkid=102100&amp;x=-9033872.710575249&amp;y=4784901.089979782&amp;l=13&amp;v=2","FT")</f>
        <v>FT</v>
      </c>
      <c r="G27" s="34" t="s">
        <v>32</v>
      </c>
      <c r="H27" s="34" t="s">
        <v>25</v>
      </c>
      <c r="I27" s="33" t="s">
        <v>705</v>
      </c>
      <c r="J27" s="34" t="s">
        <v>26</v>
      </c>
      <c r="K27" s="34" t="s">
        <v>125</v>
      </c>
      <c r="L27" s="34" t="s">
        <v>51</v>
      </c>
      <c r="M27" s="33" t="s">
        <v>41</v>
      </c>
      <c r="N27" s="3" t="s">
        <v>42</v>
      </c>
      <c r="O27" s="34" t="s">
        <v>114</v>
      </c>
      <c r="P27" s="33" t="s">
        <v>741</v>
      </c>
      <c r="Q27" s="33" t="s">
        <v>43</v>
      </c>
      <c r="R27" s="34" t="s">
        <v>120</v>
      </c>
      <c r="S27" s="35">
        <v>266400</v>
      </c>
      <c r="T27" s="2" t="s">
        <v>44</v>
      </c>
      <c r="U27" s="36">
        <v>7.9935302999999998</v>
      </c>
      <c r="V27" s="36">
        <v>3.9935302734375</v>
      </c>
      <c r="W27" s="37">
        <v>0.51961181640624998</v>
      </c>
      <c r="X27" s="38">
        <v>138424.587890625</v>
      </c>
    </row>
    <row r="28" spans="1:24" x14ac:dyDescent="0.25">
      <c r="A28" s="33" t="s">
        <v>598</v>
      </c>
      <c r="B28" s="33" t="s">
        <v>610</v>
      </c>
      <c r="C28" s="33" t="s">
        <v>656</v>
      </c>
      <c r="D28" s="33" t="s">
        <v>657</v>
      </c>
      <c r="E28" s="33" t="s">
        <v>658</v>
      </c>
      <c r="F28" s="26" t="str">
        <f>HYPERLINK("https://mapwv.gov/flood/map/?wkid=102100&amp;x=-9037210.53244359&amp;y=4768534.080523991&amp;l=13&amp;v=2","FT")</f>
        <v>FT</v>
      </c>
      <c r="G28" s="34" t="s">
        <v>684</v>
      </c>
      <c r="H28" s="34" t="s">
        <v>25</v>
      </c>
      <c r="I28" s="33" t="s">
        <v>706</v>
      </c>
      <c r="J28" s="34" t="s">
        <v>162</v>
      </c>
      <c r="K28" s="34" t="s">
        <v>169</v>
      </c>
      <c r="L28" s="34" t="s">
        <v>27</v>
      </c>
      <c r="M28" s="33" t="s">
        <v>41</v>
      </c>
      <c r="N28" s="3" t="s">
        <v>42</v>
      </c>
      <c r="O28" s="34" t="s">
        <v>114</v>
      </c>
      <c r="P28" s="33" t="s">
        <v>742</v>
      </c>
      <c r="Q28" s="33" t="s">
        <v>53</v>
      </c>
      <c r="R28" s="34" t="s">
        <v>159</v>
      </c>
      <c r="S28" s="35">
        <v>266100</v>
      </c>
      <c r="T28" s="2" t="s">
        <v>44</v>
      </c>
      <c r="U28" s="36">
        <v>0.46772543</v>
      </c>
      <c r="V28" s="36">
        <v>-2.5322745740413599</v>
      </c>
      <c r="W28" s="37">
        <v>0</v>
      </c>
      <c r="X28" s="38">
        <v>0</v>
      </c>
    </row>
    <row r="29" spans="1:24" x14ac:dyDescent="0.25">
      <c r="A29" s="33" t="s">
        <v>599</v>
      </c>
      <c r="B29" s="33" t="s">
        <v>614</v>
      </c>
      <c r="C29" s="33" t="s">
        <v>394</v>
      </c>
      <c r="D29" s="33" t="s">
        <v>659</v>
      </c>
      <c r="E29" s="33" t="s">
        <v>660</v>
      </c>
      <c r="F29" s="26" t="str">
        <f>HYPERLINK("https://mapwv.gov/flood/map/?wkid=102100&amp;x=-9039827.514188817&amp;y=4777463.3697297275&amp;l=13&amp;v=2","FT")</f>
        <v>FT</v>
      </c>
      <c r="G29" s="34" t="s">
        <v>32</v>
      </c>
      <c r="H29" s="34" t="s">
        <v>25</v>
      </c>
      <c r="I29" s="33" t="s">
        <v>707</v>
      </c>
      <c r="J29" s="34" t="s">
        <v>39</v>
      </c>
      <c r="K29" s="34" t="s">
        <v>720</v>
      </c>
      <c r="L29" s="34" t="s">
        <v>58</v>
      </c>
      <c r="M29" s="33" t="s">
        <v>52</v>
      </c>
      <c r="N29" s="3" t="s">
        <v>35</v>
      </c>
      <c r="O29" s="34" t="s">
        <v>114</v>
      </c>
      <c r="P29" s="33" t="s">
        <v>743</v>
      </c>
      <c r="Q29" s="33" t="s">
        <v>30</v>
      </c>
      <c r="R29" s="34" t="s">
        <v>119</v>
      </c>
      <c r="S29" s="35">
        <v>246400</v>
      </c>
      <c r="T29" s="2" t="s">
        <v>44</v>
      </c>
      <c r="U29" s="36">
        <v>3.1599731000000002</v>
      </c>
      <c r="V29" s="36">
        <v>2.15997314453125</v>
      </c>
      <c r="W29" s="37">
        <v>0.111599731445312</v>
      </c>
      <c r="X29" s="38">
        <v>27498.173828125</v>
      </c>
    </row>
    <row r="30" spans="1:24" x14ac:dyDescent="0.25">
      <c r="A30" s="33" t="s">
        <v>600</v>
      </c>
      <c r="B30" s="33" t="s">
        <v>610</v>
      </c>
      <c r="C30" s="33" t="s">
        <v>661</v>
      </c>
      <c r="D30" s="33" t="s">
        <v>662</v>
      </c>
      <c r="E30" s="33" t="s">
        <v>663</v>
      </c>
      <c r="F30" s="26" t="str">
        <f>HYPERLINK("https://mapwv.gov/flood/map/?wkid=102100&amp;x=-9047206.294909993&amp;y=4771239.809474537&amp;l=13&amp;v=2","FT")</f>
        <v>FT</v>
      </c>
      <c r="G30" s="34" t="s">
        <v>684</v>
      </c>
      <c r="H30" s="34" t="s">
        <v>25</v>
      </c>
      <c r="I30" s="33" t="s">
        <v>708</v>
      </c>
      <c r="J30" s="34" t="s">
        <v>162</v>
      </c>
      <c r="K30" s="34" t="s">
        <v>100</v>
      </c>
      <c r="L30" s="34" t="s">
        <v>45</v>
      </c>
      <c r="M30" s="33" t="s">
        <v>41</v>
      </c>
      <c r="N30" s="3" t="s">
        <v>42</v>
      </c>
      <c r="O30" s="34" t="s">
        <v>115</v>
      </c>
      <c r="P30" s="33" t="s">
        <v>744</v>
      </c>
      <c r="Q30" s="33" t="s">
        <v>30</v>
      </c>
      <c r="R30" s="34" t="s">
        <v>119</v>
      </c>
      <c r="S30" s="35">
        <v>233100</v>
      </c>
      <c r="T30" s="2" t="s">
        <v>44</v>
      </c>
      <c r="U30" s="36">
        <v>0.11611385</v>
      </c>
      <c r="V30" s="36">
        <v>-0.88388615101575796</v>
      </c>
      <c r="W30" s="37">
        <v>1.27725233882665E-2</v>
      </c>
      <c r="X30" s="38">
        <v>2977.27520180493</v>
      </c>
    </row>
    <row r="31" spans="1:24" x14ac:dyDescent="0.25">
      <c r="A31" s="33" t="s">
        <v>601</v>
      </c>
      <c r="B31" s="33" t="s">
        <v>614</v>
      </c>
      <c r="C31" s="33" t="s">
        <v>394</v>
      </c>
      <c r="D31" s="33" t="s">
        <v>664</v>
      </c>
      <c r="E31" s="33" t="s">
        <v>665</v>
      </c>
      <c r="F31" s="26" t="str">
        <f>HYPERLINK("https://mapwv.gov/flood/map/?wkid=102100&amp;x=-9039754.163438627&amp;y=4777821.396495358&amp;l=13&amp;v=2","FT")</f>
        <v>FT</v>
      </c>
      <c r="G31" s="34" t="s">
        <v>55</v>
      </c>
      <c r="H31" s="34" t="s">
        <v>25</v>
      </c>
      <c r="I31" s="33" t="s">
        <v>709</v>
      </c>
      <c r="J31" s="34" t="s">
        <v>36</v>
      </c>
      <c r="K31" s="34" t="s">
        <v>87</v>
      </c>
      <c r="L31" s="34"/>
      <c r="M31" s="33" t="s">
        <v>28</v>
      </c>
      <c r="N31" s="3" t="s">
        <v>111</v>
      </c>
      <c r="O31" s="34" t="s">
        <v>114</v>
      </c>
      <c r="P31" s="33" t="s">
        <v>745</v>
      </c>
      <c r="Q31" s="33" t="s">
        <v>30</v>
      </c>
      <c r="R31" s="34" t="s">
        <v>119</v>
      </c>
      <c r="S31" s="35">
        <v>232710</v>
      </c>
      <c r="T31" s="2" t="s">
        <v>31</v>
      </c>
      <c r="U31" s="36">
        <v>5.5480956999999997E-2</v>
      </c>
      <c r="V31" s="36">
        <v>-0.94451904296875</v>
      </c>
      <c r="W31" s="37">
        <v>0</v>
      </c>
      <c r="X31" s="38">
        <v>0</v>
      </c>
    </row>
    <row r="32" spans="1:24" x14ac:dyDescent="0.25">
      <c r="A32" s="33" t="s">
        <v>602</v>
      </c>
      <c r="B32" s="33" t="s">
        <v>610</v>
      </c>
      <c r="C32" s="33" t="s">
        <v>666</v>
      </c>
      <c r="D32" s="33" t="s">
        <v>667</v>
      </c>
      <c r="E32" s="33" t="s">
        <v>668</v>
      </c>
      <c r="F32" s="26" t="str">
        <f>HYPERLINK("https://mapwv.gov/flood/map/?wkid=102100&amp;x=-9029831.650978277&amp;y=4774630.44756623&amp;l=13&amp;v=2","FT")</f>
        <v>FT</v>
      </c>
      <c r="G32" s="34" t="s">
        <v>684</v>
      </c>
      <c r="H32" s="34" t="s">
        <v>25</v>
      </c>
      <c r="I32" s="33" t="s">
        <v>710</v>
      </c>
      <c r="J32" s="34" t="s">
        <v>162</v>
      </c>
      <c r="K32" s="34" t="s">
        <v>94</v>
      </c>
      <c r="L32" s="34" t="s">
        <v>45</v>
      </c>
      <c r="M32" s="33" t="s">
        <v>41</v>
      </c>
      <c r="N32" s="3" t="s">
        <v>42</v>
      </c>
      <c r="O32" s="34" t="s">
        <v>114</v>
      </c>
      <c r="P32" s="33" t="s">
        <v>746</v>
      </c>
      <c r="Q32" s="33" t="s">
        <v>53</v>
      </c>
      <c r="R32" s="34" t="s">
        <v>159</v>
      </c>
      <c r="S32" s="35">
        <v>225800</v>
      </c>
      <c r="T32" s="2" t="s">
        <v>44</v>
      </c>
      <c r="U32" s="36">
        <v>2.9694246999999998</v>
      </c>
      <c r="V32" s="36">
        <v>-3.0575275421142498E-2</v>
      </c>
      <c r="W32" s="37">
        <v>0.12694247245788501</v>
      </c>
      <c r="X32" s="38">
        <v>28663.610280990499</v>
      </c>
    </row>
    <row r="33" spans="1:24" x14ac:dyDescent="0.25">
      <c r="A33" s="33" t="s">
        <v>603</v>
      </c>
      <c r="B33" s="33" t="s">
        <v>610</v>
      </c>
      <c r="C33" s="33" t="s">
        <v>394</v>
      </c>
      <c r="D33" s="33" t="s">
        <v>669</v>
      </c>
      <c r="E33" s="33" t="s">
        <v>670</v>
      </c>
      <c r="F33" s="26" t="str">
        <f>HYPERLINK("https://mapwv.gov/flood/map/?wkid=102100&amp;x=-9043927.086649738&amp;y=4777219.672213604&amp;l=13&amp;v=2","FT")</f>
        <v>FT</v>
      </c>
      <c r="G33" s="34" t="s">
        <v>32</v>
      </c>
      <c r="H33" s="34" t="s">
        <v>25</v>
      </c>
      <c r="I33" s="33" t="s">
        <v>711</v>
      </c>
      <c r="J33" s="34" t="s">
        <v>26</v>
      </c>
      <c r="K33" s="34" t="s">
        <v>93</v>
      </c>
      <c r="L33" s="34" t="s">
        <v>51</v>
      </c>
      <c r="M33" s="33" t="s">
        <v>41</v>
      </c>
      <c r="N33" s="3" t="s">
        <v>42</v>
      </c>
      <c r="O33" s="34" t="s">
        <v>114</v>
      </c>
      <c r="P33" s="33" t="s">
        <v>747</v>
      </c>
      <c r="Q33" s="33" t="s">
        <v>43</v>
      </c>
      <c r="R33" s="34" t="s">
        <v>120</v>
      </c>
      <c r="S33" s="35">
        <v>224200</v>
      </c>
      <c r="T33" s="2" t="s">
        <v>44</v>
      </c>
      <c r="U33" s="36">
        <v>4.6701050000000004</v>
      </c>
      <c r="V33" s="36">
        <v>0.67010498046875</v>
      </c>
      <c r="W33" s="37">
        <v>0.300206298828125</v>
      </c>
      <c r="X33" s="38">
        <v>67306.252197265596</v>
      </c>
    </row>
    <row r="34" spans="1:24" x14ac:dyDescent="0.25">
      <c r="A34" s="33" t="s">
        <v>604</v>
      </c>
      <c r="B34" s="33" t="s">
        <v>610</v>
      </c>
      <c r="C34" s="33" t="s">
        <v>671</v>
      </c>
      <c r="D34" s="33" t="s">
        <v>672</v>
      </c>
      <c r="E34" s="33" t="s">
        <v>673</v>
      </c>
      <c r="F34" s="26" t="str">
        <f>HYPERLINK("https://mapwv.gov/flood/map/?wkid=102100&amp;x=-9026162.127862869&amp;y=4781971.032661092&amp;l=13&amp;v=2","FT")</f>
        <v>FT</v>
      </c>
      <c r="G34" s="34" t="s">
        <v>32</v>
      </c>
      <c r="H34" s="34" t="s">
        <v>25</v>
      </c>
      <c r="I34" s="33" t="s">
        <v>712</v>
      </c>
      <c r="J34" s="34" t="s">
        <v>26</v>
      </c>
      <c r="K34" s="34" t="s">
        <v>138</v>
      </c>
      <c r="L34" s="34" t="s">
        <v>51</v>
      </c>
      <c r="M34" s="33" t="s">
        <v>41</v>
      </c>
      <c r="N34" s="3" t="s">
        <v>42</v>
      </c>
      <c r="O34" s="34" t="s">
        <v>115</v>
      </c>
      <c r="P34" s="33" t="s">
        <v>748</v>
      </c>
      <c r="Q34" s="33" t="s">
        <v>43</v>
      </c>
      <c r="R34" s="34" t="s">
        <v>120</v>
      </c>
      <c r="S34" s="35">
        <v>221300</v>
      </c>
      <c r="T34" s="2" t="s">
        <v>44</v>
      </c>
      <c r="U34" s="36">
        <v>2.3331300000000001</v>
      </c>
      <c r="V34" s="36">
        <v>-1.6668701171875</v>
      </c>
      <c r="W34" s="37">
        <v>9.9987792968750003E-2</v>
      </c>
      <c r="X34" s="38">
        <v>22127.298583984299</v>
      </c>
    </row>
    <row r="35" spans="1:24" x14ac:dyDescent="0.25">
      <c r="A35" s="33" t="s">
        <v>605</v>
      </c>
      <c r="B35" s="33" t="s">
        <v>610</v>
      </c>
      <c r="C35" s="33" t="s">
        <v>671</v>
      </c>
      <c r="D35" s="33" t="s">
        <v>674</v>
      </c>
      <c r="E35" s="33" t="s">
        <v>675</v>
      </c>
      <c r="F35" s="26" t="str">
        <f>HYPERLINK("https://mapwv.gov/flood/map/?wkid=102100&amp;x=-9037360.336306864&amp;y=4779194.540021412&amp;l=13&amp;v=2","FT")</f>
        <v>FT</v>
      </c>
      <c r="G35" s="34" t="s">
        <v>32</v>
      </c>
      <c r="H35" s="34" t="s">
        <v>25</v>
      </c>
      <c r="I35" s="33" t="s">
        <v>713</v>
      </c>
      <c r="J35" s="34" t="s">
        <v>39</v>
      </c>
      <c r="K35" s="34" t="s">
        <v>90</v>
      </c>
      <c r="L35" s="34" t="s">
        <v>27</v>
      </c>
      <c r="M35" s="33" t="s">
        <v>41</v>
      </c>
      <c r="N35" s="3" t="s">
        <v>42</v>
      </c>
      <c r="O35" s="34" t="s">
        <v>114</v>
      </c>
      <c r="P35" s="33" t="s">
        <v>749</v>
      </c>
      <c r="Q35" s="33" t="s">
        <v>43</v>
      </c>
      <c r="R35" s="34" t="s">
        <v>120</v>
      </c>
      <c r="S35" s="35">
        <v>214600</v>
      </c>
      <c r="T35" s="2" t="s">
        <v>44</v>
      </c>
      <c r="U35" s="36">
        <v>0</v>
      </c>
      <c r="V35" s="36">
        <v>-4</v>
      </c>
      <c r="W35" s="37">
        <v>0</v>
      </c>
      <c r="X35" s="38">
        <v>0</v>
      </c>
    </row>
    <row r="36" spans="1:24" x14ac:dyDescent="0.25">
      <c r="A36" s="33" t="s">
        <v>606</v>
      </c>
      <c r="B36" s="33" t="s">
        <v>610</v>
      </c>
      <c r="C36" s="33" t="s">
        <v>394</v>
      </c>
      <c r="D36" s="33" t="s">
        <v>676</v>
      </c>
      <c r="E36" s="33" t="s">
        <v>677</v>
      </c>
      <c r="F36" s="26" t="str">
        <f>HYPERLINK("https://mapwv.gov/flood/map/?wkid=102100&amp;x=-9034329.572333314&amp;y=4784783.659233749&amp;l=13&amp;v=2","FT")</f>
        <v>FT</v>
      </c>
      <c r="G36" s="34" t="s">
        <v>32</v>
      </c>
      <c r="H36" s="34" t="s">
        <v>25</v>
      </c>
      <c r="I36" s="33" t="s">
        <v>714</v>
      </c>
      <c r="J36" s="34" t="s">
        <v>26</v>
      </c>
      <c r="K36" s="34" t="s">
        <v>89</v>
      </c>
      <c r="L36" s="34" t="s">
        <v>45</v>
      </c>
      <c r="M36" s="33" t="s">
        <v>41</v>
      </c>
      <c r="N36" s="3" t="s">
        <v>42</v>
      </c>
      <c r="O36" s="34" t="s">
        <v>114</v>
      </c>
      <c r="P36" s="33" t="s">
        <v>750</v>
      </c>
      <c r="Q36" s="33" t="s">
        <v>30</v>
      </c>
      <c r="R36" s="34" t="s">
        <v>757</v>
      </c>
      <c r="S36" s="35">
        <v>205300</v>
      </c>
      <c r="T36" s="2" t="s">
        <v>44</v>
      </c>
      <c r="U36" s="36">
        <v>8.3785399999999992</v>
      </c>
      <c r="V36" s="36">
        <v>2.8785400390625</v>
      </c>
      <c r="W36" s="37">
        <v>0.39028320312499998</v>
      </c>
      <c r="X36" s="38">
        <v>80125.1416015625</v>
      </c>
    </row>
    <row r="37" spans="1:24" x14ac:dyDescent="0.25">
      <c r="A37" s="33" t="s">
        <v>607</v>
      </c>
      <c r="B37" s="33" t="s">
        <v>610</v>
      </c>
      <c r="C37" s="33" t="s">
        <v>394</v>
      </c>
      <c r="D37" s="33" t="s">
        <v>678</v>
      </c>
      <c r="E37" s="33" t="s">
        <v>679</v>
      </c>
      <c r="F37" s="26" t="str">
        <f>HYPERLINK("https://mapwv.gov/flood/map/?wkid=102100&amp;x=-9035555.656670822&amp;y=4783747.738756333&amp;l=13&amp;v=2","FT")</f>
        <v>FT</v>
      </c>
      <c r="G37" s="34" t="s">
        <v>32</v>
      </c>
      <c r="H37" s="34" t="s">
        <v>25</v>
      </c>
      <c r="I37" s="33" t="s">
        <v>715</v>
      </c>
      <c r="J37" s="34" t="s">
        <v>39</v>
      </c>
      <c r="K37" s="34" t="s">
        <v>143</v>
      </c>
      <c r="L37" s="34"/>
      <c r="M37" s="33" t="s">
        <v>28</v>
      </c>
      <c r="N37" s="3" t="s">
        <v>111</v>
      </c>
      <c r="O37" s="34" t="s">
        <v>114</v>
      </c>
      <c r="P37" s="33" t="s">
        <v>751</v>
      </c>
      <c r="Q37" s="33" t="s">
        <v>30</v>
      </c>
      <c r="R37" s="34" t="s">
        <v>119</v>
      </c>
      <c r="S37" s="35">
        <v>201750</v>
      </c>
      <c r="T37" s="2" t="s">
        <v>121</v>
      </c>
      <c r="U37" s="36">
        <v>2.8221436</v>
      </c>
      <c r="V37" s="36">
        <v>1.8221435546875</v>
      </c>
      <c r="W37" s="37">
        <v>7.4664306640624997E-2</v>
      </c>
      <c r="X37" s="38">
        <v>15063.523864745999</v>
      </c>
    </row>
    <row r="38" spans="1:24" x14ac:dyDescent="0.25">
      <c r="A38" s="33" t="s">
        <v>608</v>
      </c>
      <c r="B38" s="33" t="s">
        <v>614</v>
      </c>
      <c r="C38" s="33" t="s">
        <v>394</v>
      </c>
      <c r="D38" s="33" t="s">
        <v>680</v>
      </c>
      <c r="E38" s="33" t="s">
        <v>681</v>
      </c>
      <c r="F38" s="26" t="str">
        <f>HYPERLINK("https://mapwv.gov/flood/map/?wkid=102100&amp;x=-9039841.458624832&amp;y=4777805.4898198955&amp;l=13&amp;v=2","FT")</f>
        <v>FT</v>
      </c>
      <c r="G38" s="34" t="s">
        <v>32</v>
      </c>
      <c r="H38" s="34" t="s">
        <v>25</v>
      </c>
      <c r="I38" s="33" t="s">
        <v>702</v>
      </c>
      <c r="J38" s="34" t="s">
        <v>39</v>
      </c>
      <c r="K38" s="34" t="s">
        <v>721</v>
      </c>
      <c r="L38" s="34" t="s">
        <v>27</v>
      </c>
      <c r="M38" s="33" t="s">
        <v>46</v>
      </c>
      <c r="N38" s="3" t="s">
        <v>35</v>
      </c>
      <c r="O38" s="34" t="s">
        <v>116</v>
      </c>
      <c r="P38" s="33" t="s">
        <v>752</v>
      </c>
      <c r="Q38" s="33" t="s">
        <v>30</v>
      </c>
      <c r="R38" s="34" t="s">
        <v>119</v>
      </c>
      <c r="S38" s="35">
        <v>201300</v>
      </c>
      <c r="T38" s="2" t="s">
        <v>44</v>
      </c>
      <c r="U38" s="36">
        <v>0.80584716999999995</v>
      </c>
      <c r="V38" s="36">
        <v>-0.19415283203125</v>
      </c>
      <c r="W38" s="37">
        <v>0</v>
      </c>
      <c r="X38" s="38">
        <v>0</v>
      </c>
    </row>
    <row r="39" spans="1:24" x14ac:dyDescent="0.25">
      <c r="A39" s="33" t="s">
        <v>609</v>
      </c>
      <c r="B39" s="33" t="s">
        <v>610</v>
      </c>
      <c r="C39" s="33" t="s">
        <v>394</v>
      </c>
      <c r="D39" s="33" t="s">
        <v>682</v>
      </c>
      <c r="E39" s="33" t="s">
        <v>683</v>
      </c>
      <c r="F39" s="26" t="str">
        <f>HYPERLINK("https://mapwv.gov/flood/map/?wkid=102100&amp;x=-9054854.473474313&amp;y=4771160.817514177&amp;l=13&amp;v=2","FT")</f>
        <v>FT</v>
      </c>
      <c r="G39" s="34" t="s">
        <v>32</v>
      </c>
      <c r="H39" s="34" t="s">
        <v>25</v>
      </c>
      <c r="I39" s="33" t="s">
        <v>716</v>
      </c>
      <c r="J39" s="34" t="s">
        <v>26</v>
      </c>
      <c r="K39" s="34" t="s">
        <v>138</v>
      </c>
      <c r="L39" s="34" t="s">
        <v>51</v>
      </c>
      <c r="M39" s="33" t="s">
        <v>41</v>
      </c>
      <c r="N39" s="3" t="s">
        <v>42</v>
      </c>
      <c r="O39" s="34" t="s">
        <v>114</v>
      </c>
      <c r="P39" s="33" t="s">
        <v>753</v>
      </c>
      <c r="Q39" s="33" t="s">
        <v>30</v>
      </c>
      <c r="R39" s="34" t="s">
        <v>758</v>
      </c>
      <c r="S39" s="35">
        <v>200300</v>
      </c>
      <c r="T39" s="2" t="s">
        <v>44</v>
      </c>
      <c r="U39" s="36">
        <v>12.750305000000001</v>
      </c>
      <c r="V39" s="36">
        <v>8.6503051757812504</v>
      </c>
      <c r="W39" s="37">
        <v>0.69601220703125</v>
      </c>
      <c r="X39" s="38">
        <v>139411.24506835901</v>
      </c>
    </row>
  </sheetData>
  <hyperlinks>
    <hyperlink ref="J3" r:id="rId1" xr:uid="{9AC498F8-0EE9-4C42-9C42-F436E9CE2238}"/>
    <hyperlink ref="M3" r:id="rId2" xr:uid="{3B5DC6DE-6D3C-44FA-A4BB-6E0A7690F0F9}"/>
    <hyperlink ref="Q3" r:id="rId3" xr:uid="{CCF2A4E6-A5BF-4223-9935-FE18997DAA05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675978-1AB2-4210-B4B7-564627405794}">
  <dimension ref="A1:X51"/>
  <sheetViews>
    <sheetView workbookViewId="0">
      <pane ySplit="6" topLeftCell="A7" activePane="bottomLeft" state="frozen"/>
      <selection pane="bottomLeft" sqref="A1:A1048576"/>
    </sheetView>
  </sheetViews>
  <sheetFormatPr defaultRowHeight="15" x14ac:dyDescent="0.25"/>
  <cols>
    <col min="1" max="1" width="37" bestFit="1" customWidth="1"/>
    <col min="2" max="2" width="21.42578125" bestFit="1" customWidth="1"/>
    <col min="3" max="3" width="20.85546875" bestFit="1" customWidth="1"/>
    <col min="7" max="7" width="11.140625" customWidth="1"/>
    <col min="10" max="10" width="8.85546875" style="8"/>
    <col min="13" max="13" width="11.28515625" customWidth="1"/>
    <col min="14" max="14" width="11.42578125" customWidth="1"/>
    <col min="17" max="17" width="11.140625" customWidth="1"/>
    <col min="18" max="18" width="8.85546875" style="8"/>
    <col min="19" max="19" width="21.7109375" bestFit="1" customWidth="1"/>
    <col min="24" max="24" width="8.5703125" bestFit="1" customWidth="1"/>
  </cols>
  <sheetData>
    <row r="1" spans="1:24" ht="14.25" customHeight="1" x14ac:dyDescent="0.25">
      <c r="A1" s="5" t="s">
        <v>75</v>
      </c>
      <c r="B1" s="5"/>
      <c r="C1" s="5"/>
      <c r="D1" s="5"/>
      <c r="F1" s="19" t="s">
        <v>76</v>
      </c>
      <c r="G1" s="8"/>
      <c r="H1" s="8"/>
      <c r="K1" s="8"/>
      <c r="L1" s="8"/>
      <c r="N1" s="7" t="s">
        <v>77</v>
      </c>
      <c r="O1" s="8"/>
      <c r="P1" s="8"/>
      <c r="S1" s="9" t="s">
        <v>78</v>
      </c>
      <c r="U1" s="10"/>
      <c r="V1" s="10"/>
      <c r="W1" s="11"/>
      <c r="X1" s="12"/>
    </row>
    <row r="2" spans="1:24" x14ac:dyDescent="0.25">
      <c r="A2" s="13">
        <v>44481</v>
      </c>
      <c r="B2" s="14" t="s">
        <v>79</v>
      </c>
      <c r="F2" s="8"/>
      <c r="G2" s="8"/>
      <c r="H2" s="8"/>
      <c r="K2" s="8"/>
      <c r="L2" s="8"/>
      <c r="N2" s="15" t="s">
        <v>42</v>
      </c>
      <c r="O2" s="8"/>
      <c r="P2" s="8"/>
      <c r="S2" s="9"/>
      <c r="U2" s="10"/>
      <c r="V2" s="10"/>
      <c r="W2" s="11"/>
      <c r="X2" s="12"/>
    </row>
    <row r="3" spans="1:24" x14ac:dyDescent="0.25">
      <c r="A3" t="s">
        <v>81</v>
      </c>
      <c r="B3" s="49" t="s">
        <v>2291</v>
      </c>
      <c r="F3" s="8"/>
      <c r="G3" s="8"/>
      <c r="H3" s="8"/>
      <c r="J3" s="18" t="s">
        <v>80</v>
      </c>
      <c r="K3" s="8"/>
      <c r="L3" s="8"/>
      <c r="M3" s="16" t="s">
        <v>80</v>
      </c>
      <c r="N3" s="7"/>
      <c r="O3" s="8"/>
      <c r="P3" s="8"/>
      <c r="Q3" s="16" t="s">
        <v>80</v>
      </c>
      <c r="R3" s="17"/>
      <c r="S3" s="9"/>
      <c r="U3" s="10"/>
      <c r="V3" s="10"/>
      <c r="W3" s="11"/>
      <c r="X3" s="12"/>
    </row>
    <row r="4" spans="1:24" x14ac:dyDescent="0.25">
      <c r="F4" s="8"/>
      <c r="G4" s="8"/>
      <c r="H4" s="8"/>
      <c r="K4" s="8"/>
      <c r="L4" s="8"/>
      <c r="N4" s="7"/>
      <c r="O4" s="8"/>
      <c r="P4" s="8"/>
      <c r="S4" s="9"/>
      <c r="U4" s="10"/>
      <c r="V4" s="10"/>
      <c r="W4" s="11"/>
      <c r="X4" s="12"/>
    </row>
    <row r="5" spans="1:24" x14ac:dyDescent="0.25">
      <c r="A5" s="1" t="s">
        <v>759</v>
      </c>
      <c r="F5" s="8"/>
      <c r="G5" s="8"/>
      <c r="H5" s="8"/>
      <c r="K5" s="8"/>
      <c r="L5" s="8"/>
      <c r="O5" s="8"/>
      <c r="P5" s="8"/>
      <c r="S5" s="39" t="s">
        <v>168</v>
      </c>
      <c r="U5" s="8"/>
      <c r="V5" s="8"/>
      <c r="W5" s="11"/>
      <c r="X5" s="12"/>
    </row>
    <row r="6" spans="1:24" ht="60" x14ac:dyDescent="0.25">
      <c r="A6" s="27" t="s">
        <v>0</v>
      </c>
      <c r="B6" s="20" t="s">
        <v>1</v>
      </c>
      <c r="C6" s="20" t="s">
        <v>2</v>
      </c>
      <c r="D6" s="28" t="s">
        <v>3</v>
      </c>
      <c r="E6" s="28" t="s">
        <v>4</v>
      </c>
      <c r="F6" s="20" t="s">
        <v>5</v>
      </c>
      <c r="G6" s="20" t="s">
        <v>6</v>
      </c>
      <c r="H6" s="27" t="s">
        <v>7</v>
      </c>
      <c r="I6" s="20" t="s">
        <v>8</v>
      </c>
      <c r="J6" s="27" t="s">
        <v>9</v>
      </c>
      <c r="K6" s="28" t="s">
        <v>10</v>
      </c>
      <c r="L6" s="20" t="s">
        <v>11</v>
      </c>
      <c r="M6" s="28" t="s">
        <v>12</v>
      </c>
      <c r="N6" s="21" t="s">
        <v>13</v>
      </c>
      <c r="O6" s="28" t="s">
        <v>14</v>
      </c>
      <c r="P6" s="28" t="s">
        <v>15</v>
      </c>
      <c r="Q6" s="28" t="s">
        <v>16</v>
      </c>
      <c r="R6" s="28" t="s">
        <v>17</v>
      </c>
      <c r="S6" s="22" t="s">
        <v>18</v>
      </c>
      <c r="T6" s="20" t="s">
        <v>19</v>
      </c>
      <c r="U6" s="31" t="s">
        <v>20</v>
      </c>
      <c r="V6" s="31" t="s">
        <v>21</v>
      </c>
      <c r="W6" s="32" t="s">
        <v>22</v>
      </c>
      <c r="X6" s="23" t="s">
        <v>23</v>
      </c>
    </row>
    <row r="7" spans="1:24" x14ac:dyDescent="0.25">
      <c r="A7" s="33" t="s">
        <v>2292</v>
      </c>
      <c r="B7" s="33" t="s">
        <v>808</v>
      </c>
      <c r="C7" s="33" t="s">
        <v>811</v>
      </c>
      <c r="D7" s="33" t="s">
        <v>2293</v>
      </c>
      <c r="E7" s="33" t="s">
        <v>2294</v>
      </c>
      <c r="F7" s="50" t="str">
        <f>HYPERLINK("https://www.mapwv.gov/flood/map/?wkid=102100&amp;x=-9015449&amp;y=4761319&amp;l=12&amp;v=2","FT")</f>
        <v>FT</v>
      </c>
      <c r="G7" s="44" t="s">
        <v>684</v>
      </c>
      <c r="H7" s="27" t="s">
        <v>25</v>
      </c>
      <c r="I7" s="33" t="s">
        <v>2295</v>
      </c>
      <c r="J7" s="34" t="s">
        <v>26</v>
      </c>
      <c r="K7" s="28">
        <v>9999</v>
      </c>
      <c r="L7" s="20"/>
      <c r="M7" s="33" t="s">
        <v>28</v>
      </c>
      <c r="N7" s="3" t="s">
        <v>111</v>
      </c>
      <c r="O7" s="28">
        <v>1</v>
      </c>
      <c r="P7" s="51">
        <v>11000</v>
      </c>
      <c r="Q7" s="33" t="s">
        <v>30</v>
      </c>
      <c r="R7" s="34" t="s">
        <v>119</v>
      </c>
      <c r="S7" s="35">
        <v>6000000</v>
      </c>
      <c r="T7" s="20" t="s">
        <v>29</v>
      </c>
      <c r="U7" s="31"/>
      <c r="V7" s="31"/>
      <c r="W7" s="32"/>
      <c r="X7" s="23"/>
    </row>
    <row r="8" spans="1:24" x14ac:dyDescent="0.25">
      <c r="A8" s="33" t="s">
        <v>760</v>
      </c>
      <c r="B8" s="33" t="s">
        <v>804</v>
      </c>
      <c r="C8" s="33" t="s">
        <v>805</v>
      </c>
      <c r="D8" s="33" t="s">
        <v>806</v>
      </c>
      <c r="E8" s="33" t="s">
        <v>807</v>
      </c>
      <c r="F8" s="26" t="str">
        <f>HYPERLINK("https://mapwv.gov/flood/map/?wkid=102100&amp;x=-9015563.088897018&amp;y=4762222.826355537&amp;l=13&amp;v=2","FT")</f>
        <v>FT</v>
      </c>
      <c r="G8" s="44" t="s">
        <v>38</v>
      </c>
      <c r="H8" s="34" t="s">
        <v>25</v>
      </c>
      <c r="I8" s="33" t="s">
        <v>918</v>
      </c>
      <c r="J8" s="34" t="s">
        <v>26</v>
      </c>
      <c r="K8" s="34" t="s">
        <v>140</v>
      </c>
      <c r="L8" s="34" t="s">
        <v>58</v>
      </c>
      <c r="M8" s="33" t="s">
        <v>73</v>
      </c>
      <c r="N8" s="3" t="s">
        <v>111</v>
      </c>
      <c r="O8" s="29" t="s">
        <v>114</v>
      </c>
      <c r="P8" s="30" t="s">
        <v>972</v>
      </c>
      <c r="Q8" s="33" t="s">
        <v>30</v>
      </c>
      <c r="R8" s="34" t="s">
        <v>119</v>
      </c>
      <c r="S8" s="35">
        <v>750000</v>
      </c>
      <c r="T8" s="2" t="s">
        <v>70</v>
      </c>
      <c r="U8" s="36">
        <v>0</v>
      </c>
      <c r="V8" s="36">
        <v>-1</v>
      </c>
      <c r="W8" s="37">
        <v>0</v>
      </c>
      <c r="X8" s="38">
        <v>0</v>
      </c>
    </row>
    <row r="9" spans="1:24" x14ac:dyDescent="0.25">
      <c r="A9" s="33" t="s">
        <v>761</v>
      </c>
      <c r="B9" s="33" t="s">
        <v>808</v>
      </c>
      <c r="C9" s="33" t="s">
        <v>805</v>
      </c>
      <c r="D9" s="33" t="s">
        <v>809</v>
      </c>
      <c r="E9" s="33" t="s">
        <v>810</v>
      </c>
      <c r="F9" s="26" t="str">
        <f>HYPERLINK("https://mapwv.gov/flood/map/?wkid=102100&amp;x=-9015468.827893674&amp;y=4761894.245955981&amp;l=13&amp;v=2","FT")</f>
        <v>FT</v>
      </c>
      <c r="G9" s="44" t="s">
        <v>38</v>
      </c>
      <c r="H9" s="34" t="s">
        <v>25</v>
      </c>
      <c r="I9" s="33" t="s">
        <v>919</v>
      </c>
      <c r="J9" s="34" t="s">
        <v>39</v>
      </c>
      <c r="K9" s="34" t="s">
        <v>103</v>
      </c>
      <c r="L9" s="34" t="s">
        <v>27</v>
      </c>
      <c r="M9" s="33" t="s">
        <v>48</v>
      </c>
      <c r="N9" s="3" t="s">
        <v>35</v>
      </c>
      <c r="O9" s="29" t="s">
        <v>114</v>
      </c>
      <c r="P9" s="30" t="s">
        <v>973</v>
      </c>
      <c r="Q9" s="33" t="s">
        <v>30</v>
      </c>
      <c r="R9" s="34" t="s">
        <v>119</v>
      </c>
      <c r="S9" s="35">
        <v>547800</v>
      </c>
      <c r="T9" s="2" t="s">
        <v>44</v>
      </c>
      <c r="U9" s="36">
        <v>0</v>
      </c>
      <c r="V9" s="36">
        <v>-1</v>
      </c>
      <c r="W9" s="37">
        <v>0</v>
      </c>
      <c r="X9" s="38">
        <v>0</v>
      </c>
    </row>
    <row r="10" spans="1:24" x14ac:dyDescent="0.25">
      <c r="A10" s="33" t="s">
        <v>762</v>
      </c>
      <c r="B10" s="33" t="s">
        <v>808</v>
      </c>
      <c r="C10" s="33" t="s">
        <v>811</v>
      </c>
      <c r="D10" s="33" t="s">
        <v>812</v>
      </c>
      <c r="E10" s="33" t="s">
        <v>813</v>
      </c>
      <c r="F10" s="26" t="str">
        <f>HYPERLINK("https://mapwv.gov/flood/map/?wkid=102100&amp;x=-9014341.241045374&amp;y=4762401.320200049&amp;l=13&amp;v=2","FT")</f>
        <v>FT</v>
      </c>
      <c r="G10" s="44" t="s">
        <v>38</v>
      </c>
      <c r="H10" s="34" t="s">
        <v>25</v>
      </c>
      <c r="I10" s="33" t="s">
        <v>920</v>
      </c>
      <c r="J10" s="34" t="s">
        <v>26</v>
      </c>
      <c r="K10" s="34" t="s">
        <v>101</v>
      </c>
      <c r="L10" s="34" t="s">
        <v>54</v>
      </c>
      <c r="M10" s="33" t="s">
        <v>48</v>
      </c>
      <c r="N10" s="3" t="s">
        <v>35</v>
      </c>
      <c r="O10" s="29" t="s">
        <v>114</v>
      </c>
      <c r="P10" s="30" t="s">
        <v>974</v>
      </c>
      <c r="Q10" s="33" t="s">
        <v>30</v>
      </c>
      <c r="R10" s="34" t="s">
        <v>119</v>
      </c>
      <c r="S10" s="35">
        <v>506600</v>
      </c>
      <c r="T10" s="2" t="s">
        <v>44</v>
      </c>
      <c r="U10" s="36">
        <v>0</v>
      </c>
      <c r="V10" s="36">
        <v>-1</v>
      </c>
      <c r="W10" s="37">
        <v>0</v>
      </c>
      <c r="X10" s="38">
        <v>0</v>
      </c>
    </row>
    <row r="11" spans="1:24" x14ac:dyDescent="0.25">
      <c r="A11" s="33" t="s">
        <v>763</v>
      </c>
      <c r="B11" s="33" t="s">
        <v>804</v>
      </c>
      <c r="C11" s="33" t="s">
        <v>814</v>
      </c>
      <c r="D11" s="33" t="s">
        <v>815</v>
      </c>
      <c r="E11" s="33" t="s">
        <v>816</v>
      </c>
      <c r="F11" s="26" t="str">
        <f>HYPERLINK("https://mapwv.gov/flood/map/?wkid=102100&amp;x=-9036402.24607372&amp;y=4761054.444527777&amp;l=13&amp;v=2","FT")</f>
        <v>FT</v>
      </c>
      <c r="G11" s="44" t="s">
        <v>38</v>
      </c>
      <c r="H11" s="34" t="s">
        <v>25</v>
      </c>
      <c r="I11" s="33" t="s">
        <v>921</v>
      </c>
      <c r="J11" s="34" t="s">
        <v>26</v>
      </c>
      <c r="K11" s="34" t="s">
        <v>97</v>
      </c>
      <c r="L11" s="34" t="s">
        <v>38</v>
      </c>
      <c r="M11" s="33" t="s">
        <v>41</v>
      </c>
      <c r="N11" s="3" t="s">
        <v>42</v>
      </c>
      <c r="O11" s="29" t="s">
        <v>114</v>
      </c>
      <c r="P11" s="30" t="s">
        <v>975</v>
      </c>
      <c r="Q11" s="33" t="s">
        <v>43</v>
      </c>
      <c r="R11" s="34" t="s">
        <v>120</v>
      </c>
      <c r="S11" s="35">
        <v>388600</v>
      </c>
      <c r="T11" s="2" t="s">
        <v>44</v>
      </c>
      <c r="U11" s="36">
        <v>0</v>
      </c>
      <c r="V11" s="36">
        <v>-4</v>
      </c>
      <c r="W11" s="37">
        <v>0</v>
      </c>
      <c r="X11" s="38">
        <v>0</v>
      </c>
    </row>
    <row r="12" spans="1:24" x14ac:dyDescent="0.25">
      <c r="A12" s="33" t="s">
        <v>764</v>
      </c>
      <c r="B12" s="33" t="s">
        <v>808</v>
      </c>
      <c r="C12" s="33" t="s">
        <v>811</v>
      </c>
      <c r="D12" s="33" t="s">
        <v>817</v>
      </c>
      <c r="E12" s="33" t="s">
        <v>818</v>
      </c>
      <c r="F12" s="26" t="str">
        <f>HYPERLINK("https://mapwv.gov/flood/map/?wkid=102100&amp;x=-9014750.937291788&amp;y=4762247.443761591&amp;l=13&amp;v=2","FT")</f>
        <v>FT</v>
      </c>
      <c r="G12" s="44" t="s">
        <v>38</v>
      </c>
      <c r="H12" s="34" t="s">
        <v>25</v>
      </c>
      <c r="I12" s="33" t="s">
        <v>922</v>
      </c>
      <c r="J12" s="34" t="s">
        <v>26</v>
      </c>
      <c r="K12" s="34" t="s">
        <v>139</v>
      </c>
      <c r="L12" s="34" t="s">
        <v>27</v>
      </c>
      <c r="M12" s="33" t="s">
        <v>48</v>
      </c>
      <c r="N12" s="3" t="s">
        <v>35</v>
      </c>
      <c r="O12" s="29" t="s">
        <v>115</v>
      </c>
      <c r="P12" s="30" t="s">
        <v>976</v>
      </c>
      <c r="Q12" s="33" t="s">
        <v>30</v>
      </c>
      <c r="R12" s="34" t="s">
        <v>119</v>
      </c>
      <c r="S12" s="35">
        <v>342400</v>
      </c>
      <c r="T12" s="2" t="s">
        <v>44</v>
      </c>
      <c r="U12" s="36">
        <v>1.8239459</v>
      </c>
      <c r="V12" s="36">
        <v>0.82394587993621804</v>
      </c>
      <c r="W12" s="37">
        <v>7.5915670394897397E-2</v>
      </c>
      <c r="X12" s="38">
        <v>25993.5255432128</v>
      </c>
    </row>
    <row r="13" spans="1:24" x14ac:dyDescent="0.25">
      <c r="A13" s="33" t="s">
        <v>765</v>
      </c>
      <c r="B13" s="33" t="s">
        <v>819</v>
      </c>
      <c r="C13" s="33" t="s">
        <v>820</v>
      </c>
      <c r="D13" s="33" t="s">
        <v>821</v>
      </c>
      <c r="E13" s="33" t="s">
        <v>822</v>
      </c>
      <c r="F13" s="26" t="str">
        <f>HYPERLINK("https://mapwv.gov/flood/map/?wkid=102100&amp;x=-9021964.07383143&amp;y=4760611.846846454&amp;l=13&amp;v=2","FT")</f>
        <v>FT</v>
      </c>
      <c r="G13" s="44" t="s">
        <v>684</v>
      </c>
      <c r="H13" s="34" t="s">
        <v>25</v>
      </c>
      <c r="I13" s="33" t="s">
        <v>923</v>
      </c>
      <c r="J13" s="34" t="s">
        <v>39</v>
      </c>
      <c r="K13" s="34" t="s">
        <v>146</v>
      </c>
      <c r="L13" s="34" t="s">
        <v>33</v>
      </c>
      <c r="M13" s="33" t="s">
        <v>72</v>
      </c>
      <c r="N13" s="3" t="s">
        <v>35</v>
      </c>
      <c r="O13" s="29" t="s">
        <v>115</v>
      </c>
      <c r="P13" s="30" t="s">
        <v>977</v>
      </c>
      <c r="Q13" s="33" t="s">
        <v>30</v>
      </c>
      <c r="R13" s="34" t="s">
        <v>119</v>
      </c>
      <c r="S13" s="35">
        <v>321500</v>
      </c>
      <c r="T13" s="2" t="s">
        <v>44</v>
      </c>
      <c r="U13" s="36">
        <v>1.8839992000000001</v>
      </c>
      <c r="V13" s="36">
        <v>0.88399922847747803</v>
      </c>
      <c r="W13" s="37">
        <v>4.4199961423873904E-2</v>
      </c>
      <c r="X13" s="38">
        <v>14210.287597775399</v>
      </c>
    </row>
    <row r="14" spans="1:24" x14ac:dyDescent="0.25">
      <c r="A14" s="33" t="s">
        <v>766</v>
      </c>
      <c r="B14" s="33" t="s">
        <v>804</v>
      </c>
      <c r="C14" s="33" t="s">
        <v>823</v>
      </c>
      <c r="D14" s="33" t="s">
        <v>824</v>
      </c>
      <c r="E14" s="33" t="s">
        <v>825</v>
      </c>
      <c r="F14" s="26" t="str">
        <f>HYPERLINK("https://mapwv.gov/flood/map/?wkid=102100&amp;x=-9006864.421359977&amp;y=4761426.599878505&amp;l=13&amp;v=2","FT")</f>
        <v>FT</v>
      </c>
      <c r="G14" s="44" t="s">
        <v>684</v>
      </c>
      <c r="H14" s="34" t="s">
        <v>25</v>
      </c>
      <c r="I14" s="33" t="s">
        <v>924</v>
      </c>
      <c r="J14" s="34" t="s">
        <v>162</v>
      </c>
      <c r="K14" s="34" t="s">
        <v>141</v>
      </c>
      <c r="L14" s="34" t="s">
        <v>50</v>
      </c>
      <c r="M14" s="33" t="s">
        <v>48</v>
      </c>
      <c r="N14" s="3" t="s">
        <v>35</v>
      </c>
      <c r="O14" s="29" t="s">
        <v>114</v>
      </c>
      <c r="P14" s="30" t="s">
        <v>978</v>
      </c>
      <c r="Q14" s="33" t="s">
        <v>30</v>
      </c>
      <c r="R14" s="34" t="s">
        <v>119</v>
      </c>
      <c r="S14" s="35">
        <v>253600</v>
      </c>
      <c r="T14" s="2" t="s">
        <v>31</v>
      </c>
      <c r="U14" s="36">
        <v>0.29388389999999998</v>
      </c>
      <c r="V14" s="36">
        <v>-0.70611611008644104</v>
      </c>
      <c r="W14" s="37">
        <v>2.9388388991355803E-3</v>
      </c>
      <c r="X14" s="38">
        <v>745.28954482078495</v>
      </c>
    </row>
    <row r="15" spans="1:24" x14ac:dyDescent="0.25">
      <c r="A15" s="33" t="s">
        <v>767</v>
      </c>
      <c r="B15" s="33" t="s">
        <v>804</v>
      </c>
      <c r="C15" s="33" t="s">
        <v>826</v>
      </c>
      <c r="D15" s="33" t="s">
        <v>827</v>
      </c>
      <c r="E15" s="33" t="s">
        <v>828</v>
      </c>
      <c r="F15" s="26" t="str">
        <f>HYPERLINK("https://mapwv.gov/flood/map/?wkid=102100&amp;x=-9022029.882018205&amp;y=4742954.466326193&amp;l=13&amp;v=2","FT")</f>
        <v>FT</v>
      </c>
      <c r="G15" s="44" t="s">
        <v>38</v>
      </c>
      <c r="H15" s="34" t="s">
        <v>25</v>
      </c>
      <c r="I15" s="33" t="s">
        <v>925</v>
      </c>
      <c r="J15" s="34" t="s">
        <v>26</v>
      </c>
      <c r="K15" s="34" t="s">
        <v>84</v>
      </c>
      <c r="L15" s="34" t="s">
        <v>45</v>
      </c>
      <c r="M15" s="33" t="s">
        <v>41</v>
      </c>
      <c r="N15" s="3" t="s">
        <v>42</v>
      </c>
      <c r="O15" s="29" t="s">
        <v>114</v>
      </c>
      <c r="P15" s="30" t="s">
        <v>979</v>
      </c>
      <c r="Q15" s="33" t="s">
        <v>43</v>
      </c>
      <c r="R15" s="34" t="s">
        <v>120</v>
      </c>
      <c r="S15" s="35">
        <v>241700</v>
      </c>
      <c r="T15" s="2" t="s">
        <v>44</v>
      </c>
      <c r="U15" s="36">
        <v>0</v>
      </c>
      <c r="V15" s="36">
        <v>-4</v>
      </c>
      <c r="W15" s="37">
        <v>0</v>
      </c>
      <c r="X15" s="38">
        <v>0</v>
      </c>
    </row>
    <row r="16" spans="1:24" x14ac:dyDescent="0.25">
      <c r="A16" s="33" t="s">
        <v>768</v>
      </c>
      <c r="B16" s="33" t="s">
        <v>804</v>
      </c>
      <c r="C16" s="33" t="s">
        <v>829</v>
      </c>
      <c r="D16" s="33" t="s">
        <v>830</v>
      </c>
      <c r="E16" s="33" t="s">
        <v>831</v>
      </c>
      <c r="F16" s="26" t="str">
        <f>HYPERLINK("https://mapwv.gov/flood/map/?wkid=102100&amp;x=-9010833.297168981&amp;y=4731827.795179693&amp;l=13&amp;v=2","FT")</f>
        <v>FT</v>
      </c>
      <c r="G16" s="44" t="s">
        <v>38</v>
      </c>
      <c r="H16" s="34" t="s">
        <v>25</v>
      </c>
      <c r="I16" s="33" t="s">
        <v>926</v>
      </c>
      <c r="J16" s="34" t="s">
        <v>39</v>
      </c>
      <c r="K16" s="34" t="s">
        <v>962</v>
      </c>
      <c r="L16" s="34" t="s">
        <v>33</v>
      </c>
      <c r="M16" s="33" t="s">
        <v>41</v>
      </c>
      <c r="N16" s="3" t="s">
        <v>42</v>
      </c>
      <c r="O16" s="29" t="s">
        <v>114</v>
      </c>
      <c r="P16" s="30" t="s">
        <v>980</v>
      </c>
      <c r="Q16" s="33" t="s">
        <v>30</v>
      </c>
      <c r="R16" s="34" t="s">
        <v>119</v>
      </c>
      <c r="S16" s="35">
        <v>201500</v>
      </c>
      <c r="T16" s="2" t="s">
        <v>44</v>
      </c>
      <c r="U16" s="36">
        <v>0</v>
      </c>
      <c r="V16" s="36">
        <v>-1</v>
      </c>
      <c r="W16" s="37">
        <v>0</v>
      </c>
      <c r="X16" s="38">
        <v>0</v>
      </c>
    </row>
    <row r="17" spans="1:24" x14ac:dyDescent="0.25">
      <c r="A17" s="33" t="s">
        <v>769</v>
      </c>
      <c r="B17" s="33" t="s">
        <v>808</v>
      </c>
      <c r="C17" s="33" t="s">
        <v>811</v>
      </c>
      <c r="D17" s="33" t="s">
        <v>832</v>
      </c>
      <c r="E17" s="33" t="s">
        <v>833</v>
      </c>
      <c r="F17" s="26" t="str">
        <f>HYPERLINK("https://mapwv.gov/flood/map/?wkid=102100&amp;x=-9014627.051500276&amp;y=4762345.2613358935&amp;l=13&amp;v=2","FT")</f>
        <v>FT</v>
      </c>
      <c r="G17" s="44" t="s">
        <v>38</v>
      </c>
      <c r="H17" s="34" t="s">
        <v>25</v>
      </c>
      <c r="I17" s="33" t="s">
        <v>927</v>
      </c>
      <c r="J17" s="34" t="s">
        <v>39</v>
      </c>
      <c r="K17" s="34" t="s">
        <v>134</v>
      </c>
      <c r="L17" s="34" t="s">
        <v>27</v>
      </c>
      <c r="M17" s="33" t="s">
        <v>57</v>
      </c>
      <c r="N17" s="3" t="s">
        <v>35</v>
      </c>
      <c r="O17" s="29" t="s">
        <v>114</v>
      </c>
      <c r="P17" s="30" t="s">
        <v>981</v>
      </c>
      <c r="Q17" s="33" t="s">
        <v>30</v>
      </c>
      <c r="R17" s="34" t="s">
        <v>119</v>
      </c>
      <c r="S17" s="35">
        <v>191100</v>
      </c>
      <c r="T17" s="2" t="s">
        <v>44</v>
      </c>
      <c r="U17" s="36">
        <v>0</v>
      </c>
      <c r="V17" s="36">
        <v>-1</v>
      </c>
      <c r="W17" s="37">
        <v>0</v>
      </c>
      <c r="X17" s="38">
        <v>0</v>
      </c>
    </row>
    <row r="18" spans="1:24" x14ac:dyDescent="0.25">
      <c r="A18" s="33" t="s">
        <v>770</v>
      </c>
      <c r="B18" s="33" t="s">
        <v>808</v>
      </c>
      <c r="C18" s="33" t="s">
        <v>811</v>
      </c>
      <c r="D18" s="33" t="s">
        <v>834</v>
      </c>
      <c r="E18" s="33" t="s">
        <v>835</v>
      </c>
      <c r="F18" s="26" t="str">
        <f>HYPERLINK("https://mapwv.gov/flood/map/?wkid=102100&amp;x=-9012907.862672815&amp;y=4762666.771685066&amp;l=13&amp;v=2","FT")</f>
        <v>FT</v>
      </c>
      <c r="G18" s="44" t="s">
        <v>38</v>
      </c>
      <c r="H18" s="34" t="s">
        <v>25</v>
      </c>
      <c r="I18" s="33" t="s">
        <v>928</v>
      </c>
      <c r="J18" s="34" t="s">
        <v>39</v>
      </c>
      <c r="K18" s="34" t="s">
        <v>143</v>
      </c>
      <c r="L18" s="34"/>
      <c r="M18" s="33" t="s">
        <v>67</v>
      </c>
      <c r="N18" s="3" t="s">
        <v>112</v>
      </c>
      <c r="O18" s="29" t="s">
        <v>114</v>
      </c>
      <c r="P18" s="30" t="s">
        <v>982</v>
      </c>
      <c r="Q18" s="33" t="s">
        <v>30</v>
      </c>
      <c r="R18" s="34" t="s">
        <v>119</v>
      </c>
      <c r="S18" s="35">
        <v>186497</v>
      </c>
      <c r="T18" s="2" t="s">
        <v>121</v>
      </c>
      <c r="U18" s="36">
        <v>0.25205672000000001</v>
      </c>
      <c r="V18" s="36">
        <v>-0.74794328212738004</v>
      </c>
      <c r="W18" s="37">
        <v>0</v>
      </c>
      <c r="X18" s="38">
        <v>0</v>
      </c>
    </row>
    <row r="19" spans="1:24" x14ac:dyDescent="0.25">
      <c r="A19" s="33" t="s">
        <v>771</v>
      </c>
      <c r="B19" s="33" t="s">
        <v>804</v>
      </c>
      <c r="C19" s="33" t="s">
        <v>836</v>
      </c>
      <c r="D19" s="33" t="s">
        <v>837</v>
      </c>
      <c r="E19" s="33" t="s">
        <v>838</v>
      </c>
      <c r="F19" s="26" t="str">
        <f>HYPERLINK("https://mapwv.gov/flood/map/?wkid=102100&amp;x=-9014720.513007037&amp;y=4755813.815660281&amp;l=13&amp;v=2","FT")</f>
        <v>FT</v>
      </c>
      <c r="G19" s="44" t="s">
        <v>684</v>
      </c>
      <c r="H19" s="34" t="s">
        <v>25</v>
      </c>
      <c r="I19" s="33" t="s">
        <v>929</v>
      </c>
      <c r="J19" s="34" t="s">
        <v>26</v>
      </c>
      <c r="K19" s="34" t="s">
        <v>99</v>
      </c>
      <c r="L19" s="34" t="s">
        <v>58</v>
      </c>
      <c r="M19" s="33" t="s">
        <v>41</v>
      </c>
      <c r="N19" s="3" t="s">
        <v>42</v>
      </c>
      <c r="O19" s="29" t="s">
        <v>115</v>
      </c>
      <c r="P19" s="30" t="s">
        <v>983</v>
      </c>
      <c r="Q19" s="33" t="s">
        <v>53</v>
      </c>
      <c r="R19" s="34" t="s">
        <v>120</v>
      </c>
      <c r="S19" s="35">
        <v>185000</v>
      </c>
      <c r="T19" s="2" t="s">
        <v>44</v>
      </c>
      <c r="U19" s="36">
        <v>3.5163859999999998</v>
      </c>
      <c r="V19" s="36">
        <v>-0.48361396789550698</v>
      </c>
      <c r="W19" s="37">
        <v>5.6802463531494096E-2</v>
      </c>
      <c r="X19" s="38">
        <v>10508.4557533264</v>
      </c>
    </row>
    <row r="20" spans="1:24" x14ac:dyDescent="0.25">
      <c r="A20" s="33" t="s">
        <v>772</v>
      </c>
      <c r="B20" s="33" t="s">
        <v>804</v>
      </c>
      <c r="C20" s="33" t="s">
        <v>839</v>
      </c>
      <c r="D20" s="33" t="s">
        <v>840</v>
      </c>
      <c r="E20" s="33" t="s">
        <v>841</v>
      </c>
      <c r="F20" s="26" t="str">
        <f>HYPERLINK("https://mapwv.gov/flood/map/?wkid=102100&amp;x=-9042120.399589313&amp;y=4751985.944606666&amp;l=13&amp;v=2","FT")</f>
        <v>FT</v>
      </c>
      <c r="G20" s="44" t="s">
        <v>38</v>
      </c>
      <c r="H20" s="34" t="s">
        <v>25</v>
      </c>
      <c r="I20" s="33" t="s">
        <v>930</v>
      </c>
      <c r="J20" s="34" t="s">
        <v>26</v>
      </c>
      <c r="K20" s="34" t="s">
        <v>142</v>
      </c>
      <c r="L20" s="34" t="s">
        <v>58</v>
      </c>
      <c r="M20" s="33" t="s">
        <v>971</v>
      </c>
      <c r="N20" s="3" t="s">
        <v>42</v>
      </c>
      <c r="O20" s="29" t="s">
        <v>114</v>
      </c>
      <c r="P20" s="30" t="s">
        <v>984</v>
      </c>
      <c r="Q20" s="33" t="s">
        <v>53</v>
      </c>
      <c r="R20" s="34" t="s">
        <v>120</v>
      </c>
      <c r="S20" s="35">
        <v>169200</v>
      </c>
      <c r="T20" s="2" t="s">
        <v>31</v>
      </c>
      <c r="U20" s="36">
        <v>2.6447804000000001</v>
      </c>
      <c r="V20" s="36">
        <v>-1.35521960258483</v>
      </c>
      <c r="W20" s="37">
        <v>0</v>
      </c>
      <c r="X20" s="38">
        <v>0</v>
      </c>
    </row>
    <row r="21" spans="1:24" x14ac:dyDescent="0.25">
      <c r="A21" s="33" t="s">
        <v>773</v>
      </c>
      <c r="B21" s="33" t="s">
        <v>804</v>
      </c>
      <c r="C21" s="33" t="s">
        <v>836</v>
      </c>
      <c r="D21" s="33" t="s">
        <v>842</v>
      </c>
      <c r="E21" s="33" t="s">
        <v>843</v>
      </c>
      <c r="F21" s="26" t="str">
        <f>HYPERLINK("https://mapwv.gov/flood/map/?wkid=102100&amp;x=-9035004.48782314&amp;y=4748966.25479654&amp;l=13&amp;v=2","FT")</f>
        <v>FT</v>
      </c>
      <c r="G21" s="44" t="s">
        <v>38</v>
      </c>
      <c r="H21" s="34" t="s">
        <v>25</v>
      </c>
      <c r="I21" s="33" t="s">
        <v>931</v>
      </c>
      <c r="J21" s="34" t="s">
        <v>26</v>
      </c>
      <c r="K21" s="34" t="s">
        <v>99</v>
      </c>
      <c r="L21" s="34" t="s">
        <v>37</v>
      </c>
      <c r="M21" s="33" t="s">
        <v>72</v>
      </c>
      <c r="N21" s="3" t="s">
        <v>35</v>
      </c>
      <c r="O21" s="29" t="s">
        <v>114</v>
      </c>
      <c r="P21" s="30" t="s">
        <v>985</v>
      </c>
      <c r="Q21" s="33" t="s">
        <v>30</v>
      </c>
      <c r="R21" s="34" t="s">
        <v>119</v>
      </c>
      <c r="S21" s="35">
        <v>167500</v>
      </c>
      <c r="T21" s="2" t="s">
        <v>44</v>
      </c>
      <c r="U21" s="36">
        <v>0.6657594</v>
      </c>
      <c r="V21" s="36">
        <v>-0.33424061536788902</v>
      </c>
      <c r="W21" s="37">
        <v>0</v>
      </c>
      <c r="X21" s="38">
        <v>0</v>
      </c>
    </row>
    <row r="22" spans="1:24" x14ac:dyDescent="0.25">
      <c r="A22" s="33" t="s">
        <v>774</v>
      </c>
      <c r="B22" s="33" t="s">
        <v>808</v>
      </c>
      <c r="C22" s="33" t="s">
        <v>811</v>
      </c>
      <c r="D22" s="33" t="s">
        <v>844</v>
      </c>
      <c r="E22" s="33" t="s">
        <v>845</v>
      </c>
      <c r="F22" s="26" t="str">
        <f>HYPERLINK("https://mapwv.gov/flood/map/?wkid=102100&amp;x=-9014534.001764316&amp;y=4762377.896696338&amp;l=13&amp;v=2","FT")</f>
        <v>FT</v>
      </c>
      <c r="G22" s="44" t="s">
        <v>38</v>
      </c>
      <c r="H22" s="34" t="s">
        <v>25</v>
      </c>
      <c r="I22" s="33" t="s">
        <v>932</v>
      </c>
      <c r="J22" s="34" t="s">
        <v>39</v>
      </c>
      <c r="K22" s="34" t="s">
        <v>963</v>
      </c>
      <c r="L22" s="34" t="s">
        <v>47</v>
      </c>
      <c r="M22" s="33" t="s">
        <v>41</v>
      </c>
      <c r="N22" s="3" t="s">
        <v>42</v>
      </c>
      <c r="O22" s="29" t="s">
        <v>114</v>
      </c>
      <c r="P22" s="30" t="s">
        <v>986</v>
      </c>
      <c r="Q22" s="33" t="s">
        <v>43</v>
      </c>
      <c r="R22" s="34" t="s">
        <v>120</v>
      </c>
      <c r="S22" s="35">
        <v>167000</v>
      </c>
      <c r="T22" s="2" t="s">
        <v>44</v>
      </c>
      <c r="U22" s="36">
        <v>0</v>
      </c>
      <c r="V22" s="36">
        <v>-4</v>
      </c>
      <c r="W22" s="37">
        <v>0</v>
      </c>
      <c r="X22" s="38">
        <v>0</v>
      </c>
    </row>
    <row r="23" spans="1:24" x14ac:dyDescent="0.25">
      <c r="A23" s="33" t="s">
        <v>775</v>
      </c>
      <c r="B23" s="33" t="s">
        <v>804</v>
      </c>
      <c r="C23" s="33" t="s">
        <v>846</v>
      </c>
      <c r="D23" s="33" t="s">
        <v>847</v>
      </c>
      <c r="E23" s="33" t="s">
        <v>848</v>
      </c>
      <c r="F23" s="26" t="str">
        <f>HYPERLINK("https://mapwv.gov/flood/map/?wkid=102100&amp;x=-9020817.321662998&amp;y=4768112.9405238675&amp;l=13&amp;v=2","FT")</f>
        <v>FT</v>
      </c>
      <c r="G23" s="44" t="s">
        <v>38</v>
      </c>
      <c r="H23" s="34" t="s">
        <v>25</v>
      </c>
      <c r="I23" s="33" t="s">
        <v>933</v>
      </c>
      <c r="J23" s="34" t="s">
        <v>26</v>
      </c>
      <c r="K23" s="34" t="s">
        <v>84</v>
      </c>
      <c r="L23" s="34" t="s">
        <v>45</v>
      </c>
      <c r="M23" s="33" t="s">
        <v>41</v>
      </c>
      <c r="N23" s="3" t="s">
        <v>42</v>
      </c>
      <c r="O23" s="29" t="s">
        <v>114</v>
      </c>
      <c r="P23" s="30" t="s">
        <v>987</v>
      </c>
      <c r="Q23" s="33" t="s">
        <v>43</v>
      </c>
      <c r="R23" s="34" t="s">
        <v>120</v>
      </c>
      <c r="S23" s="35">
        <v>159000</v>
      </c>
      <c r="T23" s="2" t="s">
        <v>44</v>
      </c>
      <c r="U23" s="36">
        <v>0</v>
      </c>
      <c r="V23" s="36">
        <v>-4</v>
      </c>
      <c r="W23" s="37">
        <v>0</v>
      </c>
      <c r="X23" s="38">
        <v>0</v>
      </c>
    </row>
    <row r="24" spans="1:24" x14ac:dyDescent="0.25">
      <c r="A24" s="33" t="s">
        <v>776</v>
      </c>
      <c r="B24" s="33" t="s">
        <v>804</v>
      </c>
      <c r="C24" s="33" t="s">
        <v>849</v>
      </c>
      <c r="D24" s="33" t="s">
        <v>850</v>
      </c>
      <c r="E24" s="33" t="s">
        <v>851</v>
      </c>
      <c r="F24" s="26" t="str">
        <f>HYPERLINK("https://mapwv.gov/flood/map/?wkid=102100&amp;x=-9034575.860584121&amp;y=4752580.310355961&amp;l=13&amp;v=2","FT")</f>
        <v>FT</v>
      </c>
      <c r="G24" s="44" t="s">
        <v>684</v>
      </c>
      <c r="H24" s="34" t="s">
        <v>25</v>
      </c>
      <c r="I24" s="33" t="s">
        <v>934</v>
      </c>
      <c r="J24" s="34" t="s">
        <v>39</v>
      </c>
      <c r="K24" s="34" t="s">
        <v>964</v>
      </c>
      <c r="L24" s="34" t="s">
        <v>27</v>
      </c>
      <c r="M24" s="33" t="s">
        <v>48</v>
      </c>
      <c r="N24" s="3" t="s">
        <v>35</v>
      </c>
      <c r="O24" s="29" t="s">
        <v>115</v>
      </c>
      <c r="P24" s="30" t="s">
        <v>988</v>
      </c>
      <c r="Q24" s="33" t="s">
        <v>30</v>
      </c>
      <c r="R24" s="34" t="s">
        <v>119</v>
      </c>
      <c r="S24" s="35">
        <v>157000</v>
      </c>
      <c r="T24" s="2" t="s">
        <v>44</v>
      </c>
      <c r="U24" s="36">
        <v>0.18567370999999999</v>
      </c>
      <c r="V24" s="36">
        <v>-0.81432628631591797</v>
      </c>
      <c r="W24" s="37">
        <v>1.8567371368408199E-3</v>
      </c>
      <c r="X24" s="38">
        <v>291.50773048400799</v>
      </c>
    </row>
    <row r="25" spans="1:24" x14ac:dyDescent="0.25">
      <c r="A25" s="33" t="s">
        <v>777</v>
      </c>
      <c r="B25" s="33" t="s">
        <v>808</v>
      </c>
      <c r="C25" s="33" t="s">
        <v>811</v>
      </c>
      <c r="D25" s="33" t="s">
        <v>852</v>
      </c>
      <c r="E25" s="33" t="s">
        <v>853</v>
      </c>
      <c r="F25" s="26" t="str">
        <f>HYPERLINK("https://mapwv.gov/flood/map/?wkid=102100&amp;x=-9013992.232177842&amp;y=4762513.600951227&amp;l=13&amp;v=2","FT")</f>
        <v>FT</v>
      </c>
      <c r="G25" s="44" t="s">
        <v>684</v>
      </c>
      <c r="H25" s="34" t="s">
        <v>25</v>
      </c>
      <c r="I25" s="33" t="s">
        <v>935</v>
      </c>
      <c r="J25" s="34" t="s">
        <v>39</v>
      </c>
      <c r="K25" s="34" t="s">
        <v>143</v>
      </c>
      <c r="L25" s="34"/>
      <c r="M25" s="33" t="s">
        <v>73</v>
      </c>
      <c r="N25" s="3" t="s">
        <v>111</v>
      </c>
      <c r="O25" s="29" t="s">
        <v>114</v>
      </c>
      <c r="P25" s="30" t="s">
        <v>989</v>
      </c>
      <c r="Q25" s="33" t="s">
        <v>30</v>
      </c>
      <c r="R25" s="34" t="s">
        <v>119</v>
      </c>
      <c r="S25" s="35">
        <v>155414</v>
      </c>
      <c r="T25" s="2" t="s">
        <v>121</v>
      </c>
      <c r="U25" s="36">
        <v>0.31294695</v>
      </c>
      <c r="V25" s="36">
        <v>-0.68705305457115096</v>
      </c>
      <c r="W25" s="37">
        <v>0</v>
      </c>
      <c r="X25" s="38">
        <v>0</v>
      </c>
    </row>
    <row r="26" spans="1:24" x14ac:dyDescent="0.25">
      <c r="A26" s="33" t="s">
        <v>778</v>
      </c>
      <c r="B26" s="33" t="s">
        <v>854</v>
      </c>
      <c r="C26" s="33" t="s">
        <v>855</v>
      </c>
      <c r="D26" s="33" t="s">
        <v>856</v>
      </c>
      <c r="E26" s="33" t="s">
        <v>857</v>
      </c>
      <c r="F26" s="26" t="str">
        <f>HYPERLINK("https://mapwv.gov/flood/map/?wkid=102100&amp;x=-9011121.291823609&amp;y=4748658.924505719&amp;l=13&amp;v=2","FT")</f>
        <v>FT</v>
      </c>
      <c r="G26" s="44" t="s">
        <v>38</v>
      </c>
      <c r="H26" s="34" t="s">
        <v>25</v>
      </c>
      <c r="I26" s="33" t="s">
        <v>936</v>
      </c>
      <c r="J26" s="34" t="s">
        <v>39</v>
      </c>
      <c r="K26" s="34" t="s">
        <v>965</v>
      </c>
      <c r="L26" s="34" t="s">
        <v>27</v>
      </c>
      <c r="M26" s="33" t="s">
        <v>67</v>
      </c>
      <c r="N26" s="3" t="s">
        <v>112</v>
      </c>
      <c r="O26" s="29" t="s">
        <v>114</v>
      </c>
      <c r="P26" s="30" t="s">
        <v>990</v>
      </c>
      <c r="Q26" s="33" t="s">
        <v>30</v>
      </c>
      <c r="R26" s="34" t="s">
        <v>119</v>
      </c>
      <c r="S26" s="35">
        <v>153020</v>
      </c>
      <c r="T26" s="2" t="s">
        <v>31</v>
      </c>
      <c r="U26" s="36">
        <v>0</v>
      </c>
      <c r="V26" s="36">
        <v>-1</v>
      </c>
      <c r="W26" s="37">
        <v>0</v>
      </c>
      <c r="X26" s="38">
        <v>0</v>
      </c>
    </row>
    <row r="27" spans="1:24" x14ac:dyDescent="0.25">
      <c r="A27" s="33" t="s">
        <v>779</v>
      </c>
      <c r="B27" s="33" t="s">
        <v>804</v>
      </c>
      <c r="C27" s="33" t="s">
        <v>805</v>
      </c>
      <c r="D27" s="33" t="s">
        <v>858</v>
      </c>
      <c r="E27" s="33" t="s">
        <v>859</v>
      </c>
      <c r="F27" s="26" t="str">
        <f>HYPERLINK("https://mapwv.gov/flood/map/?wkid=102100&amp;x=-9015505.970532333&amp;y=4762137.497813007&amp;l=13&amp;v=2","FT")</f>
        <v>FT</v>
      </c>
      <c r="G27" s="44" t="s">
        <v>38</v>
      </c>
      <c r="H27" s="34" t="s">
        <v>25</v>
      </c>
      <c r="I27" s="33" t="s">
        <v>937</v>
      </c>
      <c r="J27" s="34" t="s">
        <v>39</v>
      </c>
      <c r="K27" s="34" t="s">
        <v>165</v>
      </c>
      <c r="L27" s="34" t="s">
        <v>58</v>
      </c>
      <c r="M27" s="33" t="s">
        <v>46</v>
      </c>
      <c r="N27" s="3" t="s">
        <v>35</v>
      </c>
      <c r="O27" s="29" t="s">
        <v>114</v>
      </c>
      <c r="P27" s="30" t="s">
        <v>991</v>
      </c>
      <c r="Q27" s="33" t="s">
        <v>30</v>
      </c>
      <c r="R27" s="34" t="s">
        <v>119</v>
      </c>
      <c r="S27" s="35">
        <v>152300</v>
      </c>
      <c r="T27" s="2" t="s">
        <v>44</v>
      </c>
      <c r="U27" s="36">
        <v>0</v>
      </c>
      <c r="V27" s="36">
        <v>-1</v>
      </c>
      <c r="W27" s="37">
        <v>0</v>
      </c>
      <c r="X27" s="38">
        <v>0</v>
      </c>
    </row>
    <row r="28" spans="1:24" x14ac:dyDescent="0.25">
      <c r="A28" s="33" t="s">
        <v>780</v>
      </c>
      <c r="B28" s="33" t="s">
        <v>804</v>
      </c>
      <c r="C28" s="33" t="s">
        <v>860</v>
      </c>
      <c r="D28" s="33" t="s">
        <v>861</v>
      </c>
      <c r="E28" s="33" t="s">
        <v>862</v>
      </c>
      <c r="F28" s="26" t="str">
        <f>HYPERLINK("https://mapwv.gov/flood/map/?wkid=102100&amp;x=-9048320.007119602&amp;y=4739558.401070798&amp;l=13&amp;v=2","FT")</f>
        <v>FT</v>
      </c>
      <c r="G28" s="44" t="s">
        <v>38</v>
      </c>
      <c r="H28" s="34" t="s">
        <v>25</v>
      </c>
      <c r="I28" s="33" t="s">
        <v>938</v>
      </c>
      <c r="J28" s="34" t="s">
        <v>39</v>
      </c>
      <c r="K28" s="34" t="s">
        <v>126</v>
      </c>
      <c r="L28" s="34" t="s">
        <v>27</v>
      </c>
      <c r="M28" s="33" t="s">
        <v>41</v>
      </c>
      <c r="N28" s="3" t="s">
        <v>42</v>
      </c>
      <c r="O28" s="29" t="s">
        <v>114</v>
      </c>
      <c r="P28" s="30" t="s">
        <v>992</v>
      </c>
      <c r="Q28" s="33" t="s">
        <v>43</v>
      </c>
      <c r="R28" s="34" t="s">
        <v>120</v>
      </c>
      <c r="S28" s="35">
        <v>148700</v>
      </c>
      <c r="T28" s="2" t="s">
        <v>44</v>
      </c>
      <c r="U28" s="36">
        <v>2.6983700000000002</v>
      </c>
      <c r="V28" s="36">
        <v>-1.3016300201416</v>
      </c>
      <c r="W28" s="37">
        <v>0.174918498992919</v>
      </c>
      <c r="X28" s="38">
        <v>26010.380800247101</v>
      </c>
    </row>
    <row r="29" spans="1:24" x14ac:dyDescent="0.25">
      <c r="A29" s="33" t="s">
        <v>781</v>
      </c>
      <c r="B29" s="33" t="s">
        <v>804</v>
      </c>
      <c r="C29" s="33" t="s">
        <v>863</v>
      </c>
      <c r="D29" s="33" t="s">
        <v>864</v>
      </c>
      <c r="E29" s="33" t="s">
        <v>865</v>
      </c>
      <c r="F29" s="26" t="str">
        <f>HYPERLINK("https://mapwv.gov/flood/map/?wkid=102100&amp;x=-9010756.282671705&amp;y=4768281.14015969&amp;l=13&amp;v=2","FT")</f>
        <v>FT</v>
      </c>
      <c r="G29" s="44" t="s">
        <v>38</v>
      </c>
      <c r="H29" s="34" t="s">
        <v>25</v>
      </c>
      <c r="I29" s="33" t="s">
        <v>939</v>
      </c>
      <c r="J29" s="34" t="s">
        <v>26</v>
      </c>
      <c r="K29" s="34" t="s">
        <v>171</v>
      </c>
      <c r="L29" s="34" t="s">
        <v>58</v>
      </c>
      <c r="M29" s="33" t="s">
        <v>41</v>
      </c>
      <c r="N29" s="3" t="s">
        <v>42</v>
      </c>
      <c r="O29" s="29" t="s">
        <v>114</v>
      </c>
      <c r="P29" s="30" t="s">
        <v>993</v>
      </c>
      <c r="Q29" s="33" t="s">
        <v>43</v>
      </c>
      <c r="R29" s="34" t="s">
        <v>120</v>
      </c>
      <c r="S29" s="35">
        <v>141900</v>
      </c>
      <c r="T29" s="2" t="s">
        <v>44</v>
      </c>
      <c r="U29" s="36">
        <v>0</v>
      </c>
      <c r="V29" s="36">
        <v>-4</v>
      </c>
      <c r="W29" s="37">
        <v>0</v>
      </c>
      <c r="X29" s="38">
        <v>0</v>
      </c>
    </row>
    <row r="30" spans="1:24" x14ac:dyDescent="0.25">
      <c r="A30" s="33" t="s">
        <v>782</v>
      </c>
      <c r="B30" s="33" t="s">
        <v>804</v>
      </c>
      <c r="C30" s="33" t="s">
        <v>866</v>
      </c>
      <c r="D30" s="33" t="s">
        <v>867</v>
      </c>
      <c r="E30" s="33" t="s">
        <v>868</v>
      </c>
      <c r="F30" s="26" t="str">
        <f>HYPERLINK("https://mapwv.gov/flood/map/?wkid=102100&amp;x=-9032132.659584654&amp;y=4748447.676308713&amp;l=13&amp;v=2","FT")</f>
        <v>FT</v>
      </c>
      <c r="G30" s="44" t="s">
        <v>684</v>
      </c>
      <c r="H30" s="34" t="s">
        <v>25</v>
      </c>
      <c r="I30" s="33" t="s">
        <v>940</v>
      </c>
      <c r="J30" s="34" t="s">
        <v>39</v>
      </c>
      <c r="K30" s="34" t="s">
        <v>966</v>
      </c>
      <c r="L30" s="34" t="s">
        <v>47</v>
      </c>
      <c r="M30" s="33" t="s">
        <v>41</v>
      </c>
      <c r="N30" s="3" t="s">
        <v>42</v>
      </c>
      <c r="O30" s="29" t="s">
        <v>115</v>
      </c>
      <c r="P30" s="30" t="s">
        <v>994</v>
      </c>
      <c r="Q30" s="33" t="s">
        <v>43</v>
      </c>
      <c r="R30" s="34" t="s">
        <v>120</v>
      </c>
      <c r="S30" s="35">
        <v>140100</v>
      </c>
      <c r="T30" s="2" t="s">
        <v>31</v>
      </c>
      <c r="U30" s="36">
        <v>0.45279767999999998</v>
      </c>
      <c r="V30" s="36">
        <v>-3.5472023189067801</v>
      </c>
      <c r="W30" s="37">
        <v>0.04</v>
      </c>
      <c r="X30" s="38">
        <v>5604</v>
      </c>
    </row>
    <row r="31" spans="1:24" x14ac:dyDescent="0.25">
      <c r="A31" s="33" t="s">
        <v>783</v>
      </c>
      <c r="B31" s="33" t="s">
        <v>804</v>
      </c>
      <c r="C31" s="33" t="s">
        <v>814</v>
      </c>
      <c r="D31" s="33" t="s">
        <v>869</v>
      </c>
      <c r="E31" s="33" t="s">
        <v>870</v>
      </c>
      <c r="F31" s="26" t="str">
        <f>HYPERLINK("https://mapwv.gov/flood/map/?wkid=102100&amp;x=-9041971.339006282&amp;y=4753569.903821786&amp;l=13&amp;v=2","FT")</f>
        <v>FT</v>
      </c>
      <c r="G31" s="44" t="s">
        <v>38</v>
      </c>
      <c r="H31" s="34" t="s">
        <v>25</v>
      </c>
      <c r="I31" s="33" t="s">
        <v>941</v>
      </c>
      <c r="J31" s="34" t="s">
        <v>26</v>
      </c>
      <c r="K31" s="34" t="s">
        <v>117</v>
      </c>
      <c r="L31" s="34" t="s">
        <v>58</v>
      </c>
      <c r="M31" s="33" t="s">
        <v>41</v>
      </c>
      <c r="N31" s="3" t="s">
        <v>42</v>
      </c>
      <c r="O31" s="29" t="s">
        <v>114</v>
      </c>
      <c r="P31" s="30" t="s">
        <v>995</v>
      </c>
      <c r="Q31" s="33" t="s">
        <v>43</v>
      </c>
      <c r="R31" s="34" t="s">
        <v>120</v>
      </c>
      <c r="S31" s="35">
        <v>137800</v>
      </c>
      <c r="T31" s="2" t="s">
        <v>31</v>
      </c>
      <c r="U31" s="36">
        <v>0</v>
      </c>
      <c r="V31" s="36">
        <v>-4</v>
      </c>
      <c r="W31" s="37">
        <v>0</v>
      </c>
      <c r="X31" s="38">
        <v>0</v>
      </c>
    </row>
    <row r="32" spans="1:24" x14ac:dyDescent="0.25">
      <c r="A32" s="33" t="s">
        <v>784</v>
      </c>
      <c r="B32" s="33" t="s">
        <v>804</v>
      </c>
      <c r="C32" s="33" t="s">
        <v>836</v>
      </c>
      <c r="D32" s="33" t="s">
        <v>871</v>
      </c>
      <c r="E32" s="33" t="s">
        <v>872</v>
      </c>
      <c r="F32" s="26" t="str">
        <f>HYPERLINK("https://mapwv.gov/flood/map/?wkid=102100&amp;x=-9009245.077280905&amp;y=4762912.414053379&amp;l=13&amp;v=2","FT")</f>
        <v>FT</v>
      </c>
      <c r="G32" s="44" t="s">
        <v>38</v>
      </c>
      <c r="H32" s="34" t="s">
        <v>25</v>
      </c>
      <c r="I32" s="33" t="s">
        <v>942</v>
      </c>
      <c r="J32" s="34" t="s">
        <v>39</v>
      </c>
      <c r="K32" s="34" t="s">
        <v>158</v>
      </c>
      <c r="L32" s="34" t="s">
        <v>54</v>
      </c>
      <c r="M32" s="33" t="s">
        <v>41</v>
      </c>
      <c r="N32" s="3" t="s">
        <v>42</v>
      </c>
      <c r="O32" s="29" t="s">
        <v>115</v>
      </c>
      <c r="P32" s="30" t="s">
        <v>988</v>
      </c>
      <c r="Q32" s="33" t="s">
        <v>30</v>
      </c>
      <c r="R32" s="34" t="s">
        <v>119</v>
      </c>
      <c r="S32" s="35">
        <v>136400</v>
      </c>
      <c r="T32" s="2" t="s">
        <v>44</v>
      </c>
      <c r="U32" s="36">
        <v>0</v>
      </c>
      <c r="V32" s="36">
        <v>-1</v>
      </c>
      <c r="W32" s="37">
        <v>0</v>
      </c>
      <c r="X32" s="38">
        <v>0</v>
      </c>
    </row>
    <row r="33" spans="1:24" x14ac:dyDescent="0.25">
      <c r="A33" s="33" t="s">
        <v>785</v>
      </c>
      <c r="B33" s="33" t="s">
        <v>804</v>
      </c>
      <c r="C33" s="33" t="s">
        <v>826</v>
      </c>
      <c r="D33" s="33" t="s">
        <v>873</v>
      </c>
      <c r="E33" s="33" t="s">
        <v>874</v>
      </c>
      <c r="F33" s="26" t="str">
        <f>HYPERLINK("https://mapwv.gov/flood/map/?wkid=102100&amp;x=-9021041.728509415&amp;y=4745090.7561290255&amp;l=13&amp;v=2","FT")</f>
        <v>FT</v>
      </c>
      <c r="G33" s="44" t="s">
        <v>38</v>
      </c>
      <c r="H33" s="34" t="s">
        <v>25</v>
      </c>
      <c r="I33" s="33" t="s">
        <v>943</v>
      </c>
      <c r="J33" s="34" t="s">
        <v>39</v>
      </c>
      <c r="K33" s="34" t="s">
        <v>123</v>
      </c>
      <c r="L33" s="34" t="s">
        <v>50</v>
      </c>
      <c r="M33" s="33" t="s">
        <v>41</v>
      </c>
      <c r="N33" s="3" t="s">
        <v>42</v>
      </c>
      <c r="O33" s="29" t="s">
        <v>115</v>
      </c>
      <c r="P33" s="30" t="s">
        <v>996</v>
      </c>
      <c r="Q33" s="33" t="s">
        <v>53</v>
      </c>
      <c r="R33" s="34" t="s">
        <v>159</v>
      </c>
      <c r="S33" s="35">
        <v>136400</v>
      </c>
      <c r="T33" s="2" t="s">
        <v>44</v>
      </c>
      <c r="U33" s="36">
        <v>0</v>
      </c>
      <c r="V33" s="36">
        <v>-3</v>
      </c>
      <c r="W33" s="37">
        <v>0</v>
      </c>
      <c r="X33" s="38">
        <v>0</v>
      </c>
    </row>
    <row r="34" spans="1:24" x14ac:dyDescent="0.25">
      <c r="A34" s="33" t="s">
        <v>786</v>
      </c>
      <c r="B34" s="33" t="s">
        <v>808</v>
      </c>
      <c r="C34" s="33" t="s">
        <v>811</v>
      </c>
      <c r="D34" s="33" t="s">
        <v>875</v>
      </c>
      <c r="E34" s="33" t="s">
        <v>876</v>
      </c>
      <c r="F34" s="26" t="str">
        <f>HYPERLINK("https://mapwv.gov/flood/map/?wkid=102100&amp;x=-9014667.282364253&amp;y=4762321.545434973&amp;l=13&amp;v=2","FT")</f>
        <v>FT</v>
      </c>
      <c r="G34" s="44" t="s">
        <v>38</v>
      </c>
      <c r="H34" s="34" t="s">
        <v>25</v>
      </c>
      <c r="I34" s="33" t="s">
        <v>944</v>
      </c>
      <c r="J34" s="34" t="s">
        <v>39</v>
      </c>
      <c r="K34" s="34" t="s">
        <v>134</v>
      </c>
      <c r="L34" s="34" t="s">
        <v>27</v>
      </c>
      <c r="M34" s="33" t="s">
        <v>41</v>
      </c>
      <c r="N34" s="3" t="s">
        <v>42</v>
      </c>
      <c r="O34" s="29" t="s">
        <v>114</v>
      </c>
      <c r="P34" s="30" t="s">
        <v>343</v>
      </c>
      <c r="Q34" s="33" t="s">
        <v>43</v>
      </c>
      <c r="R34" s="34" t="s">
        <v>120</v>
      </c>
      <c r="S34" s="35">
        <v>135700</v>
      </c>
      <c r="T34" s="2" t="s">
        <v>44</v>
      </c>
      <c r="U34" s="36">
        <v>0</v>
      </c>
      <c r="V34" s="36">
        <v>-4</v>
      </c>
      <c r="W34" s="37">
        <v>0</v>
      </c>
      <c r="X34" s="38">
        <v>0</v>
      </c>
    </row>
    <row r="35" spans="1:24" x14ac:dyDescent="0.25">
      <c r="A35" s="33" t="s">
        <v>787</v>
      </c>
      <c r="B35" s="33" t="s">
        <v>804</v>
      </c>
      <c r="C35" s="33" t="s">
        <v>877</v>
      </c>
      <c r="D35" s="33" t="s">
        <v>878</v>
      </c>
      <c r="E35" s="33" t="s">
        <v>879</v>
      </c>
      <c r="F35" s="26" t="str">
        <f>HYPERLINK("https://mapwv.gov/flood/map/?wkid=102100&amp;x=-9018619.803224985&amp;y=4725685.744356151&amp;l=13&amp;v=2","FT")</f>
        <v>FT</v>
      </c>
      <c r="G35" s="44" t="s">
        <v>684</v>
      </c>
      <c r="H35" s="34" t="s">
        <v>25</v>
      </c>
      <c r="I35" s="33" t="s">
        <v>945</v>
      </c>
      <c r="J35" s="34" t="s">
        <v>162</v>
      </c>
      <c r="K35" s="34" t="s">
        <v>117</v>
      </c>
      <c r="L35" s="34" t="s">
        <v>27</v>
      </c>
      <c r="M35" s="33" t="s">
        <v>41</v>
      </c>
      <c r="N35" s="3" t="s">
        <v>42</v>
      </c>
      <c r="O35" s="29" t="s">
        <v>114</v>
      </c>
      <c r="P35" s="30" t="s">
        <v>988</v>
      </c>
      <c r="Q35" s="33" t="s">
        <v>53</v>
      </c>
      <c r="R35" s="34" t="s">
        <v>159</v>
      </c>
      <c r="S35" s="35">
        <v>133800</v>
      </c>
      <c r="T35" s="2" t="s">
        <v>31</v>
      </c>
      <c r="U35" s="36">
        <v>0.35927415000000001</v>
      </c>
      <c r="V35" s="36">
        <v>-2.64072585105896</v>
      </c>
      <c r="W35" s="37">
        <v>0</v>
      </c>
      <c r="X35" s="38">
        <v>0</v>
      </c>
    </row>
    <row r="36" spans="1:24" x14ac:dyDescent="0.25">
      <c r="A36" s="33" t="s">
        <v>788</v>
      </c>
      <c r="B36" s="33" t="s">
        <v>804</v>
      </c>
      <c r="C36" s="33" t="s">
        <v>863</v>
      </c>
      <c r="D36" s="33" t="s">
        <v>880</v>
      </c>
      <c r="E36" s="33" t="s">
        <v>881</v>
      </c>
      <c r="F36" s="26" t="str">
        <f>HYPERLINK("https://mapwv.gov/flood/map/?wkid=102100&amp;x=-9011328.339731272&amp;y=4767991.283107601&amp;l=13&amp;v=2","FT")</f>
        <v>FT</v>
      </c>
      <c r="G36" s="44" t="s">
        <v>38</v>
      </c>
      <c r="H36" s="34" t="s">
        <v>25</v>
      </c>
      <c r="I36" s="33" t="s">
        <v>946</v>
      </c>
      <c r="J36" s="34" t="s">
        <v>39</v>
      </c>
      <c r="K36" s="34" t="s">
        <v>96</v>
      </c>
      <c r="L36" s="34" t="s">
        <v>58</v>
      </c>
      <c r="M36" s="33" t="s">
        <v>41</v>
      </c>
      <c r="N36" s="3" t="s">
        <v>42</v>
      </c>
      <c r="O36" s="29" t="s">
        <v>114</v>
      </c>
      <c r="P36" s="30" t="s">
        <v>123</v>
      </c>
      <c r="Q36" s="33" t="s">
        <v>43</v>
      </c>
      <c r="R36" s="34" t="s">
        <v>120</v>
      </c>
      <c r="S36" s="35">
        <v>128200</v>
      </c>
      <c r="T36" s="2" t="s">
        <v>44</v>
      </c>
      <c r="U36" s="36">
        <v>0</v>
      </c>
      <c r="V36" s="36">
        <v>-4</v>
      </c>
      <c r="W36" s="37">
        <v>0</v>
      </c>
      <c r="X36" s="38">
        <v>0</v>
      </c>
    </row>
    <row r="37" spans="1:24" x14ac:dyDescent="0.25">
      <c r="A37" s="33" t="s">
        <v>789</v>
      </c>
      <c r="B37" s="33" t="s">
        <v>804</v>
      </c>
      <c r="C37" s="33" t="s">
        <v>866</v>
      </c>
      <c r="D37" s="33" t="s">
        <v>882</v>
      </c>
      <c r="E37" s="33" t="s">
        <v>883</v>
      </c>
      <c r="F37" s="26" t="str">
        <f>HYPERLINK("https://mapwv.gov/flood/map/?wkid=102100&amp;x=-9033129.633159332&amp;y=4748289.081203641&amp;l=13&amp;v=2","FT")</f>
        <v>FT</v>
      </c>
      <c r="G37" s="44" t="s">
        <v>684</v>
      </c>
      <c r="H37" s="34" t="s">
        <v>25</v>
      </c>
      <c r="I37" s="33" t="s">
        <v>947</v>
      </c>
      <c r="J37" s="34" t="s">
        <v>162</v>
      </c>
      <c r="K37" s="34" t="s">
        <v>89</v>
      </c>
      <c r="L37" s="34" t="s">
        <v>50</v>
      </c>
      <c r="M37" s="33" t="s">
        <v>41</v>
      </c>
      <c r="N37" s="3" t="s">
        <v>42</v>
      </c>
      <c r="O37" s="29" t="s">
        <v>114</v>
      </c>
      <c r="P37" s="30" t="s">
        <v>997</v>
      </c>
      <c r="Q37" s="33" t="s">
        <v>53</v>
      </c>
      <c r="R37" s="34" t="s">
        <v>159</v>
      </c>
      <c r="S37" s="35">
        <v>127600</v>
      </c>
      <c r="T37" s="2" t="s">
        <v>44</v>
      </c>
      <c r="U37" s="36">
        <v>3.2612104</v>
      </c>
      <c r="V37" s="36">
        <v>0.26121044158935502</v>
      </c>
      <c r="W37" s="37">
        <v>0.15612104415893499</v>
      </c>
      <c r="X37" s="38">
        <v>19921.045234680099</v>
      </c>
    </row>
    <row r="38" spans="1:24" x14ac:dyDescent="0.25">
      <c r="A38" s="33" t="s">
        <v>790</v>
      </c>
      <c r="B38" s="33" t="s">
        <v>804</v>
      </c>
      <c r="C38" s="33" t="s">
        <v>849</v>
      </c>
      <c r="D38" s="33" t="s">
        <v>884</v>
      </c>
      <c r="E38" s="33" t="s">
        <v>885</v>
      </c>
      <c r="F38" s="26" t="str">
        <f>HYPERLINK("https://mapwv.gov/flood/map/?wkid=102100&amp;x=-9034531.992021829&amp;y=4752083.8458481245&amp;l=13&amp;v=2","FT")</f>
        <v>FT</v>
      </c>
      <c r="G38" s="44" t="s">
        <v>38</v>
      </c>
      <c r="H38" s="34" t="s">
        <v>25</v>
      </c>
      <c r="I38" s="33" t="s">
        <v>948</v>
      </c>
      <c r="J38" s="34" t="s">
        <v>39</v>
      </c>
      <c r="K38" s="34" t="s">
        <v>967</v>
      </c>
      <c r="L38" s="34" t="s">
        <v>47</v>
      </c>
      <c r="M38" s="33" t="s">
        <v>41</v>
      </c>
      <c r="N38" s="3" t="s">
        <v>42</v>
      </c>
      <c r="O38" s="29" t="s">
        <v>115</v>
      </c>
      <c r="P38" s="30" t="s">
        <v>998</v>
      </c>
      <c r="Q38" s="33" t="s">
        <v>53</v>
      </c>
      <c r="R38" s="34" t="s">
        <v>159</v>
      </c>
      <c r="S38" s="35">
        <v>125500</v>
      </c>
      <c r="T38" s="2" t="s">
        <v>44</v>
      </c>
      <c r="U38" s="36">
        <v>0.60264324999999996</v>
      </c>
      <c r="V38" s="36">
        <v>-2.39735674858093</v>
      </c>
      <c r="W38" s="37">
        <v>0</v>
      </c>
      <c r="X38" s="38">
        <v>0</v>
      </c>
    </row>
    <row r="39" spans="1:24" x14ac:dyDescent="0.25">
      <c r="A39" s="33" t="s">
        <v>791</v>
      </c>
      <c r="B39" s="33" t="s">
        <v>804</v>
      </c>
      <c r="C39" s="33" t="s">
        <v>846</v>
      </c>
      <c r="D39" s="33" t="s">
        <v>886</v>
      </c>
      <c r="E39" s="33" t="s">
        <v>887</v>
      </c>
      <c r="F39" s="26" t="str">
        <f>HYPERLINK("https://mapwv.gov/flood/map/?wkid=102100&amp;x=-9019110.043353131&amp;y=4768871.465934009&amp;l=13&amp;v=2","FT")</f>
        <v>FT</v>
      </c>
      <c r="G39" s="44" t="s">
        <v>38</v>
      </c>
      <c r="H39" s="34" t="s">
        <v>25</v>
      </c>
      <c r="I39" s="33" t="s">
        <v>949</v>
      </c>
      <c r="J39" s="34" t="s">
        <v>39</v>
      </c>
      <c r="K39" s="34" t="s">
        <v>85</v>
      </c>
      <c r="L39" s="34" t="s">
        <v>58</v>
      </c>
      <c r="M39" s="33" t="s">
        <v>41</v>
      </c>
      <c r="N39" s="3" t="s">
        <v>42</v>
      </c>
      <c r="O39" s="29" t="s">
        <v>115</v>
      </c>
      <c r="P39" s="30" t="s">
        <v>987</v>
      </c>
      <c r="Q39" s="33" t="s">
        <v>43</v>
      </c>
      <c r="R39" s="34" t="s">
        <v>120</v>
      </c>
      <c r="S39" s="35">
        <v>124900</v>
      </c>
      <c r="T39" s="2" t="s">
        <v>44</v>
      </c>
      <c r="U39" s="36">
        <v>0</v>
      </c>
      <c r="V39" s="36">
        <v>-4</v>
      </c>
      <c r="W39" s="37">
        <v>0</v>
      </c>
      <c r="X39" s="38">
        <v>0</v>
      </c>
    </row>
    <row r="40" spans="1:24" x14ac:dyDescent="0.25">
      <c r="A40" s="33" t="s">
        <v>792</v>
      </c>
      <c r="B40" s="33" t="s">
        <v>804</v>
      </c>
      <c r="C40" s="33" t="s">
        <v>846</v>
      </c>
      <c r="D40" s="33" t="s">
        <v>888</v>
      </c>
      <c r="E40" s="33" t="s">
        <v>889</v>
      </c>
      <c r="F40" s="26" t="str">
        <f>HYPERLINK("https://mapwv.gov/flood/map/?wkid=102100&amp;x=-9022683.41737531&amp;y=4765193.477334868&amp;l=13&amp;v=2","FT")</f>
        <v>FT</v>
      </c>
      <c r="G40" s="44" t="s">
        <v>684</v>
      </c>
      <c r="H40" s="34" t="s">
        <v>25</v>
      </c>
      <c r="I40" s="33" t="s">
        <v>950</v>
      </c>
      <c r="J40" s="34" t="s">
        <v>162</v>
      </c>
      <c r="K40" s="34" t="s">
        <v>100</v>
      </c>
      <c r="L40" s="34" t="s">
        <v>27</v>
      </c>
      <c r="M40" s="33" t="s">
        <v>41</v>
      </c>
      <c r="N40" s="3" t="s">
        <v>42</v>
      </c>
      <c r="O40" s="29" t="s">
        <v>115</v>
      </c>
      <c r="P40" s="30" t="s">
        <v>964</v>
      </c>
      <c r="Q40" s="33" t="s">
        <v>53</v>
      </c>
      <c r="R40" s="34" t="s">
        <v>159</v>
      </c>
      <c r="S40" s="35">
        <v>117200</v>
      </c>
      <c r="T40" s="2" t="s">
        <v>44</v>
      </c>
      <c r="U40" s="36">
        <v>1.2802742</v>
      </c>
      <c r="V40" s="36">
        <v>-1.71972584724426</v>
      </c>
      <c r="W40" s="37">
        <v>0</v>
      </c>
      <c r="X40" s="38">
        <v>0</v>
      </c>
    </row>
    <row r="41" spans="1:24" x14ac:dyDescent="0.25">
      <c r="A41" s="33" t="s">
        <v>793</v>
      </c>
      <c r="B41" s="33" t="s">
        <v>804</v>
      </c>
      <c r="C41" s="33" t="s">
        <v>890</v>
      </c>
      <c r="D41" s="33" t="s">
        <v>891</v>
      </c>
      <c r="E41" s="33" t="s">
        <v>892</v>
      </c>
      <c r="F41" s="26" t="str">
        <f>HYPERLINK("https://mapwv.gov/flood/map/?wkid=102100&amp;x=-9044835.083668625&amp;y=4741909.927643134&amp;l=13&amp;v=2","FT")</f>
        <v>FT</v>
      </c>
      <c r="G41" s="44" t="s">
        <v>684</v>
      </c>
      <c r="H41" s="34" t="s">
        <v>25</v>
      </c>
      <c r="I41" s="33" t="s">
        <v>951</v>
      </c>
      <c r="J41" s="34" t="s">
        <v>39</v>
      </c>
      <c r="K41" s="34" t="s">
        <v>129</v>
      </c>
      <c r="L41" s="34" t="s">
        <v>37</v>
      </c>
      <c r="M41" s="33" t="s">
        <v>41</v>
      </c>
      <c r="N41" s="3" t="s">
        <v>42</v>
      </c>
      <c r="O41" s="29" t="s">
        <v>114</v>
      </c>
      <c r="P41" s="30" t="s">
        <v>999</v>
      </c>
      <c r="Q41" s="33" t="s">
        <v>43</v>
      </c>
      <c r="R41" s="34" t="s">
        <v>120</v>
      </c>
      <c r="S41" s="35">
        <v>115800</v>
      </c>
      <c r="T41" s="2" t="s">
        <v>44</v>
      </c>
      <c r="U41" s="36">
        <v>0.29748085000000002</v>
      </c>
      <c r="V41" s="36">
        <v>-3.7025191485881801</v>
      </c>
      <c r="W41" s="37">
        <v>0</v>
      </c>
      <c r="X41" s="38">
        <v>0</v>
      </c>
    </row>
    <row r="42" spans="1:24" x14ac:dyDescent="0.25">
      <c r="A42" s="33" t="s">
        <v>794</v>
      </c>
      <c r="B42" s="33" t="s">
        <v>804</v>
      </c>
      <c r="C42" s="33" t="s">
        <v>836</v>
      </c>
      <c r="D42" s="33" t="s">
        <v>893</v>
      </c>
      <c r="E42" s="33" t="s">
        <v>894</v>
      </c>
      <c r="F42" s="26" t="str">
        <f>HYPERLINK("https://mapwv.gov/flood/map/?wkid=102100&amp;x=-9019538.939651355&amp;y=4753616.602626395&amp;l=13&amp;v=2","FT")</f>
        <v>FT</v>
      </c>
      <c r="G42" s="44" t="s">
        <v>38</v>
      </c>
      <c r="H42" s="34" t="s">
        <v>25</v>
      </c>
      <c r="I42" s="33" t="s">
        <v>952</v>
      </c>
      <c r="J42" s="34" t="s">
        <v>39</v>
      </c>
      <c r="K42" s="34" t="s">
        <v>158</v>
      </c>
      <c r="L42" s="34" t="s">
        <v>27</v>
      </c>
      <c r="M42" s="33" t="s">
        <v>41</v>
      </c>
      <c r="N42" s="3" t="s">
        <v>42</v>
      </c>
      <c r="O42" s="29" t="s">
        <v>115</v>
      </c>
      <c r="P42" s="30" t="s">
        <v>150</v>
      </c>
      <c r="Q42" s="33" t="s">
        <v>43</v>
      </c>
      <c r="R42" s="34" t="s">
        <v>120</v>
      </c>
      <c r="S42" s="35">
        <v>114700</v>
      </c>
      <c r="T42" s="2" t="s">
        <v>44</v>
      </c>
      <c r="U42" s="36">
        <v>0</v>
      </c>
      <c r="V42" s="36">
        <v>-4</v>
      </c>
      <c r="W42" s="37">
        <v>0</v>
      </c>
      <c r="X42" s="38">
        <v>0</v>
      </c>
    </row>
    <row r="43" spans="1:24" x14ac:dyDescent="0.25">
      <c r="A43" s="33" t="s">
        <v>795</v>
      </c>
      <c r="B43" s="33" t="s">
        <v>804</v>
      </c>
      <c r="C43" s="33" t="s">
        <v>814</v>
      </c>
      <c r="D43" s="33" t="s">
        <v>895</v>
      </c>
      <c r="E43" s="33" t="s">
        <v>896</v>
      </c>
      <c r="F43" s="26" t="str">
        <f>HYPERLINK("https://mapwv.gov/flood/map/?wkid=102100&amp;x=-9039765.456355687&amp;y=4759380.385461502&amp;l=13&amp;v=2","FT")</f>
        <v>FT</v>
      </c>
      <c r="G43" s="44" t="s">
        <v>38</v>
      </c>
      <c r="H43" s="34" t="s">
        <v>25</v>
      </c>
      <c r="I43" s="33" t="s">
        <v>953</v>
      </c>
      <c r="J43" s="34" t="s">
        <v>39</v>
      </c>
      <c r="K43" s="34" t="s">
        <v>964</v>
      </c>
      <c r="L43" s="34" t="s">
        <v>27</v>
      </c>
      <c r="M43" s="33" t="s">
        <v>41</v>
      </c>
      <c r="N43" s="3" t="s">
        <v>42</v>
      </c>
      <c r="O43" s="29" t="s">
        <v>115</v>
      </c>
      <c r="P43" s="30" t="s">
        <v>1000</v>
      </c>
      <c r="Q43" s="33" t="s">
        <v>53</v>
      </c>
      <c r="R43" s="34" t="s">
        <v>159</v>
      </c>
      <c r="S43" s="35">
        <v>114500</v>
      </c>
      <c r="T43" s="2" t="s">
        <v>44</v>
      </c>
      <c r="U43" s="36">
        <v>0.40974933000000002</v>
      </c>
      <c r="V43" s="36">
        <v>-2.5902506709098798</v>
      </c>
      <c r="W43" s="37">
        <v>0</v>
      </c>
      <c r="X43" s="38">
        <v>0</v>
      </c>
    </row>
    <row r="44" spans="1:24" x14ac:dyDescent="0.25">
      <c r="A44" s="33" t="s">
        <v>796</v>
      </c>
      <c r="B44" s="33" t="s">
        <v>804</v>
      </c>
      <c r="C44" s="33" t="s">
        <v>897</v>
      </c>
      <c r="D44" s="33" t="s">
        <v>898</v>
      </c>
      <c r="E44" s="33" t="s">
        <v>899</v>
      </c>
      <c r="F44" s="26" t="str">
        <f>HYPERLINK("https://mapwv.gov/flood/map/?wkid=102100&amp;x=-9013811.945809718&amp;y=4754703.672314632&amp;l=13&amp;v=2","FT")</f>
        <v>FT</v>
      </c>
      <c r="G44" s="44" t="s">
        <v>38</v>
      </c>
      <c r="H44" s="34" t="s">
        <v>25</v>
      </c>
      <c r="I44" s="33" t="s">
        <v>954</v>
      </c>
      <c r="J44" s="34" t="s">
        <v>39</v>
      </c>
      <c r="K44" s="34" t="s">
        <v>135</v>
      </c>
      <c r="L44" s="34" t="s">
        <v>58</v>
      </c>
      <c r="M44" s="33" t="s">
        <v>41</v>
      </c>
      <c r="N44" s="3" t="s">
        <v>42</v>
      </c>
      <c r="O44" s="29" t="s">
        <v>114</v>
      </c>
      <c r="P44" s="30" t="s">
        <v>1001</v>
      </c>
      <c r="Q44" s="33" t="s">
        <v>43</v>
      </c>
      <c r="R44" s="34" t="s">
        <v>120</v>
      </c>
      <c r="S44" s="35">
        <v>113700</v>
      </c>
      <c r="T44" s="2" t="s">
        <v>44</v>
      </c>
      <c r="U44" s="36">
        <v>0</v>
      </c>
      <c r="V44" s="36">
        <v>-4</v>
      </c>
      <c r="W44" s="37">
        <v>0</v>
      </c>
      <c r="X44" s="38">
        <v>0</v>
      </c>
    </row>
    <row r="45" spans="1:24" x14ac:dyDescent="0.25">
      <c r="A45" s="33" t="s">
        <v>797</v>
      </c>
      <c r="B45" s="33" t="s">
        <v>804</v>
      </c>
      <c r="C45" s="33" t="s">
        <v>900</v>
      </c>
      <c r="D45" s="33" t="s">
        <v>901</v>
      </c>
      <c r="E45" s="33" t="s">
        <v>902</v>
      </c>
      <c r="F45" s="26" t="str">
        <f>HYPERLINK("https://mapwv.gov/flood/map/?wkid=102100&amp;x=-9037809.02476528&amp;y=4760979.763601489&amp;l=13&amp;v=2","FT")</f>
        <v>FT</v>
      </c>
      <c r="G45" s="44" t="s">
        <v>38</v>
      </c>
      <c r="H45" s="34" t="s">
        <v>25</v>
      </c>
      <c r="I45" s="33" t="s">
        <v>955</v>
      </c>
      <c r="J45" s="34" t="s">
        <v>39</v>
      </c>
      <c r="K45" s="34" t="s">
        <v>968</v>
      </c>
      <c r="L45" s="34" t="s">
        <v>50</v>
      </c>
      <c r="M45" s="33" t="s">
        <v>41</v>
      </c>
      <c r="N45" s="3" t="s">
        <v>42</v>
      </c>
      <c r="O45" s="29" t="s">
        <v>114</v>
      </c>
      <c r="P45" s="30" t="s">
        <v>1002</v>
      </c>
      <c r="Q45" s="33" t="s">
        <v>43</v>
      </c>
      <c r="R45" s="34" t="s">
        <v>120</v>
      </c>
      <c r="S45" s="35">
        <v>105800</v>
      </c>
      <c r="T45" s="2" t="s">
        <v>44</v>
      </c>
      <c r="U45" s="36">
        <v>0</v>
      </c>
      <c r="V45" s="36">
        <v>-4</v>
      </c>
      <c r="W45" s="37">
        <v>0</v>
      </c>
      <c r="X45" s="38">
        <v>0</v>
      </c>
    </row>
    <row r="46" spans="1:24" x14ac:dyDescent="0.25">
      <c r="A46" s="33" t="s">
        <v>798</v>
      </c>
      <c r="B46" s="33" t="s">
        <v>804</v>
      </c>
      <c r="C46" s="33" t="s">
        <v>836</v>
      </c>
      <c r="D46" s="33" t="s">
        <v>903</v>
      </c>
      <c r="E46" s="33" t="s">
        <v>904</v>
      </c>
      <c r="F46" s="26" t="str">
        <f>HYPERLINK("https://mapwv.gov/flood/map/?wkid=102100&amp;x=-9043127.377669273&amp;y=4743769.35385665&amp;l=13&amp;v=2","FT")</f>
        <v>FT</v>
      </c>
      <c r="G46" s="44" t="s">
        <v>38</v>
      </c>
      <c r="H46" s="34" t="s">
        <v>25</v>
      </c>
      <c r="I46" s="33" t="s">
        <v>956</v>
      </c>
      <c r="J46" s="34" t="s">
        <v>39</v>
      </c>
      <c r="K46" s="34" t="s">
        <v>969</v>
      </c>
      <c r="L46" s="34" t="s">
        <v>27</v>
      </c>
      <c r="M46" s="33" t="s">
        <v>41</v>
      </c>
      <c r="N46" s="3" t="s">
        <v>42</v>
      </c>
      <c r="O46" s="29" t="s">
        <v>115</v>
      </c>
      <c r="P46" s="30" t="s">
        <v>1003</v>
      </c>
      <c r="Q46" s="33" t="s">
        <v>30</v>
      </c>
      <c r="R46" s="34" t="s">
        <v>119</v>
      </c>
      <c r="S46" s="35">
        <v>104900</v>
      </c>
      <c r="T46" s="2" t="s">
        <v>44</v>
      </c>
      <c r="U46" s="36">
        <v>0.48556085999999998</v>
      </c>
      <c r="V46" s="36">
        <v>-0.51443913578987099</v>
      </c>
      <c r="W46" s="37">
        <v>5.3411695063114106E-2</v>
      </c>
      <c r="X46" s="38">
        <v>5602.8868121206697</v>
      </c>
    </row>
    <row r="47" spans="1:24" x14ac:dyDescent="0.25">
      <c r="A47" s="33" t="s">
        <v>799</v>
      </c>
      <c r="B47" s="33" t="s">
        <v>804</v>
      </c>
      <c r="C47" s="33" t="s">
        <v>863</v>
      </c>
      <c r="D47" s="33" t="s">
        <v>905</v>
      </c>
      <c r="E47" s="33" t="s">
        <v>906</v>
      </c>
      <c r="F47" s="26" t="str">
        <f>HYPERLINK("https://mapwv.gov/flood/map/?wkid=102100&amp;x=-9011025.903265147&amp;y=4768176.395284279&amp;l=13&amp;v=2","FT")</f>
        <v>FT</v>
      </c>
      <c r="G47" s="44" t="s">
        <v>38</v>
      </c>
      <c r="H47" s="34" t="s">
        <v>25</v>
      </c>
      <c r="I47" s="33" t="s">
        <v>957</v>
      </c>
      <c r="J47" s="34" t="s">
        <v>39</v>
      </c>
      <c r="K47" s="34" t="s">
        <v>132</v>
      </c>
      <c r="L47" s="34" t="s">
        <v>58</v>
      </c>
      <c r="M47" s="33" t="s">
        <v>41</v>
      </c>
      <c r="N47" s="3" t="s">
        <v>42</v>
      </c>
      <c r="O47" s="29" t="s">
        <v>114</v>
      </c>
      <c r="P47" s="30" t="s">
        <v>1004</v>
      </c>
      <c r="Q47" s="33" t="s">
        <v>43</v>
      </c>
      <c r="R47" s="34" t="s">
        <v>120</v>
      </c>
      <c r="S47" s="35">
        <v>104700</v>
      </c>
      <c r="T47" s="2" t="s">
        <v>44</v>
      </c>
      <c r="U47" s="36">
        <v>0</v>
      </c>
      <c r="V47" s="36">
        <v>-4</v>
      </c>
      <c r="W47" s="37">
        <v>0</v>
      </c>
      <c r="X47" s="38">
        <v>0</v>
      </c>
    </row>
    <row r="48" spans="1:24" x14ac:dyDescent="0.25">
      <c r="A48" s="33" t="s">
        <v>800</v>
      </c>
      <c r="B48" s="33" t="s">
        <v>804</v>
      </c>
      <c r="C48" s="33" t="s">
        <v>907</v>
      </c>
      <c r="D48" s="33" t="s">
        <v>908</v>
      </c>
      <c r="E48" s="33" t="s">
        <v>909</v>
      </c>
      <c r="F48" s="26" t="str">
        <f>HYPERLINK("https://mapwv.gov/flood/map/?wkid=102100&amp;x=-9010578.700921934&amp;y=4737078.646700744&amp;l=13&amp;v=2","FT")</f>
        <v>FT</v>
      </c>
      <c r="G48" s="44" t="s">
        <v>38</v>
      </c>
      <c r="H48" s="34" t="s">
        <v>25</v>
      </c>
      <c r="I48" s="33" t="s">
        <v>958</v>
      </c>
      <c r="J48" s="34" t="s">
        <v>39</v>
      </c>
      <c r="K48" s="34" t="s">
        <v>530</v>
      </c>
      <c r="L48" s="34" t="s">
        <v>37</v>
      </c>
      <c r="M48" s="33" t="s">
        <v>41</v>
      </c>
      <c r="N48" s="3" t="s">
        <v>42</v>
      </c>
      <c r="O48" s="29" t="s">
        <v>115</v>
      </c>
      <c r="P48" s="30" t="s">
        <v>158</v>
      </c>
      <c r="Q48" s="33" t="s">
        <v>30</v>
      </c>
      <c r="R48" s="34" t="s">
        <v>119</v>
      </c>
      <c r="S48" s="35">
        <v>104200</v>
      </c>
      <c r="T48" s="2" t="s">
        <v>44</v>
      </c>
      <c r="U48" s="36">
        <v>0</v>
      </c>
      <c r="V48" s="36">
        <v>-1</v>
      </c>
      <c r="W48" s="37">
        <v>0</v>
      </c>
      <c r="X48" s="38">
        <v>0</v>
      </c>
    </row>
    <row r="49" spans="1:24" x14ac:dyDescent="0.25">
      <c r="A49" s="33" t="s">
        <v>801</v>
      </c>
      <c r="B49" s="33" t="s">
        <v>910</v>
      </c>
      <c r="C49" s="33" t="s">
        <v>836</v>
      </c>
      <c r="D49" s="33" t="s">
        <v>911</v>
      </c>
      <c r="E49" s="33" t="s">
        <v>912</v>
      </c>
      <c r="F49" s="26" t="str">
        <f>HYPERLINK("https://mapwv.gov/flood/map/?wkid=102100&amp;x=-9034717.810746005&amp;y=4751144.170136219&amp;l=13&amp;v=2","FT")</f>
        <v>FT</v>
      </c>
      <c r="G49" s="44" t="s">
        <v>32</v>
      </c>
      <c r="H49" s="34" t="s">
        <v>25</v>
      </c>
      <c r="I49" s="33" t="s">
        <v>959</v>
      </c>
      <c r="J49" s="34" t="s">
        <v>26</v>
      </c>
      <c r="K49" s="34" t="s">
        <v>970</v>
      </c>
      <c r="L49" s="34" t="s">
        <v>45</v>
      </c>
      <c r="M49" s="33" t="s">
        <v>971</v>
      </c>
      <c r="N49" s="3" t="s">
        <v>42</v>
      </c>
      <c r="O49" s="29" t="s">
        <v>114</v>
      </c>
      <c r="P49" s="30" t="s">
        <v>984</v>
      </c>
      <c r="Q49" s="33" t="s">
        <v>53</v>
      </c>
      <c r="R49" s="34" t="s">
        <v>120</v>
      </c>
      <c r="S49" s="35">
        <v>103600</v>
      </c>
      <c r="T49" s="2" t="s">
        <v>44</v>
      </c>
      <c r="U49" s="36">
        <v>0.93536377000000004</v>
      </c>
      <c r="V49" s="36">
        <v>-3.06463623046875</v>
      </c>
      <c r="W49" s="37">
        <v>0</v>
      </c>
      <c r="X49" s="38">
        <v>0</v>
      </c>
    </row>
    <row r="50" spans="1:24" x14ac:dyDescent="0.25">
      <c r="A50" s="33" t="s">
        <v>802</v>
      </c>
      <c r="B50" s="33" t="s">
        <v>804</v>
      </c>
      <c r="C50" s="33" t="s">
        <v>913</v>
      </c>
      <c r="D50" s="33" t="s">
        <v>914</v>
      </c>
      <c r="E50" s="33" t="s">
        <v>915</v>
      </c>
      <c r="F50" s="26" t="str">
        <f>HYPERLINK("https://mapwv.gov/flood/map/?wkid=102100&amp;x=-9020442.391272796&amp;y=4756306.5801441735&amp;l=13&amp;v=2","FT")</f>
        <v>FT</v>
      </c>
      <c r="G50" s="44" t="s">
        <v>684</v>
      </c>
      <c r="H50" s="34" t="s">
        <v>25</v>
      </c>
      <c r="I50" s="33" t="s">
        <v>960</v>
      </c>
      <c r="J50" s="34" t="s">
        <v>162</v>
      </c>
      <c r="K50" s="34" t="s">
        <v>136</v>
      </c>
      <c r="L50" s="34" t="s">
        <v>27</v>
      </c>
      <c r="M50" s="33" t="s">
        <v>41</v>
      </c>
      <c r="N50" s="3" t="s">
        <v>42</v>
      </c>
      <c r="O50" s="29" t="s">
        <v>114</v>
      </c>
      <c r="P50" s="30" t="s">
        <v>1005</v>
      </c>
      <c r="Q50" s="33" t="s">
        <v>53</v>
      </c>
      <c r="R50" s="34" t="s">
        <v>159</v>
      </c>
      <c r="S50" s="35">
        <v>102500</v>
      </c>
      <c r="T50" s="2" t="s">
        <v>44</v>
      </c>
      <c r="U50" s="36">
        <v>0.47029978</v>
      </c>
      <c r="V50" s="36">
        <v>-2.5297002196311902</v>
      </c>
      <c r="W50" s="37">
        <v>0</v>
      </c>
      <c r="X50" s="38">
        <v>0</v>
      </c>
    </row>
    <row r="51" spans="1:24" x14ac:dyDescent="0.25">
      <c r="A51" s="33" t="s">
        <v>803</v>
      </c>
      <c r="B51" s="33" t="s">
        <v>910</v>
      </c>
      <c r="C51" s="33" t="s">
        <v>849</v>
      </c>
      <c r="D51" s="33" t="s">
        <v>916</v>
      </c>
      <c r="E51" s="33" t="s">
        <v>917</v>
      </c>
      <c r="F51" s="26" t="str">
        <f>HYPERLINK("https://mapwv.gov/flood/map/?wkid=102100&amp;x=-9034369.081067752&amp;y=4751970.4532407755&amp;l=13&amp;v=2","FT")</f>
        <v>FT</v>
      </c>
      <c r="G51" s="44" t="s">
        <v>32</v>
      </c>
      <c r="H51" s="34" t="s">
        <v>25</v>
      </c>
      <c r="I51" s="33" t="s">
        <v>961</v>
      </c>
      <c r="J51" s="34" t="s">
        <v>26</v>
      </c>
      <c r="K51" s="34" t="s">
        <v>84</v>
      </c>
      <c r="L51" s="34" t="s">
        <v>58</v>
      </c>
      <c r="M51" s="33" t="s">
        <v>971</v>
      </c>
      <c r="N51" s="3" t="s">
        <v>42</v>
      </c>
      <c r="O51" s="29" t="s">
        <v>114</v>
      </c>
      <c r="P51" s="30" t="s">
        <v>1005</v>
      </c>
      <c r="Q51" s="33" t="s">
        <v>53</v>
      </c>
      <c r="R51" s="34" t="s">
        <v>120</v>
      </c>
      <c r="S51" s="35">
        <v>100200</v>
      </c>
      <c r="T51" s="2" t="s">
        <v>44</v>
      </c>
      <c r="U51" s="36">
        <v>0.70800779999999996</v>
      </c>
      <c r="V51" s="36">
        <v>-3.2919921875</v>
      </c>
      <c r="W51" s="37">
        <v>0</v>
      </c>
      <c r="X51" s="38">
        <v>0</v>
      </c>
    </row>
  </sheetData>
  <hyperlinks>
    <hyperlink ref="J3" r:id="rId1" xr:uid="{992C0921-4BEA-478A-B6C0-5AB790903C2E}"/>
    <hyperlink ref="M3" r:id="rId2" xr:uid="{BADD754C-E4C2-40F1-9F11-3D6FF2D2A23D}"/>
    <hyperlink ref="Q3" r:id="rId3" xr:uid="{B1FACF7B-5184-400D-8EF4-8A166C3F3686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51CAFA-0BA6-4EF1-8794-A0D80E681D96}">
  <dimension ref="A1:X46"/>
  <sheetViews>
    <sheetView workbookViewId="0">
      <pane ySplit="6" topLeftCell="A7" activePane="bottomLeft" state="frozen"/>
      <selection pane="bottomLeft" activeCell="I1" sqref="I1"/>
    </sheetView>
  </sheetViews>
  <sheetFormatPr defaultRowHeight="15" x14ac:dyDescent="0.25"/>
  <cols>
    <col min="1" max="1" width="37" bestFit="1" customWidth="1"/>
    <col min="2" max="2" width="21.42578125" bestFit="1" customWidth="1"/>
    <col min="7" max="7" width="11.7109375" customWidth="1"/>
    <col min="10" max="10" width="8.85546875" style="8"/>
    <col min="13" max="13" width="10.28515625" customWidth="1"/>
    <col min="14" max="14" width="11" customWidth="1"/>
    <col min="15" max="15" width="8.85546875" style="8"/>
    <col min="17" max="17" width="11.42578125" customWidth="1"/>
    <col min="19" max="19" width="21.7109375" bestFit="1" customWidth="1"/>
    <col min="24" max="24" width="9.5703125" bestFit="1" customWidth="1"/>
  </cols>
  <sheetData>
    <row r="1" spans="1:24" ht="14.25" customHeight="1" x14ac:dyDescent="0.25">
      <c r="A1" s="5" t="s">
        <v>75</v>
      </c>
      <c r="B1" s="5"/>
      <c r="C1" s="5"/>
      <c r="D1" s="5"/>
      <c r="F1" s="19" t="s">
        <v>76</v>
      </c>
      <c r="G1" s="8"/>
      <c r="H1" s="8"/>
      <c r="K1" s="8"/>
      <c r="L1" s="8"/>
      <c r="N1" s="7" t="s">
        <v>77</v>
      </c>
      <c r="P1" s="8"/>
      <c r="R1" s="8"/>
      <c r="S1" s="9" t="s">
        <v>78</v>
      </c>
      <c r="U1" s="10"/>
      <c r="V1" s="10"/>
      <c r="W1" s="11"/>
      <c r="X1" s="12"/>
    </row>
    <row r="2" spans="1:24" x14ac:dyDescent="0.25">
      <c r="A2" s="13">
        <v>44481</v>
      </c>
      <c r="B2" s="14" t="s">
        <v>79</v>
      </c>
      <c r="F2" s="8"/>
      <c r="G2" s="8"/>
      <c r="H2" s="8"/>
      <c r="K2" s="8"/>
      <c r="L2" s="8"/>
      <c r="N2" s="15" t="s">
        <v>42</v>
      </c>
      <c r="P2" s="8"/>
      <c r="R2" s="8"/>
      <c r="S2" s="9"/>
      <c r="U2" s="10"/>
      <c r="V2" s="10"/>
      <c r="W2" s="11"/>
      <c r="X2" s="12"/>
    </row>
    <row r="3" spans="1:24" x14ac:dyDescent="0.25">
      <c r="A3" t="s">
        <v>81</v>
      </c>
      <c r="B3" s="49" t="s">
        <v>2291</v>
      </c>
      <c r="F3" s="8"/>
      <c r="G3" s="8"/>
      <c r="H3" s="8"/>
      <c r="J3" s="18" t="s">
        <v>80</v>
      </c>
      <c r="K3" s="8"/>
      <c r="L3" s="8"/>
      <c r="M3" s="16" t="s">
        <v>80</v>
      </c>
      <c r="N3" s="7"/>
      <c r="P3" s="8"/>
      <c r="Q3" s="16" t="s">
        <v>80</v>
      </c>
      <c r="R3" s="17"/>
      <c r="S3" s="9"/>
      <c r="U3" s="10"/>
      <c r="V3" s="10"/>
      <c r="W3" s="11"/>
      <c r="X3" s="12"/>
    </row>
    <row r="4" spans="1:24" x14ac:dyDescent="0.25">
      <c r="F4" s="8"/>
      <c r="G4" s="8"/>
      <c r="H4" s="8"/>
      <c r="K4" s="8"/>
      <c r="L4" s="8"/>
      <c r="N4" s="7"/>
      <c r="P4" s="8"/>
      <c r="R4" s="8"/>
      <c r="S4" s="9"/>
      <c r="U4" s="10"/>
      <c r="V4" s="10"/>
      <c r="W4" s="11"/>
      <c r="X4" s="12"/>
    </row>
    <row r="5" spans="1:24" x14ac:dyDescent="0.25">
      <c r="A5" s="1" t="s">
        <v>1006</v>
      </c>
      <c r="F5" s="8"/>
      <c r="G5" s="8"/>
      <c r="H5" s="8"/>
      <c r="K5" s="8"/>
      <c r="L5" s="8"/>
      <c r="P5" s="8"/>
      <c r="R5" s="8"/>
      <c r="S5" s="39" t="s">
        <v>166</v>
      </c>
      <c r="U5" s="8"/>
      <c r="V5" s="8"/>
      <c r="W5" s="11"/>
      <c r="X5" s="12"/>
    </row>
    <row r="6" spans="1:24" ht="45" x14ac:dyDescent="0.25">
      <c r="A6" s="27" t="s">
        <v>0</v>
      </c>
      <c r="B6" s="20" t="s">
        <v>1</v>
      </c>
      <c r="C6" s="20" t="s">
        <v>2</v>
      </c>
      <c r="D6" s="28" t="s">
        <v>3</v>
      </c>
      <c r="E6" s="28" t="s">
        <v>4</v>
      </c>
      <c r="F6" s="20" t="s">
        <v>5</v>
      </c>
      <c r="G6" s="20" t="s">
        <v>6</v>
      </c>
      <c r="H6" s="27" t="s">
        <v>7</v>
      </c>
      <c r="I6" s="20" t="s">
        <v>8</v>
      </c>
      <c r="J6" s="27" t="s">
        <v>9</v>
      </c>
      <c r="K6" s="28" t="s">
        <v>10</v>
      </c>
      <c r="L6" s="20" t="s">
        <v>11</v>
      </c>
      <c r="M6" s="28" t="s">
        <v>12</v>
      </c>
      <c r="N6" s="21" t="s">
        <v>13</v>
      </c>
      <c r="O6" s="28" t="s">
        <v>14</v>
      </c>
      <c r="P6" s="28" t="s">
        <v>15</v>
      </c>
      <c r="Q6" s="28" t="s">
        <v>16</v>
      </c>
      <c r="R6" s="28" t="s">
        <v>17</v>
      </c>
      <c r="S6" s="22" t="s">
        <v>18</v>
      </c>
      <c r="T6" s="20" t="s">
        <v>19</v>
      </c>
      <c r="U6" s="31" t="s">
        <v>20</v>
      </c>
      <c r="V6" s="31" t="s">
        <v>21</v>
      </c>
      <c r="W6" s="32" t="s">
        <v>22</v>
      </c>
      <c r="X6" s="23" t="s">
        <v>23</v>
      </c>
    </row>
    <row r="7" spans="1:24" x14ac:dyDescent="0.25">
      <c r="A7" s="24" t="s">
        <v>1007</v>
      </c>
      <c r="B7" s="33" t="s">
        <v>1046</v>
      </c>
      <c r="C7" s="33" t="s">
        <v>1047</v>
      </c>
      <c r="D7" s="33" t="s">
        <v>1048</v>
      </c>
      <c r="E7" s="33" t="s">
        <v>1049</v>
      </c>
      <c r="F7" s="26" t="str">
        <f>HYPERLINK("https://mapwv.gov/flood/map/?wkid=102100&amp;x=-9056103.794642324&amp;y=4693820.799236515&amp;l=13&amp;v=2","FT")</f>
        <v>FT</v>
      </c>
      <c r="G7" s="44" t="s">
        <v>32</v>
      </c>
      <c r="H7" s="34" t="s">
        <v>25</v>
      </c>
      <c r="I7" s="33" t="s">
        <v>1141</v>
      </c>
      <c r="J7" s="34" t="s">
        <v>26</v>
      </c>
      <c r="K7" s="34" t="s">
        <v>97</v>
      </c>
      <c r="L7" s="34"/>
      <c r="M7" s="33" t="s">
        <v>69</v>
      </c>
      <c r="N7" s="3" t="s">
        <v>110</v>
      </c>
      <c r="O7" s="34" t="s">
        <v>114</v>
      </c>
      <c r="P7" s="30" t="s">
        <v>1181</v>
      </c>
      <c r="Q7" s="2" t="s">
        <v>30</v>
      </c>
      <c r="R7" s="34" t="s">
        <v>119</v>
      </c>
      <c r="S7" s="35">
        <v>11585000</v>
      </c>
      <c r="T7" s="2" t="s">
        <v>70</v>
      </c>
      <c r="U7" s="36">
        <v>0</v>
      </c>
      <c r="V7" s="36">
        <v>-1</v>
      </c>
      <c r="W7" s="37">
        <v>0</v>
      </c>
      <c r="X7" s="38">
        <v>0</v>
      </c>
    </row>
    <row r="8" spans="1:24" x14ac:dyDescent="0.25">
      <c r="A8" s="24" t="s">
        <v>1008</v>
      </c>
      <c r="B8" s="33" t="s">
        <v>1050</v>
      </c>
      <c r="C8" s="33" t="s">
        <v>1051</v>
      </c>
      <c r="D8" s="33" t="s">
        <v>1052</v>
      </c>
      <c r="E8" s="33" t="s">
        <v>1053</v>
      </c>
      <c r="F8" s="26" t="str">
        <f>HYPERLINK("https://mapwv.gov/flood/map/?wkid=102100&amp;x=-9043691.500543455&amp;y=4667549.642633877&amp;l=13&amp;v=2","FT")</f>
        <v>FT</v>
      </c>
      <c r="G8" s="44" t="s">
        <v>684</v>
      </c>
      <c r="H8" s="34" t="s">
        <v>25</v>
      </c>
      <c r="I8" s="33" t="s">
        <v>68</v>
      </c>
      <c r="J8" s="34" t="s">
        <v>39</v>
      </c>
      <c r="K8" s="34" t="s">
        <v>102</v>
      </c>
      <c r="L8" s="34" t="s">
        <v>45</v>
      </c>
      <c r="M8" s="33" t="s">
        <v>69</v>
      </c>
      <c r="N8" s="3" t="s">
        <v>110</v>
      </c>
      <c r="O8" s="34" t="s">
        <v>114</v>
      </c>
      <c r="P8" s="30" t="s">
        <v>1182</v>
      </c>
      <c r="Q8" s="2" t="s">
        <v>30</v>
      </c>
      <c r="R8" s="34" t="s">
        <v>119</v>
      </c>
      <c r="S8" s="35">
        <v>9620250</v>
      </c>
      <c r="T8" s="2" t="s">
        <v>70</v>
      </c>
      <c r="U8" s="36">
        <v>0.97834146</v>
      </c>
      <c r="V8" s="36">
        <v>-2.1658539772033601E-2</v>
      </c>
      <c r="W8" s="37">
        <v>0</v>
      </c>
      <c r="X8" s="38">
        <v>0</v>
      </c>
    </row>
    <row r="9" spans="1:24" x14ac:dyDescent="0.25">
      <c r="A9" s="24" t="s">
        <v>1009</v>
      </c>
      <c r="B9" s="33" t="s">
        <v>1050</v>
      </c>
      <c r="C9" s="33" t="s">
        <v>1054</v>
      </c>
      <c r="D9" s="33" t="s">
        <v>1055</v>
      </c>
      <c r="E9" s="33" t="s">
        <v>1056</v>
      </c>
      <c r="F9" s="26" t="str">
        <f>HYPERLINK("https://mapwv.gov/flood/map/?wkid=102100&amp;x=-9061445.714105157&amp;y=4669341.01472779&amp;l=13&amp;v=2","FT")</f>
        <v>FT</v>
      </c>
      <c r="G9" s="44" t="s">
        <v>38</v>
      </c>
      <c r="H9" s="34" t="s">
        <v>25</v>
      </c>
      <c r="I9" s="33" t="s">
        <v>68</v>
      </c>
      <c r="J9" s="34" t="s">
        <v>39</v>
      </c>
      <c r="K9" s="34" t="s">
        <v>1178</v>
      </c>
      <c r="L9" s="34" t="s">
        <v>27</v>
      </c>
      <c r="M9" s="33" t="s">
        <v>69</v>
      </c>
      <c r="N9" s="3" t="s">
        <v>110</v>
      </c>
      <c r="O9" s="34" t="s">
        <v>114</v>
      </c>
      <c r="P9" s="30" t="s">
        <v>1183</v>
      </c>
      <c r="Q9" s="2" t="s">
        <v>30</v>
      </c>
      <c r="R9" s="34" t="s">
        <v>119</v>
      </c>
      <c r="S9" s="35">
        <v>6125650</v>
      </c>
      <c r="T9" s="2" t="s">
        <v>70</v>
      </c>
      <c r="U9" s="36">
        <v>4.4193835000000004</v>
      </c>
      <c r="V9" s="36">
        <v>3.4193835258483798</v>
      </c>
      <c r="W9" s="37">
        <v>0.09</v>
      </c>
      <c r="X9" s="38">
        <v>551308.5</v>
      </c>
    </row>
    <row r="10" spans="1:24" x14ac:dyDescent="0.25">
      <c r="A10" s="24" t="s">
        <v>2296</v>
      </c>
      <c r="B10" s="33" t="s">
        <v>1050</v>
      </c>
      <c r="C10" s="33" t="s">
        <v>1047</v>
      </c>
      <c r="D10" s="33" t="s">
        <v>2297</v>
      </c>
      <c r="E10" s="33" t="s">
        <v>2298</v>
      </c>
      <c r="F10" s="26" t="str">
        <f>HYPERLINK("https://www.mapwv.gov/flood/map/?wkid=102100&amp;x=-9055861&amp;y=4694807&amp;l=12&amp;v=2","FT")</f>
        <v>FT</v>
      </c>
      <c r="G10" s="44" t="s">
        <v>684</v>
      </c>
      <c r="H10" s="34" t="s">
        <v>25</v>
      </c>
      <c r="I10" s="33" t="s">
        <v>1160</v>
      </c>
      <c r="J10" s="34" t="s">
        <v>26</v>
      </c>
      <c r="K10" s="34">
        <v>9999</v>
      </c>
      <c r="L10" s="34"/>
      <c r="M10" s="33" t="s">
        <v>28</v>
      </c>
      <c r="N10" s="3" t="s">
        <v>111</v>
      </c>
      <c r="O10" s="34">
        <v>1</v>
      </c>
      <c r="P10" s="51">
        <v>26000</v>
      </c>
      <c r="Q10" s="2" t="s">
        <v>30</v>
      </c>
      <c r="R10" s="34" t="s">
        <v>119</v>
      </c>
      <c r="S10" s="35">
        <v>4000000</v>
      </c>
      <c r="T10" s="2" t="s">
        <v>29</v>
      </c>
      <c r="U10" s="36"/>
      <c r="V10" s="36"/>
      <c r="W10" s="37">
        <v>0.01</v>
      </c>
      <c r="X10" s="38">
        <v>40000</v>
      </c>
    </row>
    <row r="11" spans="1:24" x14ac:dyDescent="0.25">
      <c r="A11" s="24" t="s">
        <v>1010</v>
      </c>
      <c r="B11" s="33" t="s">
        <v>1046</v>
      </c>
      <c r="C11" s="33" t="s">
        <v>1047</v>
      </c>
      <c r="D11" s="33" t="s">
        <v>1057</v>
      </c>
      <c r="E11" s="33" t="s">
        <v>1058</v>
      </c>
      <c r="F11" s="26" t="str">
        <f>HYPERLINK("https://mapwv.gov/flood/map/?wkid=102100&amp;x=-9055885.578718062&amp;y=4692943.047866062&amp;l=13&amp;v=2","FT")</f>
        <v>FT</v>
      </c>
      <c r="G11" s="44" t="s">
        <v>32</v>
      </c>
      <c r="H11" s="34" t="s">
        <v>25</v>
      </c>
      <c r="I11" s="33" t="s">
        <v>1142</v>
      </c>
      <c r="J11" s="34" t="s">
        <v>26</v>
      </c>
      <c r="K11" s="34" t="s">
        <v>139</v>
      </c>
      <c r="L11" s="34" t="s">
        <v>40</v>
      </c>
      <c r="M11" s="33" t="s">
        <v>48</v>
      </c>
      <c r="N11" s="3" t="s">
        <v>35</v>
      </c>
      <c r="O11" s="34" t="s">
        <v>114</v>
      </c>
      <c r="P11" s="30" t="s">
        <v>1184</v>
      </c>
      <c r="Q11" s="2" t="s">
        <v>30</v>
      </c>
      <c r="R11" s="34" t="s">
        <v>119</v>
      </c>
      <c r="S11" s="35">
        <v>1662400</v>
      </c>
      <c r="T11" s="2" t="s">
        <v>44</v>
      </c>
      <c r="U11" s="36">
        <v>0</v>
      </c>
      <c r="V11" s="36">
        <v>-1</v>
      </c>
      <c r="W11" s="37">
        <v>0</v>
      </c>
      <c r="X11" s="38">
        <v>0</v>
      </c>
    </row>
    <row r="12" spans="1:24" x14ac:dyDescent="0.25">
      <c r="A12" s="24" t="s">
        <v>1011</v>
      </c>
      <c r="B12" s="33" t="s">
        <v>1046</v>
      </c>
      <c r="C12" s="33" t="s">
        <v>1047</v>
      </c>
      <c r="D12" s="33" t="s">
        <v>1059</v>
      </c>
      <c r="E12" s="33" t="s">
        <v>1060</v>
      </c>
      <c r="F12" s="26" t="str">
        <f>HYPERLINK("https://mapwv.gov/flood/map/?wkid=102100&amp;x=-9056071.110683233&amp;y=4692685.932232296&amp;l=13&amp;v=2","FT")</f>
        <v>FT</v>
      </c>
      <c r="G12" s="44" t="s">
        <v>32</v>
      </c>
      <c r="H12" s="34" t="s">
        <v>25</v>
      </c>
      <c r="I12" s="33" t="s">
        <v>1143</v>
      </c>
      <c r="J12" s="34" t="s">
        <v>39</v>
      </c>
      <c r="K12" s="34" t="s">
        <v>1179</v>
      </c>
      <c r="L12" s="34" t="s">
        <v>27</v>
      </c>
      <c r="M12" s="33" t="s">
        <v>56</v>
      </c>
      <c r="N12" s="3" t="s">
        <v>35</v>
      </c>
      <c r="O12" s="34" t="s">
        <v>116</v>
      </c>
      <c r="P12" s="30" t="s">
        <v>1185</v>
      </c>
      <c r="Q12" s="2" t="s">
        <v>30</v>
      </c>
      <c r="R12" s="34" t="s">
        <v>119</v>
      </c>
      <c r="S12" s="35">
        <v>1527200</v>
      </c>
      <c r="T12" s="2" t="s">
        <v>44</v>
      </c>
      <c r="U12" s="36">
        <v>0</v>
      </c>
      <c r="V12" s="36">
        <v>-1</v>
      </c>
      <c r="W12" s="37">
        <v>0</v>
      </c>
      <c r="X12" s="38">
        <v>0</v>
      </c>
    </row>
    <row r="13" spans="1:24" x14ac:dyDescent="0.25">
      <c r="A13" s="24" t="s">
        <v>1012</v>
      </c>
      <c r="B13" s="33" t="s">
        <v>1046</v>
      </c>
      <c r="C13" s="33" t="s">
        <v>1047</v>
      </c>
      <c r="D13" s="33" t="s">
        <v>1061</v>
      </c>
      <c r="E13" s="33" t="s">
        <v>1062</v>
      </c>
      <c r="F13" s="26" t="str">
        <f>HYPERLINK("https://mapwv.gov/flood/map/?wkid=102100&amp;x=-9055744.969399452&amp;y=4693403.660530795&amp;l=13&amp;v=2","FT")</f>
        <v>FT</v>
      </c>
      <c r="G13" s="44" t="s">
        <v>32</v>
      </c>
      <c r="H13" s="34" t="s">
        <v>25</v>
      </c>
      <c r="I13" s="33" t="s">
        <v>1144</v>
      </c>
      <c r="J13" s="34" t="s">
        <v>26</v>
      </c>
      <c r="K13" s="34" t="s">
        <v>100</v>
      </c>
      <c r="L13" s="34" t="s">
        <v>45</v>
      </c>
      <c r="M13" s="33" t="s">
        <v>72</v>
      </c>
      <c r="N13" s="3" t="s">
        <v>35</v>
      </c>
      <c r="O13" s="34" t="s">
        <v>114</v>
      </c>
      <c r="P13" s="30" t="s">
        <v>1186</v>
      </c>
      <c r="Q13" s="2" t="s">
        <v>30</v>
      </c>
      <c r="R13" s="34" t="s">
        <v>119</v>
      </c>
      <c r="S13" s="35">
        <v>1083600</v>
      </c>
      <c r="T13" s="2" t="s">
        <v>44</v>
      </c>
      <c r="U13" s="36">
        <v>0</v>
      </c>
      <c r="V13" s="36">
        <v>-1</v>
      </c>
      <c r="W13" s="37">
        <v>0</v>
      </c>
      <c r="X13" s="38">
        <v>0</v>
      </c>
    </row>
    <row r="14" spans="1:24" x14ac:dyDescent="0.25">
      <c r="A14" s="24" t="s">
        <v>1013</v>
      </c>
      <c r="B14" s="33" t="s">
        <v>1046</v>
      </c>
      <c r="C14" s="33" t="s">
        <v>1047</v>
      </c>
      <c r="D14" s="33" t="s">
        <v>1063</v>
      </c>
      <c r="E14" s="33" t="s">
        <v>1064</v>
      </c>
      <c r="F14" s="26" t="str">
        <f>HYPERLINK("https://mapwv.gov/flood/map/?wkid=102100&amp;x=-9055766.821749453&amp;y=4693070.72309023&amp;l=13&amp;v=2","FT")</f>
        <v>FT</v>
      </c>
      <c r="G14" s="44" t="s">
        <v>32</v>
      </c>
      <c r="H14" s="34" t="s">
        <v>25</v>
      </c>
      <c r="I14" s="33" t="s">
        <v>1145</v>
      </c>
      <c r="J14" s="34" t="s">
        <v>26</v>
      </c>
      <c r="K14" s="34" t="s">
        <v>139</v>
      </c>
      <c r="L14" s="34" t="s">
        <v>38</v>
      </c>
      <c r="M14" s="33" t="s">
        <v>52</v>
      </c>
      <c r="N14" s="3" t="s">
        <v>35</v>
      </c>
      <c r="O14" s="34" t="s">
        <v>114</v>
      </c>
      <c r="P14" s="30" t="s">
        <v>1187</v>
      </c>
      <c r="Q14" s="2" t="s">
        <v>30</v>
      </c>
      <c r="R14" s="34" t="s">
        <v>119</v>
      </c>
      <c r="S14" s="35">
        <v>1031200</v>
      </c>
      <c r="T14" s="2" t="s">
        <v>44</v>
      </c>
      <c r="U14" s="36">
        <v>0</v>
      </c>
      <c r="V14" s="36">
        <v>-1</v>
      </c>
      <c r="W14" s="37">
        <v>0</v>
      </c>
      <c r="X14" s="38">
        <v>0</v>
      </c>
    </row>
    <row r="15" spans="1:24" x14ac:dyDescent="0.25">
      <c r="A15" s="24" t="s">
        <v>1014</v>
      </c>
      <c r="B15" s="33" t="s">
        <v>1046</v>
      </c>
      <c r="C15" s="33" t="s">
        <v>1065</v>
      </c>
      <c r="D15" s="33" t="s">
        <v>1066</v>
      </c>
      <c r="E15" s="33" t="s">
        <v>1067</v>
      </c>
      <c r="F15" s="26" t="str">
        <f>HYPERLINK("https://mapwv.gov/flood/map/?wkid=102100&amp;x=-9058389.478117045&amp;y=4693092.163905555&amp;l=13&amp;v=2","FT")</f>
        <v>FT</v>
      </c>
      <c r="G15" s="44" t="s">
        <v>38</v>
      </c>
      <c r="H15" s="34" t="s">
        <v>25</v>
      </c>
      <c r="I15" s="33" t="s">
        <v>1146</v>
      </c>
      <c r="J15" s="34" t="s">
        <v>39</v>
      </c>
      <c r="K15" s="34" t="s">
        <v>91</v>
      </c>
      <c r="L15" s="34" t="s">
        <v>54</v>
      </c>
      <c r="M15" s="33" t="s">
        <v>72</v>
      </c>
      <c r="N15" s="3" t="s">
        <v>35</v>
      </c>
      <c r="O15" s="34" t="s">
        <v>114</v>
      </c>
      <c r="P15" s="30" t="s">
        <v>1188</v>
      </c>
      <c r="Q15" s="2" t="s">
        <v>30</v>
      </c>
      <c r="R15" s="34" t="s">
        <v>119</v>
      </c>
      <c r="S15" s="35">
        <v>1014400</v>
      </c>
      <c r="T15" s="2" t="s">
        <v>44</v>
      </c>
      <c r="U15" s="36">
        <v>0</v>
      </c>
      <c r="V15" s="36">
        <v>-1</v>
      </c>
      <c r="W15" s="37">
        <v>0</v>
      </c>
      <c r="X15" s="38">
        <v>0</v>
      </c>
    </row>
    <row r="16" spans="1:24" x14ac:dyDescent="0.25">
      <c r="A16" s="24" t="s">
        <v>1015</v>
      </c>
      <c r="B16" s="33" t="s">
        <v>1046</v>
      </c>
      <c r="C16" s="33" t="s">
        <v>1047</v>
      </c>
      <c r="D16" s="33" t="s">
        <v>1068</v>
      </c>
      <c r="E16" s="33" t="s">
        <v>1069</v>
      </c>
      <c r="F16" s="26" t="str">
        <f>HYPERLINK("https://mapwv.gov/flood/map/?wkid=102100&amp;x=-9055898.52428429&amp;y=4693128.118099501&amp;l=13&amp;v=2","FT")</f>
        <v>FT</v>
      </c>
      <c r="G16" s="44" t="s">
        <v>32</v>
      </c>
      <c r="H16" s="34" t="s">
        <v>25</v>
      </c>
      <c r="I16" s="33" t="s">
        <v>1147</v>
      </c>
      <c r="J16" s="34" t="s">
        <v>39</v>
      </c>
      <c r="K16" s="34" t="s">
        <v>157</v>
      </c>
      <c r="L16" s="34" t="s">
        <v>45</v>
      </c>
      <c r="M16" s="33" t="s">
        <v>67</v>
      </c>
      <c r="N16" s="3" t="s">
        <v>112</v>
      </c>
      <c r="O16" s="34" t="s">
        <v>114</v>
      </c>
      <c r="P16" s="30" t="s">
        <v>1189</v>
      </c>
      <c r="Q16" s="2" t="s">
        <v>30</v>
      </c>
      <c r="R16" s="34" t="s">
        <v>119</v>
      </c>
      <c r="S16" s="35">
        <v>703470</v>
      </c>
      <c r="T16" s="2" t="s">
        <v>31</v>
      </c>
      <c r="U16" s="36">
        <v>1.5532227000000001</v>
      </c>
      <c r="V16" s="36">
        <v>0.55322265625</v>
      </c>
      <c r="W16" s="37">
        <v>5.5322265624999999E-2</v>
      </c>
      <c r="X16" s="38">
        <v>38917.554199218699</v>
      </c>
    </row>
    <row r="17" spans="1:24" x14ac:dyDescent="0.25">
      <c r="A17" s="24" t="s">
        <v>1016</v>
      </c>
      <c r="B17" s="33" t="s">
        <v>1050</v>
      </c>
      <c r="C17" s="33" t="s">
        <v>1054</v>
      </c>
      <c r="D17" s="33" t="s">
        <v>1070</v>
      </c>
      <c r="E17" s="33" t="s">
        <v>1071</v>
      </c>
      <c r="F17" s="26" t="str">
        <f>HYPERLINK("https://mapwv.gov/flood/map/?wkid=102100&amp;x=-9061609.155385291&amp;y=4670057.369626118&amp;l=13&amp;v=2","FT")</f>
        <v>FT</v>
      </c>
      <c r="G17" s="44" t="s">
        <v>38</v>
      </c>
      <c r="H17" s="34" t="s">
        <v>25</v>
      </c>
      <c r="I17" s="33" t="s">
        <v>1148</v>
      </c>
      <c r="J17" s="34" t="s">
        <v>26</v>
      </c>
      <c r="K17" s="34" t="s">
        <v>88</v>
      </c>
      <c r="L17" s="34" t="s">
        <v>58</v>
      </c>
      <c r="M17" s="33" t="s">
        <v>46</v>
      </c>
      <c r="N17" s="3" t="s">
        <v>35</v>
      </c>
      <c r="O17" s="34" t="s">
        <v>115</v>
      </c>
      <c r="P17" s="30" t="s">
        <v>1190</v>
      </c>
      <c r="Q17" s="2" t="s">
        <v>30</v>
      </c>
      <c r="R17" s="34" t="s">
        <v>119</v>
      </c>
      <c r="S17" s="35">
        <v>673100</v>
      </c>
      <c r="T17" s="2" t="s">
        <v>44</v>
      </c>
      <c r="U17" s="36">
        <v>1.357151</v>
      </c>
      <c r="V17" s="36">
        <v>0.35715103149414001</v>
      </c>
      <c r="W17" s="37">
        <v>3.9286613464355399E-2</v>
      </c>
      <c r="X17" s="38">
        <v>26443.819522857601</v>
      </c>
    </row>
    <row r="18" spans="1:24" x14ac:dyDescent="0.25">
      <c r="A18" s="24" t="s">
        <v>1017</v>
      </c>
      <c r="B18" s="33" t="s">
        <v>1046</v>
      </c>
      <c r="C18" s="33" t="s">
        <v>1065</v>
      </c>
      <c r="D18" s="33" t="s">
        <v>1072</v>
      </c>
      <c r="E18" s="33" t="s">
        <v>1073</v>
      </c>
      <c r="F18" s="26" t="str">
        <f>HYPERLINK("https://mapwv.gov/flood/map/?wkid=102100&amp;x=-9056024.238943713&amp;y=4693569.0202819&amp;l=13&amp;v=2","FT")</f>
        <v>FT</v>
      </c>
      <c r="G18" s="44" t="s">
        <v>32</v>
      </c>
      <c r="H18" s="34" t="s">
        <v>25</v>
      </c>
      <c r="I18" s="33" t="s">
        <v>1149</v>
      </c>
      <c r="J18" s="34" t="s">
        <v>39</v>
      </c>
      <c r="K18" s="34" t="s">
        <v>132</v>
      </c>
      <c r="L18" s="34" t="s">
        <v>45</v>
      </c>
      <c r="M18" s="33" t="s">
        <v>67</v>
      </c>
      <c r="N18" s="3" t="s">
        <v>112</v>
      </c>
      <c r="O18" s="34" t="s">
        <v>114</v>
      </c>
      <c r="P18" s="30" t="s">
        <v>1191</v>
      </c>
      <c r="Q18" s="2" t="s">
        <v>30</v>
      </c>
      <c r="R18" s="34" t="s">
        <v>119</v>
      </c>
      <c r="S18" s="35">
        <v>576300</v>
      </c>
      <c r="T18" s="2" t="s">
        <v>44</v>
      </c>
      <c r="U18" s="36">
        <v>1.4077759000000001</v>
      </c>
      <c r="V18" s="36">
        <v>0.40777587890625</v>
      </c>
      <c r="W18" s="37">
        <v>4.0777587890625001E-2</v>
      </c>
      <c r="X18" s="38">
        <v>23500.1239013671</v>
      </c>
    </row>
    <row r="19" spans="1:24" x14ac:dyDescent="0.25">
      <c r="A19" s="24" t="s">
        <v>1018</v>
      </c>
      <c r="B19" s="33" t="s">
        <v>1046</v>
      </c>
      <c r="C19" s="33" t="s">
        <v>1047</v>
      </c>
      <c r="D19" s="33" t="s">
        <v>1074</v>
      </c>
      <c r="E19" s="33" t="s">
        <v>1075</v>
      </c>
      <c r="F19" s="26" t="str">
        <f>HYPERLINK("https://mapwv.gov/flood/map/?wkid=102100&amp;x=-9056266.047809532&amp;y=4692560.248905504&amp;l=13&amp;v=2","FT")</f>
        <v>FT</v>
      </c>
      <c r="G19" s="44" t="s">
        <v>32</v>
      </c>
      <c r="H19" s="34" t="s">
        <v>25</v>
      </c>
      <c r="I19" s="33" t="s">
        <v>1150</v>
      </c>
      <c r="J19" s="34" t="s">
        <v>39</v>
      </c>
      <c r="K19" s="34" t="s">
        <v>105</v>
      </c>
      <c r="L19" s="34" t="s">
        <v>51</v>
      </c>
      <c r="M19" s="33" t="s">
        <v>57</v>
      </c>
      <c r="N19" s="3" t="s">
        <v>35</v>
      </c>
      <c r="O19" s="34" t="s">
        <v>114</v>
      </c>
      <c r="P19" s="30" t="s">
        <v>1192</v>
      </c>
      <c r="Q19" s="2" t="s">
        <v>30</v>
      </c>
      <c r="R19" s="34" t="s">
        <v>119</v>
      </c>
      <c r="S19" s="35">
        <v>498200</v>
      </c>
      <c r="T19" s="2" t="s">
        <v>44</v>
      </c>
      <c r="U19" s="36">
        <v>0.30291748000000002</v>
      </c>
      <c r="V19" s="36">
        <v>-0.69708251953125</v>
      </c>
      <c r="W19" s="37">
        <v>6.0583496093750003E-3</v>
      </c>
      <c r="X19" s="38">
        <v>3018.26977539062</v>
      </c>
    </row>
    <row r="20" spans="1:24" x14ac:dyDescent="0.25">
      <c r="A20" s="24" t="s">
        <v>1019</v>
      </c>
      <c r="B20" s="33" t="s">
        <v>1046</v>
      </c>
      <c r="C20" s="33" t="s">
        <v>1047</v>
      </c>
      <c r="D20" s="33" t="s">
        <v>1076</v>
      </c>
      <c r="E20" s="33" t="s">
        <v>1077</v>
      </c>
      <c r="F20" s="26" t="str">
        <f>HYPERLINK("https://mapwv.gov/flood/map/?wkid=102100&amp;x=-9056212.604546515&amp;y=4692713.699336098&amp;l=13&amp;v=2","FT")</f>
        <v>FT</v>
      </c>
      <c r="G20" s="44" t="s">
        <v>32</v>
      </c>
      <c r="H20" s="34" t="s">
        <v>25</v>
      </c>
      <c r="I20" s="33" t="s">
        <v>1151</v>
      </c>
      <c r="J20" s="34" t="s">
        <v>26</v>
      </c>
      <c r="K20" s="34" t="s">
        <v>92</v>
      </c>
      <c r="L20" s="34" t="s">
        <v>27</v>
      </c>
      <c r="M20" s="33" t="s">
        <v>59</v>
      </c>
      <c r="N20" s="3" t="s">
        <v>42</v>
      </c>
      <c r="O20" s="34" t="s">
        <v>115</v>
      </c>
      <c r="P20" s="30" t="s">
        <v>1193</v>
      </c>
      <c r="Q20" s="2" t="s">
        <v>30</v>
      </c>
      <c r="R20" s="34" t="s">
        <v>119</v>
      </c>
      <c r="S20" s="35">
        <v>470500</v>
      </c>
      <c r="T20" s="2" t="s">
        <v>44</v>
      </c>
      <c r="U20" s="36">
        <v>1.8040160999999999</v>
      </c>
      <c r="V20" s="36">
        <v>0.80401611328125</v>
      </c>
      <c r="W20" s="37">
        <v>0.158040161132812</v>
      </c>
      <c r="X20" s="38">
        <v>74357.895812988194</v>
      </c>
    </row>
    <row r="21" spans="1:24" x14ac:dyDescent="0.25">
      <c r="A21" s="24" t="s">
        <v>1020</v>
      </c>
      <c r="B21" s="33" t="s">
        <v>1046</v>
      </c>
      <c r="C21" s="33" t="s">
        <v>1078</v>
      </c>
      <c r="D21" s="33" t="s">
        <v>1079</v>
      </c>
      <c r="E21" s="33" t="s">
        <v>1080</v>
      </c>
      <c r="F21" s="26" t="str">
        <f>HYPERLINK("https://mapwv.gov/flood/map/?wkid=102100&amp;x=-9055270.29863793&amp;y=4692788.245047424&amp;l=13&amp;v=2","FT")</f>
        <v>FT</v>
      </c>
      <c r="G21" s="44" t="s">
        <v>32</v>
      </c>
      <c r="H21" s="34" t="s">
        <v>25</v>
      </c>
      <c r="I21" s="33" t="s">
        <v>1152</v>
      </c>
      <c r="J21" s="34" t="s">
        <v>36</v>
      </c>
      <c r="K21" s="34" t="s">
        <v>87</v>
      </c>
      <c r="L21" s="34"/>
      <c r="M21" s="33" t="s">
        <v>73</v>
      </c>
      <c r="N21" s="3" t="s">
        <v>111</v>
      </c>
      <c r="O21" s="34" t="s">
        <v>114</v>
      </c>
      <c r="P21" s="30" t="s">
        <v>1194</v>
      </c>
      <c r="Q21" s="2" t="s">
        <v>30</v>
      </c>
      <c r="R21" s="34" t="s">
        <v>119</v>
      </c>
      <c r="S21" s="35">
        <v>446700</v>
      </c>
      <c r="T21" s="2" t="s">
        <v>44</v>
      </c>
      <c r="U21" s="36">
        <v>0</v>
      </c>
      <c r="V21" s="36">
        <v>-1</v>
      </c>
      <c r="W21" s="37">
        <v>0</v>
      </c>
      <c r="X21" s="38">
        <v>0</v>
      </c>
    </row>
    <row r="22" spans="1:24" x14ac:dyDescent="0.25">
      <c r="A22" s="24" t="s">
        <v>1021</v>
      </c>
      <c r="B22" s="33" t="s">
        <v>1050</v>
      </c>
      <c r="C22" s="33" t="s">
        <v>1081</v>
      </c>
      <c r="D22" s="33" t="s">
        <v>1082</v>
      </c>
      <c r="E22" s="33" t="s">
        <v>1083</v>
      </c>
      <c r="F22" s="26" t="str">
        <f>HYPERLINK("https://mapwv.gov/flood/map/?wkid=102100&amp;x=-9041649.309307897&amp;y=4685066.702986362&amp;l=13&amp;v=2","FT")</f>
        <v>FT</v>
      </c>
      <c r="G22" s="44" t="s">
        <v>38</v>
      </c>
      <c r="H22" s="34" t="s">
        <v>25</v>
      </c>
      <c r="I22" s="33" t="s">
        <v>1153</v>
      </c>
      <c r="J22" s="34" t="s">
        <v>26</v>
      </c>
      <c r="K22" s="34" t="s">
        <v>93</v>
      </c>
      <c r="L22" s="34" t="s">
        <v>38</v>
      </c>
      <c r="M22" s="33" t="s">
        <v>41</v>
      </c>
      <c r="N22" s="3" t="s">
        <v>42</v>
      </c>
      <c r="O22" s="34" t="s">
        <v>114</v>
      </c>
      <c r="P22" s="30" t="s">
        <v>1195</v>
      </c>
      <c r="Q22" s="2" t="s">
        <v>43</v>
      </c>
      <c r="R22" s="34" t="s">
        <v>120</v>
      </c>
      <c r="S22" s="35">
        <v>443700</v>
      </c>
      <c r="T22" s="2" t="s">
        <v>44</v>
      </c>
      <c r="U22" s="36">
        <v>1.8582677000000001</v>
      </c>
      <c r="V22" s="36">
        <v>-2.1417323350906301</v>
      </c>
      <c r="W22" s="37">
        <v>0.12015747308730999</v>
      </c>
      <c r="X22" s="38">
        <v>53313.870808839798</v>
      </c>
    </row>
    <row r="23" spans="1:24" x14ac:dyDescent="0.25">
      <c r="A23" s="24" t="s">
        <v>1022</v>
      </c>
      <c r="B23" s="33" t="s">
        <v>1046</v>
      </c>
      <c r="C23" s="33" t="s">
        <v>1047</v>
      </c>
      <c r="D23" s="33" t="s">
        <v>1084</v>
      </c>
      <c r="E23" s="33" t="s">
        <v>1085</v>
      </c>
      <c r="F23" s="26" t="str">
        <f>HYPERLINK("https://mapwv.gov/flood/map/?wkid=102100&amp;x=-9055498.650201825&amp;y=4693376.8883026885&amp;l=13&amp;v=2","FT")</f>
        <v>FT</v>
      </c>
      <c r="G23" s="44" t="s">
        <v>32</v>
      </c>
      <c r="H23" s="34" t="s">
        <v>25</v>
      </c>
      <c r="I23" s="33" t="s">
        <v>1154</v>
      </c>
      <c r="J23" s="34" t="s">
        <v>26</v>
      </c>
      <c r="K23" s="34" t="s">
        <v>84</v>
      </c>
      <c r="L23" s="34" t="s">
        <v>37</v>
      </c>
      <c r="M23" s="33" t="s">
        <v>72</v>
      </c>
      <c r="N23" s="3" t="s">
        <v>35</v>
      </c>
      <c r="O23" s="34" t="s">
        <v>114</v>
      </c>
      <c r="P23" s="30" t="s">
        <v>1196</v>
      </c>
      <c r="Q23" s="2" t="s">
        <v>30</v>
      </c>
      <c r="R23" s="34" t="s">
        <v>119</v>
      </c>
      <c r="S23" s="35">
        <v>441800</v>
      </c>
      <c r="T23" s="2" t="s">
        <v>44</v>
      </c>
      <c r="U23" s="36">
        <v>1</v>
      </c>
      <c r="V23" s="36">
        <v>0</v>
      </c>
      <c r="W23" s="37">
        <v>0</v>
      </c>
      <c r="X23" s="38">
        <v>0</v>
      </c>
    </row>
    <row r="24" spans="1:24" x14ac:dyDescent="0.25">
      <c r="A24" s="24" t="s">
        <v>1023</v>
      </c>
      <c r="B24" s="33" t="s">
        <v>1046</v>
      </c>
      <c r="C24" s="33" t="s">
        <v>1078</v>
      </c>
      <c r="D24" s="33" t="s">
        <v>1086</v>
      </c>
      <c r="E24" s="33" t="s">
        <v>1087</v>
      </c>
      <c r="F24" s="26" t="str">
        <f>HYPERLINK("https://mapwv.gov/flood/map/?wkid=102100&amp;x=-9055558.48097722&amp;y=4692972.824391395&amp;l=13&amp;v=2","FT")</f>
        <v>FT</v>
      </c>
      <c r="G24" s="44" t="s">
        <v>32</v>
      </c>
      <c r="H24" s="34" t="s">
        <v>25</v>
      </c>
      <c r="I24" s="33" t="s">
        <v>1155</v>
      </c>
      <c r="J24" s="34" t="s">
        <v>26</v>
      </c>
      <c r="K24" s="34" t="s">
        <v>92</v>
      </c>
      <c r="L24" s="34" t="s">
        <v>27</v>
      </c>
      <c r="M24" s="33" t="s">
        <v>28</v>
      </c>
      <c r="N24" s="3" t="s">
        <v>111</v>
      </c>
      <c r="O24" s="34" t="s">
        <v>114</v>
      </c>
      <c r="P24" s="30" t="s">
        <v>1197</v>
      </c>
      <c r="Q24" s="2" t="s">
        <v>30</v>
      </c>
      <c r="R24" s="34" t="s">
        <v>119</v>
      </c>
      <c r="S24" s="35">
        <v>399400</v>
      </c>
      <c r="T24" s="2" t="s">
        <v>31</v>
      </c>
      <c r="U24" s="36">
        <v>1.2891846</v>
      </c>
      <c r="V24" s="36">
        <v>0.2891845703125</v>
      </c>
      <c r="W24" s="37">
        <v>1.4459228515625E-2</v>
      </c>
      <c r="X24" s="38">
        <v>5775.0158691406205</v>
      </c>
    </row>
    <row r="25" spans="1:24" x14ac:dyDescent="0.25">
      <c r="A25" s="24" t="s">
        <v>1024</v>
      </c>
      <c r="B25" s="33" t="s">
        <v>1050</v>
      </c>
      <c r="C25" s="33" t="s">
        <v>1088</v>
      </c>
      <c r="D25" s="33" t="s">
        <v>1089</v>
      </c>
      <c r="E25" s="33" t="s">
        <v>1090</v>
      </c>
      <c r="F25" s="26" t="str">
        <f>HYPERLINK("https://mapwv.gov/flood/map/?wkid=102100&amp;x=-9065002.539594479&amp;y=4695518.930135039&amp;l=13&amp;v=2","FT")</f>
        <v>FT</v>
      </c>
      <c r="G25" s="44" t="s">
        <v>38</v>
      </c>
      <c r="H25" s="34" t="s">
        <v>25</v>
      </c>
      <c r="I25" s="33" t="s">
        <v>1156</v>
      </c>
      <c r="J25" s="34" t="s">
        <v>26</v>
      </c>
      <c r="K25" s="34" t="s">
        <v>126</v>
      </c>
      <c r="L25" s="34" t="s">
        <v>38</v>
      </c>
      <c r="M25" s="33" t="s">
        <v>41</v>
      </c>
      <c r="N25" s="3" t="s">
        <v>42</v>
      </c>
      <c r="O25" s="34" t="s">
        <v>115</v>
      </c>
      <c r="P25" s="30" t="s">
        <v>1198</v>
      </c>
      <c r="Q25" s="2" t="s">
        <v>53</v>
      </c>
      <c r="R25" s="34" t="s">
        <v>120</v>
      </c>
      <c r="S25" s="35">
        <v>384700</v>
      </c>
      <c r="T25" s="2" t="s">
        <v>44</v>
      </c>
      <c r="U25" s="36">
        <v>0</v>
      </c>
      <c r="V25" s="36">
        <v>-4</v>
      </c>
      <c r="W25" s="37">
        <v>0</v>
      </c>
      <c r="X25" s="38">
        <v>0</v>
      </c>
    </row>
    <row r="26" spans="1:24" x14ac:dyDescent="0.25">
      <c r="A26" s="24" t="s">
        <v>1025</v>
      </c>
      <c r="B26" s="33" t="s">
        <v>1046</v>
      </c>
      <c r="C26" s="33" t="s">
        <v>1065</v>
      </c>
      <c r="D26" s="33" t="s">
        <v>1091</v>
      </c>
      <c r="E26" s="33" t="s">
        <v>1092</v>
      </c>
      <c r="F26" s="26" t="str">
        <f>HYPERLINK("https://mapwv.gov/flood/map/?wkid=102100&amp;x=-9058251.485140424&amp;y=4693070.454696442&amp;l=13&amp;v=2","FT")</f>
        <v>FT</v>
      </c>
      <c r="G26" s="44" t="s">
        <v>38</v>
      </c>
      <c r="H26" s="34" t="s">
        <v>25</v>
      </c>
      <c r="I26" s="33" t="s">
        <v>1157</v>
      </c>
      <c r="J26" s="34" t="s">
        <v>26</v>
      </c>
      <c r="K26" s="34" t="s">
        <v>100</v>
      </c>
      <c r="L26" s="34" t="s">
        <v>38</v>
      </c>
      <c r="M26" s="33" t="s">
        <v>52</v>
      </c>
      <c r="N26" s="3" t="s">
        <v>35</v>
      </c>
      <c r="O26" s="34" t="s">
        <v>114</v>
      </c>
      <c r="P26" s="30" t="s">
        <v>1199</v>
      </c>
      <c r="Q26" s="2" t="s">
        <v>30</v>
      </c>
      <c r="R26" s="34" t="s">
        <v>119</v>
      </c>
      <c r="S26" s="35">
        <v>371500</v>
      </c>
      <c r="T26" s="2" t="s">
        <v>44</v>
      </c>
      <c r="U26" s="36">
        <v>0</v>
      </c>
      <c r="V26" s="36">
        <v>-1</v>
      </c>
      <c r="W26" s="37">
        <v>0</v>
      </c>
      <c r="X26" s="38">
        <v>0</v>
      </c>
    </row>
    <row r="27" spans="1:24" x14ac:dyDescent="0.25">
      <c r="A27" s="24" t="s">
        <v>1026</v>
      </c>
      <c r="B27" s="33" t="s">
        <v>1050</v>
      </c>
      <c r="C27" s="33" t="s">
        <v>1047</v>
      </c>
      <c r="D27" s="33" t="s">
        <v>1093</v>
      </c>
      <c r="E27" s="33" t="s">
        <v>1094</v>
      </c>
      <c r="F27" s="26" t="str">
        <f>HYPERLINK("https://mapwv.gov/flood/map/?wkid=102100&amp;x=-9056067.021361735&amp;y=4705158.36634343&amp;l=13&amp;v=2","FT")</f>
        <v>FT</v>
      </c>
      <c r="G27" s="44" t="s">
        <v>38</v>
      </c>
      <c r="H27" s="34" t="s">
        <v>25</v>
      </c>
      <c r="I27" s="33" t="s">
        <v>1158</v>
      </c>
      <c r="J27" s="34" t="s">
        <v>39</v>
      </c>
      <c r="K27" s="34" t="s">
        <v>158</v>
      </c>
      <c r="L27" s="34" t="s">
        <v>27</v>
      </c>
      <c r="M27" s="33" t="s">
        <v>67</v>
      </c>
      <c r="N27" s="3" t="s">
        <v>112</v>
      </c>
      <c r="O27" s="34" t="s">
        <v>114</v>
      </c>
      <c r="P27" s="30" t="s">
        <v>1200</v>
      </c>
      <c r="Q27" s="2" t="s">
        <v>30</v>
      </c>
      <c r="R27" s="34" t="s">
        <v>119</v>
      </c>
      <c r="S27" s="35">
        <v>338600</v>
      </c>
      <c r="T27" s="2" t="s">
        <v>44</v>
      </c>
      <c r="U27" s="36">
        <v>0</v>
      </c>
      <c r="V27" s="36">
        <v>-1</v>
      </c>
      <c r="W27" s="37">
        <v>0</v>
      </c>
      <c r="X27" s="38">
        <v>0</v>
      </c>
    </row>
    <row r="28" spans="1:24" x14ac:dyDescent="0.25">
      <c r="A28" s="24" t="s">
        <v>1027</v>
      </c>
      <c r="B28" s="33" t="s">
        <v>1050</v>
      </c>
      <c r="C28" s="33" t="s">
        <v>1065</v>
      </c>
      <c r="D28" s="33" t="s">
        <v>1095</v>
      </c>
      <c r="E28" s="33" t="s">
        <v>1096</v>
      </c>
      <c r="F28" s="26" t="str">
        <f>HYPERLINK("https://mapwv.gov/flood/map/?wkid=102100&amp;x=-9057487.333943022&amp;y=4693644.420909704&amp;l=13&amp;v=2","FT")</f>
        <v>FT</v>
      </c>
      <c r="G28" s="44" t="s">
        <v>38</v>
      </c>
      <c r="H28" s="34" t="s">
        <v>25</v>
      </c>
      <c r="I28" s="33" t="s">
        <v>1159</v>
      </c>
      <c r="J28" s="34" t="s">
        <v>26</v>
      </c>
      <c r="K28" s="34" t="s">
        <v>125</v>
      </c>
      <c r="L28" s="34" t="s">
        <v>38</v>
      </c>
      <c r="M28" s="33" t="s">
        <v>52</v>
      </c>
      <c r="N28" s="3" t="s">
        <v>35</v>
      </c>
      <c r="O28" s="34" t="s">
        <v>114</v>
      </c>
      <c r="P28" s="30" t="s">
        <v>1201</v>
      </c>
      <c r="Q28" s="2" t="s">
        <v>30</v>
      </c>
      <c r="R28" s="34" t="s">
        <v>119</v>
      </c>
      <c r="S28" s="35">
        <v>313300</v>
      </c>
      <c r="T28" s="2" t="s">
        <v>44</v>
      </c>
      <c r="U28" s="36">
        <v>0</v>
      </c>
      <c r="V28" s="36">
        <v>-1</v>
      </c>
      <c r="W28" s="37">
        <v>0</v>
      </c>
      <c r="X28" s="38">
        <v>0</v>
      </c>
    </row>
    <row r="29" spans="1:24" x14ac:dyDescent="0.25">
      <c r="A29" s="24" t="s">
        <v>1028</v>
      </c>
      <c r="B29" s="33" t="s">
        <v>1046</v>
      </c>
      <c r="C29" s="33" t="s">
        <v>1078</v>
      </c>
      <c r="D29" s="33" t="s">
        <v>1097</v>
      </c>
      <c r="E29" s="33" t="s">
        <v>1098</v>
      </c>
      <c r="F29" s="26" t="str">
        <f>HYPERLINK("https://mapwv.gov/flood/map/?wkid=102100&amp;x=-9055470.177347746&amp;y=4692874.682527586&amp;l=13&amp;v=2","FT")</f>
        <v>FT</v>
      </c>
      <c r="G29" s="44" t="s">
        <v>32</v>
      </c>
      <c r="H29" s="34" t="s">
        <v>25</v>
      </c>
      <c r="I29" s="33" t="s">
        <v>1160</v>
      </c>
      <c r="J29" s="34" t="s">
        <v>39</v>
      </c>
      <c r="K29" s="34" t="s">
        <v>1180</v>
      </c>
      <c r="L29" s="34" t="s">
        <v>50</v>
      </c>
      <c r="M29" s="33" t="s">
        <v>72</v>
      </c>
      <c r="N29" s="3" t="s">
        <v>35</v>
      </c>
      <c r="O29" s="34" t="s">
        <v>114</v>
      </c>
      <c r="P29" s="30" t="s">
        <v>1202</v>
      </c>
      <c r="Q29" s="2" t="s">
        <v>30</v>
      </c>
      <c r="R29" s="34" t="s">
        <v>119</v>
      </c>
      <c r="S29" s="35">
        <v>288400</v>
      </c>
      <c r="T29" s="2" t="s">
        <v>44</v>
      </c>
      <c r="U29" s="36">
        <v>1.1348876999999999</v>
      </c>
      <c r="V29" s="36">
        <v>0.1348876953125</v>
      </c>
      <c r="W29" s="37">
        <v>6.744384765625E-3</v>
      </c>
      <c r="X29" s="38">
        <v>1945.08056640625</v>
      </c>
    </row>
    <row r="30" spans="1:24" x14ac:dyDescent="0.25">
      <c r="A30" s="24" t="s">
        <v>1029</v>
      </c>
      <c r="B30" s="33" t="s">
        <v>1050</v>
      </c>
      <c r="C30" s="33" t="s">
        <v>1099</v>
      </c>
      <c r="D30" s="33" t="s">
        <v>1100</v>
      </c>
      <c r="E30" s="33" t="s">
        <v>1101</v>
      </c>
      <c r="F30" s="26" t="str">
        <f>HYPERLINK("https://mapwv.gov/flood/map/?wkid=102100&amp;x=-9068541.868888112&amp;y=4696746.67686773&amp;l=13&amp;v=2","FT")</f>
        <v>FT</v>
      </c>
      <c r="G30" s="44" t="s">
        <v>38</v>
      </c>
      <c r="H30" s="34" t="s">
        <v>25</v>
      </c>
      <c r="I30" s="33" t="s">
        <v>1161</v>
      </c>
      <c r="J30" s="34" t="s">
        <v>26</v>
      </c>
      <c r="K30" s="34" t="s">
        <v>141</v>
      </c>
      <c r="L30" s="34" t="s">
        <v>38</v>
      </c>
      <c r="M30" s="33" t="s">
        <v>41</v>
      </c>
      <c r="N30" s="3" t="s">
        <v>42</v>
      </c>
      <c r="O30" s="34" t="s">
        <v>114</v>
      </c>
      <c r="P30" s="30" t="s">
        <v>1203</v>
      </c>
      <c r="Q30" s="2" t="s">
        <v>53</v>
      </c>
      <c r="R30" s="34" t="s">
        <v>120</v>
      </c>
      <c r="S30" s="35">
        <v>282400</v>
      </c>
      <c r="T30" s="2" t="s">
        <v>44</v>
      </c>
      <c r="U30" s="36">
        <v>0</v>
      </c>
      <c r="V30" s="36">
        <v>-4</v>
      </c>
      <c r="W30" s="37">
        <v>0</v>
      </c>
      <c r="X30" s="38">
        <v>0</v>
      </c>
    </row>
    <row r="31" spans="1:24" x14ac:dyDescent="0.25">
      <c r="A31" s="24" t="s">
        <v>1030</v>
      </c>
      <c r="B31" s="33" t="s">
        <v>1046</v>
      </c>
      <c r="C31" s="33" t="s">
        <v>1047</v>
      </c>
      <c r="D31" s="33" t="s">
        <v>1102</v>
      </c>
      <c r="E31" s="33" t="s">
        <v>1103</v>
      </c>
      <c r="F31" s="26" t="str">
        <f>HYPERLINK("https://mapwv.gov/flood/map/?wkid=102100&amp;x=-9055946.551520118&amp;y=4693566.244934644&amp;l=13&amp;v=2","FT")</f>
        <v>FT</v>
      </c>
      <c r="G31" s="44" t="s">
        <v>32</v>
      </c>
      <c r="H31" s="34" t="s">
        <v>25</v>
      </c>
      <c r="I31" s="33" t="s">
        <v>1162</v>
      </c>
      <c r="J31" s="34" t="s">
        <v>39</v>
      </c>
      <c r="K31" s="34" t="s">
        <v>132</v>
      </c>
      <c r="L31" s="34" t="s">
        <v>27</v>
      </c>
      <c r="M31" s="33" t="s">
        <v>48</v>
      </c>
      <c r="N31" s="3" t="s">
        <v>35</v>
      </c>
      <c r="O31" s="34" t="s">
        <v>115</v>
      </c>
      <c r="P31" s="30" t="s">
        <v>1204</v>
      </c>
      <c r="Q31" s="2" t="s">
        <v>30</v>
      </c>
      <c r="R31" s="34" t="s">
        <v>119</v>
      </c>
      <c r="S31" s="35">
        <v>279200</v>
      </c>
      <c r="T31" s="2" t="s">
        <v>44</v>
      </c>
      <c r="U31" s="36">
        <v>2.8386840000000002</v>
      </c>
      <c r="V31" s="36">
        <v>1.83868408203125</v>
      </c>
      <c r="W31" s="37">
        <v>0.13193420410156201</v>
      </c>
      <c r="X31" s="38">
        <v>36836.029785156199</v>
      </c>
    </row>
    <row r="32" spans="1:24" x14ac:dyDescent="0.25">
      <c r="A32" s="24" t="s">
        <v>1031</v>
      </c>
      <c r="B32" s="33" t="s">
        <v>1050</v>
      </c>
      <c r="C32" s="33" t="s">
        <v>1104</v>
      </c>
      <c r="D32" s="33" t="s">
        <v>1105</v>
      </c>
      <c r="E32" s="33" t="s">
        <v>1106</v>
      </c>
      <c r="F32" s="26" t="str">
        <f>HYPERLINK("https://mapwv.gov/flood/map/?wkid=102100&amp;x=-9060682.707717404&amp;y=4677741.153513952&amp;l=13&amp;v=2","FT")</f>
        <v>FT</v>
      </c>
      <c r="G32" s="44" t="s">
        <v>38</v>
      </c>
      <c r="H32" s="34" t="s">
        <v>25</v>
      </c>
      <c r="I32" s="33" t="s">
        <v>1163</v>
      </c>
      <c r="J32" s="34" t="s">
        <v>26</v>
      </c>
      <c r="K32" s="34" t="s">
        <v>141</v>
      </c>
      <c r="L32" s="34" t="s">
        <v>38</v>
      </c>
      <c r="M32" s="33" t="s">
        <v>41</v>
      </c>
      <c r="N32" s="3" t="s">
        <v>42</v>
      </c>
      <c r="O32" s="34" t="s">
        <v>114</v>
      </c>
      <c r="P32" s="30" t="s">
        <v>1205</v>
      </c>
      <c r="Q32" s="2" t="s">
        <v>53</v>
      </c>
      <c r="R32" s="34" t="s">
        <v>120</v>
      </c>
      <c r="S32" s="35">
        <v>267100</v>
      </c>
      <c r="T32" s="2" t="s">
        <v>44</v>
      </c>
      <c r="U32" s="36">
        <v>0.88472896999999995</v>
      </c>
      <c r="V32" s="36">
        <v>-3.1152710318565302</v>
      </c>
      <c r="W32" s="37">
        <v>0</v>
      </c>
      <c r="X32" s="38">
        <v>0</v>
      </c>
    </row>
    <row r="33" spans="1:24" x14ac:dyDescent="0.25">
      <c r="A33" s="24" t="s">
        <v>1032</v>
      </c>
      <c r="B33" s="33" t="s">
        <v>1050</v>
      </c>
      <c r="C33" s="33" t="s">
        <v>1088</v>
      </c>
      <c r="D33" s="33" t="s">
        <v>1107</v>
      </c>
      <c r="E33" s="33" t="s">
        <v>1108</v>
      </c>
      <c r="F33" s="26" t="str">
        <f>HYPERLINK("https://mapwv.gov/flood/map/?wkid=102100&amp;x=-9065908.79958403&amp;y=4694490.695838738&amp;l=13&amp;v=2","FT")</f>
        <v>FT</v>
      </c>
      <c r="G33" s="44" t="s">
        <v>38</v>
      </c>
      <c r="H33" s="34" t="s">
        <v>25</v>
      </c>
      <c r="I33" s="33" t="s">
        <v>1164</v>
      </c>
      <c r="J33" s="34" t="s">
        <v>26</v>
      </c>
      <c r="K33" s="34" t="s">
        <v>169</v>
      </c>
      <c r="L33" s="34" t="s">
        <v>38</v>
      </c>
      <c r="M33" s="33" t="s">
        <v>41</v>
      </c>
      <c r="N33" s="3" t="s">
        <v>42</v>
      </c>
      <c r="O33" s="34" t="s">
        <v>115</v>
      </c>
      <c r="P33" s="30" t="s">
        <v>1206</v>
      </c>
      <c r="Q33" s="2" t="s">
        <v>53</v>
      </c>
      <c r="R33" s="34" t="s">
        <v>120</v>
      </c>
      <c r="S33" s="35">
        <v>265500</v>
      </c>
      <c r="T33" s="2" t="s">
        <v>44</v>
      </c>
      <c r="U33" s="36">
        <v>0</v>
      </c>
      <c r="V33" s="36">
        <v>-4</v>
      </c>
      <c r="W33" s="37">
        <v>0</v>
      </c>
      <c r="X33" s="38">
        <v>0</v>
      </c>
    </row>
    <row r="34" spans="1:24" x14ac:dyDescent="0.25">
      <c r="A34" s="24" t="s">
        <v>1033</v>
      </c>
      <c r="B34" s="33" t="s">
        <v>1050</v>
      </c>
      <c r="C34" s="33" t="s">
        <v>1065</v>
      </c>
      <c r="D34" s="33" t="s">
        <v>1109</v>
      </c>
      <c r="E34" s="33" t="s">
        <v>1110</v>
      </c>
      <c r="F34" s="26" t="str">
        <f>HYPERLINK("https://mapwv.gov/flood/map/?wkid=102100&amp;x=-9057679.914547028&amp;y=4693532.852834026&amp;l=13&amp;v=2","FT")</f>
        <v>FT</v>
      </c>
      <c r="G34" s="44" t="s">
        <v>38</v>
      </c>
      <c r="H34" s="34" t="s">
        <v>25</v>
      </c>
      <c r="I34" s="33" t="s">
        <v>1165</v>
      </c>
      <c r="J34" s="34" t="s">
        <v>39</v>
      </c>
      <c r="K34" s="34" t="s">
        <v>144</v>
      </c>
      <c r="L34" s="34" t="s">
        <v>27</v>
      </c>
      <c r="M34" s="33" t="s">
        <v>48</v>
      </c>
      <c r="N34" s="3" t="s">
        <v>35</v>
      </c>
      <c r="O34" s="34" t="s">
        <v>115</v>
      </c>
      <c r="P34" s="30" t="s">
        <v>1207</v>
      </c>
      <c r="Q34" s="2" t="s">
        <v>30</v>
      </c>
      <c r="R34" s="34" t="s">
        <v>119</v>
      </c>
      <c r="S34" s="35">
        <v>263900</v>
      </c>
      <c r="T34" s="2" t="s">
        <v>44</v>
      </c>
      <c r="U34" s="36">
        <v>0</v>
      </c>
      <c r="V34" s="36">
        <v>-1</v>
      </c>
      <c r="W34" s="37">
        <v>0</v>
      </c>
      <c r="X34" s="38">
        <v>0</v>
      </c>
    </row>
    <row r="35" spans="1:24" x14ac:dyDescent="0.25">
      <c r="A35" s="24" t="s">
        <v>1034</v>
      </c>
      <c r="B35" s="33" t="s">
        <v>1050</v>
      </c>
      <c r="C35" s="33" t="s">
        <v>1111</v>
      </c>
      <c r="D35" s="33" t="s">
        <v>1112</v>
      </c>
      <c r="E35" s="33" t="s">
        <v>1113</v>
      </c>
      <c r="F35" s="26" t="str">
        <f>HYPERLINK("https://mapwv.gov/flood/map/?wkid=102100&amp;x=-9046978.002679393&amp;y=4689525.706871588&amp;l=13&amp;v=2","FT")</f>
        <v>FT</v>
      </c>
      <c r="G35" s="44" t="s">
        <v>684</v>
      </c>
      <c r="H35" s="34" t="s">
        <v>25</v>
      </c>
      <c r="I35" s="33" t="s">
        <v>1166</v>
      </c>
      <c r="J35" s="34" t="s">
        <v>162</v>
      </c>
      <c r="K35" s="34" t="s">
        <v>94</v>
      </c>
      <c r="L35" s="34" t="s">
        <v>45</v>
      </c>
      <c r="M35" s="33" t="s">
        <v>67</v>
      </c>
      <c r="N35" s="3" t="s">
        <v>112</v>
      </c>
      <c r="O35" s="34" t="s">
        <v>114</v>
      </c>
      <c r="P35" s="30" t="s">
        <v>1208</v>
      </c>
      <c r="Q35" s="2" t="s">
        <v>30</v>
      </c>
      <c r="R35" s="34" t="s">
        <v>119</v>
      </c>
      <c r="S35" s="35">
        <v>261300</v>
      </c>
      <c r="T35" s="2" t="s">
        <v>44</v>
      </c>
      <c r="U35" s="36">
        <v>0.18960489999999999</v>
      </c>
      <c r="V35" s="36">
        <v>-0.81039510667324</v>
      </c>
      <c r="W35" s="37">
        <v>0</v>
      </c>
      <c r="X35" s="38">
        <v>0</v>
      </c>
    </row>
    <row r="36" spans="1:24" x14ac:dyDescent="0.25">
      <c r="A36" s="24" t="s">
        <v>1035</v>
      </c>
      <c r="B36" s="33" t="s">
        <v>1050</v>
      </c>
      <c r="C36" s="33" t="s">
        <v>1114</v>
      </c>
      <c r="D36" s="33" t="s">
        <v>1115</v>
      </c>
      <c r="E36" s="33" t="s">
        <v>1116</v>
      </c>
      <c r="F36" s="26" t="str">
        <f>HYPERLINK("https://mapwv.gov/flood/map/?wkid=102100&amp;x=-9030360.906138914&amp;y=4667835.5787910605&amp;l=13&amp;v=2","FT")</f>
        <v>FT</v>
      </c>
      <c r="G36" s="44" t="s">
        <v>38</v>
      </c>
      <c r="H36" s="34" t="s">
        <v>25</v>
      </c>
      <c r="I36" s="33" t="s">
        <v>1167</v>
      </c>
      <c r="J36" s="34" t="s">
        <v>26</v>
      </c>
      <c r="K36" s="34" t="s">
        <v>99</v>
      </c>
      <c r="L36" s="34" t="s">
        <v>45</v>
      </c>
      <c r="M36" s="33" t="s">
        <v>41</v>
      </c>
      <c r="N36" s="3" t="s">
        <v>42</v>
      </c>
      <c r="O36" s="34" t="s">
        <v>114</v>
      </c>
      <c r="P36" s="30" t="s">
        <v>1209</v>
      </c>
      <c r="Q36" s="2" t="s">
        <v>53</v>
      </c>
      <c r="R36" s="34" t="s">
        <v>120</v>
      </c>
      <c r="S36" s="35">
        <v>258600</v>
      </c>
      <c r="T36" s="2" t="s">
        <v>44</v>
      </c>
      <c r="U36" s="36">
        <v>0</v>
      </c>
      <c r="V36" s="36">
        <v>-4</v>
      </c>
      <c r="W36" s="37">
        <v>0</v>
      </c>
      <c r="X36" s="38">
        <v>0</v>
      </c>
    </row>
    <row r="37" spans="1:24" x14ac:dyDescent="0.25">
      <c r="A37" s="24" t="s">
        <v>1036</v>
      </c>
      <c r="B37" s="33" t="s">
        <v>1050</v>
      </c>
      <c r="C37" s="33" t="s">
        <v>1114</v>
      </c>
      <c r="D37" s="33" t="s">
        <v>1117</v>
      </c>
      <c r="E37" s="33" t="s">
        <v>1118</v>
      </c>
      <c r="F37" s="26" t="str">
        <f>HYPERLINK("https://mapwv.gov/flood/map/?wkid=102100&amp;x=-9033441.044536768&amp;y=4666475.989449905&amp;l=13&amp;v=2","FT")</f>
        <v>FT</v>
      </c>
      <c r="G37" s="44" t="s">
        <v>38</v>
      </c>
      <c r="H37" s="34" t="s">
        <v>25</v>
      </c>
      <c r="I37" s="33" t="s">
        <v>1168</v>
      </c>
      <c r="J37" s="34" t="s">
        <v>39</v>
      </c>
      <c r="K37" s="34" t="s">
        <v>316</v>
      </c>
      <c r="L37" s="34" t="s">
        <v>45</v>
      </c>
      <c r="M37" s="33" t="s">
        <v>41</v>
      </c>
      <c r="N37" s="3" t="s">
        <v>42</v>
      </c>
      <c r="O37" s="34" t="s">
        <v>116</v>
      </c>
      <c r="P37" s="30" t="s">
        <v>1210</v>
      </c>
      <c r="Q37" s="2" t="s">
        <v>30</v>
      </c>
      <c r="R37" s="34" t="s">
        <v>119</v>
      </c>
      <c r="S37" s="35">
        <v>255100</v>
      </c>
      <c r="T37" s="2" t="s">
        <v>44</v>
      </c>
      <c r="U37" s="36">
        <v>0</v>
      </c>
      <c r="V37" s="36">
        <v>-1</v>
      </c>
      <c r="W37" s="37">
        <v>0</v>
      </c>
      <c r="X37" s="38">
        <v>0</v>
      </c>
    </row>
    <row r="38" spans="1:24" x14ac:dyDescent="0.25">
      <c r="A38" s="24" t="s">
        <v>1037</v>
      </c>
      <c r="B38" s="33" t="s">
        <v>1050</v>
      </c>
      <c r="C38" s="33" t="s">
        <v>1119</v>
      </c>
      <c r="D38" s="33" t="s">
        <v>1120</v>
      </c>
      <c r="E38" s="33" t="s">
        <v>1121</v>
      </c>
      <c r="F38" s="26" t="str">
        <f>HYPERLINK("https://mapwv.gov/flood/map/?wkid=102100&amp;x=-9063977.7184473&amp;y=4707561.529056258&amp;l=13&amp;v=2","FT")</f>
        <v>FT</v>
      </c>
      <c r="G38" s="44" t="s">
        <v>32</v>
      </c>
      <c r="H38" s="34" t="s">
        <v>25</v>
      </c>
      <c r="I38" s="33" t="s">
        <v>1169</v>
      </c>
      <c r="J38" s="34" t="s">
        <v>26</v>
      </c>
      <c r="K38" s="34" t="s">
        <v>142</v>
      </c>
      <c r="L38" s="34" t="s">
        <v>50</v>
      </c>
      <c r="M38" s="33" t="s">
        <v>48</v>
      </c>
      <c r="N38" s="3" t="s">
        <v>35</v>
      </c>
      <c r="O38" s="34" t="s">
        <v>114</v>
      </c>
      <c r="P38" s="30" t="s">
        <v>1211</v>
      </c>
      <c r="Q38" s="2" t="s">
        <v>30</v>
      </c>
      <c r="R38" s="34" t="s">
        <v>119</v>
      </c>
      <c r="S38" s="35">
        <v>249300</v>
      </c>
      <c r="T38" s="2" t="s">
        <v>44</v>
      </c>
      <c r="U38" s="36">
        <v>0.19561767999999999</v>
      </c>
      <c r="V38" s="36">
        <v>-0.80438232421875</v>
      </c>
      <c r="W38" s="37">
        <v>1.9561767578124899E-3</v>
      </c>
      <c r="X38" s="38">
        <v>487.67486572265602</v>
      </c>
    </row>
    <row r="39" spans="1:24" x14ac:dyDescent="0.25">
      <c r="A39" s="24" t="s">
        <v>1038</v>
      </c>
      <c r="B39" s="33" t="s">
        <v>1050</v>
      </c>
      <c r="C39" s="33" t="s">
        <v>1122</v>
      </c>
      <c r="D39" s="33" t="s">
        <v>1123</v>
      </c>
      <c r="E39" s="33" t="s">
        <v>1124</v>
      </c>
      <c r="F39" s="26" t="str">
        <f>HYPERLINK("https://mapwv.gov/flood/map/?wkid=102100&amp;x=-9055545.131989168&amp;y=4691671.120137548&amp;l=13&amp;v=2","FT")</f>
        <v>FT</v>
      </c>
      <c r="G39" s="44" t="s">
        <v>38</v>
      </c>
      <c r="H39" s="34" t="s">
        <v>25</v>
      </c>
      <c r="I39" s="33" t="s">
        <v>1170</v>
      </c>
      <c r="J39" s="34" t="s">
        <v>26</v>
      </c>
      <c r="K39" s="34" t="s">
        <v>165</v>
      </c>
      <c r="L39" s="34" t="s">
        <v>38</v>
      </c>
      <c r="M39" s="33" t="s">
        <v>41</v>
      </c>
      <c r="N39" s="3" t="s">
        <v>42</v>
      </c>
      <c r="O39" s="34" t="s">
        <v>115</v>
      </c>
      <c r="P39" s="30" t="s">
        <v>1212</v>
      </c>
      <c r="Q39" s="2" t="s">
        <v>53</v>
      </c>
      <c r="R39" s="34" t="s">
        <v>120</v>
      </c>
      <c r="S39" s="35">
        <v>247500</v>
      </c>
      <c r="T39" s="2" t="s">
        <v>44</v>
      </c>
      <c r="U39" s="36">
        <v>4.1458463999999999</v>
      </c>
      <c r="V39" s="36">
        <v>0.145846366882324</v>
      </c>
      <c r="W39" s="37">
        <v>0.11145846366882299</v>
      </c>
      <c r="X39" s="38">
        <v>27585.969758033702</v>
      </c>
    </row>
    <row r="40" spans="1:24" x14ac:dyDescent="0.25">
      <c r="A40" s="24" t="s">
        <v>1039</v>
      </c>
      <c r="B40" s="33" t="s">
        <v>1125</v>
      </c>
      <c r="C40" s="33" t="s">
        <v>1126</v>
      </c>
      <c r="D40" s="33" t="s">
        <v>1127</v>
      </c>
      <c r="E40" s="33" t="s">
        <v>1128</v>
      </c>
      <c r="F40" s="26" t="str">
        <f>HYPERLINK("https://mapwv.gov/flood/map/?wkid=102100&amp;x=-9064115.955658885&amp;y=4707330.974444458&amp;l=13&amp;v=2","FT")</f>
        <v>FT</v>
      </c>
      <c r="G40" s="44" t="s">
        <v>32</v>
      </c>
      <c r="H40" s="34" t="s">
        <v>25</v>
      </c>
      <c r="I40" s="33" t="s">
        <v>1171</v>
      </c>
      <c r="J40" s="34" t="s">
        <v>26</v>
      </c>
      <c r="K40" s="34" t="s">
        <v>104</v>
      </c>
      <c r="L40" s="34" t="s">
        <v>27</v>
      </c>
      <c r="M40" s="33" t="s">
        <v>73</v>
      </c>
      <c r="N40" s="3" t="s">
        <v>111</v>
      </c>
      <c r="O40" s="34" t="s">
        <v>114</v>
      </c>
      <c r="P40" s="30" t="s">
        <v>1213</v>
      </c>
      <c r="Q40" s="2" t="s">
        <v>30</v>
      </c>
      <c r="R40" s="34" t="s">
        <v>119</v>
      </c>
      <c r="S40" s="35">
        <v>238600</v>
      </c>
      <c r="T40" s="2" t="s">
        <v>44</v>
      </c>
      <c r="U40" s="36">
        <v>1.1299437999999999</v>
      </c>
      <c r="V40" s="36">
        <v>0.12994384765625</v>
      </c>
      <c r="W40" s="37">
        <v>9.0960693359375001E-3</v>
      </c>
      <c r="X40" s="38">
        <v>2170.3221435546802</v>
      </c>
    </row>
    <row r="41" spans="1:24" x14ac:dyDescent="0.25">
      <c r="A41" s="24" t="s">
        <v>1040</v>
      </c>
      <c r="B41" s="33" t="s">
        <v>1046</v>
      </c>
      <c r="C41" s="33" t="s">
        <v>1065</v>
      </c>
      <c r="D41" s="33" t="s">
        <v>1129</v>
      </c>
      <c r="E41" s="33" t="s">
        <v>1130</v>
      </c>
      <c r="F41" s="26" t="str">
        <f>HYPERLINK("https://mapwv.gov/flood/map/?wkid=102100&amp;x=-9056360.188587824&amp;y=4693481.266879245&amp;l=13&amp;v=2","FT")</f>
        <v>FT</v>
      </c>
      <c r="G41" s="44" t="s">
        <v>32</v>
      </c>
      <c r="H41" s="34" t="s">
        <v>66</v>
      </c>
      <c r="I41" s="33" t="s">
        <v>1172</v>
      </c>
      <c r="J41" s="34" t="s">
        <v>26</v>
      </c>
      <c r="K41" s="34" t="s">
        <v>165</v>
      </c>
      <c r="L41" s="34" t="s">
        <v>45</v>
      </c>
      <c r="M41" s="33" t="s">
        <v>48</v>
      </c>
      <c r="N41" s="3" t="s">
        <v>35</v>
      </c>
      <c r="O41" s="34" t="s">
        <v>114</v>
      </c>
      <c r="P41" s="30" t="s">
        <v>1214</v>
      </c>
      <c r="Q41" s="2" t="s">
        <v>30</v>
      </c>
      <c r="R41" s="34" t="s">
        <v>119</v>
      </c>
      <c r="S41" s="35">
        <v>231900</v>
      </c>
      <c r="T41" s="2" t="s">
        <v>44</v>
      </c>
      <c r="U41" s="36">
        <v>2.3790282999999999</v>
      </c>
      <c r="V41" s="36">
        <v>1.3790283203125</v>
      </c>
      <c r="W41" s="37">
        <v>0.108951416015625</v>
      </c>
      <c r="X41" s="38">
        <v>25265.833374023401</v>
      </c>
    </row>
    <row r="42" spans="1:24" x14ac:dyDescent="0.25">
      <c r="A42" s="24" t="s">
        <v>1041</v>
      </c>
      <c r="B42" s="33" t="s">
        <v>1046</v>
      </c>
      <c r="C42" s="33" t="s">
        <v>1047</v>
      </c>
      <c r="D42" s="33" t="s">
        <v>1131</v>
      </c>
      <c r="E42" s="33" t="s">
        <v>1132</v>
      </c>
      <c r="F42" s="26" t="str">
        <f>HYPERLINK("https://mapwv.gov/flood/map/?wkid=102100&amp;x=-9055828.57712753&amp;y=4693494.79239524&amp;l=13&amp;v=2","FT")</f>
        <v>FT</v>
      </c>
      <c r="G42" s="44" t="s">
        <v>32</v>
      </c>
      <c r="H42" s="34" t="s">
        <v>25</v>
      </c>
      <c r="I42" s="33" t="s">
        <v>1173</v>
      </c>
      <c r="J42" s="34" t="s">
        <v>39</v>
      </c>
      <c r="K42" s="34" t="s">
        <v>966</v>
      </c>
      <c r="L42" s="34" t="s">
        <v>27</v>
      </c>
      <c r="M42" s="33" t="s">
        <v>34</v>
      </c>
      <c r="N42" s="3" t="s">
        <v>113</v>
      </c>
      <c r="O42" s="34" t="s">
        <v>114</v>
      </c>
      <c r="P42" s="30" t="s">
        <v>1215</v>
      </c>
      <c r="Q42" s="2" t="s">
        <v>30</v>
      </c>
      <c r="R42" s="34" t="s">
        <v>119</v>
      </c>
      <c r="S42" s="35">
        <v>227700</v>
      </c>
      <c r="T42" s="2" t="s">
        <v>44</v>
      </c>
      <c r="U42" s="36">
        <v>1.0629272000000001</v>
      </c>
      <c r="V42" s="36">
        <v>6.292724609375E-2</v>
      </c>
      <c r="W42" s="37">
        <v>1.50341796875E-2</v>
      </c>
      <c r="X42" s="38">
        <v>3423.28271484375</v>
      </c>
    </row>
    <row r="43" spans="1:24" x14ac:dyDescent="0.25">
      <c r="A43" s="24" t="s">
        <v>1042</v>
      </c>
      <c r="B43" s="33" t="s">
        <v>1050</v>
      </c>
      <c r="C43" s="33" t="s">
        <v>1122</v>
      </c>
      <c r="D43" s="33" t="s">
        <v>1133</v>
      </c>
      <c r="E43" s="33" t="s">
        <v>1134</v>
      </c>
      <c r="F43" s="26" t="str">
        <f>HYPERLINK("https://mapwv.gov/flood/map/?wkid=102100&amp;x=-9055015.50858365&amp;y=4690875.756806286&amp;l=13&amp;v=2","FT")</f>
        <v>FT</v>
      </c>
      <c r="G43" s="44" t="s">
        <v>38</v>
      </c>
      <c r="H43" s="34" t="s">
        <v>25</v>
      </c>
      <c r="I43" s="33" t="s">
        <v>1174</v>
      </c>
      <c r="J43" s="34" t="s">
        <v>26</v>
      </c>
      <c r="K43" s="34" t="s">
        <v>127</v>
      </c>
      <c r="L43" s="34" t="s">
        <v>51</v>
      </c>
      <c r="M43" s="33" t="s">
        <v>41</v>
      </c>
      <c r="N43" s="3" t="s">
        <v>42</v>
      </c>
      <c r="O43" s="34" t="s">
        <v>114</v>
      </c>
      <c r="P43" s="30" t="s">
        <v>339</v>
      </c>
      <c r="Q43" s="2" t="s">
        <v>43</v>
      </c>
      <c r="R43" s="34" t="s">
        <v>120</v>
      </c>
      <c r="S43" s="35">
        <v>223700</v>
      </c>
      <c r="T43" s="2" t="s">
        <v>44</v>
      </c>
      <c r="U43" s="36">
        <v>0</v>
      </c>
      <c r="V43" s="36">
        <v>-4</v>
      </c>
      <c r="W43" s="37">
        <v>0</v>
      </c>
      <c r="X43" s="38">
        <v>0</v>
      </c>
    </row>
    <row r="44" spans="1:24" x14ac:dyDescent="0.25">
      <c r="A44" s="24" t="s">
        <v>1043</v>
      </c>
      <c r="B44" s="33" t="s">
        <v>1050</v>
      </c>
      <c r="C44" s="33" t="s">
        <v>1065</v>
      </c>
      <c r="D44" s="33" t="s">
        <v>1135</v>
      </c>
      <c r="E44" s="33" t="s">
        <v>1136</v>
      </c>
      <c r="F44" s="26" t="str">
        <f>HYPERLINK("https://mapwv.gov/flood/map/?wkid=102100&amp;x=-9057203.866095485&amp;y=4693685.785250446&amp;l=13&amp;v=2","FT")</f>
        <v>FT</v>
      </c>
      <c r="G44" s="44" t="s">
        <v>38</v>
      </c>
      <c r="H44" s="34" t="s">
        <v>25</v>
      </c>
      <c r="I44" s="33" t="s">
        <v>1175</v>
      </c>
      <c r="J44" s="34" t="s">
        <v>26</v>
      </c>
      <c r="K44" s="34" t="s">
        <v>84</v>
      </c>
      <c r="L44" s="34" t="s">
        <v>27</v>
      </c>
      <c r="M44" s="33" t="s">
        <v>147</v>
      </c>
      <c r="N44" s="3" t="s">
        <v>35</v>
      </c>
      <c r="O44" s="34" t="s">
        <v>114</v>
      </c>
      <c r="P44" s="30" t="s">
        <v>1216</v>
      </c>
      <c r="Q44" s="2" t="s">
        <v>30</v>
      </c>
      <c r="R44" s="34" t="s">
        <v>119</v>
      </c>
      <c r="S44" s="35">
        <v>220700</v>
      </c>
      <c r="T44" s="2" t="s">
        <v>44</v>
      </c>
      <c r="U44" s="36">
        <v>0</v>
      </c>
      <c r="V44" s="36">
        <v>-1</v>
      </c>
      <c r="W44" s="37">
        <v>0</v>
      </c>
      <c r="X44" s="38">
        <v>0</v>
      </c>
    </row>
    <row r="45" spans="1:24" x14ac:dyDescent="0.25">
      <c r="A45" s="24" t="s">
        <v>1044</v>
      </c>
      <c r="B45" s="33" t="s">
        <v>1050</v>
      </c>
      <c r="C45" s="33" t="s">
        <v>1081</v>
      </c>
      <c r="D45" s="33" t="s">
        <v>1137</v>
      </c>
      <c r="E45" s="33" t="s">
        <v>1138</v>
      </c>
      <c r="F45" s="26" t="str">
        <f>HYPERLINK("https://mapwv.gov/flood/map/?wkid=102100&amp;x=-9039260.960208276&amp;y=4680284.2923548585&amp;l=13&amp;v=2","FT")</f>
        <v>FT</v>
      </c>
      <c r="G45" s="44" t="s">
        <v>38</v>
      </c>
      <c r="H45" s="34" t="s">
        <v>25</v>
      </c>
      <c r="I45" s="33" t="s">
        <v>1176</v>
      </c>
      <c r="J45" s="34" t="s">
        <v>39</v>
      </c>
      <c r="K45" s="34" t="s">
        <v>158</v>
      </c>
      <c r="L45" s="34" t="s">
        <v>27</v>
      </c>
      <c r="M45" s="33" t="s">
        <v>67</v>
      </c>
      <c r="N45" s="3" t="s">
        <v>112</v>
      </c>
      <c r="O45" s="34" t="s">
        <v>114</v>
      </c>
      <c r="P45" s="30" t="s">
        <v>1217</v>
      </c>
      <c r="Q45" s="2" t="s">
        <v>30</v>
      </c>
      <c r="R45" s="34" t="s">
        <v>119</v>
      </c>
      <c r="S45" s="35">
        <v>204680</v>
      </c>
      <c r="T45" s="2" t="s">
        <v>31</v>
      </c>
      <c r="U45" s="36">
        <v>1.727697</v>
      </c>
      <c r="V45" s="36">
        <v>0.72769701480865401</v>
      </c>
      <c r="W45" s="37">
        <v>7.2769701480865395E-2</v>
      </c>
      <c r="X45" s="38">
        <v>14894.502499103501</v>
      </c>
    </row>
    <row r="46" spans="1:24" x14ac:dyDescent="0.25">
      <c r="A46" s="24" t="s">
        <v>1045</v>
      </c>
      <c r="B46" s="33" t="s">
        <v>1046</v>
      </c>
      <c r="C46" s="33" t="s">
        <v>1065</v>
      </c>
      <c r="D46" s="33" t="s">
        <v>1139</v>
      </c>
      <c r="E46" s="33" t="s">
        <v>1140</v>
      </c>
      <c r="F46" s="26" t="str">
        <f>HYPERLINK("https://mapwv.gov/flood/map/?wkid=102100&amp;x=-9056260.710039947&amp;y=4693629.980691666&amp;l=13&amp;v=2","FT")</f>
        <v>FT</v>
      </c>
      <c r="G46" s="44" t="s">
        <v>32</v>
      </c>
      <c r="H46" s="34" t="s">
        <v>25</v>
      </c>
      <c r="I46" s="33" t="s">
        <v>1177</v>
      </c>
      <c r="J46" s="34" t="s">
        <v>39</v>
      </c>
      <c r="K46" s="34" t="s">
        <v>316</v>
      </c>
      <c r="L46" s="34" t="s">
        <v>74</v>
      </c>
      <c r="M46" s="33" t="s">
        <v>34</v>
      </c>
      <c r="N46" s="3" t="s">
        <v>113</v>
      </c>
      <c r="O46" s="34" t="s">
        <v>114</v>
      </c>
      <c r="P46" s="30" t="s">
        <v>1218</v>
      </c>
      <c r="Q46" s="2" t="s">
        <v>30</v>
      </c>
      <c r="R46" s="34" t="s">
        <v>119</v>
      </c>
      <c r="S46" s="35">
        <v>202500</v>
      </c>
      <c r="T46" s="2" t="s">
        <v>44</v>
      </c>
      <c r="U46" s="36">
        <v>1.8193969999999999</v>
      </c>
      <c r="V46" s="36">
        <v>0.81939697265625</v>
      </c>
      <c r="W46" s="37">
        <v>7.5551757812499898E-2</v>
      </c>
      <c r="X46" s="38">
        <v>15299.230957031201</v>
      </c>
    </row>
  </sheetData>
  <hyperlinks>
    <hyperlink ref="J3" r:id="rId1" xr:uid="{1402E68A-65A5-41F9-A97B-6BA2D5032E69}"/>
    <hyperlink ref="M3" r:id="rId2" xr:uid="{B171CFD8-9A85-4398-A321-CF075E9FAA2C}"/>
    <hyperlink ref="Q3" r:id="rId3" xr:uid="{8F87642E-A2E7-4957-B210-2865B76F6E9A}"/>
  </hyperlinks>
  <pageMargins left="0.7" right="0.7" top="0.75" bottom="0.75" header="0.3" footer="0.3"/>
  <pageSetup orientation="portrait" horizontalDpi="0" verticalDpi="0" r:id="rId4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C0430A-79A2-448C-9E86-B6D84F4E7F39}">
  <dimension ref="A1:X69"/>
  <sheetViews>
    <sheetView workbookViewId="0">
      <pane ySplit="6" topLeftCell="A7" activePane="bottomLeft" state="frozen"/>
      <selection pane="bottomLeft" sqref="A1:A1048576"/>
    </sheetView>
  </sheetViews>
  <sheetFormatPr defaultRowHeight="15" x14ac:dyDescent="0.25"/>
  <cols>
    <col min="1" max="1" width="37" bestFit="1" customWidth="1"/>
    <col min="2" max="2" width="21.42578125" bestFit="1" customWidth="1"/>
    <col min="7" max="7" width="10.7109375" customWidth="1"/>
    <col min="10" max="10" width="8.85546875" style="8"/>
    <col min="13" max="13" width="10.7109375" customWidth="1"/>
    <col min="14" max="14" width="10.28515625" customWidth="1"/>
    <col min="15" max="15" width="8.85546875" style="8"/>
    <col min="17" max="17" width="11.140625" customWidth="1"/>
    <col min="18" max="18" width="8.85546875" style="8"/>
    <col min="19" max="19" width="21.7109375" bestFit="1" customWidth="1"/>
    <col min="24" max="24" width="10" bestFit="1" customWidth="1"/>
  </cols>
  <sheetData>
    <row r="1" spans="1:24" ht="14.25" customHeight="1" x14ac:dyDescent="0.25">
      <c r="A1" s="5" t="s">
        <v>75</v>
      </c>
      <c r="B1" s="5"/>
      <c r="C1" s="5"/>
      <c r="D1" s="5"/>
      <c r="F1" s="19" t="s">
        <v>76</v>
      </c>
      <c r="G1" s="8"/>
      <c r="H1" s="8"/>
      <c r="K1" s="8"/>
      <c r="L1" s="8"/>
      <c r="N1" s="7" t="s">
        <v>77</v>
      </c>
      <c r="P1" s="8"/>
      <c r="S1" s="9" t="s">
        <v>78</v>
      </c>
      <c r="U1" s="10"/>
      <c r="V1" s="10"/>
      <c r="W1" s="11"/>
      <c r="X1" s="12"/>
    </row>
    <row r="2" spans="1:24" x14ac:dyDescent="0.25">
      <c r="A2" s="13">
        <v>44481</v>
      </c>
      <c r="B2" s="14" t="s">
        <v>79</v>
      </c>
      <c r="F2" s="8"/>
      <c r="G2" s="8"/>
      <c r="H2" s="8"/>
      <c r="K2" s="8"/>
      <c r="L2" s="8"/>
      <c r="N2" s="15" t="s">
        <v>42</v>
      </c>
      <c r="P2" s="8"/>
      <c r="S2" s="9"/>
      <c r="U2" s="10"/>
      <c r="V2" s="10"/>
      <c r="W2" s="11"/>
      <c r="X2" s="12"/>
    </row>
    <row r="3" spans="1:24" x14ac:dyDescent="0.25">
      <c r="A3" t="s">
        <v>81</v>
      </c>
      <c r="B3" s="49" t="s">
        <v>2299</v>
      </c>
      <c r="F3" s="8"/>
      <c r="G3" s="8"/>
      <c r="H3" s="8"/>
      <c r="J3" s="18" t="s">
        <v>80</v>
      </c>
      <c r="K3" s="8"/>
      <c r="L3" s="8"/>
      <c r="M3" s="16" t="s">
        <v>80</v>
      </c>
      <c r="N3" s="7"/>
      <c r="P3" s="8"/>
      <c r="Q3" s="16" t="s">
        <v>80</v>
      </c>
      <c r="R3" s="17"/>
      <c r="S3" s="9"/>
      <c r="U3" s="10"/>
      <c r="V3" s="10"/>
      <c r="W3" s="11"/>
      <c r="X3" s="12"/>
    </row>
    <row r="4" spans="1:24" x14ac:dyDescent="0.25">
      <c r="F4" s="8"/>
      <c r="G4" s="8"/>
      <c r="H4" s="8"/>
      <c r="K4" s="8"/>
      <c r="L4" s="8"/>
      <c r="N4" s="7"/>
      <c r="P4" s="8"/>
      <c r="S4" s="9"/>
      <c r="U4" s="10"/>
      <c r="V4" s="10"/>
      <c r="W4" s="11"/>
      <c r="X4" s="12"/>
    </row>
    <row r="5" spans="1:24" x14ac:dyDescent="0.25">
      <c r="A5" s="1" t="s">
        <v>1219</v>
      </c>
      <c r="F5" s="8"/>
      <c r="G5" s="8"/>
      <c r="H5" s="8"/>
      <c r="K5" s="8"/>
      <c r="L5" s="8"/>
      <c r="P5" s="8"/>
      <c r="S5" s="39" t="s">
        <v>168</v>
      </c>
      <c r="U5" s="8"/>
      <c r="V5" s="8"/>
      <c r="W5" s="11"/>
      <c r="X5" s="12"/>
    </row>
    <row r="6" spans="1:24" ht="60" x14ac:dyDescent="0.25">
      <c r="A6" s="27" t="s">
        <v>0</v>
      </c>
      <c r="B6" s="20" t="s">
        <v>1</v>
      </c>
      <c r="C6" s="20" t="s">
        <v>2</v>
      </c>
      <c r="D6" s="28" t="s">
        <v>3</v>
      </c>
      <c r="E6" s="28" t="s">
        <v>4</v>
      </c>
      <c r="F6" s="20" t="s">
        <v>5</v>
      </c>
      <c r="G6" s="20" t="s">
        <v>6</v>
      </c>
      <c r="H6" s="27" t="s">
        <v>7</v>
      </c>
      <c r="I6" s="20" t="s">
        <v>8</v>
      </c>
      <c r="J6" s="27" t="s">
        <v>9</v>
      </c>
      <c r="K6" s="28" t="s">
        <v>10</v>
      </c>
      <c r="L6" s="20" t="s">
        <v>11</v>
      </c>
      <c r="M6" s="28" t="s">
        <v>12</v>
      </c>
      <c r="N6" s="21" t="s">
        <v>13</v>
      </c>
      <c r="O6" s="28" t="s">
        <v>14</v>
      </c>
      <c r="P6" s="28" t="s">
        <v>15</v>
      </c>
      <c r="Q6" s="28" t="s">
        <v>16</v>
      </c>
      <c r="R6" s="28" t="s">
        <v>17</v>
      </c>
      <c r="S6" s="22" t="s">
        <v>18</v>
      </c>
      <c r="T6" s="20" t="s">
        <v>19</v>
      </c>
      <c r="U6" s="31" t="s">
        <v>20</v>
      </c>
      <c r="V6" s="31" t="s">
        <v>21</v>
      </c>
      <c r="W6" s="32" t="s">
        <v>22</v>
      </c>
      <c r="X6" s="23" t="s">
        <v>23</v>
      </c>
    </row>
    <row r="7" spans="1:24" x14ac:dyDescent="0.25">
      <c r="A7" s="24" t="s">
        <v>1220</v>
      </c>
      <c r="B7" s="33" t="s">
        <v>1281</v>
      </c>
      <c r="C7" s="33" t="s">
        <v>1282</v>
      </c>
      <c r="D7" s="33" t="s">
        <v>1283</v>
      </c>
      <c r="E7" s="33" t="s">
        <v>1284</v>
      </c>
      <c r="F7" s="26" t="str">
        <f>HYPERLINK("https://mapwv.gov/flood/map/?wkid=102100&amp;x=-9005124.608704409&amp;y=4796538.17166049&amp;l=13&amp;v=2","FT")</f>
        <v>FT</v>
      </c>
      <c r="G7" s="44" t="s">
        <v>38</v>
      </c>
      <c r="H7" s="34" t="s">
        <v>25</v>
      </c>
      <c r="I7" s="33" t="s">
        <v>1415</v>
      </c>
      <c r="J7" s="34" t="s">
        <v>26</v>
      </c>
      <c r="K7" s="34" t="s">
        <v>97</v>
      </c>
      <c r="L7" s="34"/>
      <c r="M7" s="33" t="s">
        <v>69</v>
      </c>
      <c r="N7" s="3" t="s">
        <v>110</v>
      </c>
      <c r="O7" s="34" t="s">
        <v>114</v>
      </c>
      <c r="P7" s="33" t="s">
        <v>1486</v>
      </c>
      <c r="Q7" s="33" t="s">
        <v>30</v>
      </c>
      <c r="R7" s="34" t="s">
        <v>119</v>
      </c>
      <c r="S7" s="35">
        <v>5974800</v>
      </c>
      <c r="T7" s="2" t="s">
        <v>44</v>
      </c>
      <c r="U7" s="36">
        <v>0</v>
      </c>
      <c r="V7" s="36">
        <v>-1</v>
      </c>
      <c r="W7" s="37">
        <v>0</v>
      </c>
      <c r="X7" s="38">
        <v>0</v>
      </c>
    </row>
    <row r="8" spans="1:24" x14ac:dyDescent="0.25">
      <c r="A8" s="24" t="s">
        <v>2300</v>
      </c>
      <c r="B8" s="33" t="s">
        <v>1281</v>
      </c>
      <c r="C8" s="33" t="s">
        <v>394</v>
      </c>
      <c r="D8" s="33" t="s">
        <v>2301</v>
      </c>
      <c r="E8" s="33" t="s">
        <v>2302</v>
      </c>
      <c r="F8" s="26" t="str">
        <f>HYPERLINK("https://www.mapwv.gov/flood/map/?wkid=102100&amp;x=-9017621&amp;y=4802006&amp;l=13&amp;v=2","FT")</f>
        <v>FT</v>
      </c>
      <c r="G8" s="44" t="s">
        <v>32</v>
      </c>
      <c r="H8" s="34" t="s">
        <v>25</v>
      </c>
      <c r="I8" s="33" t="s">
        <v>1420</v>
      </c>
      <c r="J8" s="34" t="s">
        <v>26</v>
      </c>
      <c r="K8" s="34">
        <v>9999</v>
      </c>
      <c r="L8" s="34"/>
      <c r="M8" s="33" t="s">
        <v>28</v>
      </c>
      <c r="N8" s="3" t="s">
        <v>111</v>
      </c>
      <c r="O8" s="34">
        <v>1</v>
      </c>
      <c r="P8" s="47">
        <v>5600</v>
      </c>
      <c r="Q8" s="33" t="s">
        <v>30</v>
      </c>
      <c r="R8" s="34" t="s">
        <v>119</v>
      </c>
      <c r="S8" s="35">
        <v>3600000</v>
      </c>
      <c r="T8" s="2" t="s">
        <v>29</v>
      </c>
      <c r="U8" s="36"/>
      <c r="V8" s="36"/>
      <c r="W8" s="37"/>
      <c r="X8" s="38"/>
    </row>
    <row r="9" spans="1:24" x14ac:dyDescent="0.25">
      <c r="A9" s="24" t="s">
        <v>2303</v>
      </c>
      <c r="B9" s="33" t="s">
        <v>1281</v>
      </c>
      <c r="C9" s="33" t="s">
        <v>394</v>
      </c>
      <c r="D9" s="33" t="s">
        <v>2304</v>
      </c>
      <c r="E9" s="33"/>
      <c r="F9" s="26" t="str">
        <f>HYPERLINK("https://mapwv.gov/flood/map/?wkid=102100&amp;x=-9023004.785501964&amp;y=4796514.259327608&amp;l=13&amp;v=2","FT")</f>
        <v>FT</v>
      </c>
      <c r="G9" s="44" t="s">
        <v>32</v>
      </c>
      <c r="H9" s="34" t="s">
        <v>25</v>
      </c>
      <c r="I9" s="33" t="s">
        <v>2305</v>
      </c>
      <c r="J9" s="34" t="s">
        <v>26</v>
      </c>
      <c r="K9" s="34">
        <v>2007</v>
      </c>
      <c r="L9" s="34"/>
      <c r="M9" s="33" t="s">
        <v>28</v>
      </c>
      <c r="N9" s="3" t="s">
        <v>111</v>
      </c>
      <c r="O9" s="34">
        <v>1</v>
      </c>
      <c r="P9" s="47">
        <v>7000</v>
      </c>
      <c r="Q9" s="33" t="s">
        <v>30</v>
      </c>
      <c r="R9" s="34" t="s">
        <v>119</v>
      </c>
      <c r="S9" s="35">
        <v>3300000</v>
      </c>
      <c r="T9" s="2" t="s">
        <v>29</v>
      </c>
      <c r="U9" s="36">
        <v>0.59002686000000004</v>
      </c>
      <c r="V9" s="36">
        <v>-3.40997314453125</v>
      </c>
      <c r="W9" s="37">
        <v>0</v>
      </c>
      <c r="X9" s="38">
        <v>0</v>
      </c>
    </row>
    <row r="10" spans="1:24" x14ac:dyDescent="0.25">
      <c r="A10" s="24" t="s">
        <v>1221</v>
      </c>
      <c r="B10" s="33" t="s">
        <v>1285</v>
      </c>
      <c r="C10" s="33" t="s">
        <v>394</v>
      </c>
      <c r="D10" s="33" t="s">
        <v>1286</v>
      </c>
      <c r="E10" s="33" t="s">
        <v>1287</v>
      </c>
      <c r="F10" s="26" t="str">
        <f>HYPERLINK("https://mapwv.gov/flood/map/?wkid=102100&amp;x=-9017363.432972858&amp;y=4802011.89538637&amp;l=13&amp;v=2","FT")</f>
        <v>FT</v>
      </c>
      <c r="G10" s="44" t="s">
        <v>32</v>
      </c>
      <c r="H10" s="34" t="s">
        <v>25</v>
      </c>
      <c r="I10" s="33" t="s">
        <v>1416</v>
      </c>
      <c r="J10" s="34" t="s">
        <v>39</v>
      </c>
      <c r="K10" s="34" t="s">
        <v>1475</v>
      </c>
      <c r="L10" s="34"/>
      <c r="M10" s="33" t="s">
        <v>1485</v>
      </c>
      <c r="N10" s="3" t="s">
        <v>35</v>
      </c>
      <c r="O10" s="34" t="s">
        <v>114</v>
      </c>
      <c r="P10" s="33" t="s">
        <v>1487</v>
      </c>
      <c r="Q10" s="33" t="s">
        <v>30</v>
      </c>
      <c r="R10" s="34" t="s">
        <v>119</v>
      </c>
      <c r="S10" s="35">
        <v>2396560</v>
      </c>
      <c r="T10" s="2" t="s">
        <v>31</v>
      </c>
      <c r="U10" s="36">
        <v>0</v>
      </c>
      <c r="V10" s="36">
        <v>-1</v>
      </c>
      <c r="W10" s="37">
        <v>0</v>
      </c>
      <c r="X10" s="38">
        <v>0</v>
      </c>
    </row>
    <row r="11" spans="1:24" x14ac:dyDescent="0.25">
      <c r="A11" s="24" t="s">
        <v>1222</v>
      </c>
      <c r="B11" s="33" t="s">
        <v>1281</v>
      </c>
      <c r="C11" s="33" t="s">
        <v>671</v>
      </c>
      <c r="D11" s="33" t="s">
        <v>1288</v>
      </c>
      <c r="E11" s="33" t="s">
        <v>1289</v>
      </c>
      <c r="F11" s="26" t="str">
        <f>HYPERLINK("https://mapwv.gov/flood/map/?wkid=102100&amp;x=-8997231.19875653&amp;y=4784772.83097768&amp;l=13&amp;v=2","FT")</f>
        <v>FT</v>
      </c>
      <c r="G11" s="44" t="s">
        <v>38</v>
      </c>
      <c r="H11" s="34" t="s">
        <v>25</v>
      </c>
      <c r="I11" s="33" t="s">
        <v>1417</v>
      </c>
      <c r="J11" s="34" t="s">
        <v>26</v>
      </c>
      <c r="K11" s="34" t="s">
        <v>142</v>
      </c>
      <c r="L11" s="34" t="s">
        <v>107</v>
      </c>
      <c r="M11" s="33" t="s">
        <v>41</v>
      </c>
      <c r="N11" s="3" t="s">
        <v>42</v>
      </c>
      <c r="O11" s="34" t="s">
        <v>115</v>
      </c>
      <c r="P11" s="33" t="s">
        <v>1488</v>
      </c>
      <c r="Q11" s="33" t="s">
        <v>43</v>
      </c>
      <c r="R11" s="34" t="s">
        <v>120</v>
      </c>
      <c r="S11" s="35">
        <v>1584700</v>
      </c>
      <c r="T11" s="2" t="s">
        <v>44</v>
      </c>
      <c r="U11" s="36">
        <v>0</v>
      </c>
      <c r="V11" s="36">
        <v>-4</v>
      </c>
      <c r="W11" s="37">
        <v>0</v>
      </c>
      <c r="X11" s="38">
        <v>0</v>
      </c>
    </row>
    <row r="12" spans="1:24" x14ac:dyDescent="0.25">
      <c r="A12" s="24" t="s">
        <v>1223</v>
      </c>
      <c r="B12" s="33" t="s">
        <v>1285</v>
      </c>
      <c r="C12" s="33" t="s">
        <v>394</v>
      </c>
      <c r="D12" s="33" t="s">
        <v>1290</v>
      </c>
      <c r="E12" s="33" t="s">
        <v>1291</v>
      </c>
      <c r="F12" s="26" t="str">
        <f>HYPERLINK("https://mapwv.gov/flood/map/?wkid=102100&amp;x=-9017167.086541802&amp;y=4802332.1819024505&amp;l=13&amp;v=2","FT")</f>
        <v>FT</v>
      </c>
      <c r="G12" s="44" t="s">
        <v>32</v>
      </c>
      <c r="H12" s="34" t="s">
        <v>25</v>
      </c>
      <c r="I12" s="33" t="s">
        <v>1418</v>
      </c>
      <c r="J12" s="34" t="s">
        <v>39</v>
      </c>
      <c r="K12" s="34" t="s">
        <v>1476</v>
      </c>
      <c r="L12" s="34"/>
      <c r="M12" s="33" t="s">
        <v>28</v>
      </c>
      <c r="N12" s="3" t="s">
        <v>111</v>
      </c>
      <c r="O12" s="34" t="s">
        <v>114</v>
      </c>
      <c r="P12" s="33" t="s">
        <v>1489</v>
      </c>
      <c r="Q12" s="33" t="s">
        <v>30</v>
      </c>
      <c r="R12" s="34" t="s">
        <v>119</v>
      </c>
      <c r="S12" s="35">
        <v>775290</v>
      </c>
      <c r="T12" s="2" t="s">
        <v>31</v>
      </c>
      <c r="U12" s="36">
        <v>3.1769409999999998</v>
      </c>
      <c r="V12" s="36">
        <v>2.17694091796875</v>
      </c>
      <c r="W12" s="37">
        <v>8.8847045898437504E-2</v>
      </c>
      <c r="X12" s="38">
        <v>68882.226214599606</v>
      </c>
    </row>
    <row r="13" spans="1:24" x14ac:dyDescent="0.25">
      <c r="A13" s="24" t="s">
        <v>1224</v>
      </c>
      <c r="B13" s="33" t="s">
        <v>1281</v>
      </c>
      <c r="C13" s="33" t="s">
        <v>671</v>
      </c>
      <c r="D13" s="33" t="s">
        <v>1292</v>
      </c>
      <c r="E13" s="33" t="s">
        <v>1293</v>
      </c>
      <c r="F13" s="26" t="str">
        <f>HYPERLINK("https://mapwv.gov/flood/map/?wkid=102100&amp;x=-9002408.818777276&amp;y=4790735.769451527&amp;l=13&amp;v=2","FT")</f>
        <v>FT</v>
      </c>
      <c r="G13" s="44" t="s">
        <v>38</v>
      </c>
      <c r="H13" s="34" t="s">
        <v>25</v>
      </c>
      <c r="I13" s="33" t="s">
        <v>1419</v>
      </c>
      <c r="J13" s="34" t="s">
        <v>26</v>
      </c>
      <c r="K13" s="34" t="s">
        <v>169</v>
      </c>
      <c r="L13" s="34" t="s">
        <v>58</v>
      </c>
      <c r="M13" s="33" t="s">
        <v>52</v>
      </c>
      <c r="N13" s="3" t="s">
        <v>35</v>
      </c>
      <c r="O13" s="34" t="s">
        <v>114</v>
      </c>
      <c r="P13" s="33" t="s">
        <v>1490</v>
      </c>
      <c r="Q13" s="33" t="s">
        <v>30</v>
      </c>
      <c r="R13" s="34" t="s">
        <v>119</v>
      </c>
      <c r="S13" s="35">
        <v>500200</v>
      </c>
      <c r="T13" s="2" t="s">
        <v>44</v>
      </c>
      <c r="U13" s="36">
        <v>1.4499035</v>
      </c>
      <c r="V13" s="36">
        <v>0.44990348815917902</v>
      </c>
      <c r="W13" s="37">
        <v>4.5992279052734307E-2</v>
      </c>
      <c r="X13" s="38">
        <v>23005.337982177702</v>
      </c>
    </row>
    <row r="14" spans="1:24" x14ac:dyDescent="0.25">
      <c r="A14" s="24" t="s">
        <v>1225</v>
      </c>
      <c r="B14" s="33" t="s">
        <v>1285</v>
      </c>
      <c r="C14" s="33" t="s">
        <v>394</v>
      </c>
      <c r="D14" s="33" t="s">
        <v>1294</v>
      </c>
      <c r="E14" s="33" t="s">
        <v>1295</v>
      </c>
      <c r="F14" s="26" t="str">
        <f>HYPERLINK("https://mapwv.gov/flood/map/?wkid=102100&amp;x=-9016133.917546004&amp;y=4803302.126613161&amp;l=13&amp;v=2","FT")</f>
        <v>FT</v>
      </c>
      <c r="G14" s="44" t="s">
        <v>32</v>
      </c>
      <c r="H14" s="34" t="s">
        <v>25</v>
      </c>
      <c r="I14" s="33" t="s">
        <v>1420</v>
      </c>
      <c r="J14" s="34" t="s">
        <v>36</v>
      </c>
      <c r="K14" s="34" t="s">
        <v>87</v>
      </c>
      <c r="L14" s="34"/>
      <c r="M14" s="33" t="s">
        <v>41</v>
      </c>
      <c r="N14" s="3" t="s">
        <v>42</v>
      </c>
      <c r="O14" s="34" t="s">
        <v>114</v>
      </c>
      <c r="P14" s="33" t="s">
        <v>1491</v>
      </c>
      <c r="Q14" s="33" t="s">
        <v>30</v>
      </c>
      <c r="R14" s="34" t="s">
        <v>119</v>
      </c>
      <c r="S14" s="35">
        <v>390960</v>
      </c>
      <c r="T14" s="2" t="s">
        <v>31</v>
      </c>
      <c r="U14" s="36">
        <v>5.5155029999999998</v>
      </c>
      <c r="V14" s="36">
        <v>4.5155029296875</v>
      </c>
      <c r="W14" s="37">
        <v>0.50093017578124999</v>
      </c>
      <c r="X14" s="38">
        <v>195843.66152343701</v>
      </c>
    </row>
    <row r="15" spans="1:24" x14ac:dyDescent="0.25">
      <c r="A15" s="24" t="s">
        <v>1226</v>
      </c>
      <c r="B15" s="33" t="s">
        <v>1281</v>
      </c>
      <c r="C15" s="33" t="s">
        <v>671</v>
      </c>
      <c r="D15" s="33" t="s">
        <v>1296</v>
      </c>
      <c r="E15" s="33" t="s">
        <v>1297</v>
      </c>
      <c r="F15" s="26" t="str">
        <f>HYPERLINK("https://mapwv.gov/flood/map/?wkid=102100&amp;x=-9001216.508328002&amp;y=4789783.303527117&amp;l=13&amp;v=2","FT")</f>
        <v>FT</v>
      </c>
      <c r="G15" s="44" t="s">
        <v>38</v>
      </c>
      <c r="H15" s="34" t="s">
        <v>25</v>
      </c>
      <c r="I15" s="33" t="s">
        <v>1421</v>
      </c>
      <c r="J15" s="34" t="s">
        <v>26</v>
      </c>
      <c r="K15" s="34" t="s">
        <v>106</v>
      </c>
      <c r="L15" s="34" t="s">
        <v>37</v>
      </c>
      <c r="M15" s="33" t="s">
        <v>52</v>
      </c>
      <c r="N15" s="3" t="s">
        <v>35</v>
      </c>
      <c r="O15" s="34" t="s">
        <v>114</v>
      </c>
      <c r="P15" s="33" t="s">
        <v>1492</v>
      </c>
      <c r="Q15" s="33" t="s">
        <v>30</v>
      </c>
      <c r="R15" s="34" t="s">
        <v>119</v>
      </c>
      <c r="S15" s="35">
        <v>354100</v>
      </c>
      <c r="T15" s="2" t="s">
        <v>44</v>
      </c>
      <c r="U15" s="36">
        <v>5.7681183999999996</v>
      </c>
      <c r="V15" s="36">
        <v>4.7681183815002397</v>
      </c>
      <c r="W15" s="37">
        <v>0.15536236763000399</v>
      </c>
      <c r="X15" s="38">
        <v>55013.8143777847</v>
      </c>
    </row>
    <row r="16" spans="1:24" x14ac:dyDescent="0.25">
      <c r="A16" s="24" t="s">
        <v>1227</v>
      </c>
      <c r="B16" s="33" t="s">
        <v>1281</v>
      </c>
      <c r="C16" s="33" t="s">
        <v>671</v>
      </c>
      <c r="D16" s="33" t="s">
        <v>1298</v>
      </c>
      <c r="E16" s="33" t="s">
        <v>1299</v>
      </c>
      <c r="F16" s="26" t="str">
        <f>HYPERLINK("https://mapwv.gov/flood/map/?wkid=102100&amp;x=-9001469.771969423&amp;y=4789962.1362498235&amp;l=13&amp;v=2","FT")</f>
        <v>FT</v>
      </c>
      <c r="G16" s="44" t="s">
        <v>38</v>
      </c>
      <c r="H16" s="34" t="s">
        <v>25</v>
      </c>
      <c r="I16" s="33" t="s">
        <v>1422</v>
      </c>
      <c r="J16" s="34" t="s">
        <v>36</v>
      </c>
      <c r="K16" s="34" t="s">
        <v>87</v>
      </c>
      <c r="L16" s="34"/>
      <c r="M16" s="33" t="s">
        <v>52</v>
      </c>
      <c r="N16" s="3" t="s">
        <v>35</v>
      </c>
      <c r="O16" s="34" t="s">
        <v>114</v>
      </c>
      <c r="P16" s="33" t="s">
        <v>1493</v>
      </c>
      <c r="Q16" s="33" t="s">
        <v>30</v>
      </c>
      <c r="R16" s="34" t="s">
        <v>119</v>
      </c>
      <c r="S16" s="35">
        <v>291650</v>
      </c>
      <c r="T16" s="2" t="s">
        <v>31</v>
      </c>
      <c r="U16" s="36">
        <v>0</v>
      </c>
      <c r="V16" s="36">
        <v>-1</v>
      </c>
      <c r="W16" s="37">
        <v>0</v>
      </c>
      <c r="X16" s="38">
        <v>0</v>
      </c>
    </row>
    <row r="17" spans="1:24" x14ac:dyDescent="0.25">
      <c r="A17" s="24" t="s">
        <v>1228</v>
      </c>
      <c r="B17" s="33" t="s">
        <v>1281</v>
      </c>
      <c r="C17" s="33" t="s">
        <v>394</v>
      </c>
      <c r="D17" s="33" t="s">
        <v>1300</v>
      </c>
      <c r="E17" s="33" t="s">
        <v>1301</v>
      </c>
      <c r="F17" s="26" t="str">
        <f>HYPERLINK("https://mapwv.gov/flood/map/?wkid=102100&amp;x=-9024228.412795668&amp;y=4795238.695207594&amp;l=13&amp;v=2","FT")</f>
        <v>FT</v>
      </c>
      <c r="G17" s="44" t="s">
        <v>32</v>
      </c>
      <c r="H17" s="34" t="s">
        <v>25</v>
      </c>
      <c r="I17" s="33" t="s">
        <v>1423</v>
      </c>
      <c r="J17" s="34" t="s">
        <v>39</v>
      </c>
      <c r="K17" s="34" t="s">
        <v>1477</v>
      </c>
      <c r="L17" s="34" t="s">
        <v>27</v>
      </c>
      <c r="M17" s="33" t="s">
        <v>57</v>
      </c>
      <c r="N17" s="3" t="s">
        <v>35</v>
      </c>
      <c r="O17" s="34" t="s">
        <v>115</v>
      </c>
      <c r="P17" s="33" t="s">
        <v>1494</v>
      </c>
      <c r="Q17" s="33" t="s">
        <v>30</v>
      </c>
      <c r="R17" s="34" t="s">
        <v>119</v>
      </c>
      <c r="S17" s="35">
        <v>241500</v>
      </c>
      <c r="T17" s="2" t="s">
        <v>44</v>
      </c>
      <c r="U17" s="36">
        <v>7.7545165999999996</v>
      </c>
      <c r="V17" s="36">
        <v>6.7545166015625</v>
      </c>
      <c r="W17" s="37">
        <v>0.40263549804687498</v>
      </c>
      <c r="X17" s="38">
        <v>97236.472778320298</v>
      </c>
    </row>
    <row r="18" spans="1:24" x14ac:dyDescent="0.25">
      <c r="A18" s="24" t="s">
        <v>1229</v>
      </c>
      <c r="B18" s="33" t="s">
        <v>1285</v>
      </c>
      <c r="C18" s="33" t="s">
        <v>394</v>
      </c>
      <c r="D18" s="33" t="s">
        <v>1302</v>
      </c>
      <c r="E18" s="33" t="s">
        <v>1303</v>
      </c>
      <c r="F18" s="26" t="str">
        <f>HYPERLINK("https://mapwv.gov/flood/map/?wkid=102100&amp;x=-9016507.70468504&amp;y=4802553.038496563&amp;l=13&amp;v=2","FT")</f>
        <v>FT</v>
      </c>
      <c r="G18" s="44" t="s">
        <v>55</v>
      </c>
      <c r="H18" s="34" t="s">
        <v>25</v>
      </c>
      <c r="I18" s="33" t="s">
        <v>1424</v>
      </c>
      <c r="J18" s="34" t="s">
        <v>36</v>
      </c>
      <c r="K18" s="34" t="s">
        <v>87</v>
      </c>
      <c r="L18" s="34"/>
      <c r="M18" s="33" t="s">
        <v>28</v>
      </c>
      <c r="N18" s="3" t="s">
        <v>111</v>
      </c>
      <c r="O18" s="34" t="s">
        <v>114</v>
      </c>
      <c r="P18" s="33" t="s">
        <v>1495</v>
      </c>
      <c r="Q18" s="33" t="s">
        <v>30</v>
      </c>
      <c r="R18" s="34" t="s">
        <v>119</v>
      </c>
      <c r="S18" s="35">
        <v>237866</v>
      </c>
      <c r="T18" s="2" t="s">
        <v>121</v>
      </c>
      <c r="U18" s="36">
        <v>1.7821655000000001</v>
      </c>
      <c r="V18" s="36">
        <v>0.78216552734375</v>
      </c>
      <c r="W18" s="37">
        <v>3.91082763671875E-2</v>
      </c>
      <c r="X18" s="38">
        <v>9302.5292663574201</v>
      </c>
    </row>
    <row r="19" spans="1:24" x14ac:dyDescent="0.25">
      <c r="A19" s="24" t="s">
        <v>1230</v>
      </c>
      <c r="B19" s="33" t="s">
        <v>1281</v>
      </c>
      <c r="C19" s="33" t="s">
        <v>671</v>
      </c>
      <c r="D19" s="33" t="s">
        <v>1304</v>
      </c>
      <c r="E19" s="33" t="s">
        <v>1305</v>
      </c>
      <c r="F19" s="26" t="str">
        <f>HYPERLINK("https://mapwv.gov/flood/map/?wkid=102100&amp;x=-9012138.551928336&amp;y=4793553.028943037&amp;l=13&amp;v=2","FT")</f>
        <v>FT</v>
      </c>
      <c r="G19" s="44" t="s">
        <v>38</v>
      </c>
      <c r="H19" s="34" t="s">
        <v>25</v>
      </c>
      <c r="I19" s="33" t="s">
        <v>1425</v>
      </c>
      <c r="J19" s="34" t="s">
        <v>39</v>
      </c>
      <c r="K19" s="34" t="s">
        <v>1478</v>
      </c>
      <c r="L19" s="34" t="s">
        <v>58</v>
      </c>
      <c r="M19" s="33" t="s">
        <v>41</v>
      </c>
      <c r="N19" s="3" t="s">
        <v>42</v>
      </c>
      <c r="O19" s="34" t="s">
        <v>115</v>
      </c>
      <c r="P19" s="33" t="s">
        <v>1496</v>
      </c>
      <c r="Q19" s="33" t="s">
        <v>43</v>
      </c>
      <c r="R19" s="34" t="s">
        <v>120</v>
      </c>
      <c r="S19" s="35">
        <v>230900</v>
      </c>
      <c r="T19" s="2" t="s">
        <v>44</v>
      </c>
      <c r="U19" s="36">
        <v>1.5831211999999999</v>
      </c>
      <c r="V19" s="36">
        <v>-2.4168788194656301</v>
      </c>
      <c r="W19" s="37">
        <v>6.3324847221374506E-2</v>
      </c>
      <c r="X19" s="38">
        <v>14621.7072234153</v>
      </c>
    </row>
    <row r="20" spans="1:24" x14ac:dyDescent="0.25">
      <c r="A20" s="24" t="s">
        <v>1231</v>
      </c>
      <c r="B20" s="33" t="s">
        <v>1281</v>
      </c>
      <c r="C20" s="33" t="s">
        <v>1306</v>
      </c>
      <c r="D20" s="33" t="s">
        <v>1307</v>
      </c>
      <c r="E20" s="33" t="s">
        <v>1308</v>
      </c>
      <c r="F20" s="26" t="str">
        <f>HYPERLINK("https://mapwv.gov/flood/map/?wkid=102100&amp;x=-9001881.404618377&amp;y=4798131.319991804&amp;l=13&amp;v=2","FT")</f>
        <v>FT</v>
      </c>
      <c r="G20" s="44" t="s">
        <v>38</v>
      </c>
      <c r="H20" s="34" t="s">
        <v>25</v>
      </c>
      <c r="I20" s="33" t="s">
        <v>1426</v>
      </c>
      <c r="J20" s="34" t="s">
        <v>26</v>
      </c>
      <c r="K20" s="34" t="s">
        <v>86</v>
      </c>
      <c r="L20" s="34" t="s">
        <v>45</v>
      </c>
      <c r="M20" s="33" t="s">
        <v>41</v>
      </c>
      <c r="N20" s="3" t="s">
        <v>42</v>
      </c>
      <c r="O20" s="34" t="s">
        <v>114</v>
      </c>
      <c r="P20" s="33" t="s">
        <v>1497</v>
      </c>
      <c r="Q20" s="33" t="s">
        <v>53</v>
      </c>
      <c r="R20" s="34" t="s">
        <v>120</v>
      </c>
      <c r="S20" s="35">
        <v>219000</v>
      </c>
      <c r="T20" s="2" t="s">
        <v>44</v>
      </c>
      <c r="U20" s="36">
        <v>0</v>
      </c>
      <c r="V20" s="36">
        <v>-4</v>
      </c>
      <c r="W20" s="37">
        <v>0</v>
      </c>
      <c r="X20" s="38">
        <v>0</v>
      </c>
    </row>
    <row r="21" spans="1:24" x14ac:dyDescent="0.25">
      <c r="A21" s="24" t="s">
        <v>1232</v>
      </c>
      <c r="B21" s="33" t="s">
        <v>1281</v>
      </c>
      <c r="C21" s="33" t="s">
        <v>671</v>
      </c>
      <c r="D21" s="33" t="s">
        <v>1309</v>
      </c>
      <c r="E21" s="33" t="s">
        <v>1310</v>
      </c>
      <c r="F21" s="26" t="str">
        <f>HYPERLINK("https://mapwv.gov/flood/map/?wkid=102100&amp;x=-9001383.222846441&amp;y=4777834.100449394&amp;l=13&amp;v=2","FT")</f>
        <v>FT</v>
      </c>
      <c r="G21" s="44" t="s">
        <v>38</v>
      </c>
      <c r="H21" s="34" t="s">
        <v>25</v>
      </c>
      <c r="I21" s="33" t="s">
        <v>1427</v>
      </c>
      <c r="J21" s="34" t="s">
        <v>39</v>
      </c>
      <c r="K21" s="34" t="s">
        <v>1479</v>
      </c>
      <c r="L21" s="34" t="s">
        <v>47</v>
      </c>
      <c r="M21" s="33" t="s">
        <v>41</v>
      </c>
      <c r="N21" s="3" t="s">
        <v>42</v>
      </c>
      <c r="O21" s="34" t="s">
        <v>115</v>
      </c>
      <c r="P21" s="33" t="s">
        <v>1498</v>
      </c>
      <c r="Q21" s="33" t="s">
        <v>53</v>
      </c>
      <c r="R21" s="34" t="s">
        <v>159</v>
      </c>
      <c r="S21" s="35">
        <v>214100</v>
      </c>
      <c r="T21" s="2" t="s">
        <v>44</v>
      </c>
      <c r="U21" s="36">
        <v>0</v>
      </c>
      <c r="V21" s="36">
        <v>-3</v>
      </c>
      <c r="W21" s="37">
        <v>0</v>
      </c>
      <c r="X21" s="38">
        <v>0</v>
      </c>
    </row>
    <row r="22" spans="1:24" x14ac:dyDescent="0.25">
      <c r="A22" s="24" t="s">
        <v>1233</v>
      </c>
      <c r="B22" s="33" t="s">
        <v>1281</v>
      </c>
      <c r="C22" s="33" t="s">
        <v>394</v>
      </c>
      <c r="D22" s="33" t="s">
        <v>1311</v>
      </c>
      <c r="E22" s="33" t="s">
        <v>1312</v>
      </c>
      <c r="F22" s="26" t="str">
        <f>HYPERLINK("https://mapwv.gov/flood/map/?wkid=102100&amp;x=-9023293.315492025&amp;y=4796137.526755232&amp;l=13&amp;v=2","FT")</f>
        <v>FT</v>
      </c>
      <c r="G22" s="44" t="s">
        <v>32</v>
      </c>
      <c r="H22" s="34" t="s">
        <v>25</v>
      </c>
      <c r="I22" s="33" t="s">
        <v>1428</v>
      </c>
      <c r="J22" s="34" t="s">
        <v>26</v>
      </c>
      <c r="K22" s="34" t="s">
        <v>136</v>
      </c>
      <c r="L22" s="34" t="s">
        <v>47</v>
      </c>
      <c r="M22" s="33" t="s">
        <v>48</v>
      </c>
      <c r="N22" s="3" t="s">
        <v>35</v>
      </c>
      <c r="O22" s="34" t="s">
        <v>114</v>
      </c>
      <c r="P22" s="33" t="s">
        <v>1499</v>
      </c>
      <c r="Q22" s="33" t="s">
        <v>43</v>
      </c>
      <c r="R22" s="34" t="s">
        <v>120</v>
      </c>
      <c r="S22" s="35">
        <v>186000</v>
      </c>
      <c r="T22" s="2" t="s">
        <v>44</v>
      </c>
      <c r="U22" s="36">
        <v>8.8800050000000006</v>
      </c>
      <c r="V22" s="36">
        <v>4.8800048828125</v>
      </c>
      <c r="W22" s="37">
        <v>0.19760009765625</v>
      </c>
      <c r="X22" s="38">
        <v>36753.6181640625</v>
      </c>
    </row>
    <row r="23" spans="1:24" x14ac:dyDescent="0.25">
      <c r="A23" s="24" t="s">
        <v>1234</v>
      </c>
      <c r="B23" s="33" t="s">
        <v>1285</v>
      </c>
      <c r="C23" s="33" t="s">
        <v>394</v>
      </c>
      <c r="D23" s="33" t="s">
        <v>1313</v>
      </c>
      <c r="E23" s="33" t="s">
        <v>1314</v>
      </c>
      <c r="F23" s="26" t="str">
        <f>HYPERLINK("https://mapwv.gov/flood/map/?wkid=102100&amp;x=-9016705.318043219&amp;y=4802777.441932316&amp;l=13&amp;v=2","FT")</f>
        <v>FT</v>
      </c>
      <c r="G23" s="44" t="s">
        <v>32</v>
      </c>
      <c r="H23" s="34" t="s">
        <v>25</v>
      </c>
      <c r="I23" s="33" t="s">
        <v>1429</v>
      </c>
      <c r="J23" s="34" t="s">
        <v>39</v>
      </c>
      <c r="K23" s="34" t="s">
        <v>1480</v>
      </c>
      <c r="L23" s="34" t="s">
        <v>51</v>
      </c>
      <c r="M23" s="33" t="s">
        <v>41</v>
      </c>
      <c r="N23" s="3" t="s">
        <v>42</v>
      </c>
      <c r="O23" s="34" t="s">
        <v>115</v>
      </c>
      <c r="P23" s="33" t="s">
        <v>1500</v>
      </c>
      <c r="Q23" s="33" t="s">
        <v>43</v>
      </c>
      <c r="R23" s="34" t="s">
        <v>120</v>
      </c>
      <c r="S23" s="35">
        <v>181200</v>
      </c>
      <c r="T23" s="2" t="s">
        <v>44</v>
      </c>
      <c r="U23" s="36">
        <v>0.27526855</v>
      </c>
      <c r="V23" s="36">
        <v>-3.7247314453125</v>
      </c>
      <c r="W23" s="37">
        <v>0.04</v>
      </c>
      <c r="X23" s="38">
        <v>7248</v>
      </c>
    </row>
    <row r="24" spans="1:24" x14ac:dyDescent="0.25">
      <c r="A24" s="24" t="s">
        <v>1235</v>
      </c>
      <c r="B24" s="33" t="s">
        <v>1281</v>
      </c>
      <c r="C24" s="33" t="s">
        <v>671</v>
      </c>
      <c r="D24" s="33" t="s">
        <v>1315</v>
      </c>
      <c r="E24" s="33" t="s">
        <v>1316</v>
      </c>
      <c r="F24" s="26" t="str">
        <f>HYPERLINK("https://mapwv.gov/flood/map/?wkid=102100&amp;x=-8997337.202185042&amp;y=4785945.01183426&amp;l=13&amp;v=2","FT")</f>
        <v>FT</v>
      </c>
      <c r="G24" s="44" t="s">
        <v>38</v>
      </c>
      <c r="H24" s="34" t="s">
        <v>25</v>
      </c>
      <c r="I24" s="33" t="s">
        <v>1430</v>
      </c>
      <c r="J24" s="34" t="s">
        <v>26</v>
      </c>
      <c r="K24" s="34" t="s">
        <v>117</v>
      </c>
      <c r="L24" s="34" t="s">
        <v>58</v>
      </c>
      <c r="M24" s="33" t="s">
        <v>147</v>
      </c>
      <c r="N24" s="3" t="s">
        <v>35</v>
      </c>
      <c r="O24" s="34" t="s">
        <v>114</v>
      </c>
      <c r="P24" s="33" t="s">
        <v>1501</v>
      </c>
      <c r="Q24" s="33" t="s">
        <v>30</v>
      </c>
      <c r="R24" s="34" t="s">
        <v>119</v>
      </c>
      <c r="S24" s="35">
        <v>173300</v>
      </c>
      <c r="T24" s="2" t="s">
        <v>44</v>
      </c>
      <c r="U24" s="36">
        <v>0.1098575</v>
      </c>
      <c r="V24" s="36">
        <v>-0.89014250040054299</v>
      </c>
      <c r="W24" s="37">
        <v>0</v>
      </c>
      <c r="X24" s="38">
        <v>0</v>
      </c>
    </row>
    <row r="25" spans="1:24" x14ac:dyDescent="0.25">
      <c r="A25" s="24" t="s">
        <v>1236</v>
      </c>
      <c r="B25" s="33" t="s">
        <v>1281</v>
      </c>
      <c r="C25" s="33" t="s">
        <v>826</v>
      </c>
      <c r="D25" s="33" t="s">
        <v>1317</v>
      </c>
      <c r="E25" s="33" t="s">
        <v>1318</v>
      </c>
      <c r="F25" s="26" t="str">
        <f>HYPERLINK("https://mapwv.gov/flood/map/?wkid=102100&amp;x=-8997044.187021377&amp;y=4785795.937911163&amp;l=13&amp;v=2","FT")</f>
        <v>FT</v>
      </c>
      <c r="G25" s="44" t="s">
        <v>38</v>
      </c>
      <c r="H25" s="34" t="s">
        <v>25</v>
      </c>
      <c r="I25" s="33" t="s">
        <v>1431</v>
      </c>
      <c r="J25" s="34" t="s">
        <v>26</v>
      </c>
      <c r="K25" s="34" t="s">
        <v>93</v>
      </c>
      <c r="L25" s="34" t="s">
        <v>45</v>
      </c>
      <c r="M25" s="33" t="s">
        <v>41</v>
      </c>
      <c r="N25" s="3" t="s">
        <v>42</v>
      </c>
      <c r="O25" s="34" t="s">
        <v>115</v>
      </c>
      <c r="P25" s="33" t="s">
        <v>1502</v>
      </c>
      <c r="Q25" s="33" t="s">
        <v>43</v>
      </c>
      <c r="R25" s="34" t="s">
        <v>120</v>
      </c>
      <c r="S25" s="35">
        <v>170100</v>
      </c>
      <c r="T25" s="2" t="s">
        <v>44</v>
      </c>
      <c r="U25" s="36">
        <v>0</v>
      </c>
      <c r="V25" s="36">
        <v>-4</v>
      </c>
      <c r="W25" s="37">
        <v>0</v>
      </c>
      <c r="X25" s="38">
        <v>0</v>
      </c>
    </row>
    <row r="26" spans="1:24" x14ac:dyDescent="0.25">
      <c r="A26" s="24" t="s">
        <v>1237</v>
      </c>
      <c r="B26" s="33" t="s">
        <v>1281</v>
      </c>
      <c r="C26" s="33" t="s">
        <v>1306</v>
      </c>
      <c r="D26" s="33" t="s">
        <v>1319</v>
      </c>
      <c r="E26" s="33" t="s">
        <v>1320</v>
      </c>
      <c r="F26" s="26" t="str">
        <f>HYPERLINK("https://mapwv.gov/flood/map/?wkid=102100&amp;x=-8999009.020784315&amp;y=4796635.977133301&amp;l=13&amp;v=2","FT")</f>
        <v>FT</v>
      </c>
      <c r="G26" s="44" t="s">
        <v>38</v>
      </c>
      <c r="H26" s="34" t="s">
        <v>25</v>
      </c>
      <c r="I26" s="33" t="s">
        <v>1432</v>
      </c>
      <c r="J26" s="34" t="s">
        <v>26</v>
      </c>
      <c r="K26" s="34" t="s">
        <v>141</v>
      </c>
      <c r="L26" s="34" t="s">
        <v>47</v>
      </c>
      <c r="M26" s="33" t="s">
        <v>41</v>
      </c>
      <c r="N26" s="3" t="s">
        <v>42</v>
      </c>
      <c r="O26" s="34" t="s">
        <v>114</v>
      </c>
      <c r="P26" s="33" t="s">
        <v>1503</v>
      </c>
      <c r="Q26" s="33" t="s">
        <v>43</v>
      </c>
      <c r="R26" s="34" t="s">
        <v>120</v>
      </c>
      <c r="S26" s="35">
        <v>165500</v>
      </c>
      <c r="T26" s="2" t="s">
        <v>44</v>
      </c>
      <c r="U26" s="36">
        <v>0</v>
      </c>
      <c r="V26" s="36">
        <v>-4</v>
      </c>
      <c r="W26" s="37">
        <v>0</v>
      </c>
      <c r="X26" s="38">
        <v>0</v>
      </c>
    </row>
    <row r="27" spans="1:24" x14ac:dyDescent="0.25">
      <c r="A27" s="24" t="s">
        <v>1238</v>
      </c>
      <c r="B27" s="33" t="s">
        <v>1281</v>
      </c>
      <c r="C27" s="33" t="s">
        <v>1321</v>
      </c>
      <c r="D27" s="33" t="s">
        <v>1322</v>
      </c>
      <c r="E27" s="33" t="s">
        <v>1323</v>
      </c>
      <c r="F27" s="26" t="str">
        <f>HYPERLINK("https://mapwv.gov/flood/map/?wkid=102100&amp;x=-8999030.258094128&amp;y=4770420.975510772&amp;l=13&amp;v=2","FT")</f>
        <v>FT</v>
      </c>
      <c r="G27" s="44" t="s">
        <v>684</v>
      </c>
      <c r="H27" s="34" t="s">
        <v>25</v>
      </c>
      <c r="I27" s="33" t="s">
        <v>1433</v>
      </c>
      <c r="J27" s="34" t="s">
        <v>39</v>
      </c>
      <c r="K27" s="34" t="s">
        <v>719</v>
      </c>
      <c r="L27" s="34" t="s">
        <v>54</v>
      </c>
      <c r="M27" s="33" t="s">
        <v>67</v>
      </c>
      <c r="N27" s="3" t="s">
        <v>112</v>
      </c>
      <c r="O27" s="34" t="s">
        <v>114</v>
      </c>
      <c r="P27" s="33" t="s">
        <v>1504</v>
      </c>
      <c r="Q27" s="33" t="s">
        <v>30</v>
      </c>
      <c r="R27" s="34" t="s">
        <v>119</v>
      </c>
      <c r="S27" s="35">
        <v>163490</v>
      </c>
      <c r="T27" s="2" t="s">
        <v>31</v>
      </c>
      <c r="U27" s="36">
        <v>4.9666003999999999</v>
      </c>
      <c r="V27" s="36">
        <v>3.9666004180908199</v>
      </c>
      <c r="W27" s="37">
        <v>0.119666004180908</v>
      </c>
      <c r="X27" s="38">
        <v>19564.195023536598</v>
      </c>
    </row>
    <row r="28" spans="1:24" x14ac:dyDescent="0.25">
      <c r="A28" s="24" t="s">
        <v>1239</v>
      </c>
      <c r="B28" s="33" t="s">
        <v>1281</v>
      </c>
      <c r="C28" s="33" t="s">
        <v>913</v>
      </c>
      <c r="D28" s="33" t="s">
        <v>1324</v>
      </c>
      <c r="E28" s="33" t="s">
        <v>1325</v>
      </c>
      <c r="F28" s="26" t="str">
        <f>HYPERLINK("https://mapwv.gov/flood/map/?wkid=102100&amp;x=-9015864.334801195&amp;y=4790358.355849951&amp;l=13&amp;v=2","FT")</f>
        <v>FT</v>
      </c>
      <c r="G28" s="44" t="s">
        <v>38</v>
      </c>
      <c r="H28" s="34" t="s">
        <v>25</v>
      </c>
      <c r="I28" s="33" t="s">
        <v>1434</v>
      </c>
      <c r="J28" s="34" t="s">
        <v>39</v>
      </c>
      <c r="K28" s="34" t="s">
        <v>1481</v>
      </c>
      <c r="L28" s="34" t="s">
        <v>58</v>
      </c>
      <c r="M28" s="33" t="s">
        <v>41</v>
      </c>
      <c r="N28" s="3" t="s">
        <v>42</v>
      </c>
      <c r="O28" s="34" t="s">
        <v>115</v>
      </c>
      <c r="P28" s="33" t="s">
        <v>1505</v>
      </c>
      <c r="Q28" s="33" t="s">
        <v>53</v>
      </c>
      <c r="R28" s="34" t="s">
        <v>159</v>
      </c>
      <c r="S28" s="35">
        <v>158700</v>
      </c>
      <c r="T28" s="2" t="s">
        <v>44</v>
      </c>
      <c r="U28" s="36">
        <v>0</v>
      </c>
      <c r="V28" s="36">
        <v>-3</v>
      </c>
      <c r="W28" s="37">
        <v>0</v>
      </c>
      <c r="X28" s="38">
        <v>0</v>
      </c>
    </row>
    <row r="29" spans="1:24" x14ac:dyDescent="0.25">
      <c r="A29" s="24" t="s">
        <v>1240</v>
      </c>
      <c r="B29" s="33" t="s">
        <v>1281</v>
      </c>
      <c r="C29" s="33" t="s">
        <v>394</v>
      </c>
      <c r="D29" s="33" t="s">
        <v>1326</v>
      </c>
      <c r="E29" s="33" t="s">
        <v>1327</v>
      </c>
      <c r="F29" s="26" t="str">
        <f>HYPERLINK("https://mapwv.gov/flood/map/?wkid=102100&amp;x=-9021826.97608615&amp;y=4797460.57490748&amp;l=13&amp;v=2","FT")</f>
        <v>FT</v>
      </c>
      <c r="G29" s="44" t="s">
        <v>32</v>
      </c>
      <c r="H29" s="34" t="s">
        <v>25</v>
      </c>
      <c r="I29" s="33" t="s">
        <v>1435</v>
      </c>
      <c r="J29" s="34" t="s">
        <v>26</v>
      </c>
      <c r="K29" s="34" t="s">
        <v>128</v>
      </c>
      <c r="L29" s="34" t="s">
        <v>45</v>
      </c>
      <c r="M29" s="33" t="s">
        <v>41</v>
      </c>
      <c r="N29" s="3" t="s">
        <v>42</v>
      </c>
      <c r="O29" s="34" t="s">
        <v>114</v>
      </c>
      <c r="P29" s="33" t="s">
        <v>720</v>
      </c>
      <c r="Q29" s="33" t="s">
        <v>43</v>
      </c>
      <c r="R29" s="34" t="s">
        <v>120</v>
      </c>
      <c r="S29" s="35">
        <v>153400</v>
      </c>
      <c r="T29" s="2" t="s">
        <v>44</v>
      </c>
      <c r="U29" s="36">
        <v>1</v>
      </c>
      <c r="V29" s="36">
        <v>-3</v>
      </c>
      <c r="W29" s="37">
        <v>0</v>
      </c>
      <c r="X29" s="38">
        <v>0</v>
      </c>
    </row>
    <row r="30" spans="1:24" x14ac:dyDescent="0.25">
      <c r="A30" s="24" t="s">
        <v>1241</v>
      </c>
      <c r="B30" s="33" t="s">
        <v>1281</v>
      </c>
      <c r="C30" s="33" t="s">
        <v>1328</v>
      </c>
      <c r="D30" s="33" t="s">
        <v>1329</v>
      </c>
      <c r="E30" s="33" t="s">
        <v>1330</v>
      </c>
      <c r="F30" s="26" t="str">
        <f>HYPERLINK("https://mapwv.gov/flood/map/?wkid=102100&amp;x=-9006338.60753008&amp;y=4803738.959360826&amp;l=13&amp;v=2","FT")</f>
        <v>FT</v>
      </c>
      <c r="G30" s="44" t="s">
        <v>684</v>
      </c>
      <c r="H30" s="34" t="s">
        <v>25</v>
      </c>
      <c r="I30" s="33" t="s">
        <v>1436</v>
      </c>
      <c r="J30" s="34" t="s">
        <v>162</v>
      </c>
      <c r="K30" s="34" t="s">
        <v>83</v>
      </c>
      <c r="L30" s="34" t="s">
        <v>58</v>
      </c>
      <c r="M30" s="33" t="s">
        <v>41</v>
      </c>
      <c r="N30" s="3" t="s">
        <v>42</v>
      </c>
      <c r="O30" s="34" t="s">
        <v>114</v>
      </c>
      <c r="P30" s="33" t="s">
        <v>1506</v>
      </c>
      <c r="Q30" s="33" t="s">
        <v>43</v>
      </c>
      <c r="R30" s="34" t="s">
        <v>120</v>
      </c>
      <c r="S30" s="35">
        <v>152800</v>
      </c>
      <c r="T30" s="2" t="s">
        <v>44</v>
      </c>
      <c r="U30" s="36">
        <v>1.3018034999999999</v>
      </c>
      <c r="V30" s="36">
        <v>-2.6981965303420998</v>
      </c>
      <c r="W30" s="37">
        <v>4.2252485752105703E-2</v>
      </c>
      <c r="X30" s="38">
        <v>6456.1798229217502</v>
      </c>
    </row>
    <row r="31" spans="1:24" x14ac:dyDescent="0.25">
      <c r="A31" s="24" t="s">
        <v>1242</v>
      </c>
      <c r="B31" s="33" t="s">
        <v>1285</v>
      </c>
      <c r="C31" s="33" t="s">
        <v>394</v>
      </c>
      <c r="D31" s="33" t="s">
        <v>1331</v>
      </c>
      <c r="E31" s="33" t="s">
        <v>1332</v>
      </c>
      <c r="F31" s="26" t="str">
        <f>HYPERLINK("https://mapwv.gov/flood/map/?wkid=102100&amp;x=-9016472.747804584&amp;y=4803068.030457683&amp;l=13&amp;v=2","FT")</f>
        <v>FT</v>
      </c>
      <c r="G31" s="44" t="s">
        <v>32</v>
      </c>
      <c r="H31" s="34" t="s">
        <v>25</v>
      </c>
      <c r="I31" s="33" t="s">
        <v>1437</v>
      </c>
      <c r="J31" s="34" t="s">
        <v>26</v>
      </c>
      <c r="K31" s="34" t="s">
        <v>126</v>
      </c>
      <c r="L31" s="34" t="s">
        <v>47</v>
      </c>
      <c r="M31" s="33" t="s">
        <v>41</v>
      </c>
      <c r="N31" s="3" t="s">
        <v>42</v>
      </c>
      <c r="O31" s="34" t="s">
        <v>114</v>
      </c>
      <c r="P31" s="33" t="s">
        <v>1507</v>
      </c>
      <c r="Q31" s="33" t="s">
        <v>43</v>
      </c>
      <c r="R31" s="34" t="s">
        <v>120</v>
      </c>
      <c r="S31" s="35">
        <v>151600</v>
      </c>
      <c r="T31" s="2" t="s">
        <v>44</v>
      </c>
      <c r="U31" s="36">
        <v>11.877197000000001</v>
      </c>
      <c r="V31" s="36">
        <v>7.877197265625</v>
      </c>
      <c r="W31" s="37">
        <v>0.73508789062500002</v>
      </c>
      <c r="X31" s="38">
        <v>111439.32421875</v>
      </c>
    </row>
    <row r="32" spans="1:24" x14ac:dyDescent="0.25">
      <c r="A32" s="24" t="s">
        <v>1243</v>
      </c>
      <c r="B32" s="33" t="s">
        <v>1281</v>
      </c>
      <c r="C32" s="33" t="s">
        <v>394</v>
      </c>
      <c r="D32" s="33" t="s">
        <v>1333</v>
      </c>
      <c r="E32" s="33" t="s">
        <v>1334</v>
      </c>
      <c r="F32" s="26" t="str">
        <f>HYPERLINK("https://mapwv.gov/flood/map/?wkid=102100&amp;x=-9021868.369014291&amp;y=4797427.9701503385&amp;l=13&amp;v=2","FT")</f>
        <v>FT</v>
      </c>
      <c r="G32" s="44" t="s">
        <v>32</v>
      </c>
      <c r="H32" s="34" t="s">
        <v>25</v>
      </c>
      <c r="I32" s="33" t="s">
        <v>1438</v>
      </c>
      <c r="J32" s="34" t="s">
        <v>26</v>
      </c>
      <c r="K32" s="34" t="s">
        <v>104</v>
      </c>
      <c r="L32" s="34" t="s">
        <v>58</v>
      </c>
      <c r="M32" s="33" t="s">
        <v>41</v>
      </c>
      <c r="N32" s="3" t="s">
        <v>42</v>
      </c>
      <c r="O32" s="34" t="s">
        <v>115</v>
      </c>
      <c r="P32" s="33" t="s">
        <v>1508</v>
      </c>
      <c r="Q32" s="33" t="s">
        <v>30</v>
      </c>
      <c r="R32" s="34" t="s">
        <v>119</v>
      </c>
      <c r="S32" s="35">
        <v>149900</v>
      </c>
      <c r="T32" s="2" t="s">
        <v>44</v>
      </c>
      <c r="U32" s="36">
        <v>1</v>
      </c>
      <c r="V32" s="36">
        <v>0</v>
      </c>
      <c r="W32" s="37">
        <v>0.11</v>
      </c>
      <c r="X32" s="38">
        <v>16489</v>
      </c>
    </row>
    <row r="33" spans="1:24" x14ac:dyDescent="0.25">
      <c r="A33" s="24" t="s">
        <v>1244</v>
      </c>
      <c r="B33" s="33" t="s">
        <v>1281</v>
      </c>
      <c r="C33" s="33" t="s">
        <v>394</v>
      </c>
      <c r="D33" s="33" t="s">
        <v>1335</v>
      </c>
      <c r="E33" s="33" t="s">
        <v>1336</v>
      </c>
      <c r="F33" s="26" t="str">
        <f>HYPERLINK("https://mapwv.gov/flood/map/?wkid=102100&amp;x=-9026045.216126135&amp;y=4793297.768547708&amp;l=13&amp;v=2","FT")</f>
        <v>FT</v>
      </c>
      <c r="G33" s="44" t="s">
        <v>55</v>
      </c>
      <c r="H33" s="34" t="s">
        <v>25</v>
      </c>
      <c r="I33" s="33" t="s">
        <v>1439</v>
      </c>
      <c r="J33" s="34" t="s">
        <v>39</v>
      </c>
      <c r="K33" s="34" t="s">
        <v>531</v>
      </c>
      <c r="L33" s="34" t="s">
        <v>1482</v>
      </c>
      <c r="M33" s="33" t="s">
        <v>41</v>
      </c>
      <c r="N33" s="3" t="s">
        <v>42</v>
      </c>
      <c r="O33" s="34" t="s">
        <v>115</v>
      </c>
      <c r="P33" s="33" t="s">
        <v>1509</v>
      </c>
      <c r="Q33" s="33" t="s">
        <v>43</v>
      </c>
      <c r="R33" s="34" t="s">
        <v>120</v>
      </c>
      <c r="S33" s="35">
        <v>149800</v>
      </c>
      <c r="T33" s="2" t="s">
        <v>44</v>
      </c>
      <c r="U33" s="36">
        <v>0</v>
      </c>
      <c r="V33" s="36">
        <v>-4</v>
      </c>
      <c r="W33" s="37">
        <v>0</v>
      </c>
      <c r="X33" s="38">
        <v>0</v>
      </c>
    </row>
    <row r="34" spans="1:24" x14ac:dyDescent="0.25">
      <c r="A34" s="24" t="s">
        <v>1245</v>
      </c>
      <c r="B34" s="33" t="s">
        <v>1281</v>
      </c>
      <c r="C34" s="33" t="s">
        <v>394</v>
      </c>
      <c r="D34" s="33" t="s">
        <v>1337</v>
      </c>
      <c r="E34" s="33" t="s">
        <v>1338</v>
      </c>
      <c r="F34" s="26" t="str">
        <f>HYPERLINK("https://mapwv.gov/flood/map/?wkid=102100&amp;x=-9024471.364578692&amp;y=4794836.331282004&amp;l=13&amp;v=2","FT")</f>
        <v>FT</v>
      </c>
      <c r="G34" s="44" t="s">
        <v>32</v>
      </c>
      <c r="H34" s="34" t="s">
        <v>25</v>
      </c>
      <c r="I34" s="33" t="s">
        <v>1440</v>
      </c>
      <c r="J34" s="34" t="s">
        <v>39</v>
      </c>
      <c r="K34" s="34" t="s">
        <v>129</v>
      </c>
      <c r="L34" s="34" t="s">
        <v>58</v>
      </c>
      <c r="M34" s="33" t="s">
        <v>41</v>
      </c>
      <c r="N34" s="3" t="s">
        <v>42</v>
      </c>
      <c r="O34" s="34" t="s">
        <v>114</v>
      </c>
      <c r="P34" s="33" t="s">
        <v>1510</v>
      </c>
      <c r="Q34" s="33" t="s">
        <v>43</v>
      </c>
      <c r="R34" s="34" t="s">
        <v>120</v>
      </c>
      <c r="S34" s="35">
        <v>149700</v>
      </c>
      <c r="T34" s="2" t="s">
        <v>44</v>
      </c>
      <c r="U34" s="36">
        <v>3.9561768000000002</v>
      </c>
      <c r="V34" s="36">
        <v>-4.38232421875E-2</v>
      </c>
      <c r="W34" s="37">
        <v>0.256932373046875</v>
      </c>
      <c r="X34" s="38">
        <v>38462.7762451171</v>
      </c>
    </row>
    <row r="35" spans="1:24" x14ac:dyDescent="0.25">
      <c r="A35" s="24" t="s">
        <v>1246</v>
      </c>
      <c r="B35" s="33" t="s">
        <v>1281</v>
      </c>
      <c r="C35" s="33" t="s">
        <v>394</v>
      </c>
      <c r="D35" s="33" t="s">
        <v>1339</v>
      </c>
      <c r="E35" s="33" t="s">
        <v>1340</v>
      </c>
      <c r="F35" s="26" t="str">
        <f>HYPERLINK("https://mapwv.gov/flood/map/?wkid=102100&amp;x=-9021819.079415435&amp;y=4797749.07063942&amp;l=13&amp;v=2","FT")</f>
        <v>FT</v>
      </c>
      <c r="G35" s="44" t="s">
        <v>32</v>
      </c>
      <c r="H35" s="34" t="s">
        <v>25</v>
      </c>
      <c r="I35" s="33" t="s">
        <v>1441</v>
      </c>
      <c r="J35" s="34" t="s">
        <v>39</v>
      </c>
      <c r="K35" s="34" t="s">
        <v>144</v>
      </c>
      <c r="L35" s="34" t="s">
        <v>47</v>
      </c>
      <c r="M35" s="33" t="s">
        <v>41</v>
      </c>
      <c r="N35" s="3" t="s">
        <v>42</v>
      </c>
      <c r="O35" s="34" t="s">
        <v>115</v>
      </c>
      <c r="P35" s="33" t="s">
        <v>1511</v>
      </c>
      <c r="Q35" s="33" t="s">
        <v>43</v>
      </c>
      <c r="R35" s="34" t="s">
        <v>120</v>
      </c>
      <c r="S35" s="35">
        <v>147700</v>
      </c>
      <c r="T35" s="2" t="s">
        <v>44</v>
      </c>
      <c r="U35" s="36">
        <v>0</v>
      </c>
      <c r="V35" s="36">
        <v>-4</v>
      </c>
      <c r="W35" s="37">
        <v>0</v>
      </c>
      <c r="X35" s="38">
        <v>0</v>
      </c>
    </row>
    <row r="36" spans="1:24" x14ac:dyDescent="0.25">
      <c r="A36" s="24" t="s">
        <v>1247</v>
      </c>
      <c r="B36" s="33" t="s">
        <v>1285</v>
      </c>
      <c r="C36" s="33" t="s">
        <v>394</v>
      </c>
      <c r="D36" s="33" t="s">
        <v>1341</v>
      </c>
      <c r="E36" s="33" t="s">
        <v>1342</v>
      </c>
      <c r="F36" s="26" t="str">
        <f>HYPERLINK("https://mapwv.gov/flood/map/?wkid=102100&amp;x=-9016813.142881237&amp;y=4802672.679608706&amp;l=13&amp;v=2","FT")</f>
        <v>FT</v>
      </c>
      <c r="G36" s="44" t="s">
        <v>32</v>
      </c>
      <c r="H36" s="34" t="s">
        <v>25</v>
      </c>
      <c r="I36" s="33" t="s">
        <v>1420</v>
      </c>
      <c r="J36" s="34" t="s">
        <v>36</v>
      </c>
      <c r="K36" s="34" t="s">
        <v>87</v>
      </c>
      <c r="L36" s="34"/>
      <c r="M36" s="33" t="s">
        <v>52</v>
      </c>
      <c r="N36" s="3" t="s">
        <v>35</v>
      </c>
      <c r="O36" s="34" t="s">
        <v>114</v>
      </c>
      <c r="P36" s="33" t="s">
        <v>1512</v>
      </c>
      <c r="Q36" s="33" t="s">
        <v>30</v>
      </c>
      <c r="R36" s="34" t="s">
        <v>119</v>
      </c>
      <c r="S36" s="35">
        <v>144400</v>
      </c>
      <c r="T36" s="2" t="s">
        <v>44</v>
      </c>
      <c r="U36" s="36">
        <v>15.959961</v>
      </c>
      <c r="V36" s="36">
        <v>14.9599609375</v>
      </c>
      <c r="W36" s="37">
        <v>0.49799804687499999</v>
      </c>
      <c r="X36" s="38">
        <v>71910.91796875</v>
      </c>
    </row>
    <row r="37" spans="1:24" x14ac:dyDescent="0.25">
      <c r="A37" s="24" t="s">
        <v>1248</v>
      </c>
      <c r="B37" s="33" t="s">
        <v>1281</v>
      </c>
      <c r="C37" s="33" t="s">
        <v>1306</v>
      </c>
      <c r="D37" s="33" t="s">
        <v>1343</v>
      </c>
      <c r="E37" s="33" t="s">
        <v>1344</v>
      </c>
      <c r="F37" s="26" t="str">
        <f>HYPERLINK("https://mapwv.gov/flood/map/?wkid=102100&amp;x=-8999866.02512745&amp;y=4796817.30375614&amp;l=13&amp;v=2","FT")</f>
        <v>FT</v>
      </c>
      <c r="G37" s="44" t="s">
        <v>38</v>
      </c>
      <c r="H37" s="34" t="s">
        <v>25</v>
      </c>
      <c r="I37" s="33" t="s">
        <v>1442</v>
      </c>
      <c r="J37" s="34" t="s">
        <v>26</v>
      </c>
      <c r="K37" s="34" t="s">
        <v>127</v>
      </c>
      <c r="L37" s="34" t="s">
        <v>58</v>
      </c>
      <c r="M37" s="33" t="s">
        <v>41</v>
      </c>
      <c r="N37" s="3" t="s">
        <v>42</v>
      </c>
      <c r="O37" s="34" t="s">
        <v>114</v>
      </c>
      <c r="P37" s="33" t="s">
        <v>1513</v>
      </c>
      <c r="Q37" s="33" t="s">
        <v>43</v>
      </c>
      <c r="R37" s="34" t="s">
        <v>120</v>
      </c>
      <c r="S37" s="35">
        <v>135900</v>
      </c>
      <c r="T37" s="2" t="s">
        <v>44</v>
      </c>
      <c r="U37" s="36">
        <v>0</v>
      </c>
      <c r="V37" s="36">
        <v>-4</v>
      </c>
      <c r="W37" s="37">
        <v>0</v>
      </c>
      <c r="X37" s="38">
        <v>0</v>
      </c>
    </row>
    <row r="38" spans="1:24" x14ac:dyDescent="0.25">
      <c r="A38" s="24" t="s">
        <v>1249</v>
      </c>
      <c r="B38" s="33" t="s">
        <v>1281</v>
      </c>
      <c r="C38" s="33" t="s">
        <v>1306</v>
      </c>
      <c r="D38" s="33" t="s">
        <v>1345</v>
      </c>
      <c r="E38" s="33" t="s">
        <v>1346</v>
      </c>
      <c r="F38" s="26" t="str">
        <f>HYPERLINK("https://mapwv.gov/flood/map/?wkid=102100&amp;x=-8995458.646259485&amp;y=4796854.436108678&amp;l=13&amp;v=2","FT")</f>
        <v>FT</v>
      </c>
      <c r="G38" s="44" t="s">
        <v>38</v>
      </c>
      <c r="H38" s="34" t="s">
        <v>25</v>
      </c>
      <c r="I38" s="33" t="s">
        <v>1443</v>
      </c>
      <c r="J38" s="34" t="s">
        <v>39</v>
      </c>
      <c r="K38" s="34" t="s">
        <v>158</v>
      </c>
      <c r="L38" s="34" t="s">
        <v>37</v>
      </c>
      <c r="M38" s="33" t="s">
        <v>41</v>
      </c>
      <c r="N38" s="3" t="s">
        <v>42</v>
      </c>
      <c r="O38" s="34" t="s">
        <v>115</v>
      </c>
      <c r="P38" s="33" t="s">
        <v>1514</v>
      </c>
      <c r="Q38" s="33" t="s">
        <v>30</v>
      </c>
      <c r="R38" s="34" t="s">
        <v>119</v>
      </c>
      <c r="S38" s="35">
        <v>134600</v>
      </c>
      <c r="T38" s="2" t="s">
        <v>44</v>
      </c>
      <c r="U38" s="36">
        <v>2.4293770000000001</v>
      </c>
      <c r="V38" s="36">
        <v>1.42937707901</v>
      </c>
      <c r="W38" s="37">
        <v>0.1285875415802</v>
      </c>
      <c r="X38" s="38">
        <v>17307.883096694899</v>
      </c>
    </row>
    <row r="39" spans="1:24" x14ac:dyDescent="0.25">
      <c r="A39" s="24" t="s">
        <v>1250</v>
      </c>
      <c r="B39" s="33" t="s">
        <v>1281</v>
      </c>
      <c r="C39" s="33" t="s">
        <v>1347</v>
      </c>
      <c r="D39" s="33" t="s">
        <v>1348</v>
      </c>
      <c r="E39" s="33" t="s">
        <v>1349</v>
      </c>
      <c r="F39" s="26" t="str">
        <f>HYPERLINK("https://mapwv.gov/flood/map/?wkid=102100&amp;x=-8990857.062524829&amp;y=4776786.045597391&amp;l=13&amp;v=2","FT")</f>
        <v>FT</v>
      </c>
      <c r="G39" s="44" t="s">
        <v>684</v>
      </c>
      <c r="H39" s="34" t="s">
        <v>25</v>
      </c>
      <c r="I39" s="33" t="s">
        <v>1444</v>
      </c>
      <c r="J39" s="34" t="s">
        <v>162</v>
      </c>
      <c r="K39" s="34" t="s">
        <v>106</v>
      </c>
      <c r="L39" s="34" t="s">
        <v>50</v>
      </c>
      <c r="M39" s="33" t="s">
        <v>41</v>
      </c>
      <c r="N39" s="3" t="s">
        <v>42</v>
      </c>
      <c r="O39" s="34" t="s">
        <v>114</v>
      </c>
      <c r="P39" s="33" t="s">
        <v>1515</v>
      </c>
      <c r="Q39" s="33" t="s">
        <v>53</v>
      </c>
      <c r="R39" s="34" t="s">
        <v>159</v>
      </c>
      <c r="S39" s="35">
        <v>133400</v>
      </c>
      <c r="T39" s="2" t="s">
        <v>44</v>
      </c>
      <c r="U39" s="36">
        <v>0.29085490000000003</v>
      </c>
      <c r="V39" s="36">
        <v>-2.7091450989246302</v>
      </c>
      <c r="W39" s="37">
        <v>0</v>
      </c>
      <c r="X39" s="38">
        <v>0</v>
      </c>
    </row>
    <row r="40" spans="1:24" x14ac:dyDescent="0.25">
      <c r="A40" s="24" t="s">
        <v>1251</v>
      </c>
      <c r="B40" s="33" t="s">
        <v>1281</v>
      </c>
      <c r="C40" s="33" t="s">
        <v>1282</v>
      </c>
      <c r="D40" s="33" t="s">
        <v>1350</v>
      </c>
      <c r="E40" s="33" t="s">
        <v>1351</v>
      </c>
      <c r="F40" s="26" t="str">
        <f>HYPERLINK("https://mapwv.gov/flood/map/?wkid=102100&amp;x=-9004004.329201445&amp;y=4800267.114244424&amp;l=13&amp;v=2","FT")</f>
        <v>FT</v>
      </c>
      <c r="G40" s="44" t="s">
        <v>38</v>
      </c>
      <c r="H40" s="34" t="s">
        <v>25</v>
      </c>
      <c r="I40" s="33" t="s">
        <v>1445</v>
      </c>
      <c r="J40" s="34" t="s">
        <v>26</v>
      </c>
      <c r="K40" s="34" t="s">
        <v>133</v>
      </c>
      <c r="L40" s="34" t="s">
        <v>58</v>
      </c>
      <c r="M40" s="33" t="s">
        <v>41</v>
      </c>
      <c r="N40" s="3" t="s">
        <v>42</v>
      </c>
      <c r="O40" s="34" t="s">
        <v>114</v>
      </c>
      <c r="P40" s="33" t="s">
        <v>1516</v>
      </c>
      <c r="Q40" s="33" t="s">
        <v>43</v>
      </c>
      <c r="R40" s="34" t="s">
        <v>120</v>
      </c>
      <c r="S40" s="35">
        <v>132200</v>
      </c>
      <c r="T40" s="2" t="s">
        <v>44</v>
      </c>
      <c r="U40" s="36">
        <v>0</v>
      </c>
      <c r="V40" s="36">
        <v>-4</v>
      </c>
      <c r="W40" s="37">
        <v>0</v>
      </c>
      <c r="X40" s="38">
        <v>0</v>
      </c>
    </row>
    <row r="41" spans="1:24" x14ac:dyDescent="0.25">
      <c r="A41" s="24" t="s">
        <v>1252</v>
      </c>
      <c r="B41" s="33" t="s">
        <v>1281</v>
      </c>
      <c r="C41" s="33" t="s">
        <v>671</v>
      </c>
      <c r="D41" s="33" t="s">
        <v>1352</v>
      </c>
      <c r="E41" s="33" t="s">
        <v>1353</v>
      </c>
      <c r="F41" s="26" t="str">
        <f>HYPERLINK("https://mapwv.gov/flood/map/?wkid=102100&amp;x=-8997046.902549034&amp;y=4784312.834965471&amp;l=13&amp;v=2","FT")</f>
        <v>FT</v>
      </c>
      <c r="G41" s="44" t="s">
        <v>38</v>
      </c>
      <c r="H41" s="34" t="s">
        <v>25</v>
      </c>
      <c r="I41" s="33" t="s">
        <v>1446</v>
      </c>
      <c r="J41" s="34" t="s">
        <v>39</v>
      </c>
      <c r="K41" s="34" t="s">
        <v>144</v>
      </c>
      <c r="L41" s="34" t="s">
        <v>27</v>
      </c>
      <c r="M41" s="33" t="s">
        <v>67</v>
      </c>
      <c r="N41" s="3" t="s">
        <v>112</v>
      </c>
      <c r="O41" s="34" t="s">
        <v>114</v>
      </c>
      <c r="P41" s="33" t="s">
        <v>1517</v>
      </c>
      <c r="Q41" s="33" t="s">
        <v>30</v>
      </c>
      <c r="R41" s="34" t="s">
        <v>119</v>
      </c>
      <c r="S41" s="35">
        <v>131600</v>
      </c>
      <c r="T41" s="2" t="s">
        <v>44</v>
      </c>
      <c r="U41" s="36">
        <v>0.36937964000000001</v>
      </c>
      <c r="V41" s="36">
        <v>-0.63062036037445002</v>
      </c>
      <c r="W41" s="37">
        <v>0</v>
      </c>
      <c r="X41" s="38">
        <v>0</v>
      </c>
    </row>
    <row r="42" spans="1:24" x14ac:dyDescent="0.25">
      <c r="A42" s="24" t="s">
        <v>1253</v>
      </c>
      <c r="B42" s="33" t="s">
        <v>1281</v>
      </c>
      <c r="C42" s="33" t="s">
        <v>671</v>
      </c>
      <c r="D42" s="33" t="s">
        <v>1354</v>
      </c>
      <c r="E42" s="33" t="s">
        <v>1355</v>
      </c>
      <c r="F42" s="26" t="str">
        <f>HYPERLINK("https://mapwv.gov/flood/map/?wkid=102100&amp;x=-9018214.445655724&amp;y=4787365.365900675&amp;l=13&amp;v=2","FT")</f>
        <v>FT</v>
      </c>
      <c r="G42" s="44" t="s">
        <v>38</v>
      </c>
      <c r="H42" s="34" t="s">
        <v>25</v>
      </c>
      <c r="I42" s="33" t="s">
        <v>1447</v>
      </c>
      <c r="J42" s="34" t="s">
        <v>26</v>
      </c>
      <c r="K42" s="34" t="s">
        <v>133</v>
      </c>
      <c r="L42" s="34" t="s">
        <v>27</v>
      </c>
      <c r="M42" s="33" t="s">
        <v>41</v>
      </c>
      <c r="N42" s="3" t="s">
        <v>42</v>
      </c>
      <c r="O42" s="34" t="s">
        <v>114</v>
      </c>
      <c r="P42" s="33" t="s">
        <v>173</v>
      </c>
      <c r="Q42" s="33" t="s">
        <v>43</v>
      </c>
      <c r="R42" s="34" t="s">
        <v>120</v>
      </c>
      <c r="S42" s="35">
        <v>131400</v>
      </c>
      <c r="T42" s="2" t="s">
        <v>44</v>
      </c>
      <c r="U42" s="36">
        <v>0</v>
      </c>
      <c r="V42" s="36">
        <v>-4</v>
      </c>
      <c r="W42" s="37">
        <v>0</v>
      </c>
      <c r="X42" s="38">
        <v>0</v>
      </c>
    </row>
    <row r="43" spans="1:24" x14ac:dyDescent="0.25">
      <c r="A43" s="24" t="s">
        <v>1254</v>
      </c>
      <c r="B43" s="33" t="s">
        <v>1285</v>
      </c>
      <c r="C43" s="33" t="s">
        <v>394</v>
      </c>
      <c r="D43" s="33" t="s">
        <v>1356</v>
      </c>
      <c r="E43" s="33" t="s">
        <v>1357</v>
      </c>
      <c r="F43" s="26" t="str">
        <f>HYPERLINK("https://mapwv.gov/flood/map/?wkid=102100&amp;x=-9016728.065067971&amp;y=4802695.093785832&amp;l=13&amp;v=2","FT")</f>
        <v>FT</v>
      </c>
      <c r="G43" s="44" t="s">
        <v>32</v>
      </c>
      <c r="H43" s="34" t="s">
        <v>25</v>
      </c>
      <c r="I43" s="33" t="s">
        <v>1448</v>
      </c>
      <c r="J43" s="34" t="s">
        <v>39</v>
      </c>
      <c r="K43" s="34" t="s">
        <v>132</v>
      </c>
      <c r="L43" s="34" t="s">
        <v>58</v>
      </c>
      <c r="M43" s="33" t="s">
        <v>41</v>
      </c>
      <c r="N43" s="3" t="s">
        <v>42</v>
      </c>
      <c r="O43" s="34" t="s">
        <v>114</v>
      </c>
      <c r="P43" s="33" t="s">
        <v>1518</v>
      </c>
      <c r="Q43" s="33" t="s">
        <v>43</v>
      </c>
      <c r="R43" s="34" t="s">
        <v>120</v>
      </c>
      <c r="S43" s="35">
        <v>131200</v>
      </c>
      <c r="T43" s="2" t="s">
        <v>44</v>
      </c>
      <c r="U43" s="36">
        <v>0.3729248</v>
      </c>
      <c r="V43" s="36">
        <v>-3.6270751953125</v>
      </c>
      <c r="W43" s="37">
        <v>0</v>
      </c>
      <c r="X43" s="38">
        <v>0</v>
      </c>
    </row>
    <row r="44" spans="1:24" x14ac:dyDescent="0.25">
      <c r="A44" s="24" t="s">
        <v>1255</v>
      </c>
      <c r="B44" s="33" t="s">
        <v>1281</v>
      </c>
      <c r="C44" s="33" t="s">
        <v>671</v>
      </c>
      <c r="D44" s="33" t="s">
        <v>1358</v>
      </c>
      <c r="E44" s="33" t="s">
        <v>1359</v>
      </c>
      <c r="F44" s="26" t="str">
        <f>HYPERLINK("https://mapwv.gov/flood/map/?wkid=102100&amp;x=-8997259.552164795&amp;y=4785921.6957461815&amp;l=13&amp;v=2","FT")</f>
        <v>FT</v>
      </c>
      <c r="G44" s="44" t="s">
        <v>38</v>
      </c>
      <c r="H44" s="34" t="s">
        <v>25</v>
      </c>
      <c r="I44" s="33" t="s">
        <v>1449</v>
      </c>
      <c r="J44" s="34" t="s">
        <v>26</v>
      </c>
      <c r="K44" s="34" t="s">
        <v>93</v>
      </c>
      <c r="L44" s="34" t="s">
        <v>58</v>
      </c>
      <c r="M44" s="33" t="s">
        <v>41</v>
      </c>
      <c r="N44" s="3" t="s">
        <v>42</v>
      </c>
      <c r="O44" s="34" t="s">
        <v>114</v>
      </c>
      <c r="P44" s="33" t="s">
        <v>1519</v>
      </c>
      <c r="Q44" s="33" t="s">
        <v>43</v>
      </c>
      <c r="R44" s="34" t="s">
        <v>120</v>
      </c>
      <c r="S44" s="35">
        <v>128900</v>
      </c>
      <c r="T44" s="2" t="s">
        <v>44</v>
      </c>
      <c r="U44" s="36">
        <v>0</v>
      </c>
      <c r="V44" s="36">
        <v>-4</v>
      </c>
      <c r="W44" s="37">
        <v>0</v>
      </c>
      <c r="X44" s="38">
        <v>0</v>
      </c>
    </row>
    <row r="45" spans="1:24" x14ac:dyDescent="0.25">
      <c r="A45" s="24" t="s">
        <v>1256</v>
      </c>
      <c r="B45" s="33" t="s">
        <v>1281</v>
      </c>
      <c r="C45" s="33" t="s">
        <v>1282</v>
      </c>
      <c r="D45" s="33" t="s">
        <v>1360</v>
      </c>
      <c r="E45" s="33" t="s">
        <v>1361</v>
      </c>
      <c r="F45" s="26" t="str">
        <f>HYPERLINK("https://mapwv.gov/flood/map/?wkid=102100&amp;x=-9005709.214476218&amp;y=4794072.754858285&amp;l=13&amp;v=2","FT")</f>
        <v>FT</v>
      </c>
      <c r="G45" s="44" t="s">
        <v>38</v>
      </c>
      <c r="H45" s="34" t="s">
        <v>25</v>
      </c>
      <c r="I45" s="33" t="s">
        <v>1450</v>
      </c>
      <c r="J45" s="34" t="s">
        <v>26</v>
      </c>
      <c r="K45" s="34" t="s">
        <v>139</v>
      </c>
      <c r="L45" s="34" t="s">
        <v>58</v>
      </c>
      <c r="M45" s="33" t="s">
        <v>52</v>
      </c>
      <c r="N45" s="3" t="s">
        <v>35</v>
      </c>
      <c r="O45" s="34" t="s">
        <v>114</v>
      </c>
      <c r="P45" s="33" t="s">
        <v>152</v>
      </c>
      <c r="Q45" s="33" t="s">
        <v>30</v>
      </c>
      <c r="R45" s="34" t="s">
        <v>119</v>
      </c>
      <c r="S45" s="35">
        <v>128500</v>
      </c>
      <c r="T45" s="2" t="s">
        <v>44</v>
      </c>
      <c r="U45" s="36">
        <v>3.1728315</v>
      </c>
      <c r="V45" s="36">
        <v>2.1728315353393501</v>
      </c>
      <c r="W45" s="37">
        <v>0.111728315353393</v>
      </c>
      <c r="X45" s="38">
        <v>14357.088522911001</v>
      </c>
    </row>
    <row r="46" spans="1:24" x14ac:dyDescent="0.25">
      <c r="A46" s="24" t="s">
        <v>1257</v>
      </c>
      <c r="B46" s="33" t="s">
        <v>1285</v>
      </c>
      <c r="C46" s="33" t="s">
        <v>394</v>
      </c>
      <c r="D46" s="33" t="s">
        <v>1362</v>
      </c>
      <c r="E46" s="33" t="s">
        <v>1363</v>
      </c>
      <c r="F46" s="26" t="str">
        <f>HYPERLINK("https://mapwv.gov/flood/map/?wkid=102100&amp;x=-9016535.612815341&amp;y=4803034.314024455&amp;l=13&amp;v=2","FT")</f>
        <v>FT</v>
      </c>
      <c r="G46" s="44" t="s">
        <v>32</v>
      </c>
      <c r="H46" s="34" t="s">
        <v>66</v>
      </c>
      <c r="I46" s="33" t="s">
        <v>1451</v>
      </c>
      <c r="J46" s="34" t="s">
        <v>26</v>
      </c>
      <c r="K46" s="34" t="s">
        <v>104</v>
      </c>
      <c r="L46" s="34" t="s">
        <v>38</v>
      </c>
      <c r="M46" s="33" t="s">
        <v>41</v>
      </c>
      <c r="N46" s="3" t="s">
        <v>42</v>
      </c>
      <c r="O46" s="34" t="s">
        <v>114</v>
      </c>
      <c r="P46" s="33" t="s">
        <v>1520</v>
      </c>
      <c r="Q46" s="33" t="s">
        <v>43</v>
      </c>
      <c r="R46" s="34" t="s">
        <v>120</v>
      </c>
      <c r="S46" s="35">
        <v>127600</v>
      </c>
      <c r="T46" s="2" t="s">
        <v>44</v>
      </c>
      <c r="U46" s="36">
        <v>8.1660160000000008</v>
      </c>
      <c r="V46" s="36">
        <v>4.166015625</v>
      </c>
      <c r="W46" s="37">
        <v>0.53162109375</v>
      </c>
      <c r="X46" s="38">
        <v>67834.8515625</v>
      </c>
    </row>
    <row r="47" spans="1:24" x14ac:dyDescent="0.25">
      <c r="A47" s="24" t="s">
        <v>1258</v>
      </c>
      <c r="B47" s="33" t="s">
        <v>1281</v>
      </c>
      <c r="C47" s="33" t="s">
        <v>1282</v>
      </c>
      <c r="D47" s="33" t="s">
        <v>1364</v>
      </c>
      <c r="E47" s="33" t="s">
        <v>1365</v>
      </c>
      <c r="F47" s="26" t="str">
        <f>HYPERLINK("https://mapwv.gov/flood/map/?wkid=102100&amp;x=-9004709.493981779&amp;y=4798495.195874527&amp;l=13&amp;v=2","FT")</f>
        <v>FT</v>
      </c>
      <c r="G47" s="44" t="s">
        <v>38</v>
      </c>
      <c r="H47" s="34" t="s">
        <v>25</v>
      </c>
      <c r="I47" s="33" t="s">
        <v>1452</v>
      </c>
      <c r="J47" s="34" t="s">
        <v>26</v>
      </c>
      <c r="K47" s="34" t="s">
        <v>86</v>
      </c>
      <c r="L47" s="34" t="s">
        <v>47</v>
      </c>
      <c r="M47" s="33" t="s">
        <v>41</v>
      </c>
      <c r="N47" s="3" t="s">
        <v>42</v>
      </c>
      <c r="O47" s="34" t="s">
        <v>114</v>
      </c>
      <c r="P47" s="33" t="s">
        <v>964</v>
      </c>
      <c r="Q47" s="33" t="s">
        <v>43</v>
      </c>
      <c r="R47" s="34" t="s">
        <v>120</v>
      </c>
      <c r="S47" s="35">
        <v>127200</v>
      </c>
      <c r="T47" s="2" t="s">
        <v>44</v>
      </c>
      <c r="U47" s="36">
        <v>0</v>
      </c>
      <c r="V47" s="36">
        <v>-4</v>
      </c>
      <c r="W47" s="37">
        <v>0</v>
      </c>
      <c r="X47" s="38">
        <v>0</v>
      </c>
    </row>
    <row r="48" spans="1:24" x14ac:dyDescent="0.25">
      <c r="A48" s="24" t="s">
        <v>1259</v>
      </c>
      <c r="B48" s="33" t="s">
        <v>1281</v>
      </c>
      <c r="C48" s="33" t="s">
        <v>1366</v>
      </c>
      <c r="D48" s="33" t="s">
        <v>1367</v>
      </c>
      <c r="E48" s="33" t="s">
        <v>1368</v>
      </c>
      <c r="F48" s="26" t="str">
        <f>HYPERLINK("https://mapwv.gov/flood/map/?wkid=102100&amp;x=-8998622.589086961&amp;y=4783420.220048278&amp;l=13&amp;v=2","FT")</f>
        <v>FT</v>
      </c>
      <c r="G48" s="44" t="s">
        <v>38</v>
      </c>
      <c r="H48" s="34" t="s">
        <v>25</v>
      </c>
      <c r="I48" s="33" t="s">
        <v>1453</v>
      </c>
      <c r="J48" s="34" t="s">
        <v>39</v>
      </c>
      <c r="K48" s="34" t="s">
        <v>124</v>
      </c>
      <c r="L48" s="34" t="s">
        <v>51</v>
      </c>
      <c r="M48" s="33" t="s">
        <v>41</v>
      </c>
      <c r="N48" s="3" t="s">
        <v>42</v>
      </c>
      <c r="O48" s="34" t="s">
        <v>114</v>
      </c>
      <c r="P48" s="33" t="s">
        <v>1521</v>
      </c>
      <c r="Q48" s="33" t="s">
        <v>43</v>
      </c>
      <c r="R48" s="34" t="s">
        <v>120</v>
      </c>
      <c r="S48" s="35">
        <v>124400</v>
      </c>
      <c r="T48" s="2" t="s">
        <v>44</v>
      </c>
      <c r="U48" s="36">
        <v>0</v>
      </c>
      <c r="V48" s="36">
        <v>-4</v>
      </c>
      <c r="W48" s="37">
        <v>0</v>
      </c>
      <c r="X48" s="38">
        <v>0</v>
      </c>
    </row>
    <row r="49" spans="1:24" x14ac:dyDescent="0.25">
      <c r="A49" s="24" t="s">
        <v>1260</v>
      </c>
      <c r="B49" s="33" t="s">
        <v>1369</v>
      </c>
      <c r="C49" s="33" t="s">
        <v>394</v>
      </c>
      <c r="D49" s="33" t="s">
        <v>1370</v>
      </c>
      <c r="E49" s="33" t="s">
        <v>1371</v>
      </c>
      <c r="F49" s="26" t="str">
        <f>HYPERLINK("https://mapwv.gov/flood/map/?wkid=102100&amp;x=-9010298.679525832&amp;y=4808275.189433504&amp;l=13&amp;v=2","FT")</f>
        <v>FT</v>
      </c>
      <c r="G49" s="44" t="s">
        <v>32</v>
      </c>
      <c r="H49" s="34" t="s">
        <v>25</v>
      </c>
      <c r="I49" s="33" t="s">
        <v>1454</v>
      </c>
      <c r="J49" s="34" t="s">
        <v>26</v>
      </c>
      <c r="K49" s="34" t="s">
        <v>127</v>
      </c>
      <c r="L49" s="34" t="s">
        <v>108</v>
      </c>
      <c r="M49" s="33" t="s">
        <v>34</v>
      </c>
      <c r="N49" s="3" t="s">
        <v>113</v>
      </c>
      <c r="O49" s="34" t="s">
        <v>114</v>
      </c>
      <c r="P49" s="33" t="s">
        <v>1522</v>
      </c>
      <c r="Q49" s="33" t="s">
        <v>30</v>
      </c>
      <c r="R49" s="34" t="s">
        <v>119</v>
      </c>
      <c r="S49" s="35">
        <v>121800</v>
      </c>
      <c r="T49" s="2" t="s">
        <v>44</v>
      </c>
      <c r="U49" s="36">
        <v>0</v>
      </c>
      <c r="V49" s="36">
        <v>-1</v>
      </c>
      <c r="W49" s="37">
        <v>0</v>
      </c>
      <c r="X49" s="38">
        <v>0</v>
      </c>
    </row>
    <row r="50" spans="1:24" x14ac:dyDescent="0.25">
      <c r="A50" s="24" t="s">
        <v>1261</v>
      </c>
      <c r="B50" s="33" t="s">
        <v>1281</v>
      </c>
      <c r="C50" s="33" t="s">
        <v>1372</v>
      </c>
      <c r="D50" s="33" t="s">
        <v>1373</v>
      </c>
      <c r="E50" s="33" t="s">
        <v>1374</v>
      </c>
      <c r="F50" s="26" t="str">
        <f>HYPERLINK("https://mapwv.gov/flood/map/?wkid=102100&amp;x=-8996596.306185868&amp;y=4782459.136387496&amp;l=13&amp;v=2","FT")</f>
        <v>FT</v>
      </c>
      <c r="G50" s="44" t="s">
        <v>38</v>
      </c>
      <c r="H50" s="34" t="s">
        <v>25</v>
      </c>
      <c r="I50" s="33" t="s">
        <v>1455</v>
      </c>
      <c r="J50" s="34" t="s">
        <v>26</v>
      </c>
      <c r="K50" s="34" t="s">
        <v>117</v>
      </c>
      <c r="L50" s="34" t="s">
        <v>50</v>
      </c>
      <c r="M50" s="33" t="s">
        <v>41</v>
      </c>
      <c r="N50" s="3" t="s">
        <v>42</v>
      </c>
      <c r="O50" s="34" t="s">
        <v>114</v>
      </c>
      <c r="P50" s="33" t="s">
        <v>1523</v>
      </c>
      <c r="Q50" s="33" t="s">
        <v>43</v>
      </c>
      <c r="R50" s="34" t="s">
        <v>120</v>
      </c>
      <c r="S50" s="35">
        <v>121600</v>
      </c>
      <c r="T50" s="2" t="s">
        <v>44</v>
      </c>
      <c r="U50" s="36">
        <v>0</v>
      </c>
      <c r="V50" s="36">
        <v>-4</v>
      </c>
      <c r="W50" s="37">
        <v>0</v>
      </c>
      <c r="X50" s="38">
        <v>0</v>
      </c>
    </row>
    <row r="51" spans="1:24" x14ac:dyDescent="0.25">
      <c r="A51" s="24" t="s">
        <v>1262</v>
      </c>
      <c r="B51" s="33" t="s">
        <v>1281</v>
      </c>
      <c r="C51" s="33" t="s">
        <v>671</v>
      </c>
      <c r="D51" s="33" t="s">
        <v>1375</v>
      </c>
      <c r="E51" s="33" t="s">
        <v>1376</v>
      </c>
      <c r="F51" s="26" t="str">
        <f>HYPERLINK("https://mapwv.gov/flood/map/?wkid=102100&amp;x=-9017268.798603943&amp;y=4787890.522577651&amp;l=13&amp;v=2","FT")</f>
        <v>FT</v>
      </c>
      <c r="G51" s="44" t="s">
        <v>684</v>
      </c>
      <c r="H51" s="34" t="s">
        <v>25</v>
      </c>
      <c r="I51" s="33" t="s">
        <v>1456</v>
      </c>
      <c r="J51" s="34" t="s">
        <v>39</v>
      </c>
      <c r="K51" s="34" t="s">
        <v>968</v>
      </c>
      <c r="L51" s="34" t="s">
        <v>33</v>
      </c>
      <c r="M51" s="33" t="s">
        <v>41</v>
      </c>
      <c r="N51" s="3" t="s">
        <v>42</v>
      </c>
      <c r="O51" s="34" t="s">
        <v>114</v>
      </c>
      <c r="P51" s="33" t="s">
        <v>1524</v>
      </c>
      <c r="Q51" s="33" t="s">
        <v>53</v>
      </c>
      <c r="R51" s="34" t="s">
        <v>159</v>
      </c>
      <c r="S51" s="35">
        <v>120800</v>
      </c>
      <c r="T51" s="2" t="s">
        <v>44</v>
      </c>
      <c r="U51" s="36">
        <v>1.1257907</v>
      </c>
      <c r="V51" s="36">
        <v>-1.8742092847823999</v>
      </c>
      <c r="W51" s="37">
        <v>3.77372145652771E-3</v>
      </c>
      <c r="X51" s="38">
        <v>455.86555194854702</v>
      </c>
    </row>
    <row r="52" spans="1:24" x14ac:dyDescent="0.25">
      <c r="A52" s="24" t="s">
        <v>1263</v>
      </c>
      <c r="B52" s="33" t="s">
        <v>1281</v>
      </c>
      <c r="C52" s="33" t="s">
        <v>394</v>
      </c>
      <c r="D52" s="33" t="s">
        <v>1377</v>
      </c>
      <c r="E52" s="33" t="s">
        <v>1378</v>
      </c>
      <c r="F52" s="26" t="str">
        <f>HYPERLINK("https://mapwv.gov/flood/map/?wkid=102100&amp;x=-9018279.278572442&amp;y=4800905.805100592&amp;l=13&amp;v=2","FT")</f>
        <v>FT</v>
      </c>
      <c r="G52" s="44" t="s">
        <v>32</v>
      </c>
      <c r="H52" s="34" t="s">
        <v>25</v>
      </c>
      <c r="I52" s="33" t="s">
        <v>1457</v>
      </c>
      <c r="J52" s="34" t="s">
        <v>26</v>
      </c>
      <c r="K52" s="34" t="s">
        <v>1483</v>
      </c>
      <c r="L52" s="34" t="s">
        <v>58</v>
      </c>
      <c r="M52" s="33" t="s">
        <v>41</v>
      </c>
      <c r="N52" s="3" t="s">
        <v>42</v>
      </c>
      <c r="O52" s="34" t="s">
        <v>114</v>
      </c>
      <c r="P52" s="33" t="s">
        <v>1525</v>
      </c>
      <c r="Q52" s="33" t="s">
        <v>53</v>
      </c>
      <c r="R52" s="34" t="s">
        <v>120</v>
      </c>
      <c r="S52" s="35">
        <v>119300</v>
      </c>
      <c r="T52" s="2" t="s">
        <v>44</v>
      </c>
      <c r="U52" s="36">
        <v>1.1321410999999999</v>
      </c>
      <c r="V52" s="36">
        <v>-2.86785888671875</v>
      </c>
      <c r="W52" s="37">
        <v>0</v>
      </c>
      <c r="X52" s="38">
        <v>0</v>
      </c>
    </row>
    <row r="53" spans="1:24" x14ac:dyDescent="0.25">
      <c r="A53" s="24" t="s">
        <v>1264</v>
      </c>
      <c r="B53" s="33" t="s">
        <v>1281</v>
      </c>
      <c r="C53" s="33" t="s">
        <v>1306</v>
      </c>
      <c r="D53" s="33" t="s">
        <v>1379</v>
      </c>
      <c r="E53" s="33" t="s">
        <v>1380</v>
      </c>
      <c r="F53" s="26" t="str">
        <f>HYPERLINK("https://mapwv.gov/flood/map/?wkid=102100&amp;x=-8993373.583995588&amp;y=4795734.52401896&amp;l=13&amp;v=2","FT")</f>
        <v>FT</v>
      </c>
      <c r="G53" s="44" t="s">
        <v>38</v>
      </c>
      <c r="H53" s="34" t="s">
        <v>25</v>
      </c>
      <c r="I53" s="33" t="s">
        <v>1458</v>
      </c>
      <c r="J53" s="34" t="s">
        <v>39</v>
      </c>
      <c r="K53" s="34" t="s">
        <v>123</v>
      </c>
      <c r="L53" s="34" t="s">
        <v>58</v>
      </c>
      <c r="M53" s="33" t="s">
        <v>41</v>
      </c>
      <c r="N53" s="3" t="s">
        <v>42</v>
      </c>
      <c r="O53" s="34" t="s">
        <v>115</v>
      </c>
      <c r="P53" s="33" t="s">
        <v>1526</v>
      </c>
      <c r="Q53" s="33" t="s">
        <v>53</v>
      </c>
      <c r="R53" s="34" t="s">
        <v>159</v>
      </c>
      <c r="S53" s="35">
        <v>117700</v>
      </c>
      <c r="T53" s="2" t="s">
        <v>44</v>
      </c>
      <c r="U53" s="36">
        <v>0</v>
      </c>
      <c r="V53" s="36">
        <v>-3</v>
      </c>
      <c r="W53" s="37">
        <v>0</v>
      </c>
      <c r="X53" s="38">
        <v>0</v>
      </c>
    </row>
    <row r="54" spans="1:24" x14ac:dyDescent="0.25">
      <c r="A54" s="24" t="s">
        <v>1265</v>
      </c>
      <c r="B54" s="33" t="s">
        <v>1281</v>
      </c>
      <c r="C54" s="33" t="s">
        <v>394</v>
      </c>
      <c r="D54" s="33" t="s">
        <v>1381</v>
      </c>
      <c r="E54" s="33" t="s">
        <v>1382</v>
      </c>
      <c r="F54" s="26" t="str">
        <f>HYPERLINK("https://mapwv.gov/flood/map/?wkid=102100&amp;x=-9021783.661783608&amp;y=4797441.752356837&amp;l=13&amp;v=2","FT")</f>
        <v>FT</v>
      </c>
      <c r="G54" s="44" t="s">
        <v>32</v>
      </c>
      <c r="H54" s="34" t="s">
        <v>25</v>
      </c>
      <c r="I54" s="33" t="s">
        <v>1459</v>
      </c>
      <c r="J54" s="34" t="s">
        <v>26</v>
      </c>
      <c r="K54" s="34" t="s">
        <v>128</v>
      </c>
      <c r="L54" s="34" t="s">
        <v>45</v>
      </c>
      <c r="M54" s="33" t="s">
        <v>41</v>
      </c>
      <c r="N54" s="3" t="s">
        <v>42</v>
      </c>
      <c r="O54" s="34" t="s">
        <v>114</v>
      </c>
      <c r="P54" s="33" t="s">
        <v>1527</v>
      </c>
      <c r="Q54" s="33" t="s">
        <v>53</v>
      </c>
      <c r="R54" s="34" t="s">
        <v>120</v>
      </c>
      <c r="S54" s="35">
        <v>115800</v>
      </c>
      <c r="T54" s="2" t="s">
        <v>44</v>
      </c>
      <c r="U54" s="36">
        <v>0.3499756</v>
      </c>
      <c r="V54" s="36">
        <v>-3.6500244140625</v>
      </c>
      <c r="W54" s="37">
        <v>0</v>
      </c>
      <c r="X54" s="38">
        <v>0</v>
      </c>
    </row>
    <row r="55" spans="1:24" x14ac:dyDescent="0.25">
      <c r="A55" s="24" t="s">
        <v>1266</v>
      </c>
      <c r="B55" s="33" t="s">
        <v>1281</v>
      </c>
      <c r="C55" s="33" t="s">
        <v>1282</v>
      </c>
      <c r="D55" s="33" t="s">
        <v>1383</v>
      </c>
      <c r="E55" s="33" t="s">
        <v>1384</v>
      </c>
      <c r="F55" s="26" t="str">
        <f>HYPERLINK("https://mapwv.gov/flood/map/?wkid=102100&amp;x=-9003777.84023527&amp;y=4803040.51743647&amp;l=13&amp;v=2","FT")</f>
        <v>FT</v>
      </c>
      <c r="G55" s="44" t="s">
        <v>38</v>
      </c>
      <c r="H55" s="34" t="s">
        <v>25</v>
      </c>
      <c r="I55" s="33" t="s">
        <v>1460</v>
      </c>
      <c r="J55" s="34" t="s">
        <v>39</v>
      </c>
      <c r="K55" s="34" t="s">
        <v>1484</v>
      </c>
      <c r="L55" s="34" t="s">
        <v>27</v>
      </c>
      <c r="M55" s="33" t="s">
        <v>41</v>
      </c>
      <c r="N55" s="3" t="s">
        <v>42</v>
      </c>
      <c r="O55" s="34" t="s">
        <v>114</v>
      </c>
      <c r="P55" s="33" t="s">
        <v>343</v>
      </c>
      <c r="Q55" s="33" t="s">
        <v>43</v>
      </c>
      <c r="R55" s="34" t="s">
        <v>120</v>
      </c>
      <c r="S55" s="35">
        <v>115400</v>
      </c>
      <c r="T55" s="2" t="s">
        <v>44</v>
      </c>
      <c r="U55" s="36">
        <v>0</v>
      </c>
      <c r="V55" s="36">
        <v>-4</v>
      </c>
      <c r="W55" s="37">
        <v>0</v>
      </c>
      <c r="X55" s="38">
        <v>0</v>
      </c>
    </row>
    <row r="56" spans="1:24" x14ac:dyDescent="0.25">
      <c r="A56" s="24" t="s">
        <v>1267</v>
      </c>
      <c r="B56" s="33" t="s">
        <v>1285</v>
      </c>
      <c r="C56" s="33" t="s">
        <v>394</v>
      </c>
      <c r="D56" s="33" t="s">
        <v>1385</v>
      </c>
      <c r="E56" s="33" t="s">
        <v>1386</v>
      </c>
      <c r="F56" s="26" t="str">
        <f>HYPERLINK("https://mapwv.gov/flood/map/?wkid=102100&amp;x=-9016293.591774575&amp;y=4803190.126258789&amp;l=13&amp;v=2","FT")</f>
        <v>FT</v>
      </c>
      <c r="G56" s="44" t="s">
        <v>32</v>
      </c>
      <c r="H56" s="34" t="s">
        <v>25</v>
      </c>
      <c r="I56" s="33" t="s">
        <v>1461</v>
      </c>
      <c r="J56" s="34" t="s">
        <v>39</v>
      </c>
      <c r="K56" s="34" t="s">
        <v>85</v>
      </c>
      <c r="L56" s="34" t="s">
        <v>47</v>
      </c>
      <c r="M56" s="33" t="s">
        <v>41</v>
      </c>
      <c r="N56" s="3" t="s">
        <v>42</v>
      </c>
      <c r="O56" s="34" t="s">
        <v>115</v>
      </c>
      <c r="P56" s="33" t="s">
        <v>1528</v>
      </c>
      <c r="Q56" s="33" t="s">
        <v>43</v>
      </c>
      <c r="R56" s="34" t="s">
        <v>120</v>
      </c>
      <c r="S56" s="35">
        <v>113600</v>
      </c>
      <c r="T56" s="2" t="s">
        <v>44</v>
      </c>
      <c r="U56" s="36">
        <v>2.7431640000000002</v>
      </c>
      <c r="V56" s="36">
        <v>-1.2568359375</v>
      </c>
      <c r="W56" s="37">
        <v>0.12458984375</v>
      </c>
      <c r="X56" s="38">
        <v>14153.40625</v>
      </c>
    </row>
    <row r="57" spans="1:24" x14ac:dyDescent="0.25">
      <c r="A57" s="24" t="s">
        <v>1268</v>
      </c>
      <c r="B57" s="33" t="s">
        <v>1281</v>
      </c>
      <c r="C57" s="33" t="s">
        <v>1387</v>
      </c>
      <c r="D57" s="33" t="s">
        <v>1388</v>
      </c>
      <c r="E57" s="33" t="s">
        <v>1389</v>
      </c>
      <c r="F57" s="26" t="str">
        <f>HYPERLINK("https://mapwv.gov/flood/map/?wkid=102100&amp;x=-8997468.666273525&amp;y=4786178.94651967&amp;l=13&amp;v=2","FT")</f>
        <v>FT</v>
      </c>
      <c r="G57" s="44" t="s">
        <v>38</v>
      </c>
      <c r="H57" s="34" t="s">
        <v>25</v>
      </c>
      <c r="I57" s="33" t="s">
        <v>1462</v>
      </c>
      <c r="J57" s="34" t="s">
        <v>26</v>
      </c>
      <c r="K57" s="34" t="s">
        <v>141</v>
      </c>
      <c r="L57" s="34" t="s">
        <v>47</v>
      </c>
      <c r="M57" s="33" t="s">
        <v>41</v>
      </c>
      <c r="N57" s="3" t="s">
        <v>42</v>
      </c>
      <c r="O57" s="34" t="s">
        <v>114</v>
      </c>
      <c r="P57" s="33" t="s">
        <v>1529</v>
      </c>
      <c r="Q57" s="33" t="s">
        <v>43</v>
      </c>
      <c r="R57" s="34" t="s">
        <v>120</v>
      </c>
      <c r="S57" s="35">
        <v>111100</v>
      </c>
      <c r="T57" s="2" t="s">
        <v>44</v>
      </c>
      <c r="U57" s="36">
        <v>1.0236046000000001</v>
      </c>
      <c r="V57" s="36">
        <v>-2.9763953685760498</v>
      </c>
      <c r="W57" s="37">
        <v>3.3046483993530201E-3</v>
      </c>
      <c r="X57" s="38">
        <v>367.146437168121</v>
      </c>
    </row>
    <row r="58" spans="1:24" x14ac:dyDescent="0.25">
      <c r="A58" s="24" t="s">
        <v>1269</v>
      </c>
      <c r="B58" s="33" t="s">
        <v>1281</v>
      </c>
      <c r="C58" s="33" t="s">
        <v>394</v>
      </c>
      <c r="D58" s="33" t="s">
        <v>1390</v>
      </c>
      <c r="E58" s="33" t="s">
        <v>1391</v>
      </c>
      <c r="F58" s="26" t="str">
        <f>HYPERLINK("https://mapwv.gov/flood/map/?wkid=102100&amp;x=-9020824.65605897&amp;y=4799020.323447753&amp;l=13&amp;v=2","FT")</f>
        <v>FT</v>
      </c>
      <c r="G58" s="44" t="s">
        <v>32</v>
      </c>
      <c r="H58" s="34" t="s">
        <v>66</v>
      </c>
      <c r="I58" s="33" t="s">
        <v>1463</v>
      </c>
      <c r="J58" s="34" t="s">
        <v>26</v>
      </c>
      <c r="K58" s="34" t="s">
        <v>86</v>
      </c>
      <c r="L58" s="34" t="s">
        <v>54</v>
      </c>
      <c r="M58" s="33" t="s">
        <v>147</v>
      </c>
      <c r="N58" s="3" t="s">
        <v>35</v>
      </c>
      <c r="O58" s="34" t="s">
        <v>115</v>
      </c>
      <c r="P58" s="33" t="s">
        <v>1530</v>
      </c>
      <c r="Q58" s="33" t="s">
        <v>30</v>
      </c>
      <c r="R58" s="34" t="s">
        <v>119</v>
      </c>
      <c r="S58" s="35">
        <v>110400</v>
      </c>
      <c r="T58" s="2" t="s">
        <v>44</v>
      </c>
      <c r="U58" s="36">
        <v>6.5147095000000004</v>
      </c>
      <c r="V58" s="36">
        <v>5.51470947265625</v>
      </c>
      <c r="W58" s="37">
        <v>0.20544128417968699</v>
      </c>
      <c r="X58" s="38">
        <v>22680.7177734375</v>
      </c>
    </row>
    <row r="59" spans="1:24" x14ac:dyDescent="0.25">
      <c r="A59" s="24" t="s">
        <v>1270</v>
      </c>
      <c r="B59" s="33" t="s">
        <v>1281</v>
      </c>
      <c r="C59" s="33" t="s">
        <v>1372</v>
      </c>
      <c r="D59" s="33" t="s">
        <v>1392</v>
      </c>
      <c r="E59" s="33" t="s">
        <v>1393</v>
      </c>
      <c r="F59" s="26" t="str">
        <f>HYPERLINK("https://mapwv.gov/flood/map/?wkid=102100&amp;x=-8991113.84764702&amp;y=4779088.417013107&amp;l=13&amp;v=2","FT")</f>
        <v>FT</v>
      </c>
      <c r="G59" s="44" t="s">
        <v>38</v>
      </c>
      <c r="H59" s="34" t="s">
        <v>25</v>
      </c>
      <c r="I59" s="33" t="s">
        <v>1464</v>
      </c>
      <c r="J59" s="34" t="s">
        <v>36</v>
      </c>
      <c r="K59" s="34" t="s">
        <v>87</v>
      </c>
      <c r="L59" s="34"/>
      <c r="M59" s="33" t="s">
        <v>73</v>
      </c>
      <c r="N59" s="3" t="s">
        <v>111</v>
      </c>
      <c r="O59" s="34" t="s">
        <v>114</v>
      </c>
      <c r="P59" s="33" t="s">
        <v>331</v>
      </c>
      <c r="Q59" s="33" t="s">
        <v>30</v>
      </c>
      <c r="R59" s="34" t="s">
        <v>119</v>
      </c>
      <c r="S59" s="35">
        <v>108410</v>
      </c>
      <c r="T59" s="2" t="s">
        <v>31</v>
      </c>
      <c r="U59" s="36">
        <v>1.8438954000000001</v>
      </c>
      <c r="V59" s="36">
        <v>0.84389543533325195</v>
      </c>
      <c r="W59" s="37">
        <v>5.9072680473327602E-2</v>
      </c>
      <c r="X59" s="38">
        <v>6404.0692901134398</v>
      </c>
    </row>
    <row r="60" spans="1:24" x14ac:dyDescent="0.25">
      <c r="A60" s="24" t="s">
        <v>1271</v>
      </c>
      <c r="B60" s="33" t="s">
        <v>1281</v>
      </c>
      <c r="C60" s="33" t="s">
        <v>1282</v>
      </c>
      <c r="D60" s="33" t="s">
        <v>1394</v>
      </c>
      <c r="E60" s="33" t="s">
        <v>1395</v>
      </c>
      <c r="F60" s="26" t="str">
        <f>HYPERLINK("https://mapwv.gov/flood/map/?wkid=102100&amp;x=-9003635.89686388&amp;y=4801146.093959837&amp;l=13&amp;v=2","FT")</f>
        <v>FT</v>
      </c>
      <c r="G60" s="44" t="s">
        <v>38</v>
      </c>
      <c r="H60" s="34" t="s">
        <v>25</v>
      </c>
      <c r="I60" s="33" t="s">
        <v>1465</v>
      </c>
      <c r="J60" s="34" t="s">
        <v>39</v>
      </c>
      <c r="K60" s="34" t="s">
        <v>88</v>
      </c>
      <c r="L60" s="34" t="s">
        <v>27</v>
      </c>
      <c r="M60" s="33" t="s">
        <v>41</v>
      </c>
      <c r="N60" s="3" t="s">
        <v>42</v>
      </c>
      <c r="O60" s="34" t="s">
        <v>114</v>
      </c>
      <c r="P60" s="33" t="s">
        <v>1531</v>
      </c>
      <c r="Q60" s="33" t="s">
        <v>43</v>
      </c>
      <c r="R60" s="34" t="s">
        <v>120</v>
      </c>
      <c r="S60" s="35">
        <v>107500</v>
      </c>
      <c r="T60" s="2" t="s">
        <v>44</v>
      </c>
      <c r="U60" s="36">
        <v>0</v>
      </c>
      <c r="V60" s="36">
        <v>-4</v>
      </c>
      <c r="W60" s="37">
        <v>0</v>
      </c>
      <c r="X60" s="38">
        <v>0</v>
      </c>
    </row>
    <row r="61" spans="1:24" x14ac:dyDescent="0.25">
      <c r="A61" s="24" t="s">
        <v>1272</v>
      </c>
      <c r="B61" s="33" t="s">
        <v>1281</v>
      </c>
      <c r="C61" s="33" t="s">
        <v>1282</v>
      </c>
      <c r="D61" s="33" t="s">
        <v>1396</v>
      </c>
      <c r="E61" s="33" t="s">
        <v>1397</v>
      </c>
      <c r="F61" s="26" t="str">
        <f>HYPERLINK("https://mapwv.gov/flood/map/?wkid=102100&amp;x=-9003859.791195365&amp;y=4800132.579812296&amp;l=13&amp;v=2","FT")</f>
        <v>FT</v>
      </c>
      <c r="G61" s="44" t="s">
        <v>38</v>
      </c>
      <c r="H61" s="34" t="s">
        <v>25</v>
      </c>
      <c r="I61" s="33" t="s">
        <v>1466</v>
      </c>
      <c r="J61" s="34" t="s">
        <v>26</v>
      </c>
      <c r="K61" s="34" t="s">
        <v>128</v>
      </c>
      <c r="L61" s="34" t="s">
        <v>58</v>
      </c>
      <c r="M61" s="33" t="s">
        <v>41</v>
      </c>
      <c r="N61" s="3" t="s">
        <v>42</v>
      </c>
      <c r="O61" s="34" t="s">
        <v>114</v>
      </c>
      <c r="P61" s="33" t="s">
        <v>1532</v>
      </c>
      <c r="Q61" s="33" t="s">
        <v>43</v>
      </c>
      <c r="R61" s="34" t="s">
        <v>120</v>
      </c>
      <c r="S61" s="35">
        <v>106300</v>
      </c>
      <c r="T61" s="2" t="s">
        <v>44</v>
      </c>
      <c r="U61" s="36">
        <v>0</v>
      </c>
      <c r="V61" s="36">
        <v>-4</v>
      </c>
      <c r="W61" s="37">
        <v>0</v>
      </c>
      <c r="X61" s="38">
        <v>0</v>
      </c>
    </row>
    <row r="62" spans="1:24" x14ac:dyDescent="0.25">
      <c r="A62" s="24" t="s">
        <v>1273</v>
      </c>
      <c r="B62" s="33" t="s">
        <v>1285</v>
      </c>
      <c r="C62" s="33" t="s">
        <v>394</v>
      </c>
      <c r="D62" s="33" t="s">
        <v>1398</v>
      </c>
      <c r="E62" s="33" t="s">
        <v>1399</v>
      </c>
      <c r="F62" s="26" t="str">
        <f>HYPERLINK("https://mapwv.gov/flood/map/?wkid=102100&amp;x=-9016602.964892132&amp;y=4802916.024808763&amp;l=13&amp;v=2","FT")</f>
        <v>FT</v>
      </c>
      <c r="G62" s="44" t="s">
        <v>32</v>
      </c>
      <c r="H62" s="34" t="s">
        <v>25</v>
      </c>
      <c r="I62" s="33" t="s">
        <v>1467</v>
      </c>
      <c r="J62" s="34" t="s">
        <v>39</v>
      </c>
      <c r="K62" s="34" t="s">
        <v>158</v>
      </c>
      <c r="L62" s="34" t="s">
        <v>58</v>
      </c>
      <c r="M62" s="33" t="s">
        <v>41</v>
      </c>
      <c r="N62" s="3" t="s">
        <v>42</v>
      </c>
      <c r="O62" s="34" t="s">
        <v>115</v>
      </c>
      <c r="P62" s="33" t="s">
        <v>1533</v>
      </c>
      <c r="Q62" s="33" t="s">
        <v>43</v>
      </c>
      <c r="R62" s="34" t="s">
        <v>120</v>
      </c>
      <c r="S62" s="35">
        <v>105500</v>
      </c>
      <c r="T62" s="2" t="s">
        <v>44</v>
      </c>
      <c r="U62" s="36">
        <v>7.95343</v>
      </c>
      <c r="V62" s="36">
        <v>3.95343017578125</v>
      </c>
      <c r="W62" s="37">
        <v>0.33767150878906199</v>
      </c>
      <c r="X62" s="38">
        <v>35624.344177245999</v>
      </c>
    </row>
    <row r="63" spans="1:24" x14ac:dyDescent="0.25">
      <c r="A63" s="24" t="s">
        <v>1274</v>
      </c>
      <c r="B63" s="33" t="s">
        <v>1281</v>
      </c>
      <c r="C63" s="33" t="s">
        <v>671</v>
      </c>
      <c r="D63" s="33" t="s">
        <v>1400</v>
      </c>
      <c r="E63" s="33" t="s">
        <v>1401</v>
      </c>
      <c r="F63" s="26" t="str">
        <f>HYPERLINK("https://mapwv.gov/flood/map/?wkid=102100&amp;x=-9016710.388646029&amp;y=4789704.766128432&amp;l=13&amp;v=2","FT")</f>
        <v>FT</v>
      </c>
      <c r="G63" s="44" t="s">
        <v>38</v>
      </c>
      <c r="H63" s="34" t="s">
        <v>25</v>
      </c>
      <c r="I63" s="33" t="s">
        <v>1468</v>
      </c>
      <c r="J63" s="34" t="s">
        <v>39</v>
      </c>
      <c r="K63" s="34" t="s">
        <v>132</v>
      </c>
      <c r="L63" s="34" t="s">
        <v>58</v>
      </c>
      <c r="M63" s="33" t="s">
        <v>41</v>
      </c>
      <c r="N63" s="3" t="s">
        <v>42</v>
      </c>
      <c r="O63" s="34" t="s">
        <v>114</v>
      </c>
      <c r="P63" s="33" t="s">
        <v>1534</v>
      </c>
      <c r="Q63" s="33" t="s">
        <v>43</v>
      </c>
      <c r="R63" s="34" t="s">
        <v>120</v>
      </c>
      <c r="S63" s="35">
        <v>105200</v>
      </c>
      <c r="T63" s="2" t="s">
        <v>44</v>
      </c>
      <c r="U63" s="36">
        <v>0</v>
      </c>
      <c r="V63" s="36">
        <v>-4</v>
      </c>
      <c r="W63" s="37">
        <v>0</v>
      </c>
      <c r="X63" s="38">
        <v>0</v>
      </c>
    </row>
    <row r="64" spans="1:24" x14ac:dyDescent="0.25">
      <c r="A64" s="24" t="s">
        <v>1275</v>
      </c>
      <c r="B64" s="33" t="s">
        <v>1285</v>
      </c>
      <c r="C64" s="33" t="s">
        <v>394</v>
      </c>
      <c r="D64" s="33" t="s">
        <v>1402</v>
      </c>
      <c r="E64" s="33" t="s">
        <v>1403</v>
      </c>
      <c r="F64" s="26" t="str">
        <f>HYPERLINK("https://mapwv.gov/flood/map/?wkid=102100&amp;x=-9016431.722119447&amp;y=4803030.512037599&amp;l=13&amp;v=2","FT")</f>
        <v>FT</v>
      </c>
      <c r="G64" s="44" t="s">
        <v>32</v>
      </c>
      <c r="H64" s="34" t="s">
        <v>25</v>
      </c>
      <c r="I64" s="33" t="s">
        <v>1469</v>
      </c>
      <c r="J64" s="34" t="s">
        <v>39</v>
      </c>
      <c r="K64" s="34" t="s">
        <v>967</v>
      </c>
      <c r="L64" s="34" t="s">
        <v>47</v>
      </c>
      <c r="M64" s="33" t="s">
        <v>41</v>
      </c>
      <c r="N64" s="3" t="s">
        <v>42</v>
      </c>
      <c r="O64" s="34" t="s">
        <v>115</v>
      </c>
      <c r="P64" s="33" t="s">
        <v>1535</v>
      </c>
      <c r="Q64" s="33" t="s">
        <v>53</v>
      </c>
      <c r="R64" s="34" t="s">
        <v>159</v>
      </c>
      <c r="S64" s="35">
        <v>103900</v>
      </c>
      <c r="T64" s="2" t="s">
        <v>44</v>
      </c>
      <c r="U64" s="36">
        <v>0</v>
      </c>
      <c r="V64" s="36">
        <v>-3</v>
      </c>
      <c r="W64" s="37">
        <v>0</v>
      </c>
      <c r="X64" s="38">
        <v>0</v>
      </c>
    </row>
    <row r="65" spans="1:24" x14ac:dyDescent="0.25">
      <c r="A65" s="24" t="s">
        <v>1276</v>
      </c>
      <c r="B65" s="33" t="s">
        <v>1281</v>
      </c>
      <c r="C65" s="33" t="s">
        <v>394</v>
      </c>
      <c r="D65" s="33" t="s">
        <v>1404</v>
      </c>
      <c r="E65" s="33" t="s">
        <v>1405</v>
      </c>
      <c r="F65" s="26" t="str">
        <f>HYPERLINK("https://mapwv.gov/flood/map/?wkid=102100&amp;x=-9018541.90585283&amp;y=4800807.540996608&amp;l=13&amp;v=2","FT")</f>
        <v>FT</v>
      </c>
      <c r="G65" s="44" t="s">
        <v>32</v>
      </c>
      <c r="H65" s="34" t="s">
        <v>25</v>
      </c>
      <c r="I65" s="33" t="s">
        <v>1470</v>
      </c>
      <c r="J65" s="34" t="s">
        <v>39</v>
      </c>
      <c r="K65" s="34" t="s">
        <v>91</v>
      </c>
      <c r="L65" s="34" t="s">
        <v>47</v>
      </c>
      <c r="M65" s="33" t="s">
        <v>41</v>
      </c>
      <c r="N65" s="3" t="s">
        <v>42</v>
      </c>
      <c r="O65" s="34" t="s">
        <v>114</v>
      </c>
      <c r="P65" s="33" t="s">
        <v>1536</v>
      </c>
      <c r="Q65" s="33" t="s">
        <v>43</v>
      </c>
      <c r="R65" s="34" t="s">
        <v>120</v>
      </c>
      <c r="S65" s="35">
        <v>103200</v>
      </c>
      <c r="T65" s="2" t="s">
        <v>44</v>
      </c>
      <c r="U65" s="36">
        <v>1.3920288000000001</v>
      </c>
      <c r="V65" s="36">
        <v>-2.60797119140625</v>
      </c>
      <c r="W65" s="37">
        <v>5.4884033203125002E-2</v>
      </c>
      <c r="X65" s="38">
        <v>5664.0322265625</v>
      </c>
    </row>
    <row r="66" spans="1:24" x14ac:dyDescent="0.25">
      <c r="A66" s="24" t="s">
        <v>1277</v>
      </c>
      <c r="B66" s="33" t="s">
        <v>1281</v>
      </c>
      <c r="C66" s="33" t="s">
        <v>671</v>
      </c>
      <c r="D66" s="33" t="s">
        <v>1406</v>
      </c>
      <c r="E66" s="33" t="s">
        <v>1407</v>
      </c>
      <c r="F66" s="26" t="str">
        <f>HYPERLINK("https://mapwv.gov/flood/map/?wkid=102100&amp;x=-9001031.418635173&amp;y=4779326.256036705&amp;l=13&amp;v=2","FT")</f>
        <v>FT</v>
      </c>
      <c r="G66" s="44" t="s">
        <v>38</v>
      </c>
      <c r="H66" s="34" t="s">
        <v>25</v>
      </c>
      <c r="I66" s="33" t="s">
        <v>1471</v>
      </c>
      <c r="J66" s="34" t="s">
        <v>26</v>
      </c>
      <c r="K66" s="34" t="s">
        <v>133</v>
      </c>
      <c r="L66" s="34" t="s">
        <v>45</v>
      </c>
      <c r="M66" s="33" t="s">
        <v>41</v>
      </c>
      <c r="N66" s="3" t="s">
        <v>42</v>
      </c>
      <c r="O66" s="34" t="s">
        <v>114</v>
      </c>
      <c r="P66" s="33" t="s">
        <v>1537</v>
      </c>
      <c r="Q66" s="33" t="s">
        <v>53</v>
      </c>
      <c r="R66" s="34" t="s">
        <v>120</v>
      </c>
      <c r="S66" s="35">
        <v>103000</v>
      </c>
      <c r="T66" s="2" t="s">
        <v>44</v>
      </c>
      <c r="U66" s="36">
        <v>0</v>
      </c>
      <c r="V66" s="36">
        <v>-4</v>
      </c>
      <c r="W66" s="37">
        <v>0</v>
      </c>
      <c r="X66" s="38">
        <v>0</v>
      </c>
    </row>
    <row r="67" spans="1:24" x14ac:dyDescent="0.25">
      <c r="A67" s="24" t="s">
        <v>1278</v>
      </c>
      <c r="B67" s="33" t="s">
        <v>1281</v>
      </c>
      <c r="C67" s="33" t="s">
        <v>394</v>
      </c>
      <c r="D67" s="33" t="s">
        <v>1408</v>
      </c>
      <c r="E67" s="33" t="s">
        <v>1409</v>
      </c>
      <c r="F67" s="26" t="str">
        <f>HYPERLINK("https://mapwv.gov/flood/map/?wkid=102100&amp;x=-9021051.838100294&amp;y=4798589.728509641&amp;l=13&amp;v=2","FT")</f>
        <v>FT</v>
      </c>
      <c r="G67" s="44" t="s">
        <v>32</v>
      </c>
      <c r="H67" s="34" t="s">
        <v>25</v>
      </c>
      <c r="I67" s="33" t="s">
        <v>1472</v>
      </c>
      <c r="J67" s="34" t="s">
        <v>39</v>
      </c>
      <c r="K67" s="34" t="s">
        <v>91</v>
      </c>
      <c r="L67" s="34" t="s">
        <v>58</v>
      </c>
      <c r="M67" s="33" t="s">
        <v>41</v>
      </c>
      <c r="N67" s="3" t="s">
        <v>42</v>
      </c>
      <c r="O67" s="34" t="s">
        <v>114</v>
      </c>
      <c r="P67" s="33" t="s">
        <v>1538</v>
      </c>
      <c r="Q67" s="33" t="s">
        <v>53</v>
      </c>
      <c r="R67" s="34" t="s">
        <v>159</v>
      </c>
      <c r="S67" s="35">
        <v>102100</v>
      </c>
      <c r="T67" s="2" t="s">
        <v>44</v>
      </c>
      <c r="U67" s="36">
        <v>0</v>
      </c>
      <c r="V67" s="36">
        <v>-3</v>
      </c>
      <c r="W67" s="37">
        <v>0</v>
      </c>
      <c r="X67" s="38">
        <v>0</v>
      </c>
    </row>
    <row r="68" spans="1:24" x14ac:dyDescent="0.25">
      <c r="A68" s="24" t="s">
        <v>1279</v>
      </c>
      <c r="B68" s="33" t="s">
        <v>1281</v>
      </c>
      <c r="C68" s="33" t="s">
        <v>1410</v>
      </c>
      <c r="D68" s="33" t="s">
        <v>1411</v>
      </c>
      <c r="E68" s="33" t="s">
        <v>1412</v>
      </c>
      <c r="F68" s="26" t="str">
        <f>HYPERLINK("https://mapwv.gov/flood/map/?wkid=102100&amp;x=-9015154.75943131&amp;y=4780631.709351271&amp;l=13&amp;v=2","FT")</f>
        <v>FT</v>
      </c>
      <c r="G68" s="44" t="s">
        <v>38</v>
      </c>
      <c r="H68" s="34" t="s">
        <v>25</v>
      </c>
      <c r="I68" s="33" t="s">
        <v>1473</v>
      </c>
      <c r="J68" s="34" t="s">
        <v>26</v>
      </c>
      <c r="K68" s="34" t="s">
        <v>93</v>
      </c>
      <c r="L68" s="34" t="s">
        <v>27</v>
      </c>
      <c r="M68" s="33" t="s">
        <v>971</v>
      </c>
      <c r="N68" s="3" t="s">
        <v>42</v>
      </c>
      <c r="O68" s="34" t="s">
        <v>114</v>
      </c>
      <c r="P68" s="33" t="s">
        <v>1539</v>
      </c>
      <c r="Q68" s="33" t="s">
        <v>53</v>
      </c>
      <c r="R68" s="34" t="s">
        <v>120</v>
      </c>
      <c r="S68" s="35">
        <v>101900</v>
      </c>
      <c r="T68" s="2" t="s">
        <v>44</v>
      </c>
      <c r="U68" s="36">
        <v>0</v>
      </c>
      <c r="V68" s="36">
        <v>-4</v>
      </c>
      <c r="W68" s="37">
        <v>0</v>
      </c>
      <c r="X68" s="38">
        <v>0</v>
      </c>
    </row>
    <row r="69" spans="1:24" x14ac:dyDescent="0.25">
      <c r="A69" s="24" t="s">
        <v>1280</v>
      </c>
      <c r="B69" s="33" t="s">
        <v>1281</v>
      </c>
      <c r="C69" s="33" t="s">
        <v>671</v>
      </c>
      <c r="D69" s="33" t="s">
        <v>1413</v>
      </c>
      <c r="E69" s="33" t="s">
        <v>1414</v>
      </c>
      <c r="F69" s="26" t="str">
        <f>HYPERLINK("https://mapwv.gov/flood/map/?wkid=102100&amp;x=-8997415.583240388&amp;y=4785768.631681527&amp;l=13&amp;v=2","FT")</f>
        <v>FT</v>
      </c>
      <c r="G69" s="44" t="s">
        <v>38</v>
      </c>
      <c r="H69" s="34" t="s">
        <v>25</v>
      </c>
      <c r="I69" s="33" t="s">
        <v>1474</v>
      </c>
      <c r="J69" s="34" t="s">
        <v>39</v>
      </c>
      <c r="K69" s="34" t="s">
        <v>88</v>
      </c>
      <c r="L69" s="34" t="s">
        <v>27</v>
      </c>
      <c r="M69" s="33" t="s">
        <v>41</v>
      </c>
      <c r="N69" s="3" t="s">
        <v>42</v>
      </c>
      <c r="O69" s="34" t="s">
        <v>114</v>
      </c>
      <c r="P69" s="33" t="s">
        <v>1540</v>
      </c>
      <c r="Q69" s="33" t="s">
        <v>43</v>
      </c>
      <c r="R69" s="34" t="s">
        <v>120</v>
      </c>
      <c r="S69" s="35">
        <v>100600</v>
      </c>
      <c r="T69" s="2" t="s">
        <v>44</v>
      </c>
      <c r="U69" s="36">
        <v>2.7606820000000001</v>
      </c>
      <c r="V69" s="36">
        <v>-1.23931789398193</v>
      </c>
      <c r="W69" s="37">
        <v>0.178034105300903</v>
      </c>
      <c r="X69" s="38">
        <v>17910.230993270801</v>
      </c>
    </row>
  </sheetData>
  <hyperlinks>
    <hyperlink ref="J3" r:id="rId1" xr:uid="{52D22AE7-DFA0-41CF-80EC-193D3D05776A}"/>
    <hyperlink ref="M3" r:id="rId2" xr:uid="{BDE654DA-B4E6-4806-B3BA-A6248D63BACA}"/>
    <hyperlink ref="Q3" r:id="rId3" xr:uid="{59C6542B-0DC1-4B33-8F10-F6A1DAE59F22}"/>
  </hyperlinks>
  <pageMargins left="0.7" right="0.7" top="0.75" bottom="0.75" header="0.3" footer="0.3"/>
  <pageSetup orientation="portrait" horizontalDpi="4294967295" verticalDpi="4294967295" r:id="rId4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92ACD6-170F-4177-AEE9-85DD290CF7E3}">
  <dimension ref="A1:X51"/>
  <sheetViews>
    <sheetView workbookViewId="0">
      <pane ySplit="6" topLeftCell="A7" activePane="bottomLeft" state="frozen"/>
      <selection pane="bottomLeft" activeCell="E4" sqref="E4"/>
    </sheetView>
  </sheetViews>
  <sheetFormatPr defaultRowHeight="15" x14ac:dyDescent="0.25"/>
  <cols>
    <col min="1" max="1" width="33.85546875" bestFit="1" customWidth="1"/>
    <col min="2" max="2" width="21.42578125" bestFit="1" customWidth="1"/>
    <col min="7" max="7" width="11.42578125" customWidth="1"/>
    <col min="10" max="10" width="8.85546875" style="8"/>
    <col min="13" max="13" width="10.42578125" customWidth="1"/>
    <col min="14" max="14" width="12.7109375" customWidth="1"/>
    <col min="15" max="15" width="8.85546875" style="8"/>
    <col min="17" max="17" width="11.42578125" customWidth="1"/>
    <col min="19" max="19" width="21.7109375" bestFit="1" customWidth="1"/>
  </cols>
  <sheetData>
    <row r="1" spans="1:24" ht="14.25" customHeight="1" x14ac:dyDescent="0.25">
      <c r="A1" s="5" t="s">
        <v>75</v>
      </c>
      <c r="B1" s="5"/>
      <c r="C1" s="5"/>
      <c r="D1" s="5"/>
      <c r="F1" s="19" t="s">
        <v>76</v>
      </c>
      <c r="G1" s="8"/>
      <c r="H1" s="8"/>
      <c r="K1" s="8"/>
      <c r="L1" s="8"/>
      <c r="N1" s="7" t="s">
        <v>77</v>
      </c>
      <c r="P1" s="8"/>
      <c r="R1" s="8"/>
      <c r="S1" s="9" t="s">
        <v>78</v>
      </c>
      <c r="U1" s="10"/>
      <c r="V1" s="10"/>
      <c r="W1" s="11"/>
      <c r="X1" s="12"/>
    </row>
    <row r="2" spans="1:24" x14ac:dyDescent="0.25">
      <c r="A2" s="13">
        <v>44481</v>
      </c>
      <c r="B2" s="14" t="s">
        <v>79</v>
      </c>
      <c r="F2" s="8"/>
      <c r="G2" s="8"/>
      <c r="H2" s="8"/>
      <c r="K2" s="8"/>
      <c r="L2" s="8"/>
      <c r="N2" s="15" t="s">
        <v>42</v>
      </c>
      <c r="P2" s="8"/>
      <c r="R2" s="8"/>
      <c r="S2" s="9"/>
      <c r="U2" s="10"/>
      <c r="V2" s="10"/>
      <c r="W2" s="11"/>
      <c r="X2" s="12"/>
    </row>
    <row r="3" spans="1:24" x14ac:dyDescent="0.25">
      <c r="A3" t="s">
        <v>81</v>
      </c>
      <c r="B3" s="6"/>
      <c r="F3" s="8"/>
      <c r="G3" s="8"/>
      <c r="H3" s="8"/>
      <c r="J3" s="18" t="s">
        <v>80</v>
      </c>
      <c r="K3" s="8"/>
      <c r="L3" s="8"/>
      <c r="M3" s="16" t="s">
        <v>80</v>
      </c>
      <c r="N3" s="7"/>
      <c r="P3" s="8"/>
      <c r="Q3" s="16" t="s">
        <v>80</v>
      </c>
      <c r="R3" s="17"/>
      <c r="S3" s="9"/>
      <c r="U3" s="10"/>
      <c r="V3" s="10"/>
      <c r="W3" s="11"/>
      <c r="X3" s="12"/>
    </row>
    <row r="4" spans="1:24" x14ac:dyDescent="0.25">
      <c r="F4" s="8"/>
      <c r="G4" s="8"/>
      <c r="H4" s="8"/>
      <c r="K4" s="8"/>
      <c r="L4" s="8"/>
      <c r="N4" s="7"/>
      <c r="P4" s="8"/>
      <c r="R4" s="8"/>
      <c r="S4" s="9"/>
      <c r="U4" s="10"/>
      <c r="V4" s="10"/>
      <c r="W4" s="11"/>
      <c r="X4" s="12"/>
    </row>
    <row r="5" spans="1:24" x14ac:dyDescent="0.25">
      <c r="A5" s="1" t="s">
        <v>1541</v>
      </c>
      <c r="F5" s="8"/>
      <c r="G5" s="8"/>
      <c r="H5" s="8"/>
      <c r="K5" s="8"/>
      <c r="L5" s="8"/>
      <c r="P5" s="8"/>
      <c r="R5" s="8"/>
      <c r="S5" s="39" t="s">
        <v>168</v>
      </c>
      <c r="U5" s="8"/>
      <c r="V5" s="8"/>
      <c r="W5" s="11"/>
      <c r="X5" s="12"/>
    </row>
    <row r="6" spans="1:24" ht="45" x14ac:dyDescent="0.25">
      <c r="A6" s="27" t="s">
        <v>0</v>
      </c>
      <c r="B6" s="20" t="s">
        <v>1</v>
      </c>
      <c r="C6" s="20" t="s">
        <v>2</v>
      </c>
      <c r="D6" s="28" t="s">
        <v>3</v>
      </c>
      <c r="E6" s="28" t="s">
        <v>4</v>
      </c>
      <c r="F6" s="20" t="s">
        <v>5</v>
      </c>
      <c r="G6" s="20" t="s">
        <v>6</v>
      </c>
      <c r="H6" s="27" t="s">
        <v>7</v>
      </c>
      <c r="I6" s="20" t="s">
        <v>8</v>
      </c>
      <c r="J6" s="27" t="s">
        <v>9</v>
      </c>
      <c r="K6" s="28" t="s">
        <v>10</v>
      </c>
      <c r="L6" s="20" t="s">
        <v>11</v>
      </c>
      <c r="M6" s="28" t="s">
        <v>12</v>
      </c>
      <c r="N6" s="21" t="s">
        <v>13</v>
      </c>
      <c r="O6" s="28" t="s">
        <v>14</v>
      </c>
      <c r="P6" s="28" t="s">
        <v>15</v>
      </c>
      <c r="Q6" s="28" t="s">
        <v>16</v>
      </c>
      <c r="R6" s="28" t="s">
        <v>17</v>
      </c>
      <c r="S6" s="22" t="s">
        <v>18</v>
      </c>
      <c r="T6" s="20" t="s">
        <v>19</v>
      </c>
      <c r="U6" s="31" t="s">
        <v>20</v>
      </c>
      <c r="V6" s="31" t="s">
        <v>21</v>
      </c>
      <c r="W6" s="32" t="s">
        <v>22</v>
      </c>
      <c r="X6" s="23" t="s">
        <v>23</v>
      </c>
    </row>
    <row r="7" spans="1:24" x14ac:dyDescent="0.25">
      <c r="A7" s="33" t="s">
        <v>1542</v>
      </c>
      <c r="B7" s="33" t="s">
        <v>1587</v>
      </c>
      <c r="C7" s="33" t="s">
        <v>1588</v>
      </c>
      <c r="D7" s="33" t="s">
        <v>1589</v>
      </c>
      <c r="E7" s="33" t="s">
        <v>1590</v>
      </c>
      <c r="F7" s="26" t="str">
        <f>HYPERLINK("https://mapwv.gov/flood/map/?wkid=102100&amp;x=-9062329.289742837&amp;y=4730953.863904662&amp;l=13&amp;v=2","FT")</f>
        <v>FT</v>
      </c>
      <c r="G7" s="44" t="s">
        <v>32</v>
      </c>
      <c r="H7" s="25" t="s">
        <v>25</v>
      </c>
      <c r="I7" s="24" t="s">
        <v>1681</v>
      </c>
      <c r="J7" s="25" t="s">
        <v>39</v>
      </c>
      <c r="K7" s="29" t="s">
        <v>85</v>
      </c>
      <c r="L7" s="29"/>
      <c r="M7" s="33" t="s">
        <v>69</v>
      </c>
      <c r="N7" s="3" t="s">
        <v>110</v>
      </c>
      <c r="O7" s="34" t="s">
        <v>114</v>
      </c>
      <c r="P7" s="30" t="s">
        <v>1722</v>
      </c>
      <c r="Q7" s="2" t="s">
        <v>30</v>
      </c>
      <c r="R7" s="34" t="s">
        <v>119</v>
      </c>
      <c r="S7" s="35">
        <v>5500000</v>
      </c>
      <c r="T7" s="2" t="s">
        <v>70</v>
      </c>
      <c r="U7" s="36">
        <v>0</v>
      </c>
      <c r="V7" s="36">
        <v>-1</v>
      </c>
      <c r="W7" s="37">
        <v>0</v>
      </c>
      <c r="X7" s="38">
        <v>0</v>
      </c>
    </row>
    <row r="8" spans="1:24" x14ac:dyDescent="0.25">
      <c r="A8" s="33" t="s">
        <v>1543</v>
      </c>
      <c r="B8" s="33" t="s">
        <v>1591</v>
      </c>
      <c r="C8" s="33" t="s">
        <v>212</v>
      </c>
      <c r="D8" s="33" t="s">
        <v>1592</v>
      </c>
      <c r="E8" s="33" t="s">
        <v>1593</v>
      </c>
      <c r="F8" s="26" t="str">
        <f>HYPERLINK("https://mapwv.gov/flood/map/?wkid=102100&amp;x=-9061580.00225781&amp;y=4730981.017021673&amp;l=13&amp;v=2","FT")</f>
        <v>FT</v>
      </c>
      <c r="G8" s="44" t="s">
        <v>32</v>
      </c>
      <c r="H8" s="25" t="s">
        <v>25</v>
      </c>
      <c r="I8" s="24" t="s">
        <v>1682</v>
      </c>
      <c r="J8" s="25" t="s">
        <v>26</v>
      </c>
      <c r="K8" s="29" t="s">
        <v>144</v>
      </c>
      <c r="L8" s="29" t="s">
        <v>27</v>
      </c>
      <c r="M8" s="33" t="s">
        <v>69</v>
      </c>
      <c r="N8" s="3" t="s">
        <v>110</v>
      </c>
      <c r="O8" s="34" t="s">
        <v>114</v>
      </c>
      <c r="P8" s="30" t="s">
        <v>1723</v>
      </c>
      <c r="Q8" s="2" t="s">
        <v>30</v>
      </c>
      <c r="R8" s="34" t="s">
        <v>119</v>
      </c>
      <c r="S8" s="35">
        <v>1783800</v>
      </c>
      <c r="T8" s="2" t="s">
        <v>44</v>
      </c>
      <c r="U8" s="36">
        <v>0</v>
      </c>
      <c r="V8" s="36">
        <v>-1</v>
      </c>
      <c r="W8" s="37">
        <v>0</v>
      </c>
      <c r="X8" s="38">
        <v>0</v>
      </c>
    </row>
    <row r="9" spans="1:24" x14ac:dyDescent="0.25">
      <c r="A9" s="33" t="s">
        <v>1544</v>
      </c>
      <c r="B9" s="33" t="s">
        <v>1591</v>
      </c>
      <c r="C9" s="33" t="s">
        <v>212</v>
      </c>
      <c r="D9" s="33" t="s">
        <v>1594</v>
      </c>
      <c r="E9" s="33" t="s">
        <v>1595</v>
      </c>
      <c r="F9" s="26" t="str">
        <f>HYPERLINK("https://mapwv.gov/flood/map/?wkid=102100&amp;x=-9061462.416481555&amp;y=4730906.318024245&amp;l=13&amp;v=2","FT")</f>
        <v>FT</v>
      </c>
      <c r="G9" s="44" t="s">
        <v>32</v>
      </c>
      <c r="H9" s="25" t="s">
        <v>25</v>
      </c>
      <c r="I9" s="24" t="s">
        <v>1683</v>
      </c>
      <c r="J9" s="25" t="s">
        <v>39</v>
      </c>
      <c r="K9" s="29" t="s">
        <v>106</v>
      </c>
      <c r="L9" s="29" t="s">
        <v>45</v>
      </c>
      <c r="M9" s="33" t="s">
        <v>46</v>
      </c>
      <c r="N9" s="3" t="s">
        <v>35</v>
      </c>
      <c r="O9" s="34" t="s">
        <v>115</v>
      </c>
      <c r="P9" s="30" t="s">
        <v>1724</v>
      </c>
      <c r="Q9" s="2" t="s">
        <v>30</v>
      </c>
      <c r="R9" s="34" t="s">
        <v>119</v>
      </c>
      <c r="S9" s="35">
        <v>519600</v>
      </c>
      <c r="T9" s="2" t="s">
        <v>44</v>
      </c>
      <c r="U9" s="36">
        <v>0</v>
      </c>
      <c r="V9" s="36">
        <v>-1</v>
      </c>
      <c r="W9" s="37">
        <v>0</v>
      </c>
      <c r="X9" s="38">
        <v>0</v>
      </c>
    </row>
    <row r="10" spans="1:24" x14ac:dyDescent="0.25">
      <c r="A10" s="33" t="s">
        <v>1545</v>
      </c>
      <c r="B10" s="33" t="s">
        <v>1591</v>
      </c>
      <c r="C10" s="33" t="s">
        <v>212</v>
      </c>
      <c r="D10" s="33" t="s">
        <v>1596</v>
      </c>
      <c r="E10" s="33" t="s">
        <v>1597</v>
      </c>
      <c r="F10" s="26" t="str">
        <f>HYPERLINK("https://mapwv.gov/flood/map/?wkid=102100&amp;x=-9060552.219010297&amp;y=4730864.008579338&amp;l=13&amp;v=2","FT")</f>
        <v>FT</v>
      </c>
      <c r="G10" s="44" t="s">
        <v>32</v>
      </c>
      <c r="H10" s="25" t="s">
        <v>25</v>
      </c>
      <c r="I10" s="24" t="s">
        <v>1684</v>
      </c>
      <c r="J10" s="25" t="s">
        <v>39</v>
      </c>
      <c r="K10" s="29" t="s">
        <v>145</v>
      </c>
      <c r="L10" s="29" t="s">
        <v>54</v>
      </c>
      <c r="M10" s="33" t="s">
        <v>72</v>
      </c>
      <c r="N10" s="3" t="s">
        <v>35</v>
      </c>
      <c r="O10" s="34" t="s">
        <v>114</v>
      </c>
      <c r="P10" s="30" t="s">
        <v>1725</v>
      </c>
      <c r="Q10" s="2" t="s">
        <v>30</v>
      </c>
      <c r="R10" s="34" t="s">
        <v>119</v>
      </c>
      <c r="S10" s="35">
        <v>474800</v>
      </c>
      <c r="T10" s="2" t="s">
        <v>44</v>
      </c>
      <c r="U10" s="36">
        <v>0</v>
      </c>
      <c r="V10" s="36">
        <v>-1</v>
      </c>
      <c r="W10" s="37">
        <v>0</v>
      </c>
      <c r="X10" s="38">
        <v>0</v>
      </c>
    </row>
    <row r="11" spans="1:24" x14ac:dyDescent="0.25">
      <c r="A11" s="33" t="s">
        <v>1546</v>
      </c>
      <c r="B11" s="33" t="s">
        <v>1591</v>
      </c>
      <c r="C11" s="33" t="s">
        <v>212</v>
      </c>
      <c r="D11" s="33" t="s">
        <v>1598</v>
      </c>
      <c r="E11" s="33" t="s">
        <v>1599</v>
      </c>
      <c r="F11" s="26" t="str">
        <f>HYPERLINK("https://mapwv.gov/flood/map/?wkid=102100&amp;x=-9060499.285033952&amp;y=4730791.325517101&amp;l=13&amp;v=2","FT")</f>
        <v>FT</v>
      </c>
      <c r="G11" s="44" t="s">
        <v>32</v>
      </c>
      <c r="H11" s="25" t="s">
        <v>25</v>
      </c>
      <c r="I11" s="24" t="s">
        <v>1684</v>
      </c>
      <c r="J11" s="25" t="s">
        <v>39</v>
      </c>
      <c r="K11" s="29" t="s">
        <v>138</v>
      </c>
      <c r="L11" s="29" t="s">
        <v>40</v>
      </c>
      <c r="M11" s="33" t="s">
        <v>59</v>
      </c>
      <c r="N11" s="3" t="s">
        <v>42</v>
      </c>
      <c r="O11" s="34" t="s">
        <v>115</v>
      </c>
      <c r="P11" s="30" t="s">
        <v>1726</v>
      </c>
      <c r="Q11" s="2" t="s">
        <v>30</v>
      </c>
      <c r="R11" s="34" t="s">
        <v>119</v>
      </c>
      <c r="S11" s="35">
        <v>397700</v>
      </c>
      <c r="T11" s="2" t="s">
        <v>31</v>
      </c>
      <c r="U11" s="36">
        <v>0</v>
      </c>
      <c r="V11" s="36">
        <v>-1</v>
      </c>
      <c r="W11" s="37">
        <v>0</v>
      </c>
      <c r="X11" s="38">
        <v>0</v>
      </c>
    </row>
    <row r="12" spans="1:24" x14ac:dyDescent="0.25">
      <c r="A12" s="33" t="s">
        <v>1547</v>
      </c>
      <c r="B12" s="33" t="s">
        <v>1591</v>
      </c>
      <c r="C12" s="33" t="s">
        <v>1588</v>
      </c>
      <c r="D12" s="33" t="s">
        <v>1600</v>
      </c>
      <c r="E12" s="33" t="s">
        <v>1601</v>
      </c>
      <c r="F12" s="26" t="str">
        <f>HYPERLINK("https://mapwv.gov/flood/map/?wkid=102100&amp;x=-9061678.702125844&amp;y=4730544.0671121655&amp;l=13&amp;v=2","FT")</f>
        <v>FT</v>
      </c>
      <c r="G12" s="44" t="s">
        <v>32</v>
      </c>
      <c r="H12" s="25" t="s">
        <v>25</v>
      </c>
      <c r="I12" s="24" t="s">
        <v>1685</v>
      </c>
      <c r="J12" s="25" t="s">
        <v>26</v>
      </c>
      <c r="K12" s="29" t="s">
        <v>141</v>
      </c>
      <c r="L12" s="29" t="s">
        <v>51</v>
      </c>
      <c r="M12" s="33" t="s">
        <v>48</v>
      </c>
      <c r="N12" s="3" t="s">
        <v>35</v>
      </c>
      <c r="O12" s="34" t="s">
        <v>114</v>
      </c>
      <c r="P12" s="30" t="s">
        <v>1727</v>
      </c>
      <c r="Q12" s="2" t="s">
        <v>30</v>
      </c>
      <c r="R12" s="34" t="s">
        <v>119</v>
      </c>
      <c r="S12" s="35">
        <v>371000</v>
      </c>
      <c r="T12" s="2" t="s">
        <v>44</v>
      </c>
      <c r="U12" s="36">
        <v>0</v>
      </c>
      <c r="V12" s="36">
        <v>-1</v>
      </c>
      <c r="W12" s="37">
        <v>0</v>
      </c>
      <c r="X12" s="38">
        <v>0</v>
      </c>
    </row>
    <row r="13" spans="1:24" x14ac:dyDescent="0.25">
      <c r="A13" s="33" t="s">
        <v>1548</v>
      </c>
      <c r="B13" s="33" t="s">
        <v>1591</v>
      </c>
      <c r="C13" s="33" t="s">
        <v>212</v>
      </c>
      <c r="D13" s="33" t="s">
        <v>1602</v>
      </c>
      <c r="E13" s="33" t="s">
        <v>1603</v>
      </c>
      <c r="F13" s="26" t="str">
        <f>HYPERLINK("https://mapwv.gov/flood/map/?wkid=102100&amp;x=-9060382.889930977&amp;y=4729950.516211201&amp;l=13&amp;v=2","FT")</f>
        <v>FT</v>
      </c>
      <c r="G13" s="44" t="s">
        <v>32</v>
      </c>
      <c r="H13" s="25" t="s">
        <v>25</v>
      </c>
      <c r="I13" s="24" t="s">
        <v>1684</v>
      </c>
      <c r="J13" s="25" t="s">
        <v>39</v>
      </c>
      <c r="K13" s="29" t="s">
        <v>138</v>
      </c>
      <c r="L13" s="29" t="s">
        <v>40</v>
      </c>
      <c r="M13" s="33" t="s">
        <v>59</v>
      </c>
      <c r="N13" s="3" t="s">
        <v>42</v>
      </c>
      <c r="O13" s="34" t="s">
        <v>115</v>
      </c>
      <c r="P13" s="30" t="s">
        <v>1728</v>
      </c>
      <c r="Q13" s="2" t="s">
        <v>30</v>
      </c>
      <c r="R13" s="34" t="s">
        <v>119</v>
      </c>
      <c r="S13" s="35">
        <v>357500</v>
      </c>
      <c r="T13" s="2" t="s">
        <v>31</v>
      </c>
      <c r="U13" s="36">
        <v>0</v>
      </c>
      <c r="V13" s="36">
        <v>-1</v>
      </c>
      <c r="W13" s="37">
        <v>0</v>
      </c>
      <c r="X13" s="38">
        <v>0</v>
      </c>
    </row>
    <row r="14" spans="1:24" x14ac:dyDescent="0.25">
      <c r="A14" s="33" t="s">
        <v>1549</v>
      </c>
      <c r="B14" s="33" t="s">
        <v>1587</v>
      </c>
      <c r="C14" s="33" t="s">
        <v>1604</v>
      </c>
      <c r="D14" s="33" t="s">
        <v>1605</v>
      </c>
      <c r="E14" s="33" t="s">
        <v>1606</v>
      </c>
      <c r="F14" s="26" t="str">
        <f>HYPERLINK("https://mapwv.gov/flood/map/?wkid=102100&amp;x=-9048862.041869104&amp;y=4726782.5670441445&amp;l=13&amp;v=2","FT")</f>
        <v>FT</v>
      </c>
      <c r="G14" s="44" t="s">
        <v>38</v>
      </c>
      <c r="H14" s="25" t="s">
        <v>25</v>
      </c>
      <c r="I14" s="24" t="s">
        <v>1686</v>
      </c>
      <c r="J14" s="25" t="s">
        <v>26</v>
      </c>
      <c r="K14" s="29" t="s">
        <v>1721</v>
      </c>
      <c r="L14" s="29" t="s">
        <v>37</v>
      </c>
      <c r="M14" s="33" t="s">
        <v>48</v>
      </c>
      <c r="N14" s="3" t="s">
        <v>35</v>
      </c>
      <c r="O14" s="34" t="s">
        <v>114</v>
      </c>
      <c r="P14" s="30" t="s">
        <v>1729</v>
      </c>
      <c r="Q14" s="2" t="s">
        <v>30</v>
      </c>
      <c r="R14" s="34" t="s">
        <v>119</v>
      </c>
      <c r="S14" s="35">
        <v>332000</v>
      </c>
      <c r="T14" s="2" t="s">
        <v>31</v>
      </c>
      <c r="U14" s="36">
        <v>1</v>
      </c>
      <c r="V14" s="36">
        <v>0</v>
      </c>
      <c r="W14" s="37">
        <v>0.01</v>
      </c>
      <c r="X14" s="38">
        <v>3320</v>
      </c>
    </row>
    <row r="15" spans="1:24" x14ac:dyDescent="0.25">
      <c r="A15" s="33" t="s">
        <v>1550</v>
      </c>
      <c r="B15" s="33" t="s">
        <v>1587</v>
      </c>
      <c r="C15" s="33" t="s">
        <v>1607</v>
      </c>
      <c r="D15" s="33" t="s">
        <v>1608</v>
      </c>
      <c r="E15" s="33" t="s">
        <v>1609</v>
      </c>
      <c r="F15" s="26" t="str">
        <f>HYPERLINK("https://mapwv.gov/flood/map/?wkid=102100&amp;x=-9058029.968259301&amp;y=4721918.938347024&amp;l=13&amp;v=2","FT")</f>
        <v>FT</v>
      </c>
      <c r="G15" s="44" t="s">
        <v>38</v>
      </c>
      <c r="H15" s="25" t="s">
        <v>25</v>
      </c>
      <c r="I15" s="24" t="s">
        <v>1687</v>
      </c>
      <c r="J15" s="25" t="s">
        <v>39</v>
      </c>
      <c r="K15" s="29" t="s">
        <v>970</v>
      </c>
      <c r="L15" s="29" t="s">
        <v>27</v>
      </c>
      <c r="M15" s="33" t="s">
        <v>67</v>
      </c>
      <c r="N15" s="3" t="s">
        <v>112</v>
      </c>
      <c r="O15" s="34" t="s">
        <v>114</v>
      </c>
      <c r="P15" s="30" t="s">
        <v>1730</v>
      </c>
      <c r="Q15" s="2" t="s">
        <v>30</v>
      </c>
      <c r="R15" s="34" t="s">
        <v>119</v>
      </c>
      <c r="S15" s="35">
        <v>304400</v>
      </c>
      <c r="T15" s="2" t="s">
        <v>44</v>
      </c>
      <c r="U15" s="36">
        <v>0</v>
      </c>
      <c r="V15" s="36">
        <v>-1</v>
      </c>
      <c r="W15" s="37">
        <v>0</v>
      </c>
      <c r="X15" s="38">
        <v>0</v>
      </c>
    </row>
    <row r="16" spans="1:24" x14ac:dyDescent="0.25">
      <c r="A16" s="33" t="s">
        <v>1551</v>
      </c>
      <c r="B16" s="33" t="s">
        <v>1587</v>
      </c>
      <c r="C16" s="33" t="s">
        <v>1610</v>
      </c>
      <c r="D16" s="33" t="s">
        <v>1611</v>
      </c>
      <c r="E16" s="33" t="s">
        <v>1612</v>
      </c>
      <c r="F16" s="26" t="str">
        <f>HYPERLINK("https://mapwv.gov/flood/map/?wkid=102100&amp;x=-9053717.082607139&amp;y=4720800.741551897&amp;l=13&amp;v=2","FT")</f>
        <v>FT</v>
      </c>
      <c r="G16" s="44" t="s">
        <v>38</v>
      </c>
      <c r="H16" s="25" t="s">
        <v>25</v>
      </c>
      <c r="I16" s="24" t="s">
        <v>1688</v>
      </c>
      <c r="J16" s="25" t="s">
        <v>36</v>
      </c>
      <c r="K16" s="29" t="s">
        <v>144</v>
      </c>
      <c r="L16" s="29" t="s">
        <v>45</v>
      </c>
      <c r="M16" s="33" t="s">
        <v>41</v>
      </c>
      <c r="N16" s="3" t="s">
        <v>42</v>
      </c>
      <c r="O16" s="34" t="s">
        <v>114</v>
      </c>
      <c r="P16" s="30" t="s">
        <v>1731</v>
      </c>
      <c r="Q16" s="2" t="s">
        <v>43</v>
      </c>
      <c r="R16" s="34" t="s">
        <v>120</v>
      </c>
      <c r="S16" s="35">
        <v>258000</v>
      </c>
      <c r="T16" s="2" t="s">
        <v>44</v>
      </c>
      <c r="U16" s="36">
        <v>0</v>
      </c>
      <c r="V16" s="36">
        <v>-4</v>
      </c>
      <c r="W16" s="37">
        <v>0</v>
      </c>
      <c r="X16" s="38">
        <v>0</v>
      </c>
    </row>
    <row r="17" spans="1:24" x14ac:dyDescent="0.25">
      <c r="A17" s="33" t="s">
        <v>1552</v>
      </c>
      <c r="B17" s="33" t="s">
        <v>1587</v>
      </c>
      <c r="C17" s="33" t="s">
        <v>860</v>
      </c>
      <c r="D17" s="33" t="s">
        <v>1613</v>
      </c>
      <c r="E17" s="33" t="s">
        <v>1614</v>
      </c>
      <c r="F17" s="26" t="str">
        <f>HYPERLINK("https://mapwv.gov/flood/map/?wkid=102100&amp;x=-9055082.971979933&amp;y=4742136.290477569&amp;l=13&amp;v=2","FT")</f>
        <v>FT</v>
      </c>
      <c r="G17" s="44" t="s">
        <v>38</v>
      </c>
      <c r="H17" s="25" t="s">
        <v>25</v>
      </c>
      <c r="I17" s="24" t="s">
        <v>1689</v>
      </c>
      <c r="J17" s="25" t="s">
        <v>39</v>
      </c>
      <c r="K17" s="29" t="s">
        <v>143</v>
      </c>
      <c r="L17" s="29"/>
      <c r="M17" s="33" t="s">
        <v>52</v>
      </c>
      <c r="N17" s="3" t="s">
        <v>35</v>
      </c>
      <c r="O17" s="34" t="s">
        <v>114</v>
      </c>
      <c r="P17" s="30" t="s">
        <v>1732</v>
      </c>
      <c r="Q17" s="2" t="s">
        <v>30</v>
      </c>
      <c r="R17" s="34" t="s">
        <v>119</v>
      </c>
      <c r="S17" s="35">
        <v>249665</v>
      </c>
      <c r="T17" s="2" t="s">
        <v>121</v>
      </c>
      <c r="U17" s="36">
        <v>2</v>
      </c>
      <c r="V17" s="36">
        <v>1</v>
      </c>
      <c r="W17" s="37">
        <v>0.09</v>
      </c>
      <c r="X17" s="38">
        <v>22469.85</v>
      </c>
    </row>
    <row r="18" spans="1:24" x14ac:dyDescent="0.25">
      <c r="A18" s="33" t="s">
        <v>1553</v>
      </c>
      <c r="B18" s="33" t="s">
        <v>1587</v>
      </c>
      <c r="C18" s="33" t="s">
        <v>860</v>
      </c>
      <c r="D18" s="33" t="s">
        <v>1615</v>
      </c>
      <c r="E18" s="33" t="s">
        <v>1616</v>
      </c>
      <c r="F18" s="26" t="str">
        <f>HYPERLINK("https://mapwv.gov/flood/map/?wkid=102100&amp;x=-9058709.332855217&amp;y=4740148.718114846&amp;l=13&amp;v=2","FT")</f>
        <v>FT</v>
      </c>
      <c r="G18" s="44" t="s">
        <v>38</v>
      </c>
      <c r="H18" s="25" t="s">
        <v>25</v>
      </c>
      <c r="I18" s="24" t="s">
        <v>1690</v>
      </c>
      <c r="J18" s="25" t="s">
        <v>26</v>
      </c>
      <c r="K18" s="29" t="s">
        <v>99</v>
      </c>
      <c r="L18" s="29" t="s">
        <v>38</v>
      </c>
      <c r="M18" s="33" t="s">
        <v>41</v>
      </c>
      <c r="N18" s="3" t="s">
        <v>42</v>
      </c>
      <c r="O18" s="34" t="s">
        <v>114</v>
      </c>
      <c r="P18" s="30" t="s">
        <v>1733</v>
      </c>
      <c r="Q18" s="2" t="s">
        <v>43</v>
      </c>
      <c r="R18" s="34" t="s">
        <v>120</v>
      </c>
      <c r="S18" s="35">
        <v>224600</v>
      </c>
      <c r="T18" s="2" t="s">
        <v>44</v>
      </c>
      <c r="U18" s="36">
        <v>0</v>
      </c>
      <c r="V18" s="36">
        <v>-4</v>
      </c>
      <c r="W18" s="37">
        <v>0</v>
      </c>
      <c r="X18" s="38">
        <v>0</v>
      </c>
    </row>
    <row r="19" spans="1:24" x14ac:dyDescent="0.25">
      <c r="A19" s="33" t="s">
        <v>1554</v>
      </c>
      <c r="B19" s="33" t="s">
        <v>1587</v>
      </c>
      <c r="C19" s="33" t="s">
        <v>860</v>
      </c>
      <c r="D19" s="33" t="s">
        <v>1617</v>
      </c>
      <c r="E19" s="33" t="s">
        <v>1618</v>
      </c>
      <c r="F19" s="26" t="str">
        <f>HYPERLINK("https://mapwv.gov/flood/map/?wkid=102100&amp;x=-9058645.707532337&amp;y=4740578.435569695&amp;l=13&amp;v=2","FT")</f>
        <v>FT</v>
      </c>
      <c r="G19" s="44" t="s">
        <v>38</v>
      </c>
      <c r="H19" s="25" t="s">
        <v>25</v>
      </c>
      <c r="I19" s="24" t="s">
        <v>1691</v>
      </c>
      <c r="J19" s="25" t="s">
        <v>26</v>
      </c>
      <c r="K19" s="29" t="s">
        <v>129</v>
      </c>
      <c r="L19" s="29" t="s">
        <v>54</v>
      </c>
      <c r="M19" s="33" t="s">
        <v>67</v>
      </c>
      <c r="N19" s="3" t="s">
        <v>112</v>
      </c>
      <c r="O19" s="34" t="s">
        <v>114</v>
      </c>
      <c r="P19" s="30" t="s">
        <v>1734</v>
      </c>
      <c r="Q19" s="2" t="s">
        <v>30</v>
      </c>
      <c r="R19" s="34" t="s">
        <v>119</v>
      </c>
      <c r="S19" s="35">
        <v>210330</v>
      </c>
      <c r="T19" s="2" t="s">
        <v>31</v>
      </c>
      <c r="U19" s="36">
        <v>0</v>
      </c>
      <c r="V19" s="36">
        <v>-1</v>
      </c>
      <c r="W19" s="37">
        <v>0</v>
      </c>
      <c r="X19" s="38">
        <v>0</v>
      </c>
    </row>
    <row r="20" spans="1:24" x14ac:dyDescent="0.25">
      <c r="A20" s="33" t="s">
        <v>1555</v>
      </c>
      <c r="B20" s="33" t="s">
        <v>1587</v>
      </c>
      <c r="C20" s="33" t="s">
        <v>860</v>
      </c>
      <c r="D20" s="33" t="s">
        <v>1619</v>
      </c>
      <c r="E20" s="33" t="s">
        <v>1620</v>
      </c>
      <c r="F20" s="26" t="str">
        <f>HYPERLINK("https://mapwv.gov/flood/map/?wkid=102100&amp;x=-9054204.079998516&amp;y=4741628.620348972&amp;l=13&amp;v=2","FT")</f>
        <v>FT</v>
      </c>
      <c r="G20" s="44" t="s">
        <v>38</v>
      </c>
      <c r="H20" s="25" t="s">
        <v>25</v>
      </c>
      <c r="I20" s="24" t="s">
        <v>1692</v>
      </c>
      <c r="J20" s="25" t="s">
        <v>26</v>
      </c>
      <c r="K20" s="29" t="s">
        <v>1721</v>
      </c>
      <c r="L20" s="29" t="s">
        <v>51</v>
      </c>
      <c r="M20" s="33" t="s">
        <v>41</v>
      </c>
      <c r="N20" s="3" t="s">
        <v>42</v>
      </c>
      <c r="O20" s="34" t="s">
        <v>114</v>
      </c>
      <c r="P20" s="30" t="s">
        <v>1735</v>
      </c>
      <c r="Q20" s="2" t="s">
        <v>43</v>
      </c>
      <c r="R20" s="34" t="s">
        <v>120</v>
      </c>
      <c r="S20" s="35">
        <v>197700</v>
      </c>
      <c r="T20" s="2" t="s">
        <v>44</v>
      </c>
      <c r="U20" s="36">
        <v>0</v>
      </c>
      <c r="V20" s="36">
        <v>-4</v>
      </c>
      <c r="W20" s="37">
        <v>0</v>
      </c>
      <c r="X20" s="38">
        <v>0</v>
      </c>
    </row>
    <row r="21" spans="1:24" x14ac:dyDescent="0.25">
      <c r="A21" s="33" t="s">
        <v>1556</v>
      </c>
      <c r="B21" s="33" t="s">
        <v>1587</v>
      </c>
      <c r="C21" s="33" t="s">
        <v>212</v>
      </c>
      <c r="D21" s="33" t="s">
        <v>1621</v>
      </c>
      <c r="E21" s="33" t="s">
        <v>1622</v>
      </c>
      <c r="F21" s="26" t="str">
        <f>HYPERLINK("https://mapwv.gov/flood/map/?wkid=102100&amp;x=-9059123.32336231&amp;y=4733971.362410122&amp;l=13&amp;v=2","FT")</f>
        <v>FT</v>
      </c>
      <c r="G21" s="44" t="s">
        <v>38</v>
      </c>
      <c r="H21" s="25" t="s">
        <v>25</v>
      </c>
      <c r="I21" s="24" t="s">
        <v>1693</v>
      </c>
      <c r="J21" s="25" t="s">
        <v>39</v>
      </c>
      <c r="K21" s="29" t="s">
        <v>141</v>
      </c>
      <c r="L21" s="29" t="s">
        <v>45</v>
      </c>
      <c r="M21" s="33" t="s">
        <v>41</v>
      </c>
      <c r="N21" s="3" t="s">
        <v>42</v>
      </c>
      <c r="O21" s="34" t="s">
        <v>115</v>
      </c>
      <c r="P21" s="30" t="s">
        <v>1508</v>
      </c>
      <c r="Q21" s="2" t="s">
        <v>43</v>
      </c>
      <c r="R21" s="34" t="s">
        <v>120</v>
      </c>
      <c r="S21" s="35">
        <v>188700</v>
      </c>
      <c r="T21" s="2" t="s">
        <v>44</v>
      </c>
      <c r="U21" s="36">
        <v>0</v>
      </c>
      <c r="V21" s="36">
        <v>-4</v>
      </c>
      <c r="W21" s="37">
        <v>0</v>
      </c>
      <c r="X21" s="38">
        <v>0</v>
      </c>
    </row>
    <row r="22" spans="1:24" x14ac:dyDescent="0.25">
      <c r="A22" s="33" t="s">
        <v>1557</v>
      </c>
      <c r="B22" s="33" t="s">
        <v>1587</v>
      </c>
      <c r="C22" s="33" t="s">
        <v>212</v>
      </c>
      <c r="D22" s="33" t="s">
        <v>1623</v>
      </c>
      <c r="E22" s="33" t="s">
        <v>1624</v>
      </c>
      <c r="F22" s="26" t="str">
        <f>HYPERLINK("https://mapwv.gov/flood/map/?wkid=102100&amp;x=-9058572.430809606&amp;y=4734015.779299305&amp;l=13&amp;v=2","FT")</f>
        <v>FT</v>
      </c>
      <c r="G22" s="44" t="s">
        <v>38</v>
      </c>
      <c r="H22" s="25" t="s">
        <v>25</v>
      </c>
      <c r="I22" s="24" t="s">
        <v>1694</v>
      </c>
      <c r="J22" s="25" t="s">
        <v>26</v>
      </c>
      <c r="K22" s="29" t="s">
        <v>99</v>
      </c>
      <c r="L22" s="29" t="s">
        <v>45</v>
      </c>
      <c r="M22" s="33" t="s">
        <v>41</v>
      </c>
      <c r="N22" s="3" t="s">
        <v>42</v>
      </c>
      <c r="O22" s="34" t="s">
        <v>114</v>
      </c>
      <c r="P22" s="30" t="s">
        <v>1736</v>
      </c>
      <c r="Q22" s="2" t="s">
        <v>53</v>
      </c>
      <c r="R22" s="34" t="s">
        <v>120</v>
      </c>
      <c r="S22" s="35">
        <v>185400</v>
      </c>
      <c r="T22" s="2" t="s">
        <v>44</v>
      </c>
      <c r="U22" s="36">
        <v>0</v>
      </c>
      <c r="V22" s="36">
        <v>-4</v>
      </c>
      <c r="W22" s="37">
        <v>0</v>
      </c>
      <c r="X22" s="38">
        <v>0</v>
      </c>
    </row>
    <row r="23" spans="1:24" x14ac:dyDescent="0.25">
      <c r="A23" s="33" t="s">
        <v>1558</v>
      </c>
      <c r="B23" s="33" t="s">
        <v>1587</v>
      </c>
      <c r="C23" s="33" t="s">
        <v>212</v>
      </c>
      <c r="D23" s="33" t="s">
        <v>1625</v>
      </c>
      <c r="E23" s="33" t="s">
        <v>1626</v>
      </c>
      <c r="F23" s="26" t="str">
        <f>HYPERLINK("https://mapwv.gov/flood/map/?wkid=102100&amp;x=-9058552.35678847&amp;y=4733924.37113211&amp;l=13&amp;v=2","FT")</f>
        <v>FT</v>
      </c>
      <c r="G23" s="44" t="s">
        <v>38</v>
      </c>
      <c r="H23" s="25" t="s">
        <v>25</v>
      </c>
      <c r="I23" s="24" t="s">
        <v>1695</v>
      </c>
      <c r="J23" s="25" t="s">
        <v>26</v>
      </c>
      <c r="K23" s="29" t="s">
        <v>122</v>
      </c>
      <c r="L23" s="29"/>
      <c r="M23" s="33" t="s">
        <v>28</v>
      </c>
      <c r="N23" s="3" t="s">
        <v>111</v>
      </c>
      <c r="O23" s="34" t="s">
        <v>114</v>
      </c>
      <c r="P23" s="30" t="s">
        <v>164</v>
      </c>
      <c r="Q23" s="2" t="s">
        <v>30</v>
      </c>
      <c r="R23" s="34" t="s">
        <v>119</v>
      </c>
      <c r="S23" s="35">
        <v>183000</v>
      </c>
      <c r="T23" s="2" t="s">
        <v>121</v>
      </c>
      <c r="U23" s="36">
        <v>0.81512450000000003</v>
      </c>
      <c r="V23" s="36">
        <v>-0.18487548828125</v>
      </c>
      <c r="W23" s="37">
        <v>0</v>
      </c>
      <c r="X23" s="38">
        <v>0</v>
      </c>
    </row>
    <row r="24" spans="1:24" x14ac:dyDescent="0.25">
      <c r="A24" s="33" t="s">
        <v>1559</v>
      </c>
      <c r="B24" s="33" t="s">
        <v>1587</v>
      </c>
      <c r="C24" s="33" t="s">
        <v>1604</v>
      </c>
      <c r="D24" s="33" t="s">
        <v>1627</v>
      </c>
      <c r="E24" s="33" t="s">
        <v>1628</v>
      </c>
      <c r="F24" s="26" t="str">
        <f>HYPERLINK("https://mapwv.gov/flood/map/?wkid=102100&amp;x=-9058153.790932665&amp;y=4731182.706911012&amp;l=13&amp;v=2","FT")</f>
        <v>FT</v>
      </c>
      <c r="G24" s="44" t="s">
        <v>38</v>
      </c>
      <c r="H24" s="25" t="s">
        <v>25</v>
      </c>
      <c r="I24" s="24" t="s">
        <v>1696</v>
      </c>
      <c r="J24" s="25" t="s">
        <v>39</v>
      </c>
      <c r="K24" s="29" t="s">
        <v>139</v>
      </c>
      <c r="L24" s="29" t="s">
        <v>45</v>
      </c>
      <c r="M24" s="33" t="s">
        <v>41</v>
      </c>
      <c r="N24" s="3" t="s">
        <v>42</v>
      </c>
      <c r="O24" s="34" t="s">
        <v>114</v>
      </c>
      <c r="P24" s="30" t="s">
        <v>1737</v>
      </c>
      <c r="Q24" s="2" t="s">
        <v>43</v>
      </c>
      <c r="R24" s="34" t="s">
        <v>120</v>
      </c>
      <c r="S24" s="35">
        <v>177600</v>
      </c>
      <c r="T24" s="2" t="s">
        <v>31</v>
      </c>
      <c r="U24" s="36">
        <v>0</v>
      </c>
      <c r="V24" s="36">
        <v>-4</v>
      </c>
      <c r="W24" s="37">
        <v>0</v>
      </c>
      <c r="X24" s="38">
        <v>0</v>
      </c>
    </row>
    <row r="25" spans="1:24" x14ac:dyDescent="0.25">
      <c r="A25" s="33" t="s">
        <v>1560</v>
      </c>
      <c r="B25" s="33" t="s">
        <v>1587</v>
      </c>
      <c r="C25" s="33" t="s">
        <v>212</v>
      </c>
      <c r="D25" s="33" t="s">
        <v>1629</v>
      </c>
      <c r="E25" s="33" t="s">
        <v>1630</v>
      </c>
      <c r="F25" s="26" t="str">
        <f>HYPERLINK("https://mapwv.gov/flood/map/?wkid=102100&amp;x=-9061331.500975523&amp;y=4731322.433239371&amp;l=13&amp;v=2","FT")</f>
        <v>FT</v>
      </c>
      <c r="G25" s="44" t="s">
        <v>32</v>
      </c>
      <c r="H25" s="25" t="s">
        <v>25</v>
      </c>
      <c r="I25" s="24" t="s">
        <v>1697</v>
      </c>
      <c r="J25" s="25" t="s">
        <v>39</v>
      </c>
      <c r="K25" s="29" t="s">
        <v>87</v>
      </c>
      <c r="L25" s="29"/>
      <c r="M25" s="33" t="s">
        <v>41</v>
      </c>
      <c r="N25" s="3" t="s">
        <v>42</v>
      </c>
      <c r="O25" s="34" t="s">
        <v>114</v>
      </c>
      <c r="P25" s="30" t="s">
        <v>1738</v>
      </c>
      <c r="Q25" s="2" t="s">
        <v>30</v>
      </c>
      <c r="R25" s="34" t="s">
        <v>119</v>
      </c>
      <c r="S25" s="35">
        <v>177500</v>
      </c>
      <c r="T25" s="2" t="s">
        <v>155</v>
      </c>
      <c r="U25" s="36">
        <v>0</v>
      </c>
      <c r="V25" s="36">
        <v>-1</v>
      </c>
      <c r="W25" s="37">
        <v>0</v>
      </c>
      <c r="X25" s="38">
        <v>0</v>
      </c>
    </row>
    <row r="26" spans="1:24" x14ac:dyDescent="0.25">
      <c r="A26" s="33" t="s">
        <v>1561</v>
      </c>
      <c r="B26" s="33" t="s">
        <v>1587</v>
      </c>
      <c r="C26" s="33" t="s">
        <v>212</v>
      </c>
      <c r="D26" s="33" t="s">
        <v>1631</v>
      </c>
      <c r="E26" s="33" t="s">
        <v>1632</v>
      </c>
      <c r="F26" s="26" t="str">
        <f>HYPERLINK("https://mapwv.gov/flood/map/?wkid=102100&amp;x=-9061281.1720979&amp;y=4731310.073634635&amp;l=13&amp;v=2","FT")</f>
        <v>FT</v>
      </c>
      <c r="G26" s="44" t="s">
        <v>32</v>
      </c>
      <c r="H26" s="25" t="s">
        <v>25</v>
      </c>
      <c r="I26" s="24" t="s">
        <v>1698</v>
      </c>
      <c r="J26" s="25" t="s">
        <v>39</v>
      </c>
      <c r="K26" s="29" t="s">
        <v>139</v>
      </c>
      <c r="L26" s="29" t="s">
        <v>27</v>
      </c>
      <c r="M26" s="33" t="s">
        <v>41</v>
      </c>
      <c r="N26" s="3" t="s">
        <v>42</v>
      </c>
      <c r="O26" s="34" t="s">
        <v>114</v>
      </c>
      <c r="P26" s="30" t="s">
        <v>1739</v>
      </c>
      <c r="Q26" s="2" t="s">
        <v>53</v>
      </c>
      <c r="R26" s="34" t="s">
        <v>120</v>
      </c>
      <c r="S26" s="35">
        <v>167100</v>
      </c>
      <c r="T26" s="2" t="s">
        <v>44</v>
      </c>
      <c r="U26" s="36">
        <v>0</v>
      </c>
      <c r="V26" s="36">
        <v>-4</v>
      </c>
      <c r="W26" s="37">
        <v>0</v>
      </c>
      <c r="X26" s="38">
        <v>0</v>
      </c>
    </row>
    <row r="27" spans="1:24" x14ac:dyDescent="0.25">
      <c r="A27" s="33" t="s">
        <v>1562</v>
      </c>
      <c r="B27" s="33" t="s">
        <v>1587</v>
      </c>
      <c r="C27" s="33" t="s">
        <v>212</v>
      </c>
      <c r="D27" s="33" t="s">
        <v>1633</v>
      </c>
      <c r="E27" s="33" t="s">
        <v>1634</v>
      </c>
      <c r="F27" s="26" t="str">
        <f>HYPERLINK("https://mapwv.gov/flood/map/?wkid=102100&amp;x=-9061240.132497828&amp;y=4731299.666848544&amp;l=13&amp;v=2","FT")</f>
        <v>FT</v>
      </c>
      <c r="G27" s="44" t="s">
        <v>32</v>
      </c>
      <c r="H27" s="25" t="s">
        <v>25</v>
      </c>
      <c r="I27" s="24" t="s">
        <v>1698</v>
      </c>
      <c r="J27" s="25" t="s">
        <v>26</v>
      </c>
      <c r="K27" s="29" t="s">
        <v>89</v>
      </c>
      <c r="L27" s="29" t="s">
        <v>45</v>
      </c>
      <c r="M27" s="33" t="s">
        <v>41</v>
      </c>
      <c r="N27" s="3" t="s">
        <v>42</v>
      </c>
      <c r="O27" s="34" t="s">
        <v>114</v>
      </c>
      <c r="P27" s="30" t="s">
        <v>138</v>
      </c>
      <c r="Q27" s="2" t="s">
        <v>53</v>
      </c>
      <c r="R27" s="34" t="s">
        <v>120</v>
      </c>
      <c r="S27" s="35">
        <v>159200</v>
      </c>
      <c r="T27" s="2" t="s">
        <v>44</v>
      </c>
      <c r="U27" s="36">
        <v>0</v>
      </c>
      <c r="V27" s="36">
        <v>-4</v>
      </c>
      <c r="W27" s="37">
        <v>0</v>
      </c>
      <c r="X27" s="38">
        <v>0</v>
      </c>
    </row>
    <row r="28" spans="1:24" x14ac:dyDescent="0.25">
      <c r="A28" s="33" t="s">
        <v>1563</v>
      </c>
      <c r="B28" s="33" t="s">
        <v>1587</v>
      </c>
      <c r="C28" s="33" t="s">
        <v>212</v>
      </c>
      <c r="D28" s="33" t="s">
        <v>1635</v>
      </c>
      <c r="E28" s="33" t="s">
        <v>1636</v>
      </c>
      <c r="F28" s="26" t="str">
        <f>HYPERLINK("https://mapwv.gov/flood/map/?wkid=102100&amp;x=-9060224.391570192&amp;y=4730786.985837597&amp;l=13&amp;v=2","FT")</f>
        <v>FT</v>
      </c>
      <c r="G28" s="44" t="s">
        <v>32</v>
      </c>
      <c r="H28" s="25" t="s">
        <v>25</v>
      </c>
      <c r="I28" s="24" t="s">
        <v>1699</v>
      </c>
      <c r="J28" s="25" t="s">
        <v>26</v>
      </c>
      <c r="K28" s="29" t="s">
        <v>169</v>
      </c>
      <c r="L28" s="29" t="s">
        <v>51</v>
      </c>
      <c r="M28" s="33" t="s">
        <v>41</v>
      </c>
      <c r="N28" s="3" t="s">
        <v>42</v>
      </c>
      <c r="O28" s="34" t="s">
        <v>114</v>
      </c>
      <c r="P28" s="30" t="s">
        <v>138</v>
      </c>
      <c r="Q28" s="2" t="s">
        <v>53</v>
      </c>
      <c r="R28" s="34" t="s">
        <v>120</v>
      </c>
      <c r="S28" s="35">
        <v>154200</v>
      </c>
      <c r="T28" s="2" t="s">
        <v>44</v>
      </c>
      <c r="U28" s="36">
        <v>0</v>
      </c>
      <c r="V28" s="36">
        <v>-4</v>
      </c>
      <c r="W28" s="37">
        <v>0</v>
      </c>
      <c r="X28" s="38">
        <v>0</v>
      </c>
    </row>
    <row r="29" spans="1:24" x14ac:dyDescent="0.25">
      <c r="A29" s="33" t="s">
        <v>1564</v>
      </c>
      <c r="B29" s="33" t="s">
        <v>1587</v>
      </c>
      <c r="C29" s="33" t="s">
        <v>212</v>
      </c>
      <c r="D29" s="33" t="s">
        <v>1637</v>
      </c>
      <c r="E29" s="33" t="s">
        <v>1638</v>
      </c>
      <c r="F29" s="26" t="str">
        <f>HYPERLINK("https://mapwv.gov/flood/map/?wkid=102100&amp;x=-9060177.258007238&amp;y=4730716.512363944&amp;l=13&amp;v=2","FT")</f>
        <v>FT</v>
      </c>
      <c r="G29" s="44" t="s">
        <v>32</v>
      </c>
      <c r="H29" s="25" t="s">
        <v>25</v>
      </c>
      <c r="I29" s="24" t="s">
        <v>1700</v>
      </c>
      <c r="J29" s="25" t="s">
        <v>26</v>
      </c>
      <c r="K29" s="29" t="s">
        <v>970</v>
      </c>
      <c r="L29" s="29" t="s">
        <v>47</v>
      </c>
      <c r="M29" s="33" t="s">
        <v>41</v>
      </c>
      <c r="N29" s="3" t="s">
        <v>42</v>
      </c>
      <c r="O29" s="34" t="s">
        <v>114</v>
      </c>
      <c r="P29" s="30" t="s">
        <v>992</v>
      </c>
      <c r="Q29" s="2" t="s">
        <v>43</v>
      </c>
      <c r="R29" s="34" t="s">
        <v>120</v>
      </c>
      <c r="S29" s="35">
        <v>151700</v>
      </c>
      <c r="T29" s="2" t="s">
        <v>44</v>
      </c>
      <c r="U29" s="36">
        <v>0</v>
      </c>
      <c r="V29" s="36">
        <v>-4</v>
      </c>
      <c r="W29" s="37">
        <v>0</v>
      </c>
      <c r="X29" s="38">
        <v>0</v>
      </c>
    </row>
    <row r="30" spans="1:24" x14ac:dyDescent="0.25">
      <c r="A30" s="33" t="s">
        <v>1565</v>
      </c>
      <c r="B30" s="33" t="s">
        <v>1587</v>
      </c>
      <c r="C30" s="33" t="s">
        <v>1639</v>
      </c>
      <c r="D30" s="33" t="s">
        <v>1640</v>
      </c>
      <c r="E30" s="33" t="s">
        <v>1641</v>
      </c>
      <c r="F30" s="26" t="str">
        <f>HYPERLINK("https://mapwv.gov/flood/map/?wkid=102100&amp;x=-9065041.544274257&amp;y=4722883.501257464&amp;l=13&amp;v=2","FT")</f>
        <v>FT</v>
      </c>
      <c r="G30" s="44" t="s">
        <v>38</v>
      </c>
      <c r="H30" s="25" t="s">
        <v>25</v>
      </c>
      <c r="I30" s="24" t="s">
        <v>1701</v>
      </c>
      <c r="J30" s="25" t="s">
        <v>26</v>
      </c>
      <c r="K30" s="29" t="s">
        <v>84</v>
      </c>
      <c r="L30" s="29" t="s">
        <v>45</v>
      </c>
      <c r="M30" s="33" t="s">
        <v>41</v>
      </c>
      <c r="N30" s="3" t="s">
        <v>42</v>
      </c>
      <c r="O30" s="34" t="s">
        <v>114</v>
      </c>
      <c r="P30" s="30" t="s">
        <v>91</v>
      </c>
      <c r="Q30" s="2" t="s">
        <v>43</v>
      </c>
      <c r="R30" s="34" t="s">
        <v>120</v>
      </c>
      <c r="S30" s="35">
        <v>148700</v>
      </c>
      <c r="T30" s="2" t="s">
        <v>44</v>
      </c>
      <c r="U30" s="36">
        <v>0</v>
      </c>
      <c r="V30" s="36">
        <v>-4</v>
      </c>
      <c r="W30" s="37">
        <v>0</v>
      </c>
      <c r="X30" s="38">
        <v>0</v>
      </c>
    </row>
    <row r="31" spans="1:24" x14ac:dyDescent="0.25">
      <c r="A31" s="33" t="s">
        <v>1566</v>
      </c>
      <c r="B31" s="33" t="s">
        <v>1591</v>
      </c>
      <c r="C31" s="33" t="s">
        <v>212</v>
      </c>
      <c r="D31" s="33" t="s">
        <v>1642</v>
      </c>
      <c r="E31" s="33" t="s">
        <v>1643</v>
      </c>
      <c r="F31" s="26" t="str">
        <f>HYPERLINK("https://mapwv.gov/flood/map/?wkid=102100&amp;x=-9061026.733924532&amp;y=4730897.297343217&amp;l=13&amp;v=2","FT")</f>
        <v>FT</v>
      </c>
      <c r="G31" s="44" t="s">
        <v>32</v>
      </c>
      <c r="H31" s="25" t="s">
        <v>25</v>
      </c>
      <c r="I31" s="24" t="s">
        <v>1702</v>
      </c>
      <c r="J31" s="25" t="s">
        <v>39</v>
      </c>
      <c r="K31" s="29" t="s">
        <v>88</v>
      </c>
      <c r="L31" s="29" t="s">
        <v>33</v>
      </c>
      <c r="M31" s="33" t="s">
        <v>34</v>
      </c>
      <c r="N31" s="3" t="s">
        <v>113</v>
      </c>
      <c r="O31" s="34" t="s">
        <v>114</v>
      </c>
      <c r="P31" s="30" t="s">
        <v>1740</v>
      </c>
      <c r="Q31" s="2" t="s">
        <v>30</v>
      </c>
      <c r="R31" s="34" t="s">
        <v>119</v>
      </c>
      <c r="S31" s="35">
        <v>147200</v>
      </c>
      <c r="T31" s="2" t="s">
        <v>44</v>
      </c>
      <c r="U31" s="36">
        <v>1.2145995999999999</v>
      </c>
      <c r="V31" s="36">
        <v>0.214599609375</v>
      </c>
      <c r="W31" s="37">
        <v>2.716796875E-2</v>
      </c>
      <c r="X31" s="38">
        <v>3999.125</v>
      </c>
    </row>
    <row r="32" spans="1:24" x14ac:dyDescent="0.25">
      <c r="A32" s="33" t="s">
        <v>1567</v>
      </c>
      <c r="B32" s="33" t="s">
        <v>1591</v>
      </c>
      <c r="C32" s="33" t="s">
        <v>212</v>
      </c>
      <c r="D32" s="33" t="s">
        <v>1644</v>
      </c>
      <c r="E32" s="33" t="s">
        <v>1645</v>
      </c>
      <c r="F32" s="26" t="str">
        <f>HYPERLINK("https://mapwv.gov/flood/map/?wkid=102100&amp;x=-9060996.93336289&amp;y=4730890.851198557&amp;l=13&amp;v=2","FT")</f>
        <v>FT</v>
      </c>
      <c r="G32" s="44" t="s">
        <v>32</v>
      </c>
      <c r="H32" s="25" t="s">
        <v>25</v>
      </c>
      <c r="I32" s="24" t="s">
        <v>1703</v>
      </c>
      <c r="J32" s="25" t="s">
        <v>39</v>
      </c>
      <c r="K32" s="29" t="s">
        <v>101</v>
      </c>
      <c r="L32" s="29" t="s">
        <v>27</v>
      </c>
      <c r="M32" s="33" t="s">
        <v>41</v>
      </c>
      <c r="N32" s="3" t="s">
        <v>42</v>
      </c>
      <c r="O32" s="34" t="s">
        <v>114</v>
      </c>
      <c r="P32" s="30" t="s">
        <v>1741</v>
      </c>
      <c r="Q32" s="2" t="s">
        <v>43</v>
      </c>
      <c r="R32" s="34" t="s">
        <v>120</v>
      </c>
      <c r="S32" s="35">
        <v>145300</v>
      </c>
      <c r="T32" s="2" t="s">
        <v>44</v>
      </c>
      <c r="U32" s="36">
        <v>0</v>
      </c>
      <c r="V32" s="36">
        <v>-4</v>
      </c>
      <c r="W32" s="37">
        <v>0</v>
      </c>
      <c r="X32" s="38">
        <v>0</v>
      </c>
    </row>
    <row r="33" spans="1:24" x14ac:dyDescent="0.25">
      <c r="A33" s="33" t="s">
        <v>1568</v>
      </c>
      <c r="B33" s="33" t="s">
        <v>1591</v>
      </c>
      <c r="C33" s="33" t="s">
        <v>212</v>
      </c>
      <c r="D33" s="33" t="s">
        <v>1646</v>
      </c>
      <c r="E33" s="33" t="s">
        <v>1647</v>
      </c>
      <c r="F33" s="26" t="str">
        <f>HYPERLINK("https://mapwv.gov/flood/map/?wkid=102100&amp;x=-9061596.791686047&amp;y=4730929.388626732&amp;l=13&amp;v=2","FT")</f>
        <v>FT</v>
      </c>
      <c r="G33" s="44" t="s">
        <v>32</v>
      </c>
      <c r="H33" s="25" t="s">
        <v>25</v>
      </c>
      <c r="I33" s="24" t="s">
        <v>1704</v>
      </c>
      <c r="J33" s="25" t="s">
        <v>39</v>
      </c>
      <c r="K33" s="29" t="s">
        <v>97</v>
      </c>
      <c r="L33" s="29" t="s">
        <v>47</v>
      </c>
      <c r="M33" s="33" t="s">
        <v>41</v>
      </c>
      <c r="N33" s="3" t="s">
        <v>42</v>
      </c>
      <c r="O33" s="34" t="s">
        <v>114</v>
      </c>
      <c r="P33" s="30" t="s">
        <v>1742</v>
      </c>
      <c r="Q33" s="2" t="s">
        <v>53</v>
      </c>
      <c r="R33" s="34" t="s">
        <v>120</v>
      </c>
      <c r="S33" s="35">
        <v>138800</v>
      </c>
      <c r="T33" s="2" t="s">
        <v>44</v>
      </c>
      <c r="U33" s="36">
        <v>0</v>
      </c>
      <c r="V33" s="36">
        <v>-4</v>
      </c>
      <c r="W33" s="37">
        <v>0</v>
      </c>
      <c r="X33" s="38">
        <v>0</v>
      </c>
    </row>
    <row r="34" spans="1:24" x14ac:dyDescent="0.25">
      <c r="A34" s="33" t="s">
        <v>1569</v>
      </c>
      <c r="B34" s="33" t="s">
        <v>1591</v>
      </c>
      <c r="C34" s="33" t="s">
        <v>212</v>
      </c>
      <c r="D34" s="33" t="s">
        <v>1648</v>
      </c>
      <c r="E34" s="33" t="s">
        <v>1649</v>
      </c>
      <c r="F34" s="26" t="str">
        <f>HYPERLINK("https://mapwv.gov/flood/map/?wkid=102100&amp;x=-9061521.882574301&amp;y=4730915.122364628&amp;l=13&amp;v=2","FT")</f>
        <v>FT</v>
      </c>
      <c r="G34" s="44" t="s">
        <v>32</v>
      </c>
      <c r="H34" s="25" t="s">
        <v>25</v>
      </c>
      <c r="I34" s="24" t="s">
        <v>1705</v>
      </c>
      <c r="J34" s="25" t="s">
        <v>39</v>
      </c>
      <c r="K34" s="29" t="s">
        <v>143</v>
      </c>
      <c r="L34" s="29"/>
      <c r="M34" s="33" t="s">
        <v>73</v>
      </c>
      <c r="N34" s="3" t="s">
        <v>111</v>
      </c>
      <c r="O34" s="34" t="s">
        <v>114</v>
      </c>
      <c r="P34" s="30" t="s">
        <v>1743</v>
      </c>
      <c r="Q34" s="2" t="s">
        <v>30</v>
      </c>
      <c r="R34" s="34" t="s">
        <v>119</v>
      </c>
      <c r="S34" s="35">
        <v>138000</v>
      </c>
      <c r="T34" s="2" t="s">
        <v>121</v>
      </c>
      <c r="U34" s="36">
        <v>1.8310547E-2</v>
      </c>
      <c r="V34" s="36">
        <v>-0.981689453125</v>
      </c>
      <c r="W34" s="37">
        <v>0</v>
      </c>
      <c r="X34" s="38">
        <v>0</v>
      </c>
    </row>
    <row r="35" spans="1:24" x14ac:dyDescent="0.25">
      <c r="A35" s="33" t="s">
        <v>1570</v>
      </c>
      <c r="B35" s="33" t="s">
        <v>1591</v>
      </c>
      <c r="C35" s="33" t="s">
        <v>212</v>
      </c>
      <c r="D35" s="33" t="s">
        <v>1650</v>
      </c>
      <c r="E35" s="33" t="s">
        <v>1651</v>
      </c>
      <c r="F35" s="26" t="str">
        <f>HYPERLINK("https://mapwv.gov/flood/map/?wkid=102100&amp;x=-9061490.392628066&amp;y=4730911.322858332&amp;l=13&amp;v=2","FT")</f>
        <v>FT</v>
      </c>
      <c r="G35" s="44" t="s">
        <v>32</v>
      </c>
      <c r="H35" s="25" t="s">
        <v>25</v>
      </c>
      <c r="I35" s="24" t="s">
        <v>1706</v>
      </c>
      <c r="J35" s="25" t="s">
        <v>39</v>
      </c>
      <c r="K35" s="29" t="s">
        <v>100</v>
      </c>
      <c r="L35" s="29" t="s">
        <v>58</v>
      </c>
      <c r="M35" s="33" t="s">
        <v>67</v>
      </c>
      <c r="N35" s="3" t="s">
        <v>112</v>
      </c>
      <c r="O35" s="34" t="s">
        <v>114</v>
      </c>
      <c r="P35" s="30" t="s">
        <v>1744</v>
      </c>
      <c r="Q35" s="2" t="s">
        <v>30</v>
      </c>
      <c r="R35" s="34" t="s">
        <v>119</v>
      </c>
      <c r="S35" s="35">
        <v>138000</v>
      </c>
      <c r="T35" s="2" t="s">
        <v>44</v>
      </c>
      <c r="U35" s="36">
        <v>1</v>
      </c>
      <c r="V35" s="36">
        <v>0</v>
      </c>
      <c r="W35" s="37">
        <v>0</v>
      </c>
      <c r="X35" s="38">
        <v>0</v>
      </c>
    </row>
    <row r="36" spans="1:24" x14ac:dyDescent="0.25">
      <c r="A36" s="33" t="s">
        <v>1571</v>
      </c>
      <c r="B36" s="33" t="s">
        <v>1591</v>
      </c>
      <c r="C36" s="33" t="s">
        <v>212</v>
      </c>
      <c r="D36" s="33" t="s">
        <v>1652</v>
      </c>
      <c r="E36" s="33" t="s">
        <v>1653</v>
      </c>
      <c r="F36" s="26" t="str">
        <f>HYPERLINK("https://mapwv.gov/flood/map/?wkid=102100&amp;x=-9061398.299571807&amp;y=4730893.641072149&amp;l=13&amp;v=2","FT")</f>
        <v>FT</v>
      </c>
      <c r="G36" s="44" t="s">
        <v>32</v>
      </c>
      <c r="H36" s="25" t="s">
        <v>25</v>
      </c>
      <c r="I36" s="24" t="s">
        <v>1707</v>
      </c>
      <c r="J36" s="25" t="s">
        <v>39</v>
      </c>
      <c r="K36" s="29" t="s">
        <v>140</v>
      </c>
      <c r="L36" s="29" t="s">
        <v>27</v>
      </c>
      <c r="M36" s="33" t="s">
        <v>41</v>
      </c>
      <c r="N36" s="3" t="s">
        <v>42</v>
      </c>
      <c r="O36" s="34" t="s">
        <v>114</v>
      </c>
      <c r="P36" s="30" t="s">
        <v>1745</v>
      </c>
      <c r="Q36" s="2" t="s">
        <v>43</v>
      </c>
      <c r="R36" s="34" t="s">
        <v>120</v>
      </c>
      <c r="S36" s="35">
        <v>136600</v>
      </c>
      <c r="T36" s="2" t="s">
        <v>44</v>
      </c>
      <c r="U36" s="36">
        <v>0</v>
      </c>
      <c r="V36" s="36">
        <v>-4</v>
      </c>
      <c r="W36" s="37">
        <v>0</v>
      </c>
      <c r="X36" s="38">
        <v>0</v>
      </c>
    </row>
    <row r="37" spans="1:24" x14ac:dyDescent="0.25">
      <c r="A37" s="33" t="s">
        <v>1572</v>
      </c>
      <c r="B37" s="33" t="s">
        <v>1591</v>
      </c>
      <c r="C37" s="33" t="s">
        <v>1588</v>
      </c>
      <c r="D37" s="33" t="s">
        <v>1654</v>
      </c>
      <c r="E37" s="33" t="s">
        <v>1655</v>
      </c>
      <c r="F37" s="26" t="str">
        <f>HYPERLINK("https://mapwv.gov/flood/map/?wkid=102100&amp;x=-9061612.836832175&amp;y=4730778.336305198&amp;l=13&amp;v=2","FT")</f>
        <v>FT</v>
      </c>
      <c r="G37" s="44" t="s">
        <v>32</v>
      </c>
      <c r="H37" s="25" t="s">
        <v>25</v>
      </c>
      <c r="I37" s="24" t="s">
        <v>1708</v>
      </c>
      <c r="J37" s="25" t="s">
        <v>39</v>
      </c>
      <c r="K37" s="29" t="s">
        <v>93</v>
      </c>
      <c r="L37" s="29" t="s">
        <v>45</v>
      </c>
      <c r="M37" s="33" t="s">
        <v>41</v>
      </c>
      <c r="N37" s="3" t="s">
        <v>42</v>
      </c>
      <c r="O37" s="34" t="s">
        <v>114</v>
      </c>
      <c r="P37" s="30" t="s">
        <v>138</v>
      </c>
      <c r="Q37" s="2" t="s">
        <v>53</v>
      </c>
      <c r="R37" s="34" t="s">
        <v>120</v>
      </c>
      <c r="S37" s="35">
        <v>135800</v>
      </c>
      <c r="T37" s="2" t="s">
        <v>44</v>
      </c>
      <c r="U37" s="36">
        <v>0</v>
      </c>
      <c r="V37" s="36">
        <v>-4</v>
      </c>
      <c r="W37" s="37">
        <v>0</v>
      </c>
      <c r="X37" s="38">
        <v>0</v>
      </c>
    </row>
    <row r="38" spans="1:24" x14ac:dyDescent="0.25">
      <c r="A38" s="33" t="s">
        <v>1573</v>
      </c>
      <c r="B38" s="33" t="s">
        <v>1591</v>
      </c>
      <c r="C38" s="33" t="s">
        <v>212</v>
      </c>
      <c r="D38" s="33" t="s">
        <v>1656</v>
      </c>
      <c r="E38" s="33" t="s">
        <v>1657</v>
      </c>
      <c r="F38" s="26" t="str">
        <f>HYPERLINK("https://mapwv.gov/flood/map/?wkid=102100&amp;x=-9060733.316786183&amp;y=4730926.427556675&amp;l=13&amp;v=2","FT")</f>
        <v>FT</v>
      </c>
      <c r="G38" s="44" t="s">
        <v>32</v>
      </c>
      <c r="H38" s="25" t="s">
        <v>25</v>
      </c>
      <c r="I38" s="24" t="s">
        <v>1709</v>
      </c>
      <c r="J38" s="25" t="s">
        <v>39</v>
      </c>
      <c r="K38" s="29" t="s">
        <v>139</v>
      </c>
      <c r="L38" s="29" t="s">
        <v>58</v>
      </c>
      <c r="M38" s="33" t="s">
        <v>41</v>
      </c>
      <c r="N38" s="3" t="s">
        <v>42</v>
      </c>
      <c r="O38" s="34" t="s">
        <v>114</v>
      </c>
      <c r="P38" s="30" t="s">
        <v>1746</v>
      </c>
      <c r="Q38" s="2" t="s">
        <v>43</v>
      </c>
      <c r="R38" s="34" t="s">
        <v>120</v>
      </c>
      <c r="S38" s="35">
        <v>135700</v>
      </c>
      <c r="T38" s="2" t="s">
        <v>44</v>
      </c>
      <c r="U38" s="36">
        <v>4</v>
      </c>
      <c r="V38" s="36">
        <v>0</v>
      </c>
      <c r="W38" s="37">
        <v>0.26</v>
      </c>
      <c r="X38" s="38">
        <v>35282</v>
      </c>
    </row>
    <row r="39" spans="1:24" x14ac:dyDescent="0.25">
      <c r="A39" s="33" t="s">
        <v>1574</v>
      </c>
      <c r="B39" s="33" t="s">
        <v>1591</v>
      </c>
      <c r="C39" s="33" t="s">
        <v>212</v>
      </c>
      <c r="D39" s="33" t="s">
        <v>1658</v>
      </c>
      <c r="E39" s="33" t="s">
        <v>1659</v>
      </c>
      <c r="F39" s="26" t="str">
        <f>HYPERLINK("https://mapwv.gov/flood/map/?wkid=102100&amp;x=-9060303.88437329&amp;y=4730362.465100358&amp;l=13&amp;v=2","FT")</f>
        <v>FT</v>
      </c>
      <c r="G39" s="44" t="s">
        <v>32</v>
      </c>
      <c r="H39" s="25" t="s">
        <v>25</v>
      </c>
      <c r="I39" s="24" t="s">
        <v>1710</v>
      </c>
      <c r="J39" s="25" t="s">
        <v>36</v>
      </c>
      <c r="K39" s="29" t="s">
        <v>160</v>
      </c>
      <c r="L39" s="29" t="s">
        <v>47</v>
      </c>
      <c r="M39" s="33" t="s">
        <v>41</v>
      </c>
      <c r="N39" s="3" t="s">
        <v>42</v>
      </c>
      <c r="O39" s="34" t="s">
        <v>114</v>
      </c>
      <c r="P39" s="30" t="s">
        <v>1747</v>
      </c>
      <c r="Q39" s="2" t="s">
        <v>53</v>
      </c>
      <c r="R39" s="34" t="s">
        <v>120</v>
      </c>
      <c r="S39" s="35">
        <v>127700</v>
      </c>
      <c r="T39" s="2" t="s">
        <v>44</v>
      </c>
      <c r="U39" s="36">
        <v>0</v>
      </c>
      <c r="V39" s="36">
        <v>-4</v>
      </c>
      <c r="W39" s="37">
        <v>0</v>
      </c>
      <c r="X39" s="38">
        <v>0</v>
      </c>
    </row>
    <row r="40" spans="1:24" x14ac:dyDescent="0.25">
      <c r="A40" s="33" t="s">
        <v>1575</v>
      </c>
      <c r="B40" s="33" t="s">
        <v>1591</v>
      </c>
      <c r="C40" s="33" t="s">
        <v>1588</v>
      </c>
      <c r="D40" s="33" t="s">
        <v>1660</v>
      </c>
      <c r="E40" s="33" t="s">
        <v>1661</v>
      </c>
      <c r="F40" s="26" t="str">
        <f>HYPERLINK("https://mapwv.gov/flood/map/?wkid=102100&amp;x=-9061601.015147531&amp;y=4730627.407097351&amp;l=13&amp;v=2","FT")</f>
        <v>FT</v>
      </c>
      <c r="G40" s="44" t="s">
        <v>32</v>
      </c>
      <c r="H40" s="25" t="s">
        <v>25</v>
      </c>
      <c r="I40" s="24" t="s">
        <v>1711</v>
      </c>
      <c r="J40" s="25" t="s">
        <v>26</v>
      </c>
      <c r="K40" s="29" t="s">
        <v>104</v>
      </c>
      <c r="L40" s="29" t="s">
        <v>47</v>
      </c>
      <c r="M40" s="33" t="s">
        <v>41</v>
      </c>
      <c r="N40" s="3" t="s">
        <v>42</v>
      </c>
      <c r="O40" s="34" t="s">
        <v>114</v>
      </c>
      <c r="P40" s="30" t="s">
        <v>1748</v>
      </c>
      <c r="Q40" s="2" t="s">
        <v>43</v>
      </c>
      <c r="R40" s="34" t="s">
        <v>120</v>
      </c>
      <c r="S40" s="35">
        <v>127600</v>
      </c>
      <c r="T40" s="2" t="s">
        <v>44</v>
      </c>
      <c r="U40" s="36">
        <v>0</v>
      </c>
      <c r="V40" s="36">
        <v>-4</v>
      </c>
      <c r="W40" s="37">
        <v>0</v>
      </c>
      <c r="X40" s="38">
        <v>0</v>
      </c>
    </row>
    <row r="41" spans="1:24" x14ac:dyDescent="0.25">
      <c r="A41" s="33" t="s">
        <v>1576</v>
      </c>
      <c r="B41" s="33" t="s">
        <v>1591</v>
      </c>
      <c r="C41" s="33" t="s">
        <v>1588</v>
      </c>
      <c r="D41" s="33" t="s">
        <v>1660</v>
      </c>
      <c r="E41" s="33" t="s">
        <v>1662</v>
      </c>
      <c r="F41" s="26" t="str">
        <f>HYPERLINK("https://mapwv.gov/flood/map/?wkid=102100&amp;x=-9061587.832470791&amp;y=4730606.187344967&amp;l=13&amp;v=2","FT")</f>
        <v>FT</v>
      </c>
      <c r="G41" s="44" t="s">
        <v>32</v>
      </c>
      <c r="H41" s="25" t="s">
        <v>25</v>
      </c>
      <c r="I41" s="24" t="s">
        <v>1711</v>
      </c>
      <c r="J41" s="25" t="s">
        <v>26</v>
      </c>
      <c r="K41" s="29" t="s">
        <v>94</v>
      </c>
      <c r="L41" s="29" t="s">
        <v>51</v>
      </c>
      <c r="M41" s="33" t="s">
        <v>41</v>
      </c>
      <c r="N41" s="3" t="s">
        <v>42</v>
      </c>
      <c r="O41" s="34" t="s">
        <v>114</v>
      </c>
      <c r="P41" s="30" t="s">
        <v>1749</v>
      </c>
      <c r="Q41" s="2" t="s">
        <v>43</v>
      </c>
      <c r="R41" s="34" t="s">
        <v>120</v>
      </c>
      <c r="S41" s="35">
        <v>127400</v>
      </c>
      <c r="T41" s="2" t="s">
        <v>44</v>
      </c>
      <c r="U41" s="36">
        <v>0</v>
      </c>
      <c r="V41" s="36">
        <v>-4</v>
      </c>
      <c r="W41" s="37">
        <v>0</v>
      </c>
      <c r="X41" s="38">
        <v>0</v>
      </c>
    </row>
    <row r="42" spans="1:24" x14ac:dyDescent="0.25">
      <c r="A42" s="33" t="s">
        <v>1577</v>
      </c>
      <c r="B42" s="33" t="s">
        <v>1591</v>
      </c>
      <c r="C42" s="33" t="s">
        <v>1588</v>
      </c>
      <c r="D42" s="33" t="s">
        <v>1663</v>
      </c>
      <c r="E42" s="33" t="s">
        <v>1664</v>
      </c>
      <c r="F42" s="26" t="str">
        <f>HYPERLINK("https://mapwv.gov/flood/map/?wkid=102100&amp;x=-9061567.612843763&amp;y=4730540.438351773&amp;l=13&amp;v=2","FT")</f>
        <v>FT</v>
      </c>
      <c r="G42" s="44" t="s">
        <v>32</v>
      </c>
      <c r="H42" s="25" t="s">
        <v>25</v>
      </c>
      <c r="I42" s="24" t="s">
        <v>1712</v>
      </c>
      <c r="J42" s="25" t="s">
        <v>36</v>
      </c>
      <c r="K42" s="29" t="s">
        <v>125</v>
      </c>
      <c r="L42" s="29" t="s">
        <v>58</v>
      </c>
      <c r="M42" s="33" t="s">
        <v>41</v>
      </c>
      <c r="N42" s="3" t="s">
        <v>42</v>
      </c>
      <c r="O42" s="34" t="s">
        <v>114</v>
      </c>
      <c r="P42" s="30" t="s">
        <v>1750</v>
      </c>
      <c r="Q42" s="2" t="s">
        <v>53</v>
      </c>
      <c r="R42" s="34" t="s">
        <v>120</v>
      </c>
      <c r="S42" s="35">
        <v>123500</v>
      </c>
      <c r="T42" s="2" t="s">
        <v>44</v>
      </c>
      <c r="U42" s="36">
        <v>8.4350586000000005E-2</v>
      </c>
      <c r="V42" s="36">
        <v>-3.9156494140625</v>
      </c>
      <c r="W42" s="37">
        <v>0</v>
      </c>
      <c r="X42" s="38">
        <v>0</v>
      </c>
    </row>
    <row r="43" spans="1:24" x14ac:dyDescent="0.25">
      <c r="A43" s="33" t="s">
        <v>1578</v>
      </c>
      <c r="B43" s="33" t="s">
        <v>1591</v>
      </c>
      <c r="C43" s="33" t="s">
        <v>1588</v>
      </c>
      <c r="D43" s="33" t="s">
        <v>1663</v>
      </c>
      <c r="E43" s="33" t="s">
        <v>1665</v>
      </c>
      <c r="F43" s="26" t="str">
        <f>HYPERLINK("https://mapwv.gov/flood/map/?wkid=102100&amp;x=-9061585.104920624&amp;y=4730542.188575111&amp;l=13&amp;v=2","FT")</f>
        <v>FT</v>
      </c>
      <c r="G43" s="44" t="s">
        <v>32</v>
      </c>
      <c r="H43" s="25" t="s">
        <v>25</v>
      </c>
      <c r="I43" s="24" t="s">
        <v>1712</v>
      </c>
      <c r="J43" s="25" t="s">
        <v>36</v>
      </c>
      <c r="K43" s="29" t="s">
        <v>970</v>
      </c>
      <c r="L43" s="29" t="s">
        <v>45</v>
      </c>
      <c r="M43" s="33" t="s">
        <v>41</v>
      </c>
      <c r="N43" s="3" t="s">
        <v>42</v>
      </c>
      <c r="O43" s="34" t="s">
        <v>114</v>
      </c>
      <c r="P43" s="30" t="s">
        <v>1751</v>
      </c>
      <c r="Q43" s="2" t="s">
        <v>43</v>
      </c>
      <c r="R43" s="34" t="s">
        <v>120</v>
      </c>
      <c r="S43" s="35">
        <v>120800</v>
      </c>
      <c r="T43" s="2" t="s">
        <v>44</v>
      </c>
      <c r="U43" s="36">
        <v>4</v>
      </c>
      <c r="V43" s="36">
        <v>0</v>
      </c>
      <c r="W43" s="37">
        <v>0.26</v>
      </c>
      <c r="X43" s="38">
        <v>31408</v>
      </c>
    </row>
    <row r="44" spans="1:24" x14ac:dyDescent="0.25">
      <c r="A44" s="33" t="s">
        <v>1579</v>
      </c>
      <c r="B44" s="33" t="s">
        <v>1591</v>
      </c>
      <c r="C44" s="33" t="s">
        <v>1588</v>
      </c>
      <c r="D44" s="33" t="s">
        <v>1666</v>
      </c>
      <c r="E44" s="33" t="s">
        <v>1667</v>
      </c>
      <c r="F44" s="26" t="str">
        <f>HYPERLINK("https://mapwv.gov/flood/map/?wkid=102100&amp;x=-9061494.643140186&amp;y=4730425.937013319&amp;l=13&amp;v=2","FT")</f>
        <v>FT</v>
      </c>
      <c r="G44" s="44" t="s">
        <v>32</v>
      </c>
      <c r="H44" s="25" t="s">
        <v>25</v>
      </c>
      <c r="I44" s="24" t="s">
        <v>1713</v>
      </c>
      <c r="J44" s="25" t="s">
        <v>39</v>
      </c>
      <c r="K44" s="29" t="s">
        <v>136</v>
      </c>
      <c r="L44" s="29" t="s">
        <v>58</v>
      </c>
      <c r="M44" s="33" t="s">
        <v>41</v>
      </c>
      <c r="N44" s="3" t="s">
        <v>42</v>
      </c>
      <c r="O44" s="34" t="s">
        <v>114</v>
      </c>
      <c r="P44" s="30" t="s">
        <v>1752</v>
      </c>
      <c r="Q44" s="2" t="s">
        <v>43</v>
      </c>
      <c r="R44" s="34" t="s">
        <v>120</v>
      </c>
      <c r="S44" s="35">
        <v>118400</v>
      </c>
      <c r="T44" s="2" t="s">
        <v>44</v>
      </c>
      <c r="U44" s="36">
        <v>0</v>
      </c>
      <c r="V44" s="36">
        <v>-4</v>
      </c>
      <c r="W44" s="37">
        <v>0</v>
      </c>
      <c r="X44" s="38">
        <v>0</v>
      </c>
    </row>
    <row r="45" spans="1:24" x14ac:dyDescent="0.25">
      <c r="A45" s="33" t="s">
        <v>1580</v>
      </c>
      <c r="B45" s="33" t="s">
        <v>1591</v>
      </c>
      <c r="C45" s="33" t="s">
        <v>1588</v>
      </c>
      <c r="D45" s="33" t="s">
        <v>1668</v>
      </c>
      <c r="E45" s="33" t="s">
        <v>1669</v>
      </c>
      <c r="F45" s="26" t="str">
        <f>HYPERLINK("https://mapwv.gov/flood/map/?wkid=102100&amp;x=-9061523.366240479&amp;y=4730353.808189068&amp;l=13&amp;v=2","FT")</f>
        <v>FT</v>
      </c>
      <c r="G45" s="44" t="s">
        <v>32</v>
      </c>
      <c r="H45" s="25" t="s">
        <v>25</v>
      </c>
      <c r="I45" s="24" t="s">
        <v>1714</v>
      </c>
      <c r="J45" s="25" t="s">
        <v>39</v>
      </c>
      <c r="K45" s="29" t="s">
        <v>136</v>
      </c>
      <c r="L45" s="29" t="s">
        <v>58</v>
      </c>
      <c r="M45" s="33" t="s">
        <v>41</v>
      </c>
      <c r="N45" s="3" t="s">
        <v>42</v>
      </c>
      <c r="O45" s="34" t="s">
        <v>114</v>
      </c>
      <c r="P45" s="30" t="s">
        <v>1753</v>
      </c>
      <c r="Q45" s="2" t="s">
        <v>53</v>
      </c>
      <c r="R45" s="34" t="s">
        <v>120</v>
      </c>
      <c r="S45" s="35">
        <v>116100</v>
      </c>
      <c r="T45" s="2" t="s">
        <v>44</v>
      </c>
      <c r="U45" s="36">
        <v>0</v>
      </c>
      <c r="V45" s="36">
        <v>-4</v>
      </c>
      <c r="W45" s="37">
        <v>0</v>
      </c>
      <c r="X45" s="38">
        <v>0</v>
      </c>
    </row>
    <row r="46" spans="1:24" x14ac:dyDescent="0.25">
      <c r="A46" s="33" t="s">
        <v>1581</v>
      </c>
      <c r="B46" s="33" t="s">
        <v>1591</v>
      </c>
      <c r="C46" s="33" t="s">
        <v>1588</v>
      </c>
      <c r="D46" s="33" t="s">
        <v>1670</v>
      </c>
      <c r="E46" s="33" t="s">
        <v>1671</v>
      </c>
      <c r="F46" s="26" t="str">
        <f>HYPERLINK("https://mapwv.gov/flood/map/?wkid=102100&amp;x=-9061770.50575143&amp;y=4730129.554847002&amp;l=13&amp;v=2","FT")</f>
        <v>FT</v>
      </c>
      <c r="G46" s="44" t="s">
        <v>32</v>
      </c>
      <c r="H46" s="25" t="s">
        <v>25</v>
      </c>
      <c r="I46" s="24" t="s">
        <v>1715</v>
      </c>
      <c r="J46" s="25" t="s">
        <v>39</v>
      </c>
      <c r="K46" s="29" t="s">
        <v>94</v>
      </c>
      <c r="L46" s="29" t="s">
        <v>45</v>
      </c>
      <c r="M46" s="33" t="s">
        <v>48</v>
      </c>
      <c r="N46" s="3" t="s">
        <v>35</v>
      </c>
      <c r="O46" s="34" t="s">
        <v>114</v>
      </c>
      <c r="P46" s="30" t="s">
        <v>1206</v>
      </c>
      <c r="Q46" s="2" t="s">
        <v>30</v>
      </c>
      <c r="R46" s="34" t="s">
        <v>119</v>
      </c>
      <c r="S46" s="35">
        <v>112100</v>
      </c>
      <c r="T46" s="2" t="s">
        <v>31</v>
      </c>
      <c r="U46" s="36">
        <v>0</v>
      </c>
      <c r="V46" s="36">
        <v>-1</v>
      </c>
      <c r="W46" s="37">
        <v>0</v>
      </c>
      <c r="X46" s="38">
        <v>0</v>
      </c>
    </row>
    <row r="47" spans="1:24" x14ac:dyDescent="0.25">
      <c r="A47" s="33" t="s">
        <v>1582</v>
      </c>
      <c r="B47" s="33" t="s">
        <v>1591</v>
      </c>
      <c r="C47" s="33" t="s">
        <v>1588</v>
      </c>
      <c r="D47" s="33" t="s">
        <v>1672</v>
      </c>
      <c r="E47" s="33" t="s">
        <v>1673</v>
      </c>
      <c r="F47" s="26" t="str">
        <f>HYPERLINK("https://mapwv.gov/flood/map/?wkid=102100&amp;x=-9061605.96942147&amp;y=4730235.603468345&amp;l=13&amp;v=2","FT")</f>
        <v>FT</v>
      </c>
      <c r="G47" s="44" t="s">
        <v>32</v>
      </c>
      <c r="H47" s="25" t="s">
        <v>25</v>
      </c>
      <c r="I47" s="24" t="s">
        <v>1716</v>
      </c>
      <c r="J47" s="25" t="s">
        <v>26</v>
      </c>
      <c r="K47" s="29" t="s">
        <v>83</v>
      </c>
      <c r="L47" s="29" t="s">
        <v>27</v>
      </c>
      <c r="M47" s="33" t="s">
        <v>41</v>
      </c>
      <c r="N47" s="3" t="s">
        <v>42</v>
      </c>
      <c r="O47" s="34" t="s">
        <v>115</v>
      </c>
      <c r="P47" s="30" t="s">
        <v>1754</v>
      </c>
      <c r="Q47" s="2" t="s">
        <v>53</v>
      </c>
      <c r="R47" s="34" t="s">
        <v>120</v>
      </c>
      <c r="S47" s="35">
        <v>108500</v>
      </c>
      <c r="T47" s="2" t="s">
        <v>44</v>
      </c>
      <c r="U47" s="36">
        <v>0</v>
      </c>
      <c r="V47" s="36">
        <v>-4</v>
      </c>
      <c r="W47" s="37">
        <v>0</v>
      </c>
      <c r="X47" s="38">
        <v>0</v>
      </c>
    </row>
    <row r="48" spans="1:24" x14ac:dyDescent="0.25">
      <c r="A48" s="33" t="s">
        <v>1583</v>
      </c>
      <c r="B48" s="33" t="s">
        <v>1591</v>
      </c>
      <c r="C48" s="33" t="s">
        <v>1588</v>
      </c>
      <c r="D48" s="33" t="s">
        <v>1674</v>
      </c>
      <c r="E48" s="33" t="s">
        <v>1675</v>
      </c>
      <c r="F48" s="26" t="str">
        <f>HYPERLINK("https://mapwv.gov/flood/map/?wkid=102100&amp;x=-9061411.170887934&amp;y=4730144.004651223&amp;l=13&amp;v=2","FT")</f>
        <v>FT</v>
      </c>
      <c r="G48" s="44" t="s">
        <v>32</v>
      </c>
      <c r="H48" s="25" t="s">
        <v>25</v>
      </c>
      <c r="I48" s="24" t="s">
        <v>1717</v>
      </c>
      <c r="J48" s="25" t="s">
        <v>39</v>
      </c>
      <c r="K48" s="29" t="s">
        <v>96</v>
      </c>
      <c r="L48" s="29" t="s">
        <v>45</v>
      </c>
      <c r="M48" s="33" t="s">
        <v>41</v>
      </c>
      <c r="N48" s="3" t="s">
        <v>42</v>
      </c>
      <c r="O48" s="34" t="s">
        <v>114</v>
      </c>
      <c r="P48" s="30" t="s">
        <v>1755</v>
      </c>
      <c r="Q48" s="2" t="s">
        <v>43</v>
      </c>
      <c r="R48" s="34" t="s">
        <v>120</v>
      </c>
      <c r="S48" s="35">
        <v>105700</v>
      </c>
      <c r="T48" s="2" t="s">
        <v>44</v>
      </c>
      <c r="U48" s="36">
        <v>0</v>
      </c>
      <c r="V48" s="36">
        <v>-4</v>
      </c>
      <c r="W48" s="37">
        <v>0</v>
      </c>
      <c r="X48" s="38">
        <v>0</v>
      </c>
    </row>
    <row r="49" spans="1:24" x14ac:dyDescent="0.25">
      <c r="A49" s="33" t="s">
        <v>1584</v>
      </c>
      <c r="B49" s="33" t="s">
        <v>1591</v>
      </c>
      <c r="C49" s="33" t="s">
        <v>1588</v>
      </c>
      <c r="D49" s="33" t="s">
        <v>1676</v>
      </c>
      <c r="E49" s="33" t="s">
        <v>1677</v>
      </c>
      <c r="F49" s="26" t="str">
        <f>HYPERLINK("https://mapwv.gov/flood/map/?wkid=102100&amp;x=-9061646.811095487&amp;y=4730243.039975227&amp;l=13&amp;v=2","FT")</f>
        <v>FT</v>
      </c>
      <c r="G49" s="44" t="s">
        <v>32</v>
      </c>
      <c r="H49" s="25" t="s">
        <v>25</v>
      </c>
      <c r="I49" s="24" t="s">
        <v>1718</v>
      </c>
      <c r="J49" s="25" t="s">
        <v>39</v>
      </c>
      <c r="K49" s="29" t="s">
        <v>165</v>
      </c>
      <c r="L49" s="29" t="s">
        <v>47</v>
      </c>
      <c r="M49" s="33" t="s">
        <v>41</v>
      </c>
      <c r="N49" s="3" t="s">
        <v>42</v>
      </c>
      <c r="O49" s="34" t="s">
        <v>114</v>
      </c>
      <c r="P49" s="30" t="s">
        <v>117</v>
      </c>
      <c r="Q49" s="2" t="s">
        <v>43</v>
      </c>
      <c r="R49" s="34" t="s">
        <v>120</v>
      </c>
      <c r="S49" s="35">
        <v>105400</v>
      </c>
      <c r="T49" s="2" t="s">
        <v>44</v>
      </c>
      <c r="U49" s="36">
        <v>0</v>
      </c>
      <c r="V49" s="36">
        <v>-4</v>
      </c>
      <c r="W49" s="37">
        <v>0</v>
      </c>
      <c r="X49" s="38">
        <v>0</v>
      </c>
    </row>
    <row r="50" spans="1:24" x14ac:dyDescent="0.25">
      <c r="A50" s="33" t="s">
        <v>1585</v>
      </c>
      <c r="B50" s="33" t="s">
        <v>1591</v>
      </c>
      <c r="C50" s="33" t="s">
        <v>1588</v>
      </c>
      <c r="D50" s="33" t="s">
        <v>1678</v>
      </c>
      <c r="E50" s="33" t="s">
        <v>1679</v>
      </c>
      <c r="F50" s="26" t="str">
        <f>HYPERLINK("https://mapwv.gov/flood/map/?wkid=102100&amp;x=-9061762.41237917&amp;y=4730243.074669001&amp;l=13&amp;v=2","FT")</f>
        <v>FT</v>
      </c>
      <c r="G50" s="44" t="s">
        <v>32</v>
      </c>
      <c r="H50" s="25" t="s">
        <v>25</v>
      </c>
      <c r="I50" s="24" t="s">
        <v>1719</v>
      </c>
      <c r="J50" s="25" t="s">
        <v>39</v>
      </c>
      <c r="K50" s="29" t="s">
        <v>103</v>
      </c>
      <c r="L50" s="29" t="s">
        <v>27</v>
      </c>
      <c r="M50" s="33" t="s">
        <v>41</v>
      </c>
      <c r="N50" s="3" t="s">
        <v>42</v>
      </c>
      <c r="O50" s="34" t="s">
        <v>115</v>
      </c>
      <c r="P50" s="30" t="s">
        <v>1756</v>
      </c>
      <c r="Q50" s="2" t="s">
        <v>53</v>
      </c>
      <c r="R50" s="34" t="s">
        <v>159</v>
      </c>
      <c r="S50" s="35">
        <v>102800</v>
      </c>
      <c r="T50" s="2" t="s">
        <v>44</v>
      </c>
      <c r="U50" s="36">
        <v>0.44451903999999998</v>
      </c>
      <c r="V50" s="36">
        <v>-2.55548095703125</v>
      </c>
      <c r="W50" s="37">
        <v>0</v>
      </c>
      <c r="X50" s="38">
        <v>0</v>
      </c>
    </row>
    <row r="51" spans="1:24" x14ac:dyDescent="0.25">
      <c r="A51" s="33" t="s">
        <v>1586</v>
      </c>
      <c r="B51" s="33" t="s">
        <v>1591</v>
      </c>
      <c r="C51" s="33" t="s">
        <v>1588</v>
      </c>
      <c r="D51" s="33" t="s">
        <v>1678</v>
      </c>
      <c r="E51" s="33" t="s">
        <v>1680</v>
      </c>
      <c r="F51" s="26" t="str">
        <f>HYPERLINK("https://mapwv.gov/flood/map/?wkid=102100&amp;x=-9061718.31349685&amp;y=4730181.035943783&amp;l=13&amp;v=2","FT")</f>
        <v>FT</v>
      </c>
      <c r="G51" s="44" t="s">
        <v>32</v>
      </c>
      <c r="H51" s="25" t="s">
        <v>25</v>
      </c>
      <c r="I51" s="24" t="s">
        <v>1720</v>
      </c>
      <c r="J51" s="25" t="s">
        <v>39</v>
      </c>
      <c r="K51" s="29" t="s">
        <v>165</v>
      </c>
      <c r="L51" s="29" t="s">
        <v>33</v>
      </c>
      <c r="M51" s="33" t="s">
        <v>41</v>
      </c>
      <c r="N51" s="3" t="s">
        <v>42</v>
      </c>
      <c r="O51" s="34" t="s">
        <v>114</v>
      </c>
      <c r="P51" s="30" t="s">
        <v>1757</v>
      </c>
      <c r="Q51" s="2" t="s">
        <v>53</v>
      </c>
      <c r="R51" s="34" t="s">
        <v>120</v>
      </c>
      <c r="S51" s="35">
        <v>102400</v>
      </c>
      <c r="T51" s="2" t="s">
        <v>44</v>
      </c>
      <c r="U51" s="36">
        <v>0</v>
      </c>
      <c r="V51" s="36">
        <v>-4</v>
      </c>
      <c r="W51" s="37">
        <v>0</v>
      </c>
      <c r="X51" s="38">
        <v>0</v>
      </c>
    </row>
  </sheetData>
  <hyperlinks>
    <hyperlink ref="J3" r:id="rId1" xr:uid="{3B26FF34-D85A-49E4-9CDC-B3A7DA8F5A01}"/>
    <hyperlink ref="M3" r:id="rId2" xr:uid="{AF0417CE-39FF-4140-992E-60AB15DB298E}"/>
    <hyperlink ref="Q3" r:id="rId3" xr:uid="{B11B8038-61A9-4951-8FDB-D8A592C8BBB2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6DFB07-94D1-46F7-8FC9-0FF8B2AF5485}">
  <sheetPr filterMode="1"/>
  <dimension ref="A1:X225"/>
  <sheetViews>
    <sheetView zoomScale="90" zoomScaleNormal="90" workbookViewId="0">
      <pane ySplit="6" topLeftCell="A7" activePane="bottomLeft" state="frozen"/>
      <selection pane="bottomLeft" activeCell="D4" sqref="D4"/>
    </sheetView>
  </sheetViews>
  <sheetFormatPr defaultRowHeight="15" x14ac:dyDescent="0.25"/>
  <cols>
    <col min="1" max="1" width="37" bestFit="1" customWidth="1"/>
    <col min="2" max="2" width="21.42578125" bestFit="1" customWidth="1"/>
    <col min="3" max="3" width="13.7109375" customWidth="1"/>
    <col min="4" max="4" width="15.7109375" customWidth="1"/>
    <col min="5" max="5" width="47.140625" bestFit="1" customWidth="1"/>
    <col min="7" max="7" width="11.28515625" customWidth="1"/>
    <col min="9" max="9" width="8.85546875" style="45"/>
    <col min="10" max="10" width="8.85546875" style="8"/>
    <col min="13" max="13" width="10.28515625" customWidth="1"/>
    <col min="14" max="14" width="11.42578125" customWidth="1"/>
    <col min="15" max="15" width="8.85546875" style="8"/>
    <col min="17" max="17" width="11.5703125" customWidth="1"/>
    <col min="18" max="18" width="8.85546875" style="8"/>
    <col min="19" max="19" width="21.7109375" bestFit="1" customWidth="1"/>
    <col min="24" max="24" width="10.5703125" bestFit="1" customWidth="1"/>
  </cols>
  <sheetData>
    <row r="1" spans="1:24" ht="14.25" customHeight="1" x14ac:dyDescent="0.25">
      <c r="A1" s="5" t="s">
        <v>75</v>
      </c>
      <c r="B1" s="5"/>
      <c r="C1" s="5"/>
      <c r="D1" s="5"/>
      <c r="F1" s="19" t="s">
        <v>76</v>
      </c>
      <c r="G1" s="8"/>
      <c r="H1" s="8"/>
      <c r="K1" s="8"/>
      <c r="L1" s="8"/>
      <c r="N1" s="7" t="s">
        <v>77</v>
      </c>
      <c r="P1" s="8"/>
      <c r="S1" s="9" t="s">
        <v>78</v>
      </c>
      <c r="U1" s="10"/>
      <c r="V1" s="10"/>
      <c r="W1" s="11"/>
      <c r="X1" s="12"/>
    </row>
    <row r="2" spans="1:24" x14ac:dyDescent="0.25">
      <c r="A2" s="13">
        <v>44481</v>
      </c>
      <c r="B2" s="14" t="s">
        <v>79</v>
      </c>
      <c r="F2" s="8"/>
      <c r="G2" s="8"/>
      <c r="H2" s="8"/>
      <c r="K2" s="8"/>
      <c r="L2" s="8"/>
      <c r="N2" s="15" t="s">
        <v>42</v>
      </c>
      <c r="P2" s="8"/>
      <c r="S2" s="9"/>
      <c r="U2" s="10"/>
      <c r="V2" s="10"/>
      <c r="W2" s="11"/>
      <c r="X2" s="12"/>
    </row>
    <row r="3" spans="1:24" x14ac:dyDescent="0.25">
      <c r="A3" t="s">
        <v>81</v>
      </c>
      <c r="B3" s="49" t="s">
        <v>2299</v>
      </c>
      <c r="F3" s="8"/>
      <c r="G3" s="8"/>
      <c r="H3" s="8"/>
      <c r="J3" s="18" t="s">
        <v>80</v>
      </c>
      <c r="K3" s="8"/>
      <c r="L3" s="8"/>
      <c r="M3" s="16" t="s">
        <v>80</v>
      </c>
      <c r="N3" s="7"/>
      <c r="P3" s="8"/>
      <c r="Q3" s="16" t="s">
        <v>80</v>
      </c>
      <c r="R3" s="17"/>
      <c r="S3" s="9"/>
      <c r="U3" s="10"/>
      <c r="V3" s="10"/>
      <c r="W3" s="11"/>
      <c r="X3" s="12"/>
    </row>
    <row r="4" spans="1:24" x14ac:dyDescent="0.25">
      <c r="F4" s="8"/>
      <c r="G4" s="8"/>
      <c r="H4" s="8"/>
      <c r="K4" s="8"/>
      <c r="L4" s="8"/>
      <c r="N4" s="7"/>
      <c r="P4" s="8"/>
      <c r="S4" s="9"/>
      <c r="U4" s="10"/>
      <c r="V4" s="10"/>
      <c r="W4" s="11"/>
      <c r="X4" s="12"/>
    </row>
    <row r="5" spans="1:24" x14ac:dyDescent="0.25">
      <c r="A5" s="1" t="s">
        <v>1758</v>
      </c>
      <c r="F5" s="8"/>
      <c r="G5" s="8"/>
      <c r="H5" s="8"/>
      <c r="K5" s="8"/>
      <c r="L5" s="8"/>
      <c r="P5" s="8"/>
      <c r="S5" s="39" t="s">
        <v>167</v>
      </c>
      <c r="U5" s="8"/>
      <c r="V5" s="8"/>
      <c r="W5" s="11"/>
      <c r="X5" s="12"/>
    </row>
    <row r="6" spans="1:24" ht="45" x14ac:dyDescent="0.25">
      <c r="A6" s="27" t="s">
        <v>0</v>
      </c>
      <c r="B6" s="20" t="s">
        <v>1</v>
      </c>
      <c r="C6" s="20" t="s">
        <v>2</v>
      </c>
      <c r="D6" s="28" t="s">
        <v>3</v>
      </c>
      <c r="E6" s="28" t="s">
        <v>4</v>
      </c>
      <c r="F6" s="20" t="s">
        <v>5</v>
      </c>
      <c r="G6" s="20" t="s">
        <v>6</v>
      </c>
      <c r="H6" s="27" t="s">
        <v>7</v>
      </c>
      <c r="I6" s="20" t="s">
        <v>8</v>
      </c>
      <c r="J6" s="27" t="s">
        <v>9</v>
      </c>
      <c r="K6" s="28" t="s">
        <v>10</v>
      </c>
      <c r="L6" s="20" t="s">
        <v>11</v>
      </c>
      <c r="M6" s="28" t="s">
        <v>12</v>
      </c>
      <c r="N6" s="21" t="s">
        <v>13</v>
      </c>
      <c r="O6" s="28" t="s">
        <v>14</v>
      </c>
      <c r="P6" s="28" t="s">
        <v>15</v>
      </c>
      <c r="Q6" s="28" t="s">
        <v>16</v>
      </c>
      <c r="R6" s="28" t="s">
        <v>17</v>
      </c>
      <c r="S6" s="22" t="s">
        <v>18</v>
      </c>
      <c r="T6" s="20" t="s">
        <v>19</v>
      </c>
      <c r="U6" s="31" t="s">
        <v>20</v>
      </c>
      <c r="V6" s="31" t="s">
        <v>21</v>
      </c>
      <c r="W6" s="32" t="s">
        <v>22</v>
      </c>
      <c r="X6" s="23" t="s">
        <v>23</v>
      </c>
    </row>
    <row r="7" spans="1:24" x14ac:dyDescent="0.25">
      <c r="A7" s="33" t="s">
        <v>2311</v>
      </c>
      <c r="B7" s="33" t="s">
        <v>1763</v>
      </c>
      <c r="C7" s="33" t="s">
        <v>1790</v>
      </c>
      <c r="D7" s="33" t="s">
        <v>2310</v>
      </c>
      <c r="E7" s="33" t="s">
        <v>2312</v>
      </c>
      <c r="F7" s="26" t="str">
        <f>HYPERLINK("https://mapwv.gov/flood/map/?wkid=102100&amp;x=-9078594.814507142&amp;y=4762043.232901076&amp;l=13&amp;v=2","FT")</f>
        <v>FT</v>
      </c>
      <c r="G7" s="34" t="s">
        <v>32</v>
      </c>
      <c r="H7" s="27" t="s">
        <v>66</v>
      </c>
      <c r="I7" s="33" t="s">
        <v>1838</v>
      </c>
      <c r="J7" s="34" t="s">
        <v>26</v>
      </c>
      <c r="K7" s="28">
        <v>9999</v>
      </c>
      <c r="L7" s="34" t="s">
        <v>58</v>
      </c>
      <c r="M7" s="33" t="s">
        <v>28</v>
      </c>
      <c r="N7" s="3" t="s">
        <v>111</v>
      </c>
      <c r="O7" s="28">
        <v>1</v>
      </c>
      <c r="P7" s="47">
        <v>100000</v>
      </c>
      <c r="Q7" s="33" t="s">
        <v>30</v>
      </c>
      <c r="R7" s="34" t="s">
        <v>119</v>
      </c>
      <c r="S7" s="35">
        <v>69000000</v>
      </c>
      <c r="T7" s="20" t="s">
        <v>29</v>
      </c>
      <c r="U7" s="36">
        <v>0.22753905999999999</v>
      </c>
      <c r="V7" s="36">
        <v>-0.7724609375</v>
      </c>
      <c r="W7" s="32">
        <v>2.2753906250000001E-3</v>
      </c>
      <c r="X7" s="38">
        <v>157001.91</v>
      </c>
    </row>
    <row r="8" spans="1:24" x14ac:dyDescent="0.25">
      <c r="A8" s="33" t="s">
        <v>1830</v>
      </c>
      <c r="B8" s="33" t="s">
        <v>1763</v>
      </c>
      <c r="C8" s="33" t="s">
        <v>212</v>
      </c>
      <c r="D8" s="33" t="s">
        <v>1800</v>
      </c>
      <c r="E8" s="33" t="s">
        <v>1801</v>
      </c>
      <c r="F8" s="26" t="str">
        <f>HYPERLINK("https://mapwv.gov/flood/map/?wkid=102100&amp;x=-9075202.852404451&amp;y=4751812.844365878&amp;l=13&amp;v=2","FT")</f>
        <v>FT</v>
      </c>
      <c r="G8" s="34" t="s">
        <v>32</v>
      </c>
      <c r="H8" s="34" t="s">
        <v>25</v>
      </c>
      <c r="I8" s="33" t="s">
        <v>1837</v>
      </c>
      <c r="J8" s="34" t="s">
        <v>26</v>
      </c>
      <c r="K8" s="34" t="s">
        <v>99</v>
      </c>
      <c r="L8" s="34" t="s">
        <v>51</v>
      </c>
      <c r="M8" s="33" t="s">
        <v>34</v>
      </c>
      <c r="N8" s="3" t="s">
        <v>113</v>
      </c>
      <c r="O8" s="34" t="s">
        <v>115</v>
      </c>
      <c r="P8" s="33" t="s">
        <v>1931</v>
      </c>
      <c r="Q8" s="33" t="s">
        <v>30</v>
      </c>
      <c r="R8" s="34" t="s">
        <v>119</v>
      </c>
      <c r="S8" s="35">
        <v>38271500</v>
      </c>
      <c r="T8" s="2" t="s">
        <v>44</v>
      </c>
      <c r="U8" s="36">
        <v>0</v>
      </c>
      <c r="V8" s="36">
        <v>-1</v>
      </c>
      <c r="W8" s="37">
        <v>0</v>
      </c>
      <c r="X8" s="38">
        <v>0</v>
      </c>
    </row>
    <row r="9" spans="1:24" x14ac:dyDescent="0.25">
      <c r="A9" s="33" t="s">
        <v>2034</v>
      </c>
      <c r="B9" s="33" t="s">
        <v>1763</v>
      </c>
      <c r="C9" s="33" t="s">
        <v>1790</v>
      </c>
      <c r="D9" s="33" t="s">
        <v>2117</v>
      </c>
      <c r="E9" s="33" t="s">
        <v>2118</v>
      </c>
      <c r="F9" s="26" t="str">
        <f>HYPERLINK("https://mapwv.gov/flood/map/?wkid=102100&amp;x=-9079171.54375706&amp;y=4760375.761555468&amp;l=13&amp;v=2","FT")</f>
        <v>FT</v>
      </c>
      <c r="G9" s="34" t="s">
        <v>82</v>
      </c>
      <c r="H9" s="34" t="s">
        <v>25</v>
      </c>
      <c r="I9" s="33" t="s">
        <v>1838</v>
      </c>
      <c r="J9" s="34" t="s">
        <v>39</v>
      </c>
      <c r="K9" s="34" t="s">
        <v>316</v>
      </c>
      <c r="L9" s="34" t="s">
        <v>45</v>
      </c>
      <c r="M9" s="33" t="s">
        <v>1485</v>
      </c>
      <c r="N9" s="3" t="s">
        <v>35</v>
      </c>
      <c r="O9" s="34" t="s">
        <v>1927</v>
      </c>
      <c r="P9" s="33" t="s">
        <v>1932</v>
      </c>
      <c r="Q9" s="33" t="s">
        <v>30</v>
      </c>
      <c r="R9" s="34" t="s">
        <v>119</v>
      </c>
      <c r="S9" s="35">
        <v>25287200</v>
      </c>
      <c r="T9" s="2" t="s">
        <v>44</v>
      </c>
      <c r="U9" s="36">
        <v>0</v>
      </c>
      <c r="V9" s="36">
        <v>-1</v>
      </c>
      <c r="W9" s="37">
        <v>0</v>
      </c>
      <c r="X9" s="38">
        <v>0</v>
      </c>
    </row>
    <row r="10" spans="1:24" x14ac:dyDescent="0.25">
      <c r="A10" s="33" t="s">
        <v>1816</v>
      </c>
      <c r="B10" s="33" t="s">
        <v>1768</v>
      </c>
      <c r="C10" s="33" t="s">
        <v>1760</v>
      </c>
      <c r="D10" s="33" t="s">
        <v>1769</v>
      </c>
      <c r="E10" s="33" t="s">
        <v>1770</v>
      </c>
      <c r="F10" s="26" t="str">
        <f>HYPERLINK("https://mapwv.gov/flood/map/?wkid=102100&amp;x=-9078441.316283926&amp;y=4764612.375316087&amp;l=13&amp;v=2","FT")</f>
        <v>FT</v>
      </c>
      <c r="G10" s="34" t="s">
        <v>55</v>
      </c>
      <c r="H10" s="34" t="s">
        <v>25</v>
      </c>
      <c r="I10" s="33" t="s">
        <v>1839</v>
      </c>
      <c r="J10" s="34" t="s">
        <v>39</v>
      </c>
      <c r="K10" s="34" t="s">
        <v>146</v>
      </c>
      <c r="L10" s="34" t="s">
        <v>45</v>
      </c>
      <c r="M10" s="33" t="s">
        <v>48</v>
      </c>
      <c r="N10" s="3" t="s">
        <v>35</v>
      </c>
      <c r="O10" s="34" t="s">
        <v>115</v>
      </c>
      <c r="P10" s="33" t="s">
        <v>1933</v>
      </c>
      <c r="Q10" s="33" t="s">
        <v>30</v>
      </c>
      <c r="R10" s="34" t="s">
        <v>119</v>
      </c>
      <c r="S10" s="35">
        <v>21712700</v>
      </c>
      <c r="T10" s="2" t="s">
        <v>31</v>
      </c>
      <c r="U10" s="36">
        <v>0.71368410000000004</v>
      </c>
      <c r="V10" s="36">
        <v>-0.28631591796875</v>
      </c>
      <c r="W10" s="37">
        <v>7.1368408203125004E-3</v>
      </c>
      <c r="X10" s="38">
        <v>154960.08367919899</v>
      </c>
    </row>
    <row r="11" spans="1:24" x14ac:dyDescent="0.25">
      <c r="A11" s="33" t="s">
        <v>2067</v>
      </c>
      <c r="B11" s="33" t="s">
        <v>1759</v>
      </c>
      <c r="C11" s="33" t="s">
        <v>394</v>
      </c>
      <c r="D11" s="33" t="s">
        <v>2188</v>
      </c>
      <c r="E11" s="33" t="s">
        <v>2189</v>
      </c>
      <c r="F11" s="26" t="str">
        <f>HYPERLINK("https://mapwv.gov/flood/map/?wkid=102100&amp;x=-9061807.482746689&amp;y=4772540.1121079875&amp;l=13&amp;v=2","FT")</f>
        <v>FT</v>
      </c>
      <c r="G11" s="34" t="s">
        <v>32</v>
      </c>
      <c r="H11" s="34" t="s">
        <v>25</v>
      </c>
      <c r="I11" s="33" t="s">
        <v>1871</v>
      </c>
      <c r="J11" s="34" t="s">
        <v>36</v>
      </c>
      <c r="K11" s="34" t="s">
        <v>87</v>
      </c>
      <c r="L11" s="34"/>
      <c r="M11" s="33" t="s">
        <v>28</v>
      </c>
      <c r="N11" s="3" t="s">
        <v>111</v>
      </c>
      <c r="O11" s="34" t="s">
        <v>114</v>
      </c>
      <c r="P11" s="47">
        <v>11600</v>
      </c>
      <c r="Q11" s="33" t="s">
        <v>30</v>
      </c>
      <c r="R11" s="34" t="s">
        <v>119</v>
      </c>
      <c r="S11" s="35">
        <v>7500000</v>
      </c>
      <c r="T11" s="2" t="s">
        <v>29</v>
      </c>
      <c r="U11" s="36">
        <v>1.6318359</v>
      </c>
      <c r="V11" s="36">
        <v>0.6318359375</v>
      </c>
      <c r="W11" s="37">
        <v>0.03</v>
      </c>
      <c r="X11" s="38">
        <v>225000</v>
      </c>
    </row>
    <row r="12" spans="1:24" x14ac:dyDescent="0.25">
      <c r="A12" s="33" t="s">
        <v>2035</v>
      </c>
      <c r="B12" s="33" t="s">
        <v>1768</v>
      </c>
      <c r="C12" s="33" t="s">
        <v>1760</v>
      </c>
      <c r="D12" s="33" t="s">
        <v>2119</v>
      </c>
      <c r="E12" s="33" t="s">
        <v>2120</v>
      </c>
      <c r="F12" s="26" t="str">
        <f>HYPERLINK("https://mapwv.gov/flood/map/?wkid=102100&amp;x=-9078528.259143941&amp;y=4765588.273390267&amp;l=13&amp;v=2","FT")</f>
        <v>FT</v>
      </c>
      <c r="G12" s="34" t="s">
        <v>32</v>
      </c>
      <c r="H12" s="34" t="s">
        <v>25</v>
      </c>
      <c r="I12" s="33" t="s">
        <v>1840</v>
      </c>
      <c r="J12" s="34" t="s">
        <v>26</v>
      </c>
      <c r="K12" s="34" t="s">
        <v>127</v>
      </c>
      <c r="L12" s="34" t="s">
        <v>27</v>
      </c>
      <c r="M12" s="33" t="s">
        <v>48</v>
      </c>
      <c r="N12" s="3" t="s">
        <v>35</v>
      </c>
      <c r="O12" s="34" t="s">
        <v>114</v>
      </c>
      <c r="P12" s="33" t="s">
        <v>1934</v>
      </c>
      <c r="Q12" s="33" t="s">
        <v>30</v>
      </c>
      <c r="R12" s="34" t="s">
        <v>119</v>
      </c>
      <c r="S12" s="35">
        <v>5092400</v>
      </c>
      <c r="T12" s="2" t="s">
        <v>44</v>
      </c>
      <c r="U12" s="36">
        <v>0</v>
      </c>
      <c r="V12" s="36">
        <v>-1</v>
      </c>
      <c r="W12" s="37">
        <v>0</v>
      </c>
      <c r="X12" s="38">
        <v>0</v>
      </c>
    </row>
    <row r="13" spans="1:24" x14ac:dyDescent="0.25">
      <c r="A13" s="33" t="s">
        <v>2306</v>
      </c>
      <c r="B13" s="33" t="s">
        <v>1759</v>
      </c>
      <c r="C13" s="33" t="s">
        <v>394</v>
      </c>
      <c r="D13" s="33" t="s">
        <v>2307</v>
      </c>
      <c r="E13" s="33" t="s">
        <v>2308</v>
      </c>
      <c r="F13" s="26" t="str">
        <f>HYPERLINK("https://mapwv.gov/flood/map/?wkid=102100&amp;x=-9072208.217728237&amp;y=4774756.968145472&amp;l=13&amp;v=2","FT")</f>
        <v>FT</v>
      </c>
      <c r="G13" s="34" t="s">
        <v>32</v>
      </c>
      <c r="H13" s="34" t="s">
        <v>25</v>
      </c>
      <c r="I13" s="33" t="s">
        <v>2309</v>
      </c>
      <c r="J13" s="34" t="s">
        <v>26</v>
      </c>
      <c r="K13" s="34">
        <v>1990</v>
      </c>
      <c r="L13" s="34" t="s">
        <v>58</v>
      </c>
      <c r="M13" s="33" t="s">
        <v>28</v>
      </c>
      <c r="N13" s="3" t="s">
        <v>111</v>
      </c>
      <c r="O13" s="34" t="s">
        <v>114</v>
      </c>
      <c r="P13" s="47">
        <v>3500</v>
      </c>
      <c r="Q13" s="33" t="s">
        <v>30</v>
      </c>
      <c r="R13" s="34" t="s">
        <v>119</v>
      </c>
      <c r="S13" s="35">
        <v>4600000</v>
      </c>
      <c r="T13" s="2" t="s">
        <v>29</v>
      </c>
      <c r="U13" s="36">
        <v>7.554138</v>
      </c>
      <c r="V13" s="36">
        <v>6.55413818359375</v>
      </c>
      <c r="W13" s="37">
        <v>0.16</v>
      </c>
      <c r="X13" s="38">
        <v>736000</v>
      </c>
    </row>
    <row r="14" spans="1:24" x14ac:dyDescent="0.25">
      <c r="A14" s="33" t="s">
        <v>2036</v>
      </c>
      <c r="B14" s="33" t="s">
        <v>1763</v>
      </c>
      <c r="C14" s="33" t="s">
        <v>1790</v>
      </c>
      <c r="D14" s="33" t="s">
        <v>2121</v>
      </c>
      <c r="E14" s="33" t="s">
        <v>2122</v>
      </c>
      <c r="F14" s="26" t="str">
        <f>HYPERLINK("https://mapwv.gov/flood/map/?wkid=102100&amp;x=-9079477.88197134&amp;y=4759505.496565618&amp;l=13&amp;v=2","FT")</f>
        <v>FT</v>
      </c>
      <c r="G14" s="34" t="s">
        <v>82</v>
      </c>
      <c r="H14" s="34" t="s">
        <v>25</v>
      </c>
      <c r="I14" s="33" t="s">
        <v>1838</v>
      </c>
      <c r="J14" s="34" t="s">
        <v>39</v>
      </c>
      <c r="K14" s="34" t="s">
        <v>85</v>
      </c>
      <c r="L14" s="34" t="s">
        <v>49</v>
      </c>
      <c r="M14" s="33" t="s">
        <v>73</v>
      </c>
      <c r="N14" s="3" t="s">
        <v>111</v>
      </c>
      <c r="O14" s="34" t="s">
        <v>1928</v>
      </c>
      <c r="P14" s="33" t="s">
        <v>1935</v>
      </c>
      <c r="Q14" s="33" t="s">
        <v>30</v>
      </c>
      <c r="R14" s="34" t="s">
        <v>119</v>
      </c>
      <c r="S14" s="35">
        <v>4014900</v>
      </c>
      <c r="T14" s="2" t="s">
        <v>44</v>
      </c>
      <c r="U14" s="36">
        <v>0</v>
      </c>
      <c r="V14" s="36">
        <v>-1</v>
      </c>
      <c r="W14" s="37">
        <v>0</v>
      </c>
      <c r="X14" s="38">
        <v>0</v>
      </c>
    </row>
    <row r="15" spans="1:24" x14ac:dyDescent="0.25">
      <c r="A15" s="33" t="s">
        <v>2037</v>
      </c>
      <c r="B15" s="33" t="s">
        <v>1768</v>
      </c>
      <c r="C15" s="33" t="s">
        <v>1760</v>
      </c>
      <c r="D15" s="33" t="s">
        <v>2123</v>
      </c>
      <c r="E15" s="33" t="s">
        <v>2124</v>
      </c>
      <c r="F15" s="26" t="str">
        <f>HYPERLINK("https://mapwv.gov/flood/map/?wkid=102100&amp;x=-9078641.544536943&amp;y=4764460.719214153&amp;l=13&amp;v=2","FT")</f>
        <v>FT</v>
      </c>
      <c r="G15" s="34" t="s">
        <v>32</v>
      </c>
      <c r="H15" s="34" t="s">
        <v>25</v>
      </c>
      <c r="I15" s="33" t="s">
        <v>1841</v>
      </c>
      <c r="J15" s="34" t="s">
        <v>26</v>
      </c>
      <c r="K15" s="34" t="s">
        <v>86</v>
      </c>
      <c r="L15" s="34" t="s">
        <v>27</v>
      </c>
      <c r="M15" s="33" t="s">
        <v>56</v>
      </c>
      <c r="N15" s="3" t="s">
        <v>35</v>
      </c>
      <c r="O15" s="34" t="s">
        <v>115</v>
      </c>
      <c r="P15" s="33" t="s">
        <v>1936</v>
      </c>
      <c r="Q15" s="33" t="s">
        <v>30</v>
      </c>
      <c r="R15" s="34" t="s">
        <v>119</v>
      </c>
      <c r="S15" s="35">
        <v>3535000</v>
      </c>
      <c r="T15" s="2" t="s">
        <v>44</v>
      </c>
      <c r="U15" s="36">
        <v>1</v>
      </c>
      <c r="V15" s="36">
        <v>0</v>
      </c>
      <c r="W15" s="37">
        <v>0.02</v>
      </c>
      <c r="X15" s="38">
        <v>70700</v>
      </c>
    </row>
    <row r="16" spans="1:24" x14ac:dyDescent="0.25">
      <c r="A16" s="33" t="s">
        <v>1835</v>
      </c>
      <c r="B16" s="33" t="s">
        <v>1768</v>
      </c>
      <c r="C16" s="33" t="s">
        <v>1760</v>
      </c>
      <c r="D16" s="33" t="s">
        <v>1810</v>
      </c>
      <c r="E16" s="33" t="s">
        <v>1811</v>
      </c>
      <c r="F16" s="26" t="str">
        <f>HYPERLINK("https://mapwv.gov/flood/map/?wkid=102100&amp;x=-9078096.407869833&amp;y=4766493.323810188&amp;l=13&amp;v=2","FT")</f>
        <v>FT</v>
      </c>
      <c r="G16" s="34" t="s">
        <v>32</v>
      </c>
      <c r="H16" s="34" t="s">
        <v>25</v>
      </c>
      <c r="I16" s="33" t="s">
        <v>1842</v>
      </c>
      <c r="J16" s="34" t="s">
        <v>26</v>
      </c>
      <c r="K16" s="34" t="s">
        <v>127</v>
      </c>
      <c r="L16" s="34" t="s">
        <v>27</v>
      </c>
      <c r="M16" s="33" t="s">
        <v>48</v>
      </c>
      <c r="N16" s="3" t="s">
        <v>35</v>
      </c>
      <c r="O16" s="34" t="s">
        <v>114</v>
      </c>
      <c r="P16" s="33" t="s">
        <v>1937</v>
      </c>
      <c r="Q16" s="33" t="s">
        <v>30</v>
      </c>
      <c r="R16" s="34" t="s">
        <v>119</v>
      </c>
      <c r="S16" s="35">
        <v>3423000</v>
      </c>
      <c r="T16" s="2" t="s">
        <v>44</v>
      </c>
      <c r="U16" s="36">
        <v>0</v>
      </c>
      <c r="V16" s="36">
        <v>-1</v>
      </c>
      <c r="W16" s="37">
        <v>0</v>
      </c>
      <c r="X16" s="38">
        <v>0</v>
      </c>
    </row>
    <row r="17" spans="1:24" x14ac:dyDescent="0.25">
      <c r="A17" s="33" t="s">
        <v>1836</v>
      </c>
      <c r="B17" s="33" t="s">
        <v>1768</v>
      </c>
      <c r="C17" s="33" t="s">
        <v>1760</v>
      </c>
      <c r="D17" s="33" t="s">
        <v>1812</v>
      </c>
      <c r="E17" s="33" t="s">
        <v>1813</v>
      </c>
      <c r="F17" s="26" t="str">
        <f>HYPERLINK("https://mapwv.gov/flood/map/?wkid=102100&amp;x=-9078154.347438404&amp;y=4766151.411986578&amp;l=13&amp;v=2","FT")</f>
        <v>FT</v>
      </c>
      <c r="G17" s="34" t="s">
        <v>32</v>
      </c>
      <c r="H17" s="34" t="s">
        <v>25</v>
      </c>
      <c r="I17" s="33" t="s">
        <v>1843</v>
      </c>
      <c r="J17" s="34" t="s">
        <v>26</v>
      </c>
      <c r="K17" s="34" t="s">
        <v>171</v>
      </c>
      <c r="L17" s="34" t="s">
        <v>27</v>
      </c>
      <c r="M17" s="33" t="s">
        <v>48</v>
      </c>
      <c r="N17" s="3" t="s">
        <v>35</v>
      </c>
      <c r="O17" s="34" t="s">
        <v>114</v>
      </c>
      <c r="P17" s="33" t="s">
        <v>1938</v>
      </c>
      <c r="Q17" s="33" t="s">
        <v>30</v>
      </c>
      <c r="R17" s="34" t="s">
        <v>119</v>
      </c>
      <c r="S17" s="35">
        <v>3336900</v>
      </c>
      <c r="T17" s="2" t="s">
        <v>44</v>
      </c>
      <c r="U17" s="36">
        <v>0</v>
      </c>
      <c r="V17" s="36">
        <v>-1</v>
      </c>
      <c r="W17" s="37">
        <v>0</v>
      </c>
      <c r="X17" s="38">
        <v>0</v>
      </c>
    </row>
    <row r="18" spans="1:24" x14ac:dyDescent="0.25">
      <c r="A18" s="33" t="s">
        <v>2038</v>
      </c>
      <c r="B18" s="33" t="s">
        <v>1768</v>
      </c>
      <c r="C18" s="33" t="s">
        <v>1760</v>
      </c>
      <c r="D18" s="33" t="s">
        <v>2125</v>
      </c>
      <c r="E18" s="33" t="s">
        <v>2126</v>
      </c>
      <c r="F18" s="26" t="str">
        <f>HYPERLINK("https://mapwv.gov/flood/map/?wkid=102100&amp;x=-9078158.712720914&amp;y=4765642.546657195&amp;l=13&amp;v=2","FT")</f>
        <v>FT</v>
      </c>
      <c r="G18" s="34" t="s">
        <v>32</v>
      </c>
      <c r="H18" s="34" t="s">
        <v>66</v>
      </c>
      <c r="I18" s="33" t="s">
        <v>1844</v>
      </c>
      <c r="J18" s="34" t="s">
        <v>39</v>
      </c>
      <c r="K18" s="34" t="s">
        <v>1475</v>
      </c>
      <c r="L18" s="34" t="s">
        <v>37</v>
      </c>
      <c r="M18" s="33" t="s">
        <v>48</v>
      </c>
      <c r="N18" s="3" t="s">
        <v>35</v>
      </c>
      <c r="O18" s="34" t="s">
        <v>114</v>
      </c>
      <c r="P18" s="33" t="s">
        <v>1939</v>
      </c>
      <c r="Q18" s="33" t="s">
        <v>30</v>
      </c>
      <c r="R18" s="34" t="s">
        <v>119</v>
      </c>
      <c r="S18" s="35">
        <v>3267400</v>
      </c>
      <c r="T18" s="2" t="s">
        <v>44</v>
      </c>
      <c r="U18" s="36">
        <v>1</v>
      </c>
      <c r="V18" s="36">
        <v>0</v>
      </c>
      <c r="W18" s="37">
        <v>0.01</v>
      </c>
      <c r="X18" s="38">
        <v>32674</v>
      </c>
    </row>
    <row r="19" spans="1:24" x14ac:dyDescent="0.25">
      <c r="A19" s="33" t="s">
        <v>2317</v>
      </c>
      <c r="B19" s="33" t="s">
        <v>1759</v>
      </c>
      <c r="C19" s="33" t="s">
        <v>212</v>
      </c>
      <c r="D19" s="33" t="s">
        <v>2318</v>
      </c>
      <c r="E19" s="33" t="s">
        <v>2319</v>
      </c>
      <c r="F19" s="26" t="str">
        <f>HYPERLINK("https://mapwv.gov/flood/map/?wkid=102100&amp;x=-9073884.470850736&amp;y=4753954.797819494&amp;l=13&amp;v=2","FT")</f>
        <v>FT</v>
      </c>
      <c r="G19" s="34" t="s">
        <v>32</v>
      </c>
      <c r="H19" s="34" t="s">
        <v>25</v>
      </c>
      <c r="I19" s="33" t="s">
        <v>2320</v>
      </c>
      <c r="J19" s="34" t="s">
        <v>26</v>
      </c>
      <c r="K19" s="34">
        <v>2000</v>
      </c>
      <c r="L19" s="34" t="s">
        <v>37</v>
      </c>
      <c r="M19" s="33" t="s">
        <v>28</v>
      </c>
      <c r="N19" s="3" t="s">
        <v>111</v>
      </c>
      <c r="O19" s="34">
        <v>1</v>
      </c>
      <c r="P19" s="47">
        <v>14500</v>
      </c>
      <c r="Q19" s="33" t="s">
        <v>30</v>
      </c>
      <c r="R19" s="34" t="s">
        <v>119</v>
      </c>
      <c r="S19" s="35">
        <v>2800000</v>
      </c>
      <c r="T19" s="2" t="s">
        <v>29</v>
      </c>
      <c r="U19" s="36">
        <v>0</v>
      </c>
      <c r="V19" s="36">
        <v>0</v>
      </c>
      <c r="W19" s="37">
        <v>0</v>
      </c>
      <c r="X19" s="38">
        <v>0</v>
      </c>
    </row>
    <row r="20" spans="1:24" x14ac:dyDescent="0.25">
      <c r="A20" s="33" t="s">
        <v>2039</v>
      </c>
      <c r="B20" s="33" t="s">
        <v>1768</v>
      </c>
      <c r="C20" s="33" t="s">
        <v>1760</v>
      </c>
      <c r="D20" s="33" t="s">
        <v>2127</v>
      </c>
      <c r="E20" s="33" t="s">
        <v>2128</v>
      </c>
      <c r="F20" s="26" t="str">
        <f>HYPERLINK("https://mapwv.gov/flood/map/?wkid=102100&amp;x=-9078140.465229984&amp;y=4765079.0865129875&amp;l=13&amp;v=2","FT")</f>
        <v>FT</v>
      </c>
      <c r="G20" s="34" t="s">
        <v>32</v>
      </c>
      <c r="H20" s="34" t="s">
        <v>25</v>
      </c>
      <c r="I20" s="33" t="s">
        <v>1839</v>
      </c>
      <c r="J20" s="34" t="s">
        <v>26</v>
      </c>
      <c r="K20" s="34" t="s">
        <v>160</v>
      </c>
      <c r="L20" s="34" t="s">
        <v>58</v>
      </c>
      <c r="M20" s="33" t="s">
        <v>48</v>
      </c>
      <c r="N20" s="3" t="s">
        <v>35</v>
      </c>
      <c r="O20" s="34" t="s">
        <v>114</v>
      </c>
      <c r="P20" s="33" t="s">
        <v>1940</v>
      </c>
      <c r="Q20" s="33" t="s">
        <v>30</v>
      </c>
      <c r="R20" s="34" t="s">
        <v>119</v>
      </c>
      <c r="S20" s="35">
        <v>2619500</v>
      </c>
      <c r="T20" s="2" t="s">
        <v>31</v>
      </c>
      <c r="U20" s="36">
        <v>3.4700316999999998</v>
      </c>
      <c r="V20" s="36">
        <v>2.47003173828125</v>
      </c>
      <c r="W20" s="37">
        <v>0.14940063476562501</v>
      </c>
      <c r="X20" s="38">
        <v>391354.96276855399</v>
      </c>
    </row>
    <row r="21" spans="1:24" x14ac:dyDescent="0.25">
      <c r="A21" s="33" t="s">
        <v>2313</v>
      </c>
      <c r="B21" s="33" t="s">
        <v>1781</v>
      </c>
      <c r="C21" s="33" t="s">
        <v>394</v>
      </c>
      <c r="D21" s="33" t="s">
        <v>2314</v>
      </c>
      <c r="E21" s="33" t="s">
        <v>2315</v>
      </c>
      <c r="F21" s="26" t="str">
        <f>HYPERLINK("https://mapwv.gov/flood/map/?wkid=102100&amp;x=-9067466.66164509&amp;y=4779886.833017425&amp;l=13&amp;v=2","FT")</f>
        <v>FT</v>
      </c>
      <c r="G21" s="34" t="s">
        <v>32</v>
      </c>
      <c r="H21" s="34" t="s">
        <v>25</v>
      </c>
      <c r="I21" s="33" t="s">
        <v>2316</v>
      </c>
      <c r="J21" s="34" t="s">
        <v>26</v>
      </c>
      <c r="K21" s="34">
        <v>1988</v>
      </c>
      <c r="L21" s="34" t="s">
        <v>37</v>
      </c>
      <c r="M21" s="33" t="s">
        <v>28</v>
      </c>
      <c r="N21" s="3" t="s">
        <v>111</v>
      </c>
      <c r="O21" s="34">
        <v>1</v>
      </c>
      <c r="P21" s="47">
        <v>19000</v>
      </c>
      <c r="Q21" s="33" t="s">
        <v>30</v>
      </c>
      <c r="R21" s="34" t="s">
        <v>119</v>
      </c>
      <c r="S21" s="35">
        <v>2000000</v>
      </c>
      <c r="T21" s="2" t="s">
        <v>29</v>
      </c>
      <c r="U21" s="36">
        <v>6.9765625</v>
      </c>
      <c r="V21" s="36">
        <v>5.9765625</v>
      </c>
      <c r="W21" s="37">
        <v>0.15</v>
      </c>
      <c r="X21" s="38">
        <v>300000</v>
      </c>
    </row>
    <row r="22" spans="1:24" hidden="1" x14ac:dyDescent="0.25">
      <c r="A22" s="33" t="s">
        <v>2040</v>
      </c>
      <c r="B22" s="33" t="s">
        <v>1759</v>
      </c>
      <c r="C22" s="33" t="s">
        <v>1776</v>
      </c>
      <c r="D22" s="33" t="s">
        <v>2129</v>
      </c>
      <c r="E22" s="33" t="s">
        <v>2130</v>
      </c>
      <c r="F22" s="26" t="str">
        <f>HYPERLINK("https://mapwv.gov/flood/map/?wkid=102100&amp;x=-9075324.8536683&amp;y=4748585.9246479105&amp;l=13&amp;v=2","FT")</f>
        <v>FT</v>
      </c>
      <c r="G22" s="34" t="s">
        <v>32</v>
      </c>
      <c r="H22" s="34" t="s">
        <v>25</v>
      </c>
      <c r="I22" s="33" t="s">
        <v>1845</v>
      </c>
      <c r="J22" s="34" t="s">
        <v>26</v>
      </c>
      <c r="K22" s="34" t="s">
        <v>140</v>
      </c>
      <c r="L22" s="34" t="s">
        <v>58</v>
      </c>
      <c r="M22" s="33" t="s">
        <v>71</v>
      </c>
      <c r="N22" s="3" t="s">
        <v>42</v>
      </c>
      <c r="O22" s="34" t="s">
        <v>116</v>
      </c>
      <c r="P22" s="33" t="s">
        <v>1941</v>
      </c>
      <c r="Q22" s="33" t="s">
        <v>30</v>
      </c>
      <c r="R22" s="34" t="s">
        <v>119</v>
      </c>
      <c r="S22" s="35">
        <v>1989400</v>
      </c>
      <c r="T22" s="2" t="s">
        <v>44</v>
      </c>
      <c r="U22" s="36">
        <v>0</v>
      </c>
      <c r="V22" s="36">
        <v>-1</v>
      </c>
      <c r="W22" s="37">
        <v>0</v>
      </c>
      <c r="X22" s="38">
        <v>0</v>
      </c>
    </row>
    <row r="23" spans="1:24" x14ac:dyDescent="0.25">
      <c r="A23" s="33" t="s">
        <v>1828</v>
      </c>
      <c r="B23" s="33" t="s">
        <v>1763</v>
      </c>
      <c r="C23" s="33" t="s">
        <v>1764</v>
      </c>
      <c r="D23" s="33" t="s">
        <v>1797</v>
      </c>
      <c r="E23" s="33" t="s">
        <v>1798</v>
      </c>
      <c r="F23" s="26" t="str">
        <f>HYPERLINK("https://mapwv.gov/flood/map/?wkid=102100&amp;x=-9074810.025068393&amp;y=4760117.752755368&amp;l=13&amp;v=2","FT")</f>
        <v>FT</v>
      </c>
      <c r="G23" s="34" t="s">
        <v>32</v>
      </c>
      <c r="H23" s="34" t="s">
        <v>25</v>
      </c>
      <c r="I23" s="33" t="s">
        <v>1846</v>
      </c>
      <c r="J23" s="34" t="s">
        <v>26</v>
      </c>
      <c r="K23" s="34" t="s">
        <v>125</v>
      </c>
      <c r="L23" s="34" t="s">
        <v>58</v>
      </c>
      <c r="M23" s="33" t="s">
        <v>48</v>
      </c>
      <c r="N23" s="3" t="s">
        <v>35</v>
      </c>
      <c r="O23" s="34" t="s">
        <v>115</v>
      </c>
      <c r="P23" s="33" t="s">
        <v>1942</v>
      </c>
      <c r="Q23" s="33" t="s">
        <v>30</v>
      </c>
      <c r="R23" s="34" t="s">
        <v>119</v>
      </c>
      <c r="S23" s="35">
        <v>1962000</v>
      </c>
      <c r="T23" s="2" t="s">
        <v>31</v>
      </c>
      <c r="U23" s="36">
        <v>0</v>
      </c>
      <c r="V23" s="36">
        <v>-1</v>
      </c>
      <c r="W23" s="37">
        <v>0</v>
      </c>
      <c r="X23" s="38">
        <v>0</v>
      </c>
    </row>
    <row r="24" spans="1:24" x14ac:dyDescent="0.25">
      <c r="A24" s="33" t="s">
        <v>2041</v>
      </c>
      <c r="B24" s="33" t="s">
        <v>1763</v>
      </c>
      <c r="C24" s="33" t="s">
        <v>212</v>
      </c>
      <c r="D24" s="33" t="s">
        <v>2131</v>
      </c>
      <c r="E24" s="33" t="s">
        <v>2132</v>
      </c>
      <c r="F24" s="26" t="str">
        <f>HYPERLINK("https://mapwv.gov/flood/map/?wkid=102100&amp;x=-9079412.389152683&amp;y=4759333.627603322&amp;l=13&amp;v=2","FT")</f>
        <v>FT</v>
      </c>
      <c r="G24" s="34" t="s">
        <v>82</v>
      </c>
      <c r="H24" s="34" t="s">
        <v>25</v>
      </c>
      <c r="I24" s="33" t="s">
        <v>1847</v>
      </c>
      <c r="J24" s="34" t="s">
        <v>26</v>
      </c>
      <c r="K24" s="34" t="s">
        <v>133</v>
      </c>
      <c r="L24" s="34" t="s">
        <v>58</v>
      </c>
      <c r="M24" s="33" t="s">
        <v>73</v>
      </c>
      <c r="N24" s="3" t="s">
        <v>111</v>
      </c>
      <c r="O24" s="34" t="s">
        <v>114</v>
      </c>
      <c r="P24" s="33" t="s">
        <v>1943</v>
      </c>
      <c r="Q24" s="33" t="s">
        <v>30</v>
      </c>
      <c r="R24" s="34" t="s">
        <v>119</v>
      </c>
      <c r="S24" s="35">
        <v>1790100</v>
      </c>
      <c r="T24" s="2" t="s">
        <v>44</v>
      </c>
      <c r="U24" s="36">
        <v>0</v>
      </c>
      <c r="V24" s="36">
        <v>-1</v>
      </c>
      <c r="W24" s="37">
        <v>0</v>
      </c>
      <c r="X24" s="38">
        <v>0</v>
      </c>
    </row>
    <row r="25" spans="1:24" x14ac:dyDescent="0.25">
      <c r="A25" s="33" t="s">
        <v>2042</v>
      </c>
      <c r="B25" s="33" t="s">
        <v>1768</v>
      </c>
      <c r="C25" s="33" t="s">
        <v>1760</v>
      </c>
      <c r="D25" s="33" t="s">
        <v>2133</v>
      </c>
      <c r="E25" s="33" t="s">
        <v>2134</v>
      </c>
      <c r="F25" s="26" t="str">
        <f>HYPERLINK("https://mapwv.gov/flood/map/?wkid=102100&amp;x=-9078554.610805124&amp;y=4766877.831047426&amp;l=13&amp;v=2","FT")</f>
        <v>FT</v>
      </c>
      <c r="G25" s="34" t="s">
        <v>32</v>
      </c>
      <c r="H25" s="34" t="s">
        <v>25</v>
      </c>
      <c r="I25" s="33" t="s">
        <v>1848</v>
      </c>
      <c r="J25" s="34" t="s">
        <v>26</v>
      </c>
      <c r="K25" s="34" t="s">
        <v>99</v>
      </c>
      <c r="L25" s="34" t="s">
        <v>50</v>
      </c>
      <c r="M25" s="33" t="s">
        <v>48</v>
      </c>
      <c r="N25" s="3" t="s">
        <v>35</v>
      </c>
      <c r="O25" s="34" t="s">
        <v>114</v>
      </c>
      <c r="P25" s="33" t="s">
        <v>1944</v>
      </c>
      <c r="Q25" s="33" t="s">
        <v>30</v>
      </c>
      <c r="R25" s="34" t="s">
        <v>119</v>
      </c>
      <c r="S25" s="35">
        <v>1739600</v>
      </c>
      <c r="T25" s="2" t="s">
        <v>44</v>
      </c>
      <c r="U25" s="36">
        <v>1.6422730000000001</v>
      </c>
      <c r="V25" s="36">
        <v>0.64227294921875</v>
      </c>
      <c r="W25" s="37">
        <v>6.1381835937499997E-2</v>
      </c>
      <c r="X25" s="38">
        <v>106779.841796875</v>
      </c>
    </row>
    <row r="26" spans="1:24" x14ac:dyDescent="0.25">
      <c r="A26" s="33" t="s">
        <v>2043</v>
      </c>
      <c r="B26" s="33" t="s">
        <v>1768</v>
      </c>
      <c r="C26" s="33" t="s">
        <v>1760</v>
      </c>
      <c r="D26" s="33" t="s">
        <v>2135</v>
      </c>
      <c r="E26" s="33" t="s">
        <v>2136</v>
      </c>
      <c r="F26" s="26" t="str">
        <f>HYPERLINK("https://mapwv.gov/flood/map/?wkid=102100&amp;x=-9077995.576567503&amp;y=4764712.529161162&amp;l=13&amp;v=2","FT")</f>
        <v>FT</v>
      </c>
      <c r="G26" s="34" t="s">
        <v>32</v>
      </c>
      <c r="H26" s="34" t="s">
        <v>25</v>
      </c>
      <c r="I26" s="33" t="s">
        <v>1839</v>
      </c>
      <c r="J26" s="34" t="s">
        <v>26</v>
      </c>
      <c r="K26" s="34" t="s">
        <v>720</v>
      </c>
      <c r="L26" s="34" t="s">
        <v>58</v>
      </c>
      <c r="M26" s="33" t="s">
        <v>48</v>
      </c>
      <c r="N26" s="3" t="s">
        <v>35</v>
      </c>
      <c r="O26" s="34" t="s">
        <v>114</v>
      </c>
      <c r="P26" s="33" t="s">
        <v>1945</v>
      </c>
      <c r="Q26" s="33" t="s">
        <v>30</v>
      </c>
      <c r="R26" s="34" t="s">
        <v>119</v>
      </c>
      <c r="S26" s="35">
        <v>1705400</v>
      </c>
      <c r="T26" s="2" t="s">
        <v>44</v>
      </c>
      <c r="U26" s="36">
        <v>1.4026489</v>
      </c>
      <c r="V26" s="36">
        <v>0.40264892578125</v>
      </c>
      <c r="W26" s="37">
        <v>4.2211914062500001E-2</v>
      </c>
      <c r="X26" s="38">
        <v>71988.1982421875</v>
      </c>
    </row>
    <row r="27" spans="1:24" x14ac:dyDescent="0.25">
      <c r="A27" s="33" t="s">
        <v>2044</v>
      </c>
      <c r="B27" s="33" t="s">
        <v>1763</v>
      </c>
      <c r="C27" s="33" t="s">
        <v>1764</v>
      </c>
      <c r="D27" s="33" t="s">
        <v>2137</v>
      </c>
      <c r="E27" s="33" t="s">
        <v>2138</v>
      </c>
      <c r="F27" s="26" t="str">
        <f>HYPERLINK("https://mapwv.gov/flood/map/?wkid=102100&amp;x=-9074114.517699163&amp;y=4760170.9743643&amp;l=13&amp;v=2","FT")</f>
        <v>FT</v>
      </c>
      <c r="G27" s="34" t="s">
        <v>32</v>
      </c>
      <c r="H27" s="34" t="s">
        <v>25</v>
      </c>
      <c r="I27" s="33" t="s">
        <v>1849</v>
      </c>
      <c r="J27" s="34" t="s">
        <v>26</v>
      </c>
      <c r="K27" s="34" t="s">
        <v>139</v>
      </c>
      <c r="L27" s="34" t="s">
        <v>54</v>
      </c>
      <c r="M27" s="33" t="s">
        <v>48</v>
      </c>
      <c r="N27" s="3" t="s">
        <v>35</v>
      </c>
      <c r="O27" s="34" t="s">
        <v>114</v>
      </c>
      <c r="P27" s="33" t="s">
        <v>1946</v>
      </c>
      <c r="Q27" s="33" t="s">
        <v>30</v>
      </c>
      <c r="R27" s="34" t="s">
        <v>119</v>
      </c>
      <c r="S27" s="35">
        <v>1574000</v>
      </c>
      <c r="T27" s="2" t="s">
        <v>44</v>
      </c>
      <c r="U27" s="36">
        <v>5.7191159999999996</v>
      </c>
      <c r="V27" s="36">
        <v>4.7191162109375</v>
      </c>
      <c r="W27" s="37">
        <v>0.19438232421875001</v>
      </c>
      <c r="X27" s="38">
        <v>305957.77832031198</v>
      </c>
    </row>
    <row r="28" spans="1:24" x14ac:dyDescent="0.25">
      <c r="A28" s="33" t="s">
        <v>1818</v>
      </c>
      <c r="B28" s="33" t="s">
        <v>1763</v>
      </c>
      <c r="C28" s="33" t="s">
        <v>1767</v>
      </c>
      <c r="D28" s="33" t="s">
        <v>1774</v>
      </c>
      <c r="E28" s="33" t="s">
        <v>1775</v>
      </c>
      <c r="F28" s="26" t="str">
        <f>HYPERLINK("https://mapwv.gov/flood/map/?wkid=102100&amp;x=-9075380.344875991&amp;y=4763770.613262384&amp;l=13&amp;v=2","FT")</f>
        <v>FT</v>
      </c>
      <c r="G28" s="34" t="s">
        <v>55</v>
      </c>
      <c r="H28" s="34" t="s">
        <v>25</v>
      </c>
      <c r="I28" s="33"/>
      <c r="J28" s="34" t="s">
        <v>39</v>
      </c>
      <c r="K28" s="34" t="s">
        <v>105</v>
      </c>
      <c r="L28" s="34" t="s">
        <v>51</v>
      </c>
      <c r="M28" s="33" t="s">
        <v>67</v>
      </c>
      <c r="N28" s="3" t="s">
        <v>112</v>
      </c>
      <c r="O28" s="34" t="s">
        <v>114</v>
      </c>
      <c r="P28" s="33" t="s">
        <v>1947</v>
      </c>
      <c r="Q28" s="33" t="s">
        <v>30</v>
      </c>
      <c r="R28" s="34" t="s">
        <v>119</v>
      </c>
      <c r="S28" s="35">
        <v>1232600</v>
      </c>
      <c r="T28" s="2" t="s">
        <v>44</v>
      </c>
      <c r="U28" s="36">
        <v>0.88580320000000001</v>
      </c>
      <c r="V28" s="36">
        <v>-0.11419677734375</v>
      </c>
      <c r="W28" s="37">
        <v>0</v>
      </c>
      <c r="X28" s="38">
        <v>0</v>
      </c>
    </row>
    <row r="29" spans="1:24" x14ac:dyDescent="0.25">
      <c r="A29" s="33" t="s">
        <v>2045</v>
      </c>
      <c r="B29" s="33" t="s">
        <v>1759</v>
      </c>
      <c r="C29" s="33" t="s">
        <v>1764</v>
      </c>
      <c r="D29" s="33" t="s">
        <v>2139</v>
      </c>
      <c r="E29" s="33" t="s">
        <v>2140</v>
      </c>
      <c r="F29" s="26" t="str">
        <f>HYPERLINK("https://mapwv.gov/flood/map/?wkid=102100&amp;x=-9076224.949452369&amp;y=4758687.113597524&amp;l=13&amp;v=2","FT")</f>
        <v>FT</v>
      </c>
      <c r="G29" s="34" t="s">
        <v>32</v>
      </c>
      <c r="H29" s="34" t="s">
        <v>25</v>
      </c>
      <c r="I29" s="33" t="s">
        <v>1850</v>
      </c>
      <c r="J29" s="34" t="s">
        <v>39</v>
      </c>
      <c r="K29" s="34" t="s">
        <v>132</v>
      </c>
      <c r="L29" s="34" t="s">
        <v>50</v>
      </c>
      <c r="M29" s="33" t="s">
        <v>72</v>
      </c>
      <c r="N29" s="3" t="s">
        <v>35</v>
      </c>
      <c r="O29" s="34" t="s">
        <v>114</v>
      </c>
      <c r="P29" s="33" t="s">
        <v>1948</v>
      </c>
      <c r="Q29" s="33" t="s">
        <v>30</v>
      </c>
      <c r="R29" s="34" t="s">
        <v>119</v>
      </c>
      <c r="S29" s="35">
        <v>1232400</v>
      </c>
      <c r="T29" s="2" t="s">
        <v>44</v>
      </c>
      <c r="U29" s="36">
        <v>2.0118407999999999</v>
      </c>
      <c r="V29" s="36">
        <v>1.0118408203125</v>
      </c>
      <c r="W29" s="37">
        <v>5.0355224609374999E-2</v>
      </c>
      <c r="X29" s="38">
        <v>62057.778808593699</v>
      </c>
    </row>
    <row r="30" spans="1:24" x14ac:dyDescent="0.25">
      <c r="A30" s="33" t="s">
        <v>2046</v>
      </c>
      <c r="B30" s="33" t="s">
        <v>1768</v>
      </c>
      <c r="C30" s="33" t="s">
        <v>1760</v>
      </c>
      <c r="D30" s="33" t="s">
        <v>2141</v>
      </c>
      <c r="E30" s="33" t="s">
        <v>2142</v>
      </c>
      <c r="F30" s="26" t="str">
        <f>HYPERLINK("https://mapwv.gov/flood/map/?wkid=102100&amp;x=-9078271.158430995&amp;y=4765330.1900252495&amp;l=13&amp;v=2","FT")</f>
        <v>FT</v>
      </c>
      <c r="G30" s="34" t="s">
        <v>32</v>
      </c>
      <c r="H30" s="34" t="s">
        <v>25</v>
      </c>
      <c r="I30" s="33" t="s">
        <v>1851</v>
      </c>
      <c r="J30" s="34" t="s">
        <v>26</v>
      </c>
      <c r="K30" s="34" t="s">
        <v>136</v>
      </c>
      <c r="L30" s="34" t="s">
        <v>58</v>
      </c>
      <c r="M30" s="33" t="s">
        <v>48</v>
      </c>
      <c r="N30" s="3" t="s">
        <v>35</v>
      </c>
      <c r="O30" s="34" t="s">
        <v>114</v>
      </c>
      <c r="P30" s="33" t="s">
        <v>1949</v>
      </c>
      <c r="Q30" s="33" t="s">
        <v>30</v>
      </c>
      <c r="R30" s="34" t="s">
        <v>119</v>
      </c>
      <c r="S30" s="35">
        <v>1139000</v>
      </c>
      <c r="T30" s="2" t="s">
        <v>44</v>
      </c>
      <c r="U30" s="36">
        <v>0.95001219999999997</v>
      </c>
      <c r="V30" s="36">
        <v>-4.998779296875E-2</v>
      </c>
      <c r="W30" s="37">
        <v>9.5001220703125003E-3</v>
      </c>
      <c r="X30" s="38">
        <v>10820.639038085899</v>
      </c>
    </row>
    <row r="31" spans="1:24" hidden="1" x14ac:dyDescent="0.25">
      <c r="A31" s="33" t="s">
        <v>2047</v>
      </c>
      <c r="B31" s="33" t="s">
        <v>1759</v>
      </c>
      <c r="C31" s="33" t="s">
        <v>1764</v>
      </c>
      <c r="D31" s="33" t="s">
        <v>2143</v>
      </c>
      <c r="E31" s="33" t="s">
        <v>2144</v>
      </c>
      <c r="F31" s="26" t="str">
        <f>HYPERLINK("https://mapwv.gov/flood/map/?wkid=102100&amp;x=-9073892.514240546&amp;y=4762919.593339013&amp;l=13&amp;v=2","FT")</f>
        <v>FT</v>
      </c>
      <c r="G31" s="34" t="s">
        <v>32</v>
      </c>
      <c r="H31" s="34" t="s">
        <v>25</v>
      </c>
      <c r="I31" s="33" t="s">
        <v>1852</v>
      </c>
      <c r="J31" s="34" t="s">
        <v>39</v>
      </c>
      <c r="K31" s="34" t="s">
        <v>145</v>
      </c>
      <c r="L31" s="34" t="s">
        <v>50</v>
      </c>
      <c r="M31" s="33" t="s">
        <v>1929</v>
      </c>
      <c r="N31" s="3" t="s">
        <v>42</v>
      </c>
      <c r="O31" s="34" t="s">
        <v>114</v>
      </c>
      <c r="P31" s="33" t="s">
        <v>1950</v>
      </c>
      <c r="Q31" s="33" t="s">
        <v>30</v>
      </c>
      <c r="R31" s="34" t="s">
        <v>119</v>
      </c>
      <c r="S31" s="35">
        <v>1068900</v>
      </c>
      <c r="T31" s="2" t="s">
        <v>44</v>
      </c>
      <c r="U31" s="36">
        <v>0</v>
      </c>
      <c r="V31" s="36">
        <v>-1</v>
      </c>
      <c r="W31" s="37">
        <v>0</v>
      </c>
      <c r="X31" s="38">
        <v>0</v>
      </c>
    </row>
    <row r="32" spans="1:24" x14ac:dyDescent="0.25">
      <c r="A32" s="33" t="s">
        <v>2048</v>
      </c>
      <c r="B32" s="33" t="s">
        <v>1768</v>
      </c>
      <c r="C32" s="33" t="s">
        <v>1760</v>
      </c>
      <c r="D32" s="33" t="s">
        <v>2145</v>
      </c>
      <c r="E32" s="33" t="s">
        <v>2146</v>
      </c>
      <c r="F32" s="26" t="str">
        <f>HYPERLINK("https://mapwv.gov/flood/map/?wkid=102100&amp;x=-9078513.92965381&amp;y=4766264.607159854&amp;l=13&amp;v=2","FT")</f>
        <v>FT</v>
      </c>
      <c r="G32" s="34" t="s">
        <v>32</v>
      </c>
      <c r="H32" s="34" t="s">
        <v>25</v>
      </c>
      <c r="I32" s="33" t="s">
        <v>1853</v>
      </c>
      <c r="J32" s="34" t="s">
        <v>26</v>
      </c>
      <c r="K32" s="34" t="s">
        <v>139</v>
      </c>
      <c r="L32" s="34" t="s">
        <v>38</v>
      </c>
      <c r="M32" s="33" t="s">
        <v>52</v>
      </c>
      <c r="N32" s="3" t="s">
        <v>35</v>
      </c>
      <c r="O32" s="34" t="s">
        <v>114</v>
      </c>
      <c r="P32" s="33" t="s">
        <v>1951</v>
      </c>
      <c r="Q32" s="33" t="s">
        <v>30</v>
      </c>
      <c r="R32" s="34" t="s">
        <v>119</v>
      </c>
      <c r="S32" s="35">
        <v>1040600</v>
      </c>
      <c r="T32" s="2" t="s">
        <v>44</v>
      </c>
      <c r="U32" s="36">
        <v>2.1856080000000002</v>
      </c>
      <c r="V32" s="36">
        <v>1.18560791015625</v>
      </c>
      <c r="W32" s="37">
        <v>9.3712158203125007E-2</v>
      </c>
      <c r="X32" s="38">
        <v>97516.871826171802</v>
      </c>
    </row>
    <row r="33" spans="1:24" x14ac:dyDescent="0.25">
      <c r="A33" s="33" t="s">
        <v>2049</v>
      </c>
      <c r="B33" s="33" t="s">
        <v>1759</v>
      </c>
      <c r="C33" s="33" t="s">
        <v>1760</v>
      </c>
      <c r="D33" s="33" t="s">
        <v>2147</v>
      </c>
      <c r="E33" s="33" t="s">
        <v>2148</v>
      </c>
      <c r="F33" s="26" t="str">
        <f>HYPERLINK("https://mapwv.gov/flood/map/?wkid=102100&amp;x=-9078009.705014639&amp;y=4764229.433894132&amp;l=13&amp;v=2","FT")</f>
        <v>FT</v>
      </c>
      <c r="G33" s="34" t="s">
        <v>32</v>
      </c>
      <c r="H33" s="34" t="s">
        <v>25</v>
      </c>
      <c r="I33" s="33"/>
      <c r="J33" s="34" t="s">
        <v>26</v>
      </c>
      <c r="K33" s="34" t="s">
        <v>1483</v>
      </c>
      <c r="L33" s="34" t="s">
        <v>45</v>
      </c>
      <c r="M33" s="33" t="s">
        <v>57</v>
      </c>
      <c r="N33" s="3" t="s">
        <v>35</v>
      </c>
      <c r="O33" s="34" t="s">
        <v>114</v>
      </c>
      <c r="P33" s="33" t="s">
        <v>1952</v>
      </c>
      <c r="Q33" s="33" t="s">
        <v>30</v>
      </c>
      <c r="R33" s="34" t="s">
        <v>119</v>
      </c>
      <c r="S33" s="35">
        <v>1007200</v>
      </c>
      <c r="T33" s="2" t="s">
        <v>44</v>
      </c>
      <c r="U33" s="36">
        <v>4.5194089999999996</v>
      </c>
      <c r="V33" s="36">
        <v>3.5194091796875</v>
      </c>
      <c r="W33" s="37">
        <v>0.25116455078125</v>
      </c>
      <c r="X33" s="38">
        <v>252972.935546875</v>
      </c>
    </row>
    <row r="34" spans="1:24" x14ac:dyDescent="0.25">
      <c r="A34" s="33" t="s">
        <v>1831</v>
      </c>
      <c r="B34" s="33" t="s">
        <v>1763</v>
      </c>
      <c r="C34" s="33" t="s">
        <v>212</v>
      </c>
      <c r="D34" s="33" t="s">
        <v>1802</v>
      </c>
      <c r="E34" s="33" t="s">
        <v>1803</v>
      </c>
      <c r="F34" s="26" t="str">
        <f>HYPERLINK("https://mapwv.gov/flood/map/?wkid=102100&amp;x=-9077514.900230775&amp;y=4752709.422415197&amp;l=13&amp;v=2","FT")</f>
        <v>FT</v>
      </c>
      <c r="G34" s="34" t="s">
        <v>32</v>
      </c>
      <c r="H34" s="34" t="s">
        <v>25</v>
      </c>
      <c r="I34" s="33" t="s">
        <v>1854</v>
      </c>
      <c r="J34" s="34" t="s">
        <v>26</v>
      </c>
      <c r="K34" s="34" t="s">
        <v>136</v>
      </c>
      <c r="L34" s="34" t="s">
        <v>51</v>
      </c>
      <c r="M34" s="33" t="s">
        <v>52</v>
      </c>
      <c r="N34" s="3" t="s">
        <v>35</v>
      </c>
      <c r="O34" s="34" t="s">
        <v>114</v>
      </c>
      <c r="P34" s="33" t="s">
        <v>1953</v>
      </c>
      <c r="Q34" s="33" t="s">
        <v>30</v>
      </c>
      <c r="R34" s="34" t="s">
        <v>119</v>
      </c>
      <c r="S34" s="35">
        <v>971900</v>
      </c>
      <c r="T34" s="2" t="s">
        <v>44</v>
      </c>
      <c r="U34" s="36">
        <v>0</v>
      </c>
      <c r="V34" s="36">
        <v>-1</v>
      </c>
      <c r="W34" s="37">
        <v>0</v>
      </c>
      <c r="X34" s="38">
        <v>0</v>
      </c>
    </row>
    <row r="35" spans="1:24" x14ac:dyDescent="0.25">
      <c r="A35" s="33" t="s">
        <v>2050</v>
      </c>
      <c r="B35" s="33" t="s">
        <v>1759</v>
      </c>
      <c r="C35" s="33" t="s">
        <v>2149</v>
      </c>
      <c r="D35" s="33" t="s">
        <v>2150</v>
      </c>
      <c r="E35" s="33" t="s">
        <v>2151</v>
      </c>
      <c r="F35" s="26" t="str">
        <f>HYPERLINK("https://mapwv.gov/flood/map/?wkid=102100&amp;x=-9065007.514239883&amp;y=4769268.142496243&amp;l=13&amp;v=2","FT")</f>
        <v>FT</v>
      </c>
      <c r="G35" s="34" t="s">
        <v>38</v>
      </c>
      <c r="H35" s="34" t="s">
        <v>25</v>
      </c>
      <c r="I35" s="33" t="s">
        <v>1855</v>
      </c>
      <c r="J35" s="34" t="s">
        <v>39</v>
      </c>
      <c r="K35" s="34" t="s">
        <v>92</v>
      </c>
      <c r="L35" s="34" t="s">
        <v>58</v>
      </c>
      <c r="M35" s="33" t="s">
        <v>67</v>
      </c>
      <c r="N35" s="3" t="s">
        <v>112</v>
      </c>
      <c r="O35" s="34" t="s">
        <v>114</v>
      </c>
      <c r="P35" s="33" t="s">
        <v>1954</v>
      </c>
      <c r="Q35" s="33" t="s">
        <v>30</v>
      </c>
      <c r="R35" s="34" t="s">
        <v>119</v>
      </c>
      <c r="S35" s="35">
        <v>925300</v>
      </c>
      <c r="T35" s="2" t="s">
        <v>44</v>
      </c>
      <c r="U35" s="36">
        <v>0</v>
      </c>
      <c r="V35" s="36">
        <v>-1</v>
      </c>
      <c r="W35" s="37">
        <v>0</v>
      </c>
      <c r="X35" s="38">
        <v>0</v>
      </c>
    </row>
    <row r="36" spans="1:24" x14ac:dyDescent="0.25">
      <c r="A36" s="33" t="s">
        <v>1823</v>
      </c>
      <c r="B36" s="33" t="s">
        <v>1763</v>
      </c>
      <c r="C36" s="33" t="s">
        <v>212</v>
      </c>
      <c r="D36" s="33" t="s">
        <v>1786</v>
      </c>
      <c r="E36" s="33" t="s">
        <v>1787</v>
      </c>
      <c r="F36" s="26" t="str">
        <f>HYPERLINK("https://mapwv.gov/flood/map/?wkid=102100&amp;x=-9078263.80121453&amp;y=4758774.368030522&amp;l=13&amp;v=2","FT")</f>
        <v>FT</v>
      </c>
      <c r="G36" s="34" t="s">
        <v>32</v>
      </c>
      <c r="H36" s="34" t="s">
        <v>25</v>
      </c>
      <c r="I36" s="33" t="s">
        <v>1856</v>
      </c>
      <c r="J36" s="34" t="s">
        <v>26</v>
      </c>
      <c r="K36" s="34" t="s">
        <v>142</v>
      </c>
      <c r="L36" s="34" t="s">
        <v>50</v>
      </c>
      <c r="M36" s="33" t="s">
        <v>52</v>
      </c>
      <c r="N36" s="3" t="s">
        <v>35</v>
      </c>
      <c r="O36" s="34" t="s">
        <v>115</v>
      </c>
      <c r="P36" s="33" t="s">
        <v>1955</v>
      </c>
      <c r="Q36" s="33" t="s">
        <v>30</v>
      </c>
      <c r="R36" s="34" t="s">
        <v>119</v>
      </c>
      <c r="S36" s="35">
        <v>922900</v>
      </c>
      <c r="T36" s="2" t="s">
        <v>44</v>
      </c>
      <c r="U36" s="36">
        <v>10.607605</v>
      </c>
      <c r="V36" s="36">
        <v>9.60760498046875</v>
      </c>
      <c r="W36" s="37">
        <v>0.27822814941406199</v>
      </c>
      <c r="X36" s="38">
        <v>256776.75909423799</v>
      </c>
    </row>
    <row r="37" spans="1:24" x14ac:dyDescent="0.25">
      <c r="A37" s="33" t="s">
        <v>1822</v>
      </c>
      <c r="B37" s="33" t="s">
        <v>1759</v>
      </c>
      <c r="C37" s="33" t="s">
        <v>1764</v>
      </c>
      <c r="D37" s="33" t="s">
        <v>1784</v>
      </c>
      <c r="E37" s="33" t="s">
        <v>1785</v>
      </c>
      <c r="F37" s="26" t="str">
        <f>HYPERLINK("https://mapwv.gov/flood/map/?wkid=102100&amp;x=-9074436.915419783&amp;y=4759791.801192725&amp;l=13&amp;v=2","FT")</f>
        <v>FT</v>
      </c>
      <c r="G37" s="34" t="s">
        <v>32</v>
      </c>
      <c r="H37" s="34" t="s">
        <v>25</v>
      </c>
      <c r="I37" s="33"/>
      <c r="J37" s="34" t="s">
        <v>26</v>
      </c>
      <c r="K37" s="34" t="s">
        <v>169</v>
      </c>
      <c r="L37" s="34" t="s">
        <v>27</v>
      </c>
      <c r="M37" s="33" t="s">
        <v>72</v>
      </c>
      <c r="N37" s="3" t="s">
        <v>35</v>
      </c>
      <c r="O37" s="34" t="s">
        <v>114</v>
      </c>
      <c r="P37" s="33" t="s">
        <v>1956</v>
      </c>
      <c r="Q37" s="33" t="s">
        <v>30</v>
      </c>
      <c r="R37" s="34" t="s">
        <v>119</v>
      </c>
      <c r="S37" s="35">
        <v>787900</v>
      </c>
      <c r="T37" s="2" t="s">
        <v>44</v>
      </c>
      <c r="U37" s="36">
        <v>0</v>
      </c>
      <c r="V37" s="36">
        <v>-1</v>
      </c>
      <c r="W37" s="37">
        <v>0</v>
      </c>
      <c r="X37" s="38">
        <v>0</v>
      </c>
    </row>
    <row r="38" spans="1:24" x14ac:dyDescent="0.25">
      <c r="A38" s="33" t="s">
        <v>2051</v>
      </c>
      <c r="B38" s="33" t="s">
        <v>1768</v>
      </c>
      <c r="C38" s="33" t="s">
        <v>1760</v>
      </c>
      <c r="D38" s="33" t="s">
        <v>2152</v>
      </c>
      <c r="E38" s="33" t="s">
        <v>2153</v>
      </c>
      <c r="F38" s="26" t="str">
        <f>HYPERLINK("https://mapwv.gov/flood/map/?wkid=102100&amp;x=-9078507.95791973&amp;y=4766136.902492458&amp;l=13&amp;v=2","FT")</f>
        <v>FT</v>
      </c>
      <c r="G38" s="34" t="s">
        <v>32</v>
      </c>
      <c r="H38" s="34" t="s">
        <v>25</v>
      </c>
      <c r="I38" s="33" t="s">
        <v>1857</v>
      </c>
      <c r="J38" s="34" t="s">
        <v>26</v>
      </c>
      <c r="K38" s="34" t="s">
        <v>104</v>
      </c>
      <c r="L38" s="34" t="s">
        <v>37</v>
      </c>
      <c r="M38" s="33" t="s">
        <v>72</v>
      </c>
      <c r="N38" s="3" t="s">
        <v>35</v>
      </c>
      <c r="O38" s="34" t="s">
        <v>115</v>
      </c>
      <c r="P38" s="33" t="s">
        <v>1957</v>
      </c>
      <c r="Q38" s="33" t="s">
        <v>30</v>
      </c>
      <c r="R38" s="34" t="s">
        <v>119</v>
      </c>
      <c r="S38" s="35">
        <v>743500</v>
      </c>
      <c r="T38" s="2" t="s">
        <v>44</v>
      </c>
      <c r="U38" s="36">
        <v>4.2028809999999996</v>
      </c>
      <c r="V38" s="36">
        <v>3.202880859375</v>
      </c>
      <c r="W38" s="37">
        <v>0.1140576171875</v>
      </c>
      <c r="X38" s="38">
        <v>84801.838378906206</v>
      </c>
    </row>
    <row r="39" spans="1:24" hidden="1" x14ac:dyDescent="0.25">
      <c r="A39" s="33" t="s">
        <v>2052</v>
      </c>
      <c r="B39" s="33" t="s">
        <v>1759</v>
      </c>
      <c r="C39" s="33" t="s">
        <v>2154</v>
      </c>
      <c r="D39" s="33" t="s">
        <v>2155</v>
      </c>
      <c r="E39" s="33" t="s">
        <v>2156</v>
      </c>
      <c r="F39" s="26" t="str">
        <f>HYPERLINK("https://mapwv.gov/flood/map/?wkid=102100&amp;x=-9074815.242278973&amp;y=4746422.570016168&amp;l=13&amp;v=2","FT")</f>
        <v>FT</v>
      </c>
      <c r="G39" s="34" t="s">
        <v>32</v>
      </c>
      <c r="H39" s="34" t="s">
        <v>25</v>
      </c>
      <c r="I39" s="33"/>
      <c r="J39" s="34" t="s">
        <v>36</v>
      </c>
      <c r="K39" s="34" t="s">
        <v>87</v>
      </c>
      <c r="L39" s="34"/>
      <c r="M39" s="33" t="s">
        <v>1930</v>
      </c>
      <c r="N39" s="3" t="s">
        <v>42</v>
      </c>
      <c r="O39" s="34" t="s">
        <v>114</v>
      </c>
      <c r="P39" s="33" t="s">
        <v>1958</v>
      </c>
      <c r="Q39" s="33" t="s">
        <v>30</v>
      </c>
      <c r="R39" s="34" t="s">
        <v>119</v>
      </c>
      <c r="S39" s="35">
        <v>719870</v>
      </c>
      <c r="T39" s="2" t="s">
        <v>121</v>
      </c>
      <c r="U39" s="36">
        <v>0.70556640000000004</v>
      </c>
      <c r="V39" s="36">
        <v>-0.29443359375</v>
      </c>
      <c r="W39" s="37">
        <v>0.1058349609375</v>
      </c>
      <c r="X39" s="38">
        <v>76187.413330078096</v>
      </c>
    </row>
    <row r="40" spans="1:24" hidden="1" x14ac:dyDescent="0.25">
      <c r="A40" s="33" t="s">
        <v>2053</v>
      </c>
      <c r="B40" s="33" t="s">
        <v>1768</v>
      </c>
      <c r="C40" s="33" t="s">
        <v>1760</v>
      </c>
      <c r="D40" s="33" t="s">
        <v>2157</v>
      </c>
      <c r="E40" s="33" t="s">
        <v>2158</v>
      </c>
      <c r="F40" s="26" t="str">
        <f>HYPERLINK("https://mapwv.gov/flood/map/?wkid=102100&amp;x=-9077626.969013058&amp;y=4766954.7403291995&amp;l=13&amp;v=2","FT")</f>
        <v>FT</v>
      </c>
      <c r="G40" s="34" t="s">
        <v>32</v>
      </c>
      <c r="H40" s="34" t="s">
        <v>25</v>
      </c>
      <c r="I40" s="33" t="s">
        <v>1858</v>
      </c>
      <c r="J40" s="34" t="s">
        <v>26</v>
      </c>
      <c r="K40" s="34" t="s">
        <v>128</v>
      </c>
      <c r="L40" s="34" t="s">
        <v>27</v>
      </c>
      <c r="M40" s="33" t="s">
        <v>59</v>
      </c>
      <c r="N40" s="3" t="s">
        <v>42</v>
      </c>
      <c r="O40" s="34" t="s">
        <v>115</v>
      </c>
      <c r="P40" s="33" t="s">
        <v>1959</v>
      </c>
      <c r="Q40" s="33" t="s">
        <v>30</v>
      </c>
      <c r="R40" s="34" t="s">
        <v>119</v>
      </c>
      <c r="S40" s="35">
        <v>714700</v>
      </c>
      <c r="T40" s="2" t="s">
        <v>44</v>
      </c>
      <c r="U40" s="36">
        <v>0</v>
      </c>
      <c r="V40" s="36">
        <v>-1</v>
      </c>
      <c r="W40" s="37">
        <v>0</v>
      </c>
      <c r="X40" s="38">
        <v>0</v>
      </c>
    </row>
    <row r="41" spans="1:24" x14ac:dyDescent="0.25">
      <c r="A41" s="33" t="s">
        <v>2054</v>
      </c>
      <c r="B41" s="33" t="s">
        <v>1768</v>
      </c>
      <c r="C41" s="33" t="s">
        <v>394</v>
      </c>
      <c r="D41" s="33" t="s">
        <v>2159</v>
      </c>
      <c r="E41" s="33" t="s">
        <v>2160</v>
      </c>
      <c r="F41" s="26" t="str">
        <f>HYPERLINK("https://mapwv.gov/flood/map/?wkid=102100&amp;x=-9078560.555822533&amp;y=4767491.999247906&amp;l=13&amp;v=2","FT")</f>
        <v>FT</v>
      </c>
      <c r="G41" s="34" t="s">
        <v>32</v>
      </c>
      <c r="H41" s="34" t="s">
        <v>25</v>
      </c>
      <c r="I41" s="33" t="s">
        <v>1859</v>
      </c>
      <c r="J41" s="34" t="s">
        <v>26</v>
      </c>
      <c r="K41" s="34" t="s">
        <v>138</v>
      </c>
      <c r="L41" s="34" t="s">
        <v>27</v>
      </c>
      <c r="M41" s="33" t="s">
        <v>52</v>
      </c>
      <c r="N41" s="3" t="s">
        <v>35</v>
      </c>
      <c r="O41" s="34" t="s">
        <v>116</v>
      </c>
      <c r="P41" s="33" t="s">
        <v>1960</v>
      </c>
      <c r="Q41" s="33" t="s">
        <v>30</v>
      </c>
      <c r="R41" s="34" t="s">
        <v>119</v>
      </c>
      <c r="S41" s="35">
        <v>709200</v>
      </c>
      <c r="T41" s="2" t="s">
        <v>44</v>
      </c>
      <c r="U41" s="36">
        <v>3.949646</v>
      </c>
      <c r="V41" s="36">
        <v>2.94964599609375</v>
      </c>
      <c r="W41" s="37">
        <v>0.119496459960937</v>
      </c>
      <c r="X41" s="38">
        <v>84746.889404296802</v>
      </c>
    </row>
    <row r="42" spans="1:24" x14ac:dyDescent="0.25">
      <c r="A42" s="33" t="s">
        <v>2055</v>
      </c>
      <c r="B42" s="33" t="s">
        <v>1763</v>
      </c>
      <c r="C42" s="33" t="s">
        <v>1760</v>
      </c>
      <c r="D42" s="33" t="s">
        <v>2161</v>
      </c>
      <c r="E42" s="33" t="s">
        <v>2162</v>
      </c>
      <c r="F42" s="26" t="str">
        <f>HYPERLINK("https://mapwv.gov/flood/map/?wkid=102100&amp;x=-9077992.97169142&amp;y=4764131.704321082&amp;l=13&amp;v=2","FT")</f>
        <v>FT</v>
      </c>
      <c r="G42" s="34" t="s">
        <v>32</v>
      </c>
      <c r="H42" s="34" t="s">
        <v>25</v>
      </c>
      <c r="I42" s="33" t="s">
        <v>1860</v>
      </c>
      <c r="J42" s="34" t="s">
        <v>39</v>
      </c>
      <c r="K42" s="34" t="s">
        <v>103</v>
      </c>
      <c r="L42" s="34" t="s">
        <v>50</v>
      </c>
      <c r="M42" s="33" t="s">
        <v>48</v>
      </c>
      <c r="N42" s="3" t="s">
        <v>35</v>
      </c>
      <c r="O42" s="34" t="s">
        <v>114</v>
      </c>
      <c r="P42" s="33" t="s">
        <v>1961</v>
      </c>
      <c r="Q42" s="33" t="s">
        <v>30</v>
      </c>
      <c r="R42" s="34" t="s">
        <v>119</v>
      </c>
      <c r="S42" s="35">
        <v>690200</v>
      </c>
      <c r="T42" s="2" t="s">
        <v>44</v>
      </c>
      <c r="U42" s="36">
        <v>4.4210205</v>
      </c>
      <c r="V42" s="36">
        <v>3.4210205078125</v>
      </c>
      <c r="W42" s="37">
        <v>0.16842041015625001</v>
      </c>
      <c r="X42" s="38">
        <v>116243.76708984299</v>
      </c>
    </row>
    <row r="43" spans="1:24" x14ac:dyDescent="0.25">
      <c r="A43" s="33" t="s">
        <v>2056</v>
      </c>
      <c r="B43" s="33" t="s">
        <v>1768</v>
      </c>
      <c r="C43" s="33" t="s">
        <v>1760</v>
      </c>
      <c r="D43" s="33" t="s">
        <v>2163</v>
      </c>
      <c r="E43" s="33" t="s">
        <v>2164</v>
      </c>
      <c r="F43" s="26" t="str">
        <f>HYPERLINK("https://mapwv.gov/flood/map/?wkid=102100&amp;x=-9078096.076583026&amp;y=4765193.836265254&amp;l=13&amp;v=2","FT")</f>
        <v>FT</v>
      </c>
      <c r="G43" s="34" t="s">
        <v>32</v>
      </c>
      <c r="H43" s="34" t="s">
        <v>25</v>
      </c>
      <c r="I43" s="33" t="s">
        <v>1861</v>
      </c>
      <c r="J43" s="34" t="s">
        <v>26</v>
      </c>
      <c r="K43" s="34" t="s">
        <v>88</v>
      </c>
      <c r="L43" s="34" t="s">
        <v>58</v>
      </c>
      <c r="M43" s="33" t="s">
        <v>48</v>
      </c>
      <c r="N43" s="3" t="s">
        <v>35</v>
      </c>
      <c r="O43" s="34" t="s">
        <v>114</v>
      </c>
      <c r="P43" s="33" t="s">
        <v>1962</v>
      </c>
      <c r="Q43" s="33" t="s">
        <v>30</v>
      </c>
      <c r="R43" s="34" t="s">
        <v>119</v>
      </c>
      <c r="S43" s="35">
        <v>678500</v>
      </c>
      <c r="T43" s="2" t="s">
        <v>44</v>
      </c>
      <c r="U43" s="36">
        <v>2.8000487999999999</v>
      </c>
      <c r="V43" s="36">
        <v>1.800048828125</v>
      </c>
      <c r="W43" s="37">
        <v>0.13000244140625</v>
      </c>
      <c r="X43" s="38">
        <v>88206.656494140596</v>
      </c>
    </row>
    <row r="44" spans="1:24" x14ac:dyDescent="0.25">
      <c r="A44" s="33" t="s">
        <v>2057</v>
      </c>
      <c r="B44" s="33" t="s">
        <v>1759</v>
      </c>
      <c r="C44" s="33" t="s">
        <v>1773</v>
      </c>
      <c r="D44" s="33" t="s">
        <v>2165</v>
      </c>
      <c r="E44" s="33" t="s">
        <v>2166</v>
      </c>
      <c r="F44" s="26" t="str">
        <f>HYPERLINK("https://mapwv.gov/flood/map/?wkid=102100&amp;x=-9082607.839626191&amp;y=4757191.786164554&amp;l=13&amp;v=2","FT")</f>
        <v>FT</v>
      </c>
      <c r="G44" s="34" t="s">
        <v>32</v>
      </c>
      <c r="H44" s="34" t="s">
        <v>25</v>
      </c>
      <c r="I44" s="33"/>
      <c r="J44" s="34" t="s">
        <v>26</v>
      </c>
      <c r="K44" s="34" t="s">
        <v>136</v>
      </c>
      <c r="L44" s="34" t="s">
        <v>37</v>
      </c>
      <c r="M44" s="33" t="s">
        <v>148</v>
      </c>
      <c r="N44" s="3" t="s">
        <v>113</v>
      </c>
      <c r="O44" s="34" t="s">
        <v>115</v>
      </c>
      <c r="P44" s="33" t="s">
        <v>1963</v>
      </c>
      <c r="Q44" s="33" t="s">
        <v>30</v>
      </c>
      <c r="R44" s="34" t="s">
        <v>119</v>
      </c>
      <c r="S44" s="35">
        <v>674500</v>
      </c>
      <c r="T44" s="2" t="s">
        <v>44</v>
      </c>
      <c r="U44" s="36">
        <v>0</v>
      </c>
      <c r="V44" s="36">
        <v>-1</v>
      </c>
      <c r="W44" s="37">
        <v>0</v>
      </c>
      <c r="X44" s="38">
        <v>0</v>
      </c>
    </row>
    <row r="45" spans="1:24" x14ac:dyDescent="0.25">
      <c r="A45" s="33" t="s">
        <v>2058</v>
      </c>
      <c r="B45" s="33" t="s">
        <v>1768</v>
      </c>
      <c r="C45" s="33" t="s">
        <v>1760</v>
      </c>
      <c r="D45" s="33" t="s">
        <v>2167</v>
      </c>
      <c r="E45" s="33" t="s">
        <v>2168</v>
      </c>
      <c r="F45" s="26" t="str">
        <f>HYPERLINK("https://mapwv.gov/flood/map/?wkid=102100&amp;x=-9078133.591808021&amp;y=4765320.998409739&amp;l=13&amp;v=2","FT")</f>
        <v>FT</v>
      </c>
      <c r="G45" s="34" t="s">
        <v>32</v>
      </c>
      <c r="H45" s="34" t="s">
        <v>25</v>
      </c>
      <c r="I45" s="33" t="s">
        <v>1862</v>
      </c>
      <c r="J45" s="34" t="s">
        <v>26</v>
      </c>
      <c r="K45" s="34" t="s">
        <v>160</v>
      </c>
      <c r="L45" s="34" t="s">
        <v>51</v>
      </c>
      <c r="M45" s="33" t="s">
        <v>48</v>
      </c>
      <c r="N45" s="3" t="s">
        <v>35</v>
      </c>
      <c r="O45" s="34" t="s">
        <v>114</v>
      </c>
      <c r="P45" s="33" t="s">
        <v>1964</v>
      </c>
      <c r="Q45" s="33" t="s">
        <v>30</v>
      </c>
      <c r="R45" s="34" t="s">
        <v>119</v>
      </c>
      <c r="S45" s="35">
        <v>659900</v>
      </c>
      <c r="T45" s="2" t="s">
        <v>44</v>
      </c>
      <c r="U45" s="36">
        <v>2.0019531E-2</v>
      </c>
      <c r="V45" s="36">
        <v>-0.97998046875</v>
      </c>
      <c r="W45" s="37">
        <v>2.0019531249999999E-4</v>
      </c>
      <c r="X45" s="38">
        <v>132.10888671875</v>
      </c>
    </row>
    <row r="46" spans="1:24" x14ac:dyDescent="0.25">
      <c r="A46" s="33" t="s">
        <v>2059</v>
      </c>
      <c r="B46" s="33" t="s">
        <v>1768</v>
      </c>
      <c r="C46" s="33" t="s">
        <v>1760</v>
      </c>
      <c r="D46" s="33" t="s">
        <v>2169</v>
      </c>
      <c r="E46" s="33" t="s">
        <v>2170</v>
      </c>
      <c r="F46" s="26" t="str">
        <f>HYPERLINK("https://mapwv.gov/flood/map/?wkid=102100&amp;x=-9078124.263346015&amp;y=4766018.239040866&amp;l=13&amp;v=2","FT")</f>
        <v>FT</v>
      </c>
      <c r="G46" s="34" t="s">
        <v>32</v>
      </c>
      <c r="H46" s="34" t="s">
        <v>66</v>
      </c>
      <c r="I46" s="33" t="s">
        <v>1863</v>
      </c>
      <c r="J46" s="34" t="s">
        <v>39</v>
      </c>
      <c r="K46" s="34" t="s">
        <v>156</v>
      </c>
      <c r="L46" s="34" t="s">
        <v>58</v>
      </c>
      <c r="M46" s="33" t="s">
        <v>67</v>
      </c>
      <c r="N46" s="3" t="s">
        <v>112</v>
      </c>
      <c r="O46" s="34" t="s">
        <v>115</v>
      </c>
      <c r="P46" s="33" t="s">
        <v>1965</v>
      </c>
      <c r="Q46" s="33" t="s">
        <v>30</v>
      </c>
      <c r="R46" s="34" t="s">
        <v>119</v>
      </c>
      <c r="S46" s="35">
        <v>646100</v>
      </c>
      <c r="T46" s="2" t="s">
        <v>44</v>
      </c>
      <c r="U46" s="36">
        <v>0.91015625</v>
      </c>
      <c r="V46" s="36">
        <v>-8.984375E-2</v>
      </c>
      <c r="W46" s="37">
        <v>0</v>
      </c>
      <c r="X46" s="38">
        <v>0</v>
      </c>
    </row>
    <row r="47" spans="1:24" x14ac:dyDescent="0.25">
      <c r="A47" s="33" t="s">
        <v>2060</v>
      </c>
      <c r="B47" s="33" t="s">
        <v>1763</v>
      </c>
      <c r="C47" s="33" t="s">
        <v>1760</v>
      </c>
      <c r="D47" s="33" t="s">
        <v>2171</v>
      </c>
      <c r="E47" s="33" t="s">
        <v>2172</v>
      </c>
      <c r="F47" s="26" t="str">
        <f>HYPERLINK("https://mapwv.gov/flood/map/?wkid=102100&amp;x=-9077878.751326013&amp;y=4763961.250940011&amp;l=13&amp;v=2","FT")</f>
        <v>FT</v>
      </c>
      <c r="G47" s="34" t="s">
        <v>32</v>
      </c>
      <c r="H47" s="34" t="s">
        <v>25</v>
      </c>
      <c r="I47" s="33" t="s">
        <v>1864</v>
      </c>
      <c r="J47" s="34" t="s">
        <v>39</v>
      </c>
      <c r="K47" s="34" t="s">
        <v>123</v>
      </c>
      <c r="L47" s="34" t="s">
        <v>37</v>
      </c>
      <c r="M47" s="33" t="s">
        <v>48</v>
      </c>
      <c r="N47" s="3" t="s">
        <v>35</v>
      </c>
      <c r="O47" s="34" t="s">
        <v>114</v>
      </c>
      <c r="P47" s="33" t="s">
        <v>1966</v>
      </c>
      <c r="Q47" s="33" t="s">
        <v>30</v>
      </c>
      <c r="R47" s="34" t="s">
        <v>119</v>
      </c>
      <c r="S47" s="35">
        <v>639000</v>
      </c>
      <c r="T47" s="2" t="s">
        <v>31</v>
      </c>
      <c r="U47" s="36">
        <v>4.9131470000000004</v>
      </c>
      <c r="V47" s="36">
        <v>3.91314697265625</v>
      </c>
      <c r="W47" s="37">
        <v>0.17826293945312499</v>
      </c>
      <c r="X47" s="38">
        <v>113910.018310546</v>
      </c>
    </row>
    <row r="48" spans="1:24" x14ac:dyDescent="0.25">
      <c r="A48" s="33" t="s">
        <v>2061</v>
      </c>
      <c r="B48" s="33" t="s">
        <v>1759</v>
      </c>
      <c r="C48" s="33" t="s">
        <v>2173</v>
      </c>
      <c r="D48" s="33" t="s">
        <v>2174</v>
      </c>
      <c r="E48" s="33" t="s">
        <v>2175</v>
      </c>
      <c r="F48" s="26" t="str">
        <f>HYPERLINK("https://mapwv.gov/flood/map/?wkid=102100&amp;x=-9078595.706732858&amp;y=4750186.221668522&amp;l=13&amp;v=2","FT")</f>
        <v>FT</v>
      </c>
      <c r="G48" s="34" t="s">
        <v>38</v>
      </c>
      <c r="H48" s="34" t="s">
        <v>25</v>
      </c>
      <c r="I48" s="33" t="s">
        <v>1865</v>
      </c>
      <c r="J48" s="34" t="s">
        <v>26</v>
      </c>
      <c r="K48" s="34" t="s">
        <v>126</v>
      </c>
      <c r="L48" s="34" t="s">
        <v>27</v>
      </c>
      <c r="M48" s="33" t="s">
        <v>48</v>
      </c>
      <c r="N48" s="3" t="s">
        <v>35</v>
      </c>
      <c r="O48" s="34" t="s">
        <v>114</v>
      </c>
      <c r="P48" s="33" t="s">
        <v>1967</v>
      </c>
      <c r="Q48" s="33" t="s">
        <v>30</v>
      </c>
      <c r="R48" s="34" t="s">
        <v>119</v>
      </c>
      <c r="S48" s="35">
        <v>633000</v>
      </c>
      <c r="T48" s="2" t="s">
        <v>44</v>
      </c>
      <c r="U48" s="36">
        <v>0</v>
      </c>
      <c r="V48" s="36">
        <v>-1</v>
      </c>
      <c r="W48" s="37">
        <v>0</v>
      </c>
      <c r="X48" s="38">
        <v>0</v>
      </c>
    </row>
    <row r="49" spans="1:24" x14ac:dyDescent="0.25">
      <c r="A49" s="33" t="s">
        <v>2062</v>
      </c>
      <c r="B49" s="33" t="s">
        <v>1763</v>
      </c>
      <c r="C49" s="33" t="s">
        <v>1760</v>
      </c>
      <c r="D49" s="33" t="s">
        <v>2176</v>
      </c>
      <c r="E49" s="33" t="s">
        <v>2177</v>
      </c>
      <c r="F49" s="26" t="str">
        <f>HYPERLINK("https://mapwv.gov/flood/map/?wkid=102100&amp;x=-9077605.371584691&amp;y=4763786.765449556&amp;l=13&amp;v=2","FT")</f>
        <v>FT</v>
      </c>
      <c r="G49" s="34" t="s">
        <v>32</v>
      </c>
      <c r="H49" s="34" t="s">
        <v>25</v>
      </c>
      <c r="I49" s="33" t="s">
        <v>1866</v>
      </c>
      <c r="J49" s="34" t="s">
        <v>39</v>
      </c>
      <c r="K49" s="34" t="s">
        <v>90</v>
      </c>
      <c r="L49" s="34" t="s">
        <v>51</v>
      </c>
      <c r="M49" s="33" t="s">
        <v>52</v>
      </c>
      <c r="N49" s="3" t="s">
        <v>35</v>
      </c>
      <c r="O49" s="34" t="s">
        <v>114</v>
      </c>
      <c r="P49" s="33" t="s">
        <v>1968</v>
      </c>
      <c r="Q49" s="33" t="s">
        <v>30</v>
      </c>
      <c r="R49" s="34" t="s">
        <v>119</v>
      </c>
      <c r="S49" s="35">
        <v>618600</v>
      </c>
      <c r="T49" s="2" t="s">
        <v>44</v>
      </c>
      <c r="U49" s="36">
        <v>2.3212890000000002</v>
      </c>
      <c r="V49" s="36">
        <v>1.3212890625</v>
      </c>
      <c r="W49" s="37">
        <v>9.6425781249999995E-2</v>
      </c>
      <c r="X49" s="38">
        <v>59648.98828125</v>
      </c>
    </row>
    <row r="50" spans="1:24" x14ac:dyDescent="0.25">
      <c r="A50" s="33" t="s">
        <v>2063</v>
      </c>
      <c r="B50" s="33" t="s">
        <v>1759</v>
      </c>
      <c r="C50" s="33" t="s">
        <v>1764</v>
      </c>
      <c r="D50" s="33" t="s">
        <v>2178</v>
      </c>
      <c r="E50" s="33" t="s">
        <v>2179</v>
      </c>
      <c r="F50" s="26" t="str">
        <f>HYPERLINK("https://mapwv.gov/flood/map/?wkid=102100&amp;x=-9073675.902652793&amp;y=4762818.93106265&amp;l=13&amp;v=2","FT")</f>
        <v>FT</v>
      </c>
      <c r="G50" s="34" t="s">
        <v>32</v>
      </c>
      <c r="H50" s="34" t="s">
        <v>25</v>
      </c>
      <c r="I50" s="33" t="s">
        <v>1867</v>
      </c>
      <c r="J50" s="34" t="s">
        <v>26</v>
      </c>
      <c r="K50" s="34" t="s">
        <v>127</v>
      </c>
      <c r="L50" s="34" t="s">
        <v>27</v>
      </c>
      <c r="M50" s="33" t="s">
        <v>56</v>
      </c>
      <c r="N50" s="3" t="s">
        <v>35</v>
      </c>
      <c r="O50" s="34" t="s">
        <v>114</v>
      </c>
      <c r="P50" s="33" t="s">
        <v>1969</v>
      </c>
      <c r="Q50" s="33" t="s">
        <v>30</v>
      </c>
      <c r="R50" s="34" t="s">
        <v>119</v>
      </c>
      <c r="S50" s="35">
        <v>615200</v>
      </c>
      <c r="T50" s="2" t="s">
        <v>44</v>
      </c>
      <c r="U50" s="36">
        <v>1.8149413999999999</v>
      </c>
      <c r="V50" s="36">
        <v>0.81494140625</v>
      </c>
      <c r="W50" s="37">
        <v>9.3344726562499994E-2</v>
      </c>
      <c r="X50" s="38">
        <v>57425.675781249898</v>
      </c>
    </row>
    <row r="51" spans="1:24" x14ac:dyDescent="0.25">
      <c r="A51" s="33" t="s">
        <v>2064</v>
      </c>
      <c r="B51" s="33" t="s">
        <v>1759</v>
      </c>
      <c r="C51" s="33" t="s">
        <v>2180</v>
      </c>
      <c r="D51" s="33" t="s">
        <v>2181</v>
      </c>
      <c r="E51" s="33" t="s">
        <v>2182</v>
      </c>
      <c r="F51" s="26" t="str">
        <f>HYPERLINK("https://mapwv.gov/flood/map/?wkid=102100&amp;x=-9065232.478574311&amp;y=4755297.7705291705&amp;l=13&amp;v=2","FT")</f>
        <v>FT</v>
      </c>
      <c r="G51" s="34" t="s">
        <v>38</v>
      </c>
      <c r="H51" s="34" t="s">
        <v>25</v>
      </c>
      <c r="I51" s="33" t="s">
        <v>1868</v>
      </c>
      <c r="J51" s="34" t="s">
        <v>39</v>
      </c>
      <c r="K51" s="34" t="s">
        <v>1477</v>
      </c>
      <c r="L51" s="34" t="s">
        <v>37</v>
      </c>
      <c r="M51" s="33" t="s">
        <v>148</v>
      </c>
      <c r="N51" s="3" t="s">
        <v>113</v>
      </c>
      <c r="O51" s="34" t="s">
        <v>114</v>
      </c>
      <c r="P51" s="33" t="s">
        <v>1970</v>
      </c>
      <c r="Q51" s="33" t="s">
        <v>30</v>
      </c>
      <c r="R51" s="34" t="s">
        <v>119</v>
      </c>
      <c r="S51" s="35">
        <v>610700</v>
      </c>
      <c r="T51" s="2" t="s">
        <v>44</v>
      </c>
      <c r="U51" s="36">
        <v>0</v>
      </c>
      <c r="V51" s="36">
        <v>-1</v>
      </c>
      <c r="W51" s="37">
        <v>0</v>
      </c>
      <c r="X51" s="38">
        <v>0</v>
      </c>
    </row>
    <row r="52" spans="1:24" x14ac:dyDescent="0.25">
      <c r="A52" s="33" t="s">
        <v>2065</v>
      </c>
      <c r="B52" s="33" t="s">
        <v>1763</v>
      </c>
      <c r="C52" s="33" t="s">
        <v>1760</v>
      </c>
      <c r="D52" s="33" t="s">
        <v>2183</v>
      </c>
      <c r="E52" s="33" t="s">
        <v>2184</v>
      </c>
      <c r="F52" s="26" t="str">
        <f>HYPERLINK("https://mapwv.gov/flood/map/?wkid=102100&amp;x=-9077792.781398347&amp;y=4763918.089433429&amp;l=13&amp;v=2","FT")</f>
        <v>FT</v>
      </c>
      <c r="G52" s="34" t="s">
        <v>32</v>
      </c>
      <c r="H52" s="34" t="s">
        <v>25</v>
      </c>
      <c r="I52" s="33" t="s">
        <v>1864</v>
      </c>
      <c r="J52" s="34" t="s">
        <v>39</v>
      </c>
      <c r="K52" s="34" t="s">
        <v>123</v>
      </c>
      <c r="L52" s="34" t="s">
        <v>27</v>
      </c>
      <c r="M52" s="33" t="s">
        <v>52</v>
      </c>
      <c r="N52" s="3" t="s">
        <v>35</v>
      </c>
      <c r="O52" s="34" t="s">
        <v>114</v>
      </c>
      <c r="P52" s="33" t="s">
        <v>1971</v>
      </c>
      <c r="Q52" s="33" t="s">
        <v>30</v>
      </c>
      <c r="R52" s="34" t="s">
        <v>119</v>
      </c>
      <c r="S52" s="35">
        <v>605200</v>
      </c>
      <c r="T52" s="2" t="s">
        <v>44</v>
      </c>
      <c r="U52" s="36">
        <v>4.5194089999999996</v>
      </c>
      <c r="V52" s="36">
        <v>3.5194091796875</v>
      </c>
      <c r="W52" s="37">
        <v>0.13038818359375001</v>
      </c>
      <c r="X52" s="38">
        <v>78910.9287109375</v>
      </c>
    </row>
    <row r="53" spans="1:24" x14ac:dyDescent="0.25">
      <c r="A53" s="33" t="s">
        <v>2066</v>
      </c>
      <c r="B53" s="33" t="s">
        <v>1759</v>
      </c>
      <c r="C53" s="33" t="s">
        <v>2185</v>
      </c>
      <c r="D53" s="33" t="s">
        <v>2186</v>
      </c>
      <c r="E53" s="33" t="s">
        <v>2187</v>
      </c>
      <c r="F53" s="26" t="str">
        <f>HYPERLINK("https://mapwv.gov/flood/map/?wkid=102100&amp;x=-9074533.493760966&amp;y=4747693.572234515&amp;l=13&amp;v=2","FT")</f>
        <v>FT</v>
      </c>
      <c r="G53" s="34" t="s">
        <v>38</v>
      </c>
      <c r="H53" s="34" t="s">
        <v>25</v>
      </c>
      <c r="I53" s="33" t="s">
        <v>1869</v>
      </c>
      <c r="J53" s="34" t="s">
        <v>26</v>
      </c>
      <c r="K53" s="34" t="s">
        <v>160</v>
      </c>
      <c r="L53" s="34" t="s">
        <v>38</v>
      </c>
      <c r="M53" s="33" t="s">
        <v>46</v>
      </c>
      <c r="N53" s="3" t="s">
        <v>35</v>
      </c>
      <c r="O53" s="34" t="s">
        <v>114</v>
      </c>
      <c r="P53" s="33" t="s">
        <v>1972</v>
      </c>
      <c r="Q53" s="33" t="s">
        <v>30</v>
      </c>
      <c r="R53" s="34" t="s">
        <v>119</v>
      </c>
      <c r="S53" s="35">
        <v>603300</v>
      </c>
      <c r="T53" s="2" t="s">
        <v>44</v>
      </c>
      <c r="U53" s="36">
        <v>0</v>
      </c>
      <c r="V53" s="36">
        <v>-1</v>
      </c>
      <c r="W53" s="37">
        <v>0</v>
      </c>
      <c r="X53" s="38">
        <v>0</v>
      </c>
    </row>
    <row r="54" spans="1:24" x14ac:dyDescent="0.25">
      <c r="A54" s="33" t="s">
        <v>1825</v>
      </c>
      <c r="B54" s="33" t="s">
        <v>1763</v>
      </c>
      <c r="C54" s="33" t="s">
        <v>1790</v>
      </c>
      <c r="D54" s="33" t="s">
        <v>1791</v>
      </c>
      <c r="E54" s="33" t="s">
        <v>1792</v>
      </c>
      <c r="F54" s="26" t="str">
        <f>HYPERLINK("https://mapwv.gov/flood/map/?wkid=102100&amp;x=-9078413.673427971&amp;y=4762221.1415343&amp;l=13&amp;v=2","FT")</f>
        <v>FT</v>
      </c>
      <c r="G54" s="34" t="s">
        <v>32</v>
      </c>
      <c r="H54" s="34" t="s">
        <v>25</v>
      </c>
      <c r="I54" s="33" t="s">
        <v>1870</v>
      </c>
      <c r="J54" s="34" t="s">
        <v>39</v>
      </c>
      <c r="K54" s="34" t="s">
        <v>137</v>
      </c>
      <c r="L54" s="34" t="s">
        <v>27</v>
      </c>
      <c r="M54" s="33" t="s">
        <v>72</v>
      </c>
      <c r="N54" s="3" t="s">
        <v>35</v>
      </c>
      <c r="O54" s="34" t="s">
        <v>114</v>
      </c>
      <c r="P54" s="33" t="s">
        <v>1973</v>
      </c>
      <c r="Q54" s="33" t="s">
        <v>30</v>
      </c>
      <c r="R54" s="34" t="s">
        <v>119</v>
      </c>
      <c r="S54" s="35">
        <v>591400</v>
      </c>
      <c r="T54" s="2" t="s">
        <v>44</v>
      </c>
      <c r="U54" s="36">
        <v>0</v>
      </c>
      <c r="V54" s="36">
        <v>-1</v>
      </c>
      <c r="W54" s="37">
        <v>0</v>
      </c>
      <c r="X54" s="38">
        <v>0</v>
      </c>
    </row>
    <row r="55" spans="1:24" x14ac:dyDescent="0.25">
      <c r="A55" s="33" t="s">
        <v>2068</v>
      </c>
      <c r="B55" s="33" t="s">
        <v>1759</v>
      </c>
      <c r="C55" s="33" t="s">
        <v>1773</v>
      </c>
      <c r="D55" s="33" t="s">
        <v>2190</v>
      </c>
      <c r="E55" s="33" t="s">
        <v>2191</v>
      </c>
      <c r="F55" s="26" t="str">
        <f>HYPERLINK("https://mapwv.gov/flood/map/?wkid=102100&amp;x=-9081348.47343261&amp;y=4757103.580329368&amp;l=13&amp;v=2","FT")</f>
        <v>FT</v>
      </c>
      <c r="G55" s="34" t="s">
        <v>32</v>
      </c>
      <c r="H55" s="34" t="s">
        <v>25</v>
      </c>
      <c r="I55" s="33" t="s">
        <v>1872</v>
      </c>
      <c r="J55" s="34" t="s">
        <v>39</v>
      </c>
      <c r="K55" s="34" t="s">
        <v>96</v>
      </c>
      <c r="L55" s="34" t="s">
        <v>50</v>
      </c>
      <c r="M55" s="33" t="s">
        <v>67</v>
      </c>
      <c r="N55" s="3" t="s">
        <v>112</v>
      </c>
      <c r="O55" s="34" t="s">
        <v>114</v>
      </c>
      <c r="P55" s="33" t="s">
        <v>1974</v>
      </c>
      <c r="Q55" s="33" t="s">
        <v>30</v>
      </c>
      <c r="R55" s="34" t="s">
        <v>119</v>
      </c>
      <c r="S55" s="35">
        <v>589700</v>
      </c>
      <c r="T55" s="2" t="s">
        <v>44</v>
      </c>
      <c r="U55" s="36">
        <v>0.10894775399999999</v>
      </c>
      <c r="V55" s="36">
        <v>-0.89105224609375</v>
      </c>
      <c r="W55" s="37">
        <v>0</v>
      </c>
      <c r="X55" s="38">
        <v>0</v>
      </c>
    </row>
    <row r="56" spans="1:24" x14ac:dyDescent="0.25">
      <c r="A56" s="33" t="s">
        <v>2069</v>
      </c>
      <c r="B56" s="33" t="s">
        <v>1781</v>
      </c>
      <c r="C56" s="33" t="s">
        <v>394</v>
      </c>
      <c r="D56" s="33" t="s">
        <v>2192</v>
      </c>
      <c r="E56" s="33" t="s">
        <v>2193</v>
      </c>
      <c r="F56" s="26" t="str">
        <f>HYPERLINK("https://mapwv.gov/flood/map/?wkid=102100&amp;x=-9068979.617423566&amp;y=4778822.0909573315&amp;l=13&amp;v=2","FT")</f>
        <v>FT</v>
      </c>
      <c r="G56" s="34" t="s">
        <v>32</v>
      </c>
      <c r="H56" s="34" t="s">
        <v>25</v>
      </c>
      <c r="I56" s="33" t="s">
        <v>1873</v>
      </c>
      <c r="J56" s="34" t="s">
        <v>26</v>
      </c>
      <c r="K56" s="34" t="s">
        <v>101</v>
      </c>
      <c r="L56" s="34" t="s">
        <v>37</v>
      </c>
      <c r="M56" s="33" t="s">
        <v>72</v>
      </c>
      <c r="N56" s="3" t="s">
        <v>35</v>
      </c>
      <c r="O56" s="34" t="s">
        <v>114</v>
      </c>
      <c r="P56" s="33" t="s">
        <v>1975</v>
      </c>
      <c r="Q56" s="33" t="s">
        <v>30</v>
      </c>
      <c r="R56" s="34" t="s">
        <v>119</v>
      </c>
      <c r="S56" s="35">
        <v>575300</v>
      </c>
      <c r="T56" s="2" t="s">
        <v>44</v>
      </c>
      <c r="U56" s="36">
        <v>3.2944336000000001</v>
      </c>
      <c r="V56" s="36">
        <v>2.29443359375</v>
      </c>
      <c r="W56" s="37">
        <v>8.8833007812500003E-2</v>
      </c>
      <c r="X56" s="38">
        <v>51105.629394531199</v>
      </c>
    </row>
    <row r="57" spans="1:24" x14ac:dyDescent="0.25">
      <c r="A57" s="33" t="s">
        <v>2070</v>
      </c>
      <c r="B57" s="33" t="s">
        <v>1759</v>
      </c>
      <c r="C57" s="33" t="s">
        <v>1764</v>
      </c>
      <c r="D57" s="33" t="s">
        <v>2194</v>
      </c>
      <c r="E57" s="33" t="s">
        <v>2195</v>
      </c>
      <c r="F57" s="26" t="str">
        <f>HYPERLINK("https://mapwv.gov/flood/map/?wkid=102100&amp;x=-9074210.582634855&amp;y=4759942.624674374&amp;l=13&amp;v=2","FT")</f>
        <v>FT</v>
      </c>
      <c r="G57" s="34" t="s">
        <v>32</v>
      </c>
      <c r="H57" s="34" t="s">
        <v>25</v>
      </c>
      <c r="I57" s="33" t="s">
        <v>1874</v>
      </c>
      <c r="J57" s="34" t="s">
        <v>39</v>
      </c>
      <c r="K57" s="34" t="s">
        <v>146</v>
      </c>
      <c r="L57" s="34" t="s">
        <v>54</v>
      </c>
      <c r="M57" s="33" t="s">
        <v>148</v>
      </c>
      <c r="N57" s="3" t="s">
        <v>113</v>
      </c>
      <c r="O57" s="34" t="s">
        <v>115</v>
      </c>
      <c r="P57" s="33" t="s">
        <v>1976</v>
      </c>
      <c r="Q57" s="33" t="s">
        <v>30</v>
      </c>
      <c r="R57" s="34" t="s">
        <v>119</v>
      </c>
      <c r="S57" s="35">
        <v>554500</v>
      </c>
      <c r="T57" s="2" t="s">
        <v>44</v>
      </c>
      <c r="U57" s="36">
        <v>1.3228150000000001</v>
      </c>
      <c r="V57" s="36">
        <v>0.32281494140625</v>
      </c>
      <c r="W57" s="37">
        <v>7.1019287109374996E-2</v>
      </c>
      <c r="X57" s="38">
        <v>39380.194702148401</v>
      </c>
    </row>
    <row r="58" spans="1:24" x14ac:dyDescent="0.25">
      <c r="A58" s="33" t="s">
        <v>2071</v>
      </c>
      <c r="B58" s="33" t="s">
        <v>1781</v>
      </c>
      <c r="C58" s="33" t="s">
        <v>394</v>
      </c>
      <c r="D58" s="33" t="s">
        <v>2196</v>
      </c>
      <c r="E58" s="33" t="s">
        <v>2197</v>
      </c>
      <c r="F58" s="26" t="str">
        <f>HYPERLINK("https://mapwv.gov/flood/map/?wkid=102100&amp;x=-9066740.748915419&amp;y=4779807.09740615&amp;l=13&amp;v=2","FT")</f>
        <v>FT</v>
      </c>
      <c r="G58" s="34" t="s">
        <v>32</v>
      </c>
      <c r="H58" s="34" t="s">
        <v>25</v>
      </c>
      <c r="I58" s="33" t="s">
        <v>1875</v>
      </c>
      <c r="J58" s="34" t="s">
        <v>39</v>
      </c>
      <c r="K58" s="34" t="s">
        <v>145</v>
      </c>
      <c r="L58" s="34" t="s">
        <v>27</v>
      </c>
      <c r="M58" s="33" t="s">
        <v>52</v>
      </c>
      <c r="N58" s="3" t="s">
        <v>35</v>
      </c>
      <c r="O58" s="34" t="s">
        <v>115</v>
      </c>
      <c r="P58" s="33" t="s">
        <v>1977</v>
      </c>
      <c r="Q58" s="33" t="s">
        <v>30</v>
      </c>
      <c r="R58" s="34" t="s">
        <v>119</v>
      </c>
      <c r="S58" s="35">
        <v>544600</v>
      </c>
      <c r="T58" s="2" t="s">
        <v>44</v>
      </c>
      <c r="U58" s="36">
        <v>4.1777344000000003</v>
      </c>
      <c r="V58" s="36">
        <v>3.177734375</v>
      </c>
      <c r="W58" s="37">
        <v>0.1235546875</v>
      </c>
      <c r="X58" s="38">
        <v>67287.8828125</v>
      </c>
    </row>
    <row r="59" spans="1:24" hidden="1" x14ac:dyDescent="0.25">
      <c r="A59" s="33" t="s">
        <v>2072</v>
      </c>
      <c r="B59" s="33" t="s">
        <v>1759</v>
      </c>
      <c r="C59" s="33" t="s">
        <v>1760</v>
      </c>
      <c r="D59" s="33" t="s">
        <v>2198</v>
      </c>
      <c r="E59" s="33" t="s">
        <v>2199</v>
      </c>
      <c r="F59" s="26" t="str">
        <f>HYPERLINK("https://mapwv.gov/flood/map/?wkid=102100&amp;x=-9076706.94492507&amp;y=4768866.164488831&amp;l=13&amp;v=2","FT")</f>
        <v>FT</v>
      </c>
      <c r="G59" s="34" t="s">
        <v>38</v>
      </c>
      <c r="H59" s="34" t="s">
        <v>25</v>
      </c>
      <c r="I59" s="33" t="s">
        <v>1876</v>
      </c>
      <c r="J59" s="34" t="s">
        <v>26</v>
      </c>
      <c r="K59" s="34" t="s">
        <v>93</v>
      </c>
      <c r="L59" s="34" t="s">
        <v>51</v>
      </c>
      <c r="M59" s="33" t="s">
        <v>41</v>
      </c>
      <c r="N59" s="3" t="s">
        <v>42</v>
      </c>
      <c r="O59" s="34" t="s">
        <v>114</v>
      </c>
      <c r="P59" s="33" t="s">
        <v>1978</v>
      </c>
      <c r="Q59" s="33" t="s">
        <v>43</v>
      </c>
      <c r="R59" s="34" t="s">
        <v>120</v>
      </c>
      <c r="S59" s="35">
        <v>538600</v>
      </c>
      <c r="T59" s="2" t="s">
        <v>44</v>
      </c>
      <c r="U59" s="36">
        <v>0</v>
      </c>
      <c r="V59" s="36">
        <v>-4</v>
      </c>
      <c r="W59" s="37">
        <v>0</v>
      </c>
      <c r="X59" s="38">
        <v>0</v>
      </c>
    </row>
    <row r="60" spans="1:24" hidden="1" x14ac:dyDescent="0.25">
      <c r="A60" s="33" t="s">
        <v>2073</v>
      </c>
      <c r="B60" s="33" t="s">
        <v>1781</v>
      </c>
      <c r="C60" s="33" t="s">
        <v>394</v>
      </c>
      <c r="D60" s="33" t="s">
        <v>2200</v>
      </c>
      <c r="E60" s="33" t="s">
        <v>2201</v>
      </c>
      <c r="F60" s="26" t="str">
        <f>HYPERLINK("https://mapwv.gov/flood/map/?wkid=102100&amp;x=-9067377.412801815&amp;y=4779952.202047462&amp;l=13&amp;v=2","FT")</f>
        <v>FT</v>
      </c>
      <c r="G60" s="34" t="s">
        <v>32</v>
      </c>
      <c r="H60" s="34" t="s">
        <v>66</v>
      </c>
      <c r="I60" s="33" t="s">
        <v>1877</v>
      </c>
      <c r="J60" s="34" t="s">
        <v>26</v>
      </c>
      <c r="K60" s="34" t="s">
        <v>83</v>
      </c>
      <c r="L60" s="34" t="s">
        <v>38</v>
      </c>
      <c r="M60" s="33" t="s">
        <v>41</v>
      </c>
      <c r="N60" s="3" t="s">
        <v>42</v>
      </c>
      <c r="O60" s="34" t="s">
        <v>114</v>
      </c>
      <c r="P60" s="33" t="s">
        <v>737</v>
      </c>
      <c r="Q60" s="33" t="s">
        <v>43</v>
      </c>
      <c r="R60" s="34" t="s">
        <v>120</v>
      </c>
      <c r="S60" s="35">
        <v>521400</v>
      </c>
      <c r="T60" s="2" t="s">
        <v>44</v>
      </c>
      <c r="U60" s="36">
        <v>5.4270630000000004</v>
      </c>
      <c r="V60" s="36">
        <v>1.42706298828125</v>
      </c>
      <c r="W60" s="37">
        <v>0.349894409179687</v>
      </c>
      <c r="X60" s="38">
        <v>182434.944946289</v>
      </c>
    </row>
    <row r="61" spans="1:24" x14ac:dyDescent="0.25">
      <c r="A61" s="33" t="s">
        <v>2074</v>
      </c>
      <c r="B61" s="33" t="s">
        <v>1759</v>
      </c>
      <c r="C61" s="33" t="s">
        <v>1776</v>
      </c>
      <c r="D61" s="33" t="s">
        <v>2202</v>
      </c>
      <c r="E61" s="33" t="s">
        <v>2203</v>
      </c>
      <c r="F61" s="26" t="str">
        <f>HYPERLINK("https://mapwv.gov/flood/map/?wkid=102100&amp;x=-9075353.681965513&amp;y=4748774.723557776&amp;l=13&amp;v=2","FT")</f>
        <v>FT</v>
      </c>
      <c r="G61" s="34" t="s">
        <v>32</v>
      </c>
      <c r="H61" s="34" t="s">
        <v>25</v>
      </c>
      <c r="I61" s="33" t="s">
        <v>1878</v>
      </c>
      <c r="J61" s="34" t="s">
        <v>26</v>
      </c>
      <c r="K61" s="34" t="s">
        <v>117</v>
      </c>
      <c r="L61" s="34" t="s">
        <v>54</v>
      </c>
      <c r="M61" s="33" t="s">
        <v>48</v>
      </c>
      <c r="N61" s="3" t="s">
        <v>35</v>
      </c>
      <c r="O61" s="34" t="s">
        <v>115</v>
      </c>
      <c r="P61" s="33" t="s">
        <v>1979</v>
      </c>
      <c r="Q61" s="33" t="s">
        <v>30</v>
      </c>
      <c r="R61" s="34" t="s">
        <v>119</v>
      </c>
      <c r="S61" s="35">
        <v>521300</v>
      </c>
      <c r="T61" s="2" t="s">
        <v>31</v>
      </c>
      <c r="U61" s="36">
        <v>0</v>
      </c>
      <c r="V61" s="36">
        <v>-1</v>
      </c>
      <c r="W61" s="37">
        <v>0</v>
      </c>
      <c r="X61" s="38">
        <v>0</v>
      </c>
    </row>
    <row r="62" spans="1:24" x14ac:dyDescent="0.25">
      <c r="A62" s="33" t="s">
        <v>2075</v>
      </c>
      <c r="B62" s="33" t="s">
        <v>1768</v>
      </c>
      <c r="C62" s="33" t="s">
        <v>1760</v>
      </c>
      <c r="D62" s="33" t="s">
        <v>2204</v>
      </c>
      <c r="E62" s="33" t="s">
        <v>2205</v>
      </c>
      <c r="F62" s="26" t="str">
        <f>HYPERLINK("https://mapwv.gov/flood/map/?wkid=102100&amp;x=-9078213.173666714&amp;y=4765282.491887029&amp;l=13&amp;v=2","FT")</f>
        <v>FT</v>
      </c>
      <c r="G62" s="34" t="s">
        <v>32</v>
      </c>
      <c r="H62" s="34" t="s">
        <v>25</v>
      </c>
      <c r="I62" s="33" t="s">
        <v>1879</v>
      </c>
      <c r="J62" s="34" t="s">
        <v>26</v>
      </c>
      <c r="K62" s="34" t="s">
        <v>1926</v>
      </c>
      <c r="L62" s="34" t="s">
        <v>47</v>
      </c>
      <c r="M62" s="33" t="s">
        <v>57</v>
      </c>
      <c r="N62" s="3" t="s">
        <v>35</v>
      </c>
      <c r="O62" s="34" t="s">
        <v>114</v>
      </c>
      <c r="P62" s="33" t="s">
        <v>1980</v>
      </c>
      <c r="Q62" s="33" t="s">
        <v>30</v>
      </c>
      <c r="R62" s="34" t="s">
        <v>119</v>
      </c>
      <c r="S62" s="35">
        <v>513400</v>
      </c>
      <c r="T62" s="2" t="s">
        <v>44</v>
      </c>
      <c r="U62" s="36">
        <v>0.76000977000000003</v>
      </c>
      <c r="V62" s="36">
        <v>-0.239990234375</v>
      </c>
      <c r="W62" s="37">
        <v>1.52001953125E-2</v>
      </c>
      <c r="X62" s="38">
        <v>7803.7802734375</v>
      </c>
    </row>
    <row r="63" spans="1:24" hidden="1" x14ac:dyDescent="0.25">
      <c r="A63" s="33" t="s">
        <v>2076</v>
      </c>
      <c r="B63" s="33" t="s">
        <v>1759</v>
      </c>
      <c r="C63" s="33" t="s">
        <v>1773</v>
      </c>
      <c r="D63" s="33" t="s">
        <v>2206</v>
      </c>
      <c r="E63" s="33" t="s">
        <v>2207</v>
      </c>
      <c r="F63" s="26" t="str">
        <f>HYPERLINK("https://mapwv.gov/flood/map/?wkid=102100&amp;x=-9079357.968838496&amp;y=4755447.890678582&amp;l=13&amp;v=2","FT")</f>
        <v>FT</v>
      </c>
      <c r="G63" s="34" t="s">
        <v>38</v>
      </c>
      <c r="H63" s="34" t="s">
        <v>25</v>
      </c>
      <c r="I63" s="33" t="s">
        <v>1880</v>
      </c>
      <c r="J63" s="34" t="s">
        <v>26</v>
      </c>
      <c r="K63" s="34" t="s">
        <v>99</v>
      </c>
      <c r="L63" s="34" t="s">
        <v>58</v>
      </c>
      <c r="M63" s="33" t="s">
        <v>59</v>
      </c>
      <c r="N63" s="3" t="s">
        <v>42</v>
      </c>
      <c r="O63" s="34" t="s">
        <v>114</v>
      </c>
      <c r="P63" s="33" t="s">
        <v>1981</v>
      </c>
      <c r="Q63" s="33" t="s">
        <v>30</v>
      </c>
      <c r="R63" s="34" t="s">
        <v>119</v>
      </c>
      <c r="S63" s="35">
        <v>512700</v>
      </c>
      <c r="T63" s="2" t="s">
        <v>31</v>
      </c>
      <c r="U63" s="36">
        <v>0</v>
      </c>
      <c r="V63" s="36">
        <v>-1</v>
      </c>
      <c r="W63" s="37">
        <v>0</v>
      </c>
      <c r="X63" s="38">
        <v>0</v>
      </c>
    </row>
    <row r="64" spans="1:24" hidden="1" x14ac:dyDescent="0.25">
      <c r="A64" s="33" t="s">
        <v>2077</v>
      </c>
      <c r="B64" s="33" t="s">
        <v>1759</v>
      </c>
      <c r="C64" s="33" t="s">
        <v>1773</v>
      </c>
      <c r="D64" s="33" t="s">
        <v>2206</v>
      </c>
      <c r="E64" s="33" t="s">
        <v>2208</v>
      </c>
      <c r="F64" s="26" t="str">
        <f>HYPERLINK("https://mapwv.gov/flood/map/?wkid=102100&amp;x=-9079375.222357698&amp;y=4755460.65884294&amp;l=13&amp;v=2","FT")</f>
        <v>FT</v>
      </c>
      <c r="G64" s="34" t="s">
        <v>38</v>
      </c>
      <c r="H64" s="34" t="s">
        <v>25</v>
      </c>
      <c r="I64" s="33" t="s">
        <v>1880</v>
      </c>
      <c r="J64" s="34" t="s">
        <v>26</v>
      </c>
      <c r="K64" s="34" t="s">
        <v>99</v>
      </c>
      <c r="L64" s="34" t="s">
        <v>58</v>
      </c>
      <c r="M64" s="33" t="s">
        <v>59</v>
      </c>
      <c r="N64" s="3" t="s">
        <v>42</v>
      </c>
      <c r="O64" s="34" t="s">
        <v>114</v>
      </c>
      <c r="P64" s="33" t="s">
        <v>1981</v>
      </c>
      <c r="Q64" s="33" t="s">
        <v>30</v>
      </c>
      <c r="R64" s="34" t="s">
        <v>119</v>
      </c>
      <c r="S64" s="35">
        <v>512700</v>
      </c>
      <c r="T64" s="2" t="s">
        <v>31</v>
      </c>
      <c r="U64" s="36">
        <v>0</v>
      </c>
      <c r="V64" s="36">
        <v>-1</v>
      </c>
      <c r="W64" s="37">
        <v>0</v>
      </c>
      <c r="X64" s="38">
        <v>0</v>
      </c>
    </row>
    <row r="65" spans="1:24" hidden="1" x14ac:dyDescent="0.25">
      <c r="A65" s="33" t="s">
        <v>2078</v>
      </c>
      <c r="B65" s="33" t="s">
        <v>1763</v>
      </c>
      <c r="C65" s="33" t="s">
        <v>212</v>
      </c>
      <c r="D65" s="33" t="s">
        <v>2209</v>
      </c>
      <c r="E65" s="33" t="s">
        <v>2210</v>
      </c>
      <c r="F65" s="26" t="str">
        <f>HYPERLINK("https://mapwv.gov/flood/map/?wkid=102100&amp;x=-9073788.55786615&amp;y=4754828.028965174&amp;l=13&amp;v=2","FT")</f>
        <v>FT</v>
      </c>
      <c r="G65" s="34" t="s">
        <v>32</v>
      </c>
      <c r="H65" s="34" t="s">
        <v>25</v>
      </c>
      <c r="I65" s="33" t="s">
        <v>1881</v>
      </c>
      <c r="J65" s="34" t="s">
        <v>26</v>
      </c>
      <c r="K65" s="34" t="s">
        <v>140</v>
      </c>
      <c r="L65" s="34" t="s">
        <v>49</v>
      </c>
      <c r="M65" s="33" t="s">
        <v>41</v>
      </c>
      <c r="N65" s="3" t="s">
        <v>42</v>
      </c>
      <c r="O65" s="34" t="s">
        <v>115</v>
      </c>
      <c r="P65" s="33" t="s">
        <v>1982</v>
      </c>
      <c r="Q65" s="33" t="s">
        <v>53</v>
      </c>
      <c r="R65" s="34" t="s">
        <v>120</v>
      </c>
      <c r="S65" s="35">
        <v>505700</v>
      </c>
      <c r="T65" s="2" t="s">
        <v>44</v>
      </c>
      <c r="U65" s="36">
        <v>6.4081419999999998</v>
      </c>
      <c r="V65" s="36">
        <v>2.40814208984375</v>
      </c>
      <c r="W65" s="37">
        <v>0.15632568359374902</v>
      </c>
      <c r="X65" s="38">
        <v>79053.898193359302</v>
      </c>
    </row>
    <row r="66" spans="1:24" x14ac:dyDescent="0.25">
      <c r="A66" s="33" t="s">
        <v>2079</v>
      </c>
      <c r="B66" s="33" t="s">
        <v>1759</v>
      </c>
      <c r="C66" s="33" t="s">
        <v>212</v>
      </c>
      <c r="D66" s="33" t="s">
        <v>2211</v>
      </c>
      <c r="E66" s="33" t="s">
        <v>2212</v>
      </c>
      <c r="F66" s="26" t="str">
        <f>HYPERLINK("https://mapwv.gov/flood/map/?wkid=102100&amp;x=-9075710.875932567&amp;y=4757976.317713118&amp;l=13&amp;v=2","FT")</f>
        <v>FT</v>
      </c>
      <c r="G66" s="34" t="s">
        <v>32</v>
      </c>
      <c r="H66" s="34" t="s">
        <v>25</v>
      </c>
      <c r="I66" s="33" t="s">
        <v>1882</v>
      </c>
      <c r="J66" s="34" t="s">
        <v>26</v>
      </c>
      <c r="K66" s="34" t="s">
        <v>139</v>
      </c>
      <c r="L66" s="34" t="s">
        <v>58</v>
      </c>
      <c r="M66" s="33" t="s">
        <v>72</v>
      </c>
      <c r="N66" s="3" t="s">
        <v>35</v>
      </c>
      <c r="O66" s="34" t="s">
        <v>114</v>
      </c>
      <c r="P66" s="33" t="s">
        <v>1983</v>
      </c>
      <c r="Q66" s="33" t="s">
        <v>30</v>
      </c>
      <c r="R66" s="34" t="s">
        <v>119</v>
      </c>
      <c r="S66" s="35">
        <v>502000</v>
      </c>
      <c r="T66" s="2" t="s">
        <v>44</v>
      </c>
      <c r="U66" s="36">
        <v>5.522278</v>
      </c>
      <c r="V66" s="36">
        <v>4.52227783203125</v>
      </c>
      <c r="W66" s="37">
        <v>0.14566833496093701</v>
      </c>
      <c r="X66" s="38">
        <v>73125.504150390596</v>
      </c>
    </row>
    <row r="67" spans="1:24" x14ac:dyDescent="0.25">
      <c r="A67" s="33" t="s">
        <v>2080</v>
      </c>
      <c r="B67" s="33" t="s">
        <v>1781</v>
      </c>
      <c r="C67" s="33" t="s">
        <v>394</v>
      </c>
      <c r="D67" s="33" t="s">
        <v>2213</v>
      </c>
      <c r="E67" s="33" t="s">
        <v>2214</v>
      </c>
      <c r="F67" s="26" t="str">
        <f>HYPERLINK("https://mapwv.gov/flood/map/?wkid=102100&amp;x=-9069325.397580586&amp;y=4778098.059743232&amp;l=13&amp;v=2","FT")</f>
        <v>FT</v>
      </c>
      <c r="G67" s="34" t="s">
        <v>32</v>
      </c>
      <c r="H67" s="34" t="s">
        <v>25</v>
      </c>
      <c r="I67" s="33" t="s">
        <v>1883</v>
      </c>
      <c r="J67" s="34" t="s">
        <v>26</v>
      </c>
      <c r="K67" s="34" t="s">
        <v>86</v>
      </c>
      <c r="L67" s="34" t="s">
        <v>50</v>
      </c>
      <c r="M67" s="33" t="s">
        <v>57</v>
      </c>
      <c r="N67" s="3" t="s">
        <v>35</v>
      </c>
      <c r="O67" s="34" t="s">
        <v>114</v>
      </c>
      <c r="P67" s="33" t="s">
        <v>1984</v>
      </c>
      <c r="Q67" s="33" t="s">
        <v>30</v>
      </c>
      <c r="R67" s="34" t="s">
        <v>119</v>
      </c>
      <c r="S67" s="35">
        <v>488200</v>
      </c>
      <c r="T67" s="2" t="s">
        <v>44</v>
      </c>
      <c r="U67" s="36">
        <v>0.77996825999999997</v>
      </c>
      <c r="V67" s="36">
        <v>-0.22003173828125</v>
      </c>
      <c r="W67" s="37">
        <v>1.5599365234375001E-2</v>
      </c>
      <c r="X67" s="38">
        <v>7615.6101074218705</v>
      </c>
    </row>
    <row r="68" spans="1:24" x14ac:dyDescent="0.25">
      <c r="A68" s="33" t="s">
        <v>2081</v>
      </c>
      <c r="B68" s="33" t="s">
        <v>1781</v>
      </c>
      <c r="C68" s="33" t="s">
        <v>394</v>
      </c>
      <c r="D68" s="33" t="s">
        <v>2215</v>
      </c>
      <c r="E68" s="33" t="s">
        <v>2216</v>
      </c>
      <c r="F68" s="26" t="str">
        <f>HYPERLINK("https://mapwv.gov/flood/map/?wkid=102100&amp;x=-9066374.40214851&amp;y=4779814.12524015&amp;l=13&amp;v=2","FT")</f>
        <v>FT</v>
      </c>
      <c r="G68" s="34" t="s">
        <v>32</v>
      </c>
      <c r="H68" s="34" t="s">
        <v>25</v>
      </c>
      <c r="I68" s="33" t="s">
        <v>1884</v>
      </c>
      <c r="J68" s="34" t="s">
        <v>26</v>
      </c>
      <c r="K68" s="34" t="s">
        <v>117</v>
      </c>
      <c r="L68" s="34" t="s">
        <v>37</v>
      </c>
      <c r="M68" s="33" t="s">
        <v>148</v>
      </c>
      <c r="N68" s="3" t="s">
        <v>113</v>
      </c>
      <c r="O68" s="34" t="s">
        <v>115</v>
      </c>
      <c r="P68" s="33" t="s">
        <v>1985</v>
      </c>
      <c r="Q68" s="33" t="s">
        <v>30</v>
      </c>
      <c r="R68" s="34" t="s">
        <v>119</v>
      </c>
      <c r="S68" s="35">
        <v>485900</v>
      </c>
      <c r="T68" s="2" t="s">
        <v>44</v>
      </c>
      <c r="U68" s="36">
        <v>2.1138916000000001</v>
      </c>
      <c r="V68" s="36">
        <v>1.1138916015625</v>
      </c>
      <c r="W68" s="37">
        <v>0.230250244140625</v>
      </c>
      <c r="X68" s="38">
        <v>111878.593627929</v>
      </c>
    </row>
    <row r="69" spans="1:24" x14ac:dyDescent="0.25">
      <c r="A69" s="33" t="s">
        <v>2082</v>
      </c>
      <c r="B69" s="33" t="s">
        <v>1763</v>
      </c>
      <c r="C69" s="33" t="s">
        <v>1790</v>
      </c>
      <c r="D69" s="33" t="s">
        <v>2217</v>
      </c>
      <c r="E69" s="33" t="s">
        <v>2218</v>
      </c>
      <c r="F69" s="26" t="str">
        <f>HYPERLINK("https://mapwv.gov/flood/map/?wkid=102100&amp;x=-9077996.630540444&amp;y=4762411.826687543&amp;l=13&amp;v=2","FT")</f>
        <v>FT</v>
      </c>
      <c r="G69" s="34" t="s">
        <v>38</v>
      </c>
      <c r="H69" s="34" t="s">
        <v>25</v>
      </c>
      <c r="I69" s="33" t="s">
        <v>1885</v>
      </c>
      <c r="J69" s="34" t="s">
        <v>26</v>
      </c>
      <c r="K69" s="34" t="s">
        <v>84</v>
      </c>
      <c r="L69" s="34" t="s">
        <v>51</v>
      </c>
      <c r="M69" s="33" t="s">
        <v>48</v>
      </c>
      <c r="N69" s="3" t="s">
        <v>35</v>
      </c>
      <c r="O69" s="34" t="s">
        <v>115</v>
      </c>
      <c r="P69" s="33" t="s">
        <v>1986</v>
      </c>
      <c r="Q69" s="33" t="s">
        <v>30</v>
      </c>
      <c r="R69" s="34" t="s">
        <v>119</v>
      </c>
      <c r="S69" s="35">
        <v>479500</v>
      </c>
      <c r="T69" s="2" t="s">
        <v>44</v>
      </c>
      <c r="U69" s="36">
        <v>0</v>
      </c>
      <c r="V69" s="36">
        <v>-1</v>
      </c>
      <c r="W69" s="37">
        <v>0</v>
      </c>
      <c r="X69" s="38">
        <v>0</v>
      </c>
    </row>
    <row r="70" spans="1:24" x14ac:dyDescent="0.25">
      <c r="A70" s="33" t="s">
        <v>1815</v>
      </c>
      <c r="B70" s="33" t="s">
        <v>1763</v>
      </c>
      <c r="C70" s="33" t="s">
        <v>1764</v>
      </c>
      <c r="D70" s="33" t="s">
        <v>1765</v>
      </c>
      <c r="E70" s="33" t="s">
        <v>1766</v>
      </c>
      <c r="F70" s="26" t="str">
        <f>HYPERLINK("https://mapwv.gov/flood/map/?wkid=102100&amp;x=-9076738.976774588&amp;y=4758768.855239064&amp;l=13&amp;v=2","FT")</f>
        <v>FT</v>
      </c>
      <c r="G70" s="34" t="s">
        <v>55</v>
      </c>
      <c r="H70" s="34" t="s">
        <v>25</v>
      </c>
      <c r="I70" s="33" t="s">
        <v>1886</v>
      </c>
      <c r="J70" s="34" t="s">
        <v>39</v>
      </c>
      <c r="K70" s="34" t="s">
        <v>964</v>
      </c>
      <c r="L70" s="34" t="s">
        <v>54</v>
      </c>
      <c r="M70" s="33" t="s">
        <v>72</v>
      </c>
      <c r="N70" s="3" t="s">
        <v>35</v>
      </c>
      <c r="O70" s="34" t="s">
        <v>115</v>
      </c>
      <c r="P70" s="33" t="s">
        <v>1987</v>
      </c>
      <c r="Q70" s="33" t="s">
        <v>30</v>
      </c>
      <c r="R70" s="34" t="s">
        <v>119</v>
      </c>
      <c r="S70" s="35">
        <v>469000</v>
      </c>
      <c r="T70" s="2" t="s">
        <v>44</v>
      </c>
      <c r="U70" s="36">
        <v>1.2244263</v>
      </c>
      <c r="V70" s="36">
        <v>0.22442626953125</v>
      </c>
      <c r="W70" s="37">
        <v>1.12213134765625E-2</v>
      </c>
      <c r="X70" s="38">
        <v>5262.7960205078098</v>
      </c>
    </row>
    <row r="71" spans="1:24" x14ac:dyDescent="0.25">
      <c r="A71" s="33" t="s">
        <v>2083</v>
      </c>
      <c r="B71" s="33" t="s">
        <v>1759</v>
      </c>
      <c r="C71" s="33" t="s">
        <v>2219</v>
      </c>
      <c r="D71" s="33" t="s">
        <v>2220</v>
      </c>
      <c r="E71" s="33" t="s">
        <v>2221</v>
      </c>
      <c r="F71" s="26" t="str">
        <f>HYPERLINK("https://mapwv.gov/flood/map/?wkid=102100&amp;x=-9088745.484501516&amp;y=4753469.710629162&amp;l=13&amp;v=2","FT")</f>
        <v>FT</v>
      </c>
      <c r="G71" s="34" t="s">
        <v>38</v>
      </c>
      <c r="H71" s="34" t="s">
        <v>25</v>
      </c>
      <c r="I71" s="33" t="s">
        <v>1887</v>
      </c>
      <c r="J71" s="34" t="s">
        <v>26</v>
      </c>
      <c r="K71" s="34" t="s">
        <v>125</v>
      </c>
      <c r="L71" s="34" t="s">
        <v>50</v>
      </c>
      <c r="M71" s="33" t="s">
        <v>48</v>
      </c>
      <c r="N71" s="3" t="s">
        <v>35</v>
      </c>
      <c r="O71" s="34" t="s">
        <v>114</v>
      </c>
      <c r="P71" s="33" t="s">
        <v>1988</v>
      </c>
      <c r="Q71" s="33" t="s">
        <v>30</v>
      </c>
      <c r="R71" s="34" t="s">
        <v>119</v>
      </c>
      <c r="S71" s="35">
        <v>468900</v>
      </c>
      <c r="T71" s="2" t="s">
        <v>44</v>
      </c>
      <c r="U71" s="36">
        <v>0</v>
      </c>
      <c r="V71" s="36">
        <v>-1</v>
      </c>
      <c r="W71" s="37">
        <v>0</v>
      </c>
      <c r="X71" s="38">
        <v>0</v>
      </c>
    </row>
    <row r="72" spans="1:24" hidden="1" x14ac:dyDescent="0.25">
      <c r="A72" s="33" t="s">
        <v>2084</v>
      </c>
      <c r="B72" s="33" t="s">
        <v>1781</v>
      </c>
      <c r="C72" s="33" t="s">
        <v>394</v>
      </c>
      <c r="D72" s="33" t="s">
        <v>2222</v>
      </c>
      <c r="E72" s="33" t="s">
        <v>2223</v>
      </c>
      <c r="F72" s="26" t="str">
        <f>HYPERLINK("https://mapwv.gov/flood/map/?wkid=102100&amp;x=-9067407.214476658&amp;y=4779946.338642955&amp;l=13&amp;v=2","FT")</f>
        <v>FT</v>
      </c>
      <c r="G72" s="34" t="s">
        <v>32</v>
      </c>
      <c r="H72" s="34" t="s">
        <v>66</v>
      </c>
      <c r="I72" s="33" t="s">
        <v>1888</v>
      </c>
      <c r="J72" s="34" t="s">
        <v>26</v>
      </c>
      <c r="K72" s="34" t="s">
        <v>83</v>
      </c>
      <c r="L72" s="34" t="s">
        <v>40</v>
      </c>
      <c r="M72" s="33" t="s">
        <v>41</v>
      </c>
      <c r="N72" s="3" t="s">
        <v>42</v>
      </c>
      <c r="O72" s="34" t="s">
        <v>115</v>
      </c>
      <c r="P72" s="33" t="s">
        <v>1989</v>
      </c>
      <c r="Q72" s="33" t="s">
        <v>43</v>
      </c>
      <c r="R72" s="34" t="s">
        <v>120</v>
      </c>
      <c r="S72" s="35">
        <v>466300</v>
      </c>
      <c r="T72" s="2" t="s">
        <v>44</v>
      </c>
      <c r="U72" s="36">
        <v>6.2882689999999997</v>
      </c>
      <c r="V72" s="36">
        <v>2.28826904296875</v>
      </c>
      <c r="W72" s="37">
        <v>0.26864807128906198</v>
      </c>
      <c r="X72" s="38">
        <v>125270.595642089</v>
      </c>
    </row>
    <row r="73" spans="1:24" x14ac:dyDescent="0.25">
      <c r="A73" s="33" t="s">
        <v>1826</v>
      </c>
      <c r="B73" s="33" t="s">
        <v>1763</v>
      </c>
      <c r="C73" s="33" t="s">
        <v>1790</v>
      </c>
      <c r="D73" s="33" t="s">
        <v>1793</v>
      </c>
      <c r="E73" s="33" t="s">
        <v>1794</v>
      </c>
      <c r="F73" s="26" t="str">
        <f>HYPERLINK("https://mapwv.gov/flood/map/?wkid=102100&amp;x=-9078773.256533938&amp;y=4761408.676192316&amp;l=13&amp;v=2","FT")</f>
        <v>FT</v>
      </c>
      <c r="G73" s="34" t="s">
        <v>32</v>
      </c>
      <c r="H73" s="34" t="s">
        <v>25</v>
      </c>
      <c r="I73" s="33" t="s">
        <v>1889</v>
      </c>
      <c r="J73" s="34" t="s">
        <v>26</v>
      </c>
      <c r="K73" s="34" t="s">
        <v>128</v>
      </c>
      <c r="L73" s="34" t="s">
        <v>27</v>
      </c>
      <c r="M73" s="33" t="s">
        <v>57</v>
      </c>
      <c r="N73" s="3" t="s">
        <v>35</v>
      </c>
      <c r="O73" s="34" t="s">
        <v>114</v>
      </c>
      <c r="P73" s="33" t="s">
        <v>1990</v>
      </c>
      <c r="Q73" s="33" t="s">
        <v>30</v>
      </c>
      <c r="R73" s="34" t="s">
        <v>119</v>
      </c>
      <c r="S73" s="35">
        <v>459100</v>
      </c>
      <c r="T73" s="2" t="s">
        <v>44</v>
      </c>
      <c r="U73" s="36">
        <v>0</v>
      </c>
      <c r="V73" s="36">
        <v>-1</v>
      </c>
      <c r="W73" s="37">
        <v>0</v>
      </c>
      <c r="X73" s="38">
        <v>0</v>
      </c>
    </row>
    <row r="74" spans="1:24" x14ac:dyDescent="0.25">
      <c r="A74" s="33" t="s">
        <v>1832</v>
      </c>
      <c r="B74" s="33" t="s">
        <v>1759</v>
      </c>
      <c r="C74" s="33" t="s">
        <v>1776</v>
      </c>
      <c r="D74" s="33" t="s">
        <v>1804</v>
      </c>
      <c r="E74" s="33" t="s">
        <v>1805</v>
      </c>
      <c r="F74" s="26" t="str">
        <f>HYPERLINK("https://mapwv.gov/flood/map/?wkid=102100&amp;x=-9075226.538297784&amp;y=4748872.13978875&amp;l=13&amp;v=2","FT")</f>
        <v>FT</v>
      </c>
      <c r="G74" s="34" t="s">
        <v>32</v>
      </c>
      <c r="H74" s="34" t="s">
        <v>25</v>
      </c>
      <c r="I74" s="33" t="s">
        <v>1890</v>
      </c>
      <c r="J74" s="34" t="s">
        <v>39</v>
      </c>
      <c r="K74" s="34" t="s">
        <v>145</v>
      </c>
      <c r="L74" s="34" t="s">
        <v>50</v>
      </c>
      <c r="M74" s="33" t="s">
        <v>48</v>
      </c>
      <c r="N74" s="3" t="s">
        <v>35</v>
      </c>
      <c r="O74" s="34" t="s">
        <v>114</v>
      </c>
      <c r="P74" s="33" t="s">
        <v>1991</v>
      </c>
      <c r="Q74" s="33" t="s">
        <v>30</v>
      </c>
      <c r="R74" s="34" t="s">
        <v>119</v>
      </c>
      <c r="S74" s="35">
        <v>447400</v>
      </c>
      <c r="T74" s="2" t="s">
        <v>31</v>
      </c>
      <c r="U74" s="36">
        <v>0</v>
      </c>
      <c r="V74" s="36">
        <v>-1</v>
      </c>
      <c r="W74" s="37">
        <v>0</v>
      </c>
      <c r="X74" s="38">
        <v>0</v>
      </c>
    </row>
    <row r="75" spans="1:24" x14ac:dyDescent="0.25">
      <c r="A75" s="33" t="s">
        <v>1829</v>
      </c>
      <c r="B75" s="33" t="s">
        <v>1763</v>
      </c>
      <c r="C75" s="33" t="s">
        <v>1764</v>
      </c>
      <c r="D75" s="33" t="s">
        <v>1797</v>
      </c>
      <c r="E75" s="33" t="s">
        <v>1799</v>
      </c>
      <c r="F75" s="26" t="str">
        <f>HYPERLINK("https://mapwv.gov/flood/map/?wkid=102100&amp;x=-9074758.675836321&amp;y=4760174.565905597&amp;l=13&amp;v=2","FT")</f>
        <v>FT</v>
      </c>
      <c r="G75" s="34" t="s">
        <v>32</v>
      </c>
      <c r="H75" s="34" t="s">
        <v>25</v>
      </c>
      <c r="I75" s="33" t="s">
        <v>1846</v>
      </c>
      <c r="J75" s="34" t="s">
        <v>39</v>
      </c>
      <c r="K75" s="34" t="s">
        <v>103</v>
      </c>
      <c r="L75" s="34" t="s">
        <v>58</v>
      </c>
      <c r="M75" s="33" t="s">
        <v>48</v>
      </c>
      <c r="N75" s="3" t="s">
        <v>35</v>
      </c>
      <c r="O75" s="34" t="s">
        <v>115</v>
      </c>
      <c r="P75" s="33" t="s">
        <v>1992</v>
      </c>
      <c r="Q75" s="33" t="s">
        <v>30</v>
      </c>
      <c r="R75" s="34" t="s">
        <v>119</v>
      </c>
      <c r="S75" s="35">
        <v>446200</v>
      </c>
      <c r="T75" s="2" t="s">
        <v>31</v>
      </c>
      <c r="U75" s="36">
        <v>0</v>
      </c>
      <c r="V75" s="36">
        <v>-1</v>
      </c>
      <c r="W75" s="37">
        <v>0</v>
      </c>
      <c r="X75" s="38">
        <v>0</v>
      </c>
    </row>
    <row r="76" spans="1:24" x14ac:dyDescent="0.25">
      <c r="A76" s="33" t="s">
        <v>2085</v>
      </c>
      <c r="B76" s="33" t="s">
        <v>1763</v>
      </c>
      <c r="C76" s="33" t="s">
        <v>1790</v>
      </c>
      <c r="D76" s="33" t="s">
        <v>2224</v>
      </c>
      <c r="E76" s="33" t="s">
        <v>2225</v>
      </c>
      <c r="F76" s="26" t="str">
        <f>HYPERLINK("https://mapwv.gov/flood/map/?wkid=102100&amp;x=-9078077.708533091&amp;y=4762548.489542279&amp;l=13&amp;v=2","FT")</f>
        <v>FT</v>
      </c>
      <c r="G76" s="34" t="s">
        <v>38</v>
      </c>
      <c r="H76" s="34" t="s">
        <v>25</v>
      </c>
      <c r="I76" s="33" t="s">
        <v>1891</v>
      </c>
      <c r="J76" s="34" t="s">
        <v>39</v>
      </c>
      <c r="K76" s="34" t="s">
        <v>129</v>
      </c>
      <c r="L76" s="34" t="s">
        <v>50</v>
      </c>
      <c r="M76" s="33" t="s">
        <v>48</v>
      </c>
      <c r="N76" s="3" t="s">
        <v>35</v>
      </c>
      <c r="O76" s="34" t="s">
        <v>114</v>
      </c>
      <c r="P76" s="33" t="s">
        <v>1993</v>
      </c>
      <c r="Q76" s="33" t="s">
        <v>30</v>
      </c>
      <c r="R76" s="34" t="s">
        <v>119</v>
      </c>
      <c r="S76" s="35">
        <v>439800</v>
      </c>
      <c r="T76" s="2" t="s">
        <v>31</v>
      </c>
      <c r="U76" s="36">
        <v>0</v>
      </c>
      <c r="V76" s="36">
        <v>-1</v>
      </c>
      <c r="W76" s="37">
        <v>0</v>
      </c>
      <c r="X76" s="38">
        <v>0</v>
      </c>
    </row>
    <row r="77" spans="1:24" x14ac:dyDescent="0.25">
      <c r="A77" s="33" t="s">
        <v>2086</v>
      </c>
      <c r="B77" s="33" t="s">
        <v>1763</v>
      </c>
      <c r="C77" s="33" t="s">
        <v>1790</v>
      </c>
      <c r="D77" s="33" t="s">
        <v>2226</v>
      </c>
      <c r="E77" s="33" t="s">
        <v>2227</v>
      </c>
      <c r="F77" s="26" t="str">
        <f>HYPERLINK("https://mapwv.gov/flood/map/?wkid=102100&amp;x=-9078663.010496996&amp;y=4761766.655512633&amp;l=13&amp;v=2","FT")</f>
        <v>FT</v>
      </c>
      <c r="G77" s="34" t="s">
        <v>32</v>
      </c>
      <c r="H77" s="34" t="s">
        <v>25</v>
      </c>
      <c r="I77" s="33" t="s">
        <v>1892</v>
      </c>
      <c r="J77" s="34" t="s">
        <v>39</v>
      </c>
      <c r="K77" s="34" t="s">
        <v>717</v>
      </c>
      <c r="L77" s="34" t="s">
        <v>37</v>
      </c>
      <c r="M77" s="33" t="s">
        <v>72</v>
      </c>
      <c r="N77" s="3" t="s">
        <v>35</v>
      </c>
      <c r="O77" s="34" t="s">
        <v>114</v>
      </c>
      <c r="P77" s="33" t="s">
        <v>1994</v>
      </c>
      <c r="Q77" s="33" t="s">
        <v>30</v>
      </c>
      <c r="R77" s="34" t="s">
        <v>119</v>
      </c>
      <c r="S77" s="35">
        <v>433200</v>
      </c>
      <c r="T77" s="2" t="s">
        <v>44</v>
      </c>
      <c r="U77" s="36">
        <v>1.9007567999999999</v>
      </c>
      <c r="V77" s="36">
        <v>0.9007568359375</v>
      </c>
      <c r="W77" s="37">
        <v>4.5037841796874999E-2</v>
      </c>
      <c r="X77" s="38">
        <v>19510.393066406199</v>
      </c>
    </row>
    <row r="78" spans="1:24" hidden="1" x14ac:dyDescent="0.25">
      <c r="A78" s="33" t="s">
        <v>2087</v>
      </c>
      <c r="B78" s="33" t="s">
        <v>1781</v>
      </c>
      <c r="C78" s="33" t="s">
        <v>394</v>
      </c>
      <c r="D78" s="33" t="s">
        <v>2228</v>
      </c>
      <c r="E78" s="33" t="s">
        <v>2229</v>
      </c>
      <c r="F78" s="26" t="str">
        <f>HYPERLINK("https://mapwv.gov/flood/map/?wkid=102100&amp;x=-9067295.597206227&amp;y=4779975.877569733&amp;l=13&amp;v=2","FT")</f>
        <v>FT</v>
      </c>
      <c r="G78" s="34" t="s">
        <v>32</v>
      </c>
      <c r="H78" s="34" t="s">
        <v>66</v>
      </c>
      <c r="I78" s="33" t="s">
        <v>1893</v>
      </c>
      <c r="J78" s="34" t="s">
        <v>26</v>
      </c>
      <c r="K78" s="34" t="s">
        <v>1483</v>
      </c>
      <c r="L78" s="34" t="s">
        <v>49</v>
      </c>
      <c r="M78" s="33" t="s">
        <v>41</v>
      </c>
      <c r="N78" s="3" t="s">
        <v>42</v>
      </c>
      <c r="O78" s="34" t="s">
        <v>114</v>
      </c>
      <c r="P78" s="33" t="s">
        <v>1995</v>
      </c>
      <c r="Q78" s="33" t="s">
        <v>43</v>
      </c>
      <c r="R78" s="34" t="s">
        <v>120</v>
      </c>
      <c r="S78" s="35">
        <v>432100</v>
      </c>
      <c r="T78" s="2" t="s">
        <v>44</v>
      </c>
      <c r="U78" s="36">
        <v>5.6130370000000003</v>
      </c>
      <c r="V78" s="36">
        <v>1.613037109375</v>
      </c>
      <c r="W78" s="37">
        <v>0.36291259765625</v>
      </c>
      <c r="X78" s="38">
        <v>156814.53344726501</v>
      </c>
    </row>
    <row r="79" spans="1:24" x14ac:dyDescent="0.25">
      <c r="A79" s="33" t="s">
        <v>2088</v>
      </c>
      <c r="B79" s="33" t="s">
        <v>1759</v>
      </c>
      <c r="C79" s="33" t="s">
        <v>1760</v>
      </c>
      <c r="D79" s="33" t="s">
        <v>2230</v>
      </c>
      <c r="E79" s="33" t="s">
        <v>2231</v>
      </c>
      <c r="F79" s="26" t="str">
        <f>HYPERLINK("https://mapwv.gov/flood/map/?wkid=102100&amp;x=-9077913.787799912&amp;y=4763924.103742423&amp;l=13&amp;v=2","FT")</f>
        <v>FT</v>
      </c>
      <c r="G79" s="34" t="s">
        <v>32</v>
      </c>
      <c r="H79" s="34" t="s">
        <v>25</v>
      </c>
      <c r="I79" s="33" t="s">
        <v>1894</v>
      </c>
      <c r="J79" s="34" t="s">
        <v>39</v>
      </c>
      <c r="K79" s="34" t="s">
        <v>96</v>
      </c>
      <c r="L79" s="34" t="s">
        <v>50</v>
      </c>
      <c r="M79" s="33" t="s">
        <v>48</v>
      </c>
      <c r="N79" s="3" t="s">
        <v>35</v>
      </c>
      <c r="O79" s="34" t="s">
        <v>114</v>
      </c>
      <c r="P79" s="33" t="s">
        <v>1996</v>
      </c>
      <c r="Q79" s="33" t="s">
        <v>30</v>
      </c>
      <c r="R79" s="34" t="s">
        <v>119</v>
      </c>
      <c r="S79" s="35">
        <v>427900</v>
      </c>
      <c r="T79" s="2" t="s">
        <v>31</v>
      </c>
      <c r="U79" s="36">
        <v>3.0102540000000002</v>
      </c>
      <c r="V79" s="36">
        <v>2.01025390625</v>
      </c>
      <c r="W79" s="37">
        <v>0.14020507812499999</v>
      </c>
      <c r="X79" s="38">
        <v>59993.7529296875</v>
      </c>
    </row>
    <row r="80" spans="1:24" x14ac:dyDescent="0.25">
      <c r="A80" s="33" t="s">
        <v>1827</v>
      </c>
      <c r="B80" s="33" t="s">
        <v>1763</v>
      </c>
      <c r="C80" s="33" t="s">
        <v>1764</v>
      </c>
      <c r="D80" s="33" t="s">
        <v>1795</v>
      </c>
      <c r="E80" s="33" t="s">
        <v>1796</v>
      </c>
      <c r="F80" s="26" t="str">
        <f>HYPERLINK("https://mapwv.gov/flood/map/?wkid=102100&amp;x=-9075137.767794365&amp;y=4760094.541325849&amp;l=13&amp;v=2","FT")</f>
        <v>FT</v>
      </c>
      <c r="G80" s="34" t="s">
        <v>32</v>
      </c>
      <c r="H80" s="34" t="s">
        <v>25</v>
      </c>
      <c r="I80" s="33" t="s">
        <v>1895</v>
      </c>
      <c r="J80" s="34" t="s">
        <v>26</v>
      </c>
      <c r="K80" s="34" t="s">
        <v>970</v>
      </c>
      <c r="L80" s="34" t="s">
        <v>58</v>
      </c>
      <c r="M80" s="33" t="s">
        <v>48</v>
      </c>
      <c r="N80" s="3" t="s">
        <v>35</v>
      </c>
      <c r="O80" s="34" t="s">
        <v>114</v>
      </c>
      <c r="P80" s="33" t="s">
        <v>1997</v>
      </c>
      <c r="Q80" s="33" t="s">
        <v>30</v>
      </c>
      <c r="R80" s="34" t="s">
        <v>119</v>
      </c>
      <c r="S80" s="35">
        <v>421400</v>
      </c>
      <c r="T80" s="2" t="s">
        <v>44</v>
      </c>
      <c r="U80" s="36">
        <v>0</v>
      </c>
      <c r="V80" s="36">
        <v>-1</v>
      </c>
      <c r="W80" s="37">
        <v>0</v>
      </c>
      <c r="X80" s="38">
        <v>0</v>
      </c>
    </row>
    <row r="81" spans="1:24" x14ac:dyDescent="0.25">
      <c r="A81" s="33" t="s">
        <v>1833</v>
      </c>
      <c r="B81" s="33" t="s">
        <v>1768</v>
      </c>
      <c r="C81" s="33" t="s">
        <v>394</v>
      </c>
      <c r="D81" s="33" t="s">
        <v>1806</v>
      </c>
      <c r="E81" s="33" t="s">
        <v>1807</v>
      </c>
      <c r="F81" s="26" t="str">
        <f>HYPERLINK("https://mapwv.gov/flood/map/?wkid=102100&amp;x=-9078567.903576842&amp;y=4767113.554838959&amp;l=13&amp;v=2","FT")</f>
        <v>FT</v>
      </c>
      <c r="G81" s="34" t="s">
        <v>32</v>
      </c>
      <c r="H81" s="34" t="s">
        <v>25</v>
      </c>
      <c r="I81" s="33" t="s">
        <v>1896</v>
      </c>
      <c r="J81" s="34" t="s">
        <v>26</v>
      </c>
      <c r="K81" s="34" t="s">
        <v>141</v>
      </c>
      <c r="L81" s="34" t="s">
        <v>47</v>
      </c>
      <c r="M81" s="33" t="s">
        <v>56</v>
      </c>
      <c r="N81" s="3" t="s">
        <v>35</v>
      </c>
      <c r="O81" s="34" t="s">
        <v>115</v>
      </c>
      <c r="P81" s="33" t="s">
        <v>1998</v>
      </c>
      <c r="Q81" s="33" t="s">
        <v>30</v>
      </c>
      <c r="R81" s="34" t="s">
        <v>119</v>
      </c>
      <c r="S81" s="35">
        <v>417900</v>
      </c>
      <c r="T81" s="2" t="s">
        <v>44</v>
      </c>
      <c r="U81" s="36">
        <v>0</v>
      </c>
      <c r="V81" s="36">
        <v>-1</v>
      </c>
      <c r="W81" s="37">
        <v>0</v>
      </c>
      <c r="X81" s="38">
        <v>0</v>
      </c>
    </row>
    <row r="82" spans="1:24" hidden="1" x14ac:dyDescent="0.25">
      <c r="A82" s="33" t="s">
        <v>2089</v>
      </c>
      <c r="B82" s="33" t="s">
        <v>1781</v>
      </c>
      <c r="C82" s="33" t="s">
        <v>394</v>
      </c>
      <c r="D82" s="33" t="s">
        <v>2232</v>
      </c>
      <c r="E82" s="33" t="s">
        <v>2233</v>
      </c>
      <c r="F82" s="26" t="str">
        <f>HYPERLINK("https://mapwv.gov/flood/map/?wkid=102100&amp;x=-9067329.022553125&amp;y=4779967.335720927&amp;l=13&amp;v=2","FT")</f>
        <v>FT</v>
      </c>
      <c r="G82" s="34" t="s">
        <v>32</v>
      </c>
      <c r="H82" s="34" t="s">
        <v>66</v>
      </c>
      <c r="I82" s="33" t="s">
        <v>1897</v>
      </c>
      <c r="J82" s="34" t="s">
        <v>26</v>
      </c>
      <c r="K82" s="34" t="s">
        <v>1483</v>
      </c>
      <c r="L82" s="34" t="s">
        <v>51</v>
      </c>
      <c r="M82" s="33" t="s">
        <v>41</v>
      </c>
      <c r="N82" s="3" t="s">
        <v>42</v>
      </c>
      <c r="O82" s="34" t="s">
        <v>114</v>
      </c>
      <c r="P82" s="33" t="s">
        <v>1999</v>
      </c>
      <c r="Q82" s="33" t="s">
        <v>43</v>
      </c>
      <c r="R82" s="34" t="s">
        <v>120</v>
      </c>
      <c r="S82" s="35">
        <v>411400</v>
      </c>
      <c r="T82" s="2" t="s">
        <v>44</v>
      </c>
      <c r="U82" s="36">
        <v>5.4625854</v>
      </c>
      <c r="V82" s="36">
        <v>1.46258544921875</v>
      </c>
      <c r="W82" s="37">
        <v>0.35238098144531199</v>
      </c>
      <c r="X82" s="38">
        <v>144969.53576660101</v>
      </c>
    </row>
    <row r="83" spans="1:24" x14ac:dyDescent="0.25">
      <c r="A83" s="33" t="s">
        <v>2090</v>
      </c>
      <c r="B83" s="33" t="s">
        <v>1759</v>
      </c>
      <c r="C83" s="33" t="s">
        <v>1760</v>
      </c>
      <c r="D83" s="33" t="s">
        <v>2234</v>
      </c>
      <c r="E83" s="33" t="s">
        <v>2235</v>
      </c>
      <c r="F83" s="26" t="str">
        <f>HYPERLINK("https://mapwv.gov/flood/map/?wkid=102100&amp;x=-9077964.14283761&amp;y=4764270.178384372&amp;l=13&amp;v=2","FT")</f>
        <v>FT</v>
      </c>
      <c r="G83" s="34" t="s">
        <v>32</v>
      </c>
      <c r="H83" s="34" t="s">
        <v>25</v>
      </c>
      <c r="I83" s="33"/>
      <c r="J83" s="34" t="s">
        <v>26</v>
      </c>
      <c r="K83" s="34" t="s">
        <v>142</v>
      </c>
      <c r="L83" s="34" t="s">
        <v>27</v>
      </c>
      <c r="M83" s="33" t="s">
        <v>52</v>
      </c>
      <c r="N83" s="3" t="s">
        <v>35</v>
      </c>
      <c r="O83" s="34" t="s">
        <v>114</v>
      </c>
      <c r="P83" s="33" t="s">
        <v>2000</v>
      </c>
      <c r="Q83" s="33" t="s">
        <v>30</v>
      </c>
      <c r="R83" s="34" t="s">
        <v>119</v>
      </c>
      <c r="S83" s="35">
        <v>408600</v>
      </c>
      <c r="T83" s="2" t="s">
        <v>44</v>
      </c>
      <c r="U83" s="36">
        <v>3.1087036000000001</v>
      </c>
      <c r="V83" s="36">
        <v>2.10870361328125</v>
      </c>
      <c r="W83" s="37">
        <v>0.111087036132812</v>
      </c>
      <c r="X83" s="38">
        <v>45390.1629638671</v>
      </c>
    </row>
    <row r="84" spans="1:24" hidden="1" x14ac:dyDescent="0.25">
      <c r="A84" s="33" t="s">
        <v>2091</v>
      </c>
      <c r="B84" s="33" t="s">
        <v>1781</v>
      </c>
      <c r="C84" s="33" t="s">
        <v>394</v>
      </c>
      <c r="D84" s="33" t="s">
        <v>2236</v>
      </c>
      <c r="E84" s="33" t="s">
        <v>2237</v>
      </c>
      <c r="F84" s="26" t="str">
        <f>HYPERLINK("https://mapwv.gov/flood/map/?wkid=102100&amp;x=-9067130.586321272&amp;y=4780046.281213787&amp;l=13&amp;v=2","FT")</f>
        <v>FT</v>
      </c>
      <c r="G84" s="34" t="s">
        <v>32</v>
      </c>
      <c r="H84" s="34" t="s">
        <v>66</v>
      </c>
      <c r="I84" s="33" t="s">
        <v>1898</v>
      </c>
      <c r="J84" s="34" t="s">
        <v>36</v>
      </c>
      <c r="K84" s="34" t="s">
        <v>87</v>
      </c>
      <c r="L84" s="34"/>
      <c r="M84" s="33" t="s">
        <v>41</v>
      </c>
      <c r="N84" s="3" t="s">
        <v>42</v>
      </c>
      <c r="O84" s="34" t="s">
        <v>114</v>
      </c>
      <c r="P84" s="33" t="s">
        <v>2001</v>
      </c>
      <c r="Q84" s="33" t="s">
        <v>30</v>
      </c>
      <c r="R84" s="34" t="s">
        <v>119</v>
      </c>
      <c r="S84" s="35">
        <v>400000</v>
      </c>
      <c r="T84" s="2" t="s">
        <v>155</v>
      </c>
      <c r="U84" s="36">
        <v>15.071655</v>
      </c>
      <c r="V84" s="36">
        <v>14.0716552734375</v>
      </c>
      <c r="W84" s="37">
        <v>0.80071655273437503</v>
      </c>
      <c r="X84" s="38">
        <v>320286.62109375</v>
      </c>
    </row>
    <row r="85" spans="1:24" x14ac:dyDescent="0.25">
      <c r="A85" s="33" t="s">
        <v>1817</v>
      </c>
      <c r="B85" s="33" t="s">
        <v>1768</v>
      </c>
      <c r="C85" s="33" t="s">
        <v>1760</v>
      </c>
      <c r="D85" s="33" t="s">
        <v>1771</v>
      </c>
      <c r="E85" s="33" t="s">
        <v>1772</v>
      </c>
      <c r="F85" s="26" t="str">
        <f>HYPERLINK("https://mapwv.gov/flood/map/?wkid=102100&amp;x=-9078019.614564387&amp;y=4765304.55733338&amp;l=13&amp;v=2","FT")</f>
        <v>FT</v>
      </c>
      <c r="G85" s="34" t="s">
        <v>55</v>
      </c>
      <c r="H85" s="34" t="s">
        <v>25</v>
      </c>
      <c r="I85" s="33" t="s">
        <v>1899</v>
      </c>
      <c r="J85" s="34" t="s">
        <v>162</v>
      </c>
      <c r="K85" s="34" t="s">
        <v>140</v>
      </c>
      <c r="L85" s="34" t="s">
        <v>27</v>
      </c>
      <c r="M85" s="33" t="s">
        <v>48</v>
      </c>
      <c r="N85" s="3" t="s">
        <v>35</v>
      </c>
      <c r="O85" s="34" t="s">
        <v>115</v>
      </c>
      <c r="P85" s="33" t="s">
        <v>2002</v>
      </c>
      <c r="Q85" s="33" t="s">
        <v>30</v>
      </c>
      <c r="R85" s="34" t="s">
        <v>119</v>
      </c>
      <c r="S85" s="35">
        <v>398900</v>
      </c>
      <c r="T85" s="2" t="s">
        <v>44</v>
      </c>
      <c r="U85" s="36">
        <v>0.67004395000000005</v>
      </c>
      <c r="V85" s="36">
        <v>-0.3299560546875</v>
      </c>
      <c r="W85" s="37">
        <v>6.7004394531250001E-3</v>
      </c>
      <c r="X85" s="38">
        <v>2672.8052978515602</v>
      </c>
    </row>
    <row r="86" spans="1:24" x14ac:dyDescent="0.25">
      <c r="A86" s="33" t="s">
        <v>2092</v>
      </c>
      <c r="B86" s="33" t="s">
        <v>1759</v>
      </c>
      <c r="C86" s="33" t="s">
        <v>1776</v>
      </c>
      <c r="D86" s="33" t="s">
        <v>2238</v>
      </c>
      <c r="E86" s="33" t="s">
        <v>2239</v>
      </c>
      <c r="F86" s="26" t="str">
        <f>HYPERLINK("https://mapwv.gov/flood/map/?wkid=102100&amp;x=-9075596.582764218&amp;y=4748822.367930002&amp;l=13&amp;v=2","FT")</f>
        <v>FT</v>
      </c>
      <c r="G86" s="34" t="s">
        <v>32</v>
      </c>
      <c r="H86" s="34" t="s">
        <v>25</v>
      </c>
      <c r="I86" s="33" t="s">
        <v>1900</v>
      </c>
      <c r="J86" s="34" t="s">
        <v>26</v>
      </c>
      <c r="K86" s="34" t="s">
        <v>126</v>
      </c>
      <c r="L86" s="34" t="s">
        <v>38</v>
      </c>
      <c r="M86" s="33" t="s">
        <v>52</v>
      </c>
      <c r="N86" s="3" t="s">
        <v>35</v>
      </c>
      <c r="O86" s="34" t="s">
        <v>114</v>
      </c>
      <c r="P86" s="33" t="s">
        <v>2003</v>
      </c>
      <c r="Q86" s="33" t="s">
        <v>30</v>
      </c>
      <c r="R86" s="34" t="s">
        <v>119</v>
      </c>
      <c r="S86" s="35">
        <v>386800</v>
      </c>
      <c r="T86" s="2" t="s">
        <v>44</v>
      </c>
      <c r="U86" s="36">
        <v>0</v>
      </c>
      <c r="V86" s="36">
        <v>-1</v>
      </c>
      <c r="W86" s="37">
        <v>0</v>
      </c>
      <c r="X86" s="38">
        <v>0</v>
      </c>
    </row>
    <row r="87" spans="1:24" x14ac:dyDescent="0.25">
      <c r="A87" s="33" t="s">
        <v>2093</v>
      </c>
      <c r="B87" s="33" t="s">
        <v>1768</v>
      </c>
      <c r="C87" s="33" t="s">
        <v>1760</v>
      </c>
      <c r="D87" s="33" t="s">
        <v>2240</v>
      </c>
      <c r="E87" s="33" t="s">
        <v>2241</v>
      </c>
      <c r="F87" s="26" t="str">
        <f>HYPERLINK("https://mapwv.gov/flood/map/?wkid=102100&amp;x=-9078125.867014596&amp;y=4764969.411316435&amp;l=13&amp;v=2","FT")</f>
        <v>FT</v>
      </c>
      <c r="G87" s="34" t="s">
        <v>32</v>
      </c>
      <c r="H87" s="34" t="s">
        <v>25</v>
      </c>
      <c r="I87" s="33" t="s">
        <v>1901</v>
      </c>
      <c r="J87" s="34" t="s">
        <v>26</v>
      </c>
      <c r="K87" s="34" t="s">
        <v>83</v>
      </c>
      <c r="L87" s="34" t="s">
        <v>45</v>
      </c>
      <c r="M87" s="33" t="s">
        <v>48</v>
      </c>
      <c r="N87" s="3" t="s">
        <v>35</v>
      </c>
      <c r="O87" s="34" t="s">
        <v>114</v>
      </c>
      <c r="P87" s="33" t="s">
        <v>2004</v>
      </c>
      <c r="Q87" s="33" t="s">
        <v>30</v>
      </c>
      <c r="R87" s="34" t="s">
        <v>119</v>
      </c>
      <c r="S87" s="35">
        <v>383700</v>
      </c>
      <c r="T87" s="2" t="s">
        <v>44</v>
      </c>
      <c r="U87" s="36">
        <v>1</v>
      </c>
      <c r="V87" s="36">
        <v>0</v>
      </c>
      <c r="W87" s="37">
        <v>0.01</v>
      </c>
      <c r="X87" s="38">
        <v>3837</v>
      </c>
    </row>
    <row r="88" spans="1:24" x14ac:dyDescent="0.25">
      <c r="A88" s="33" t="s">
        <v>2094</v>
      </c>
      <c r="B88" s="33" t="s">
        <v>1759</v>
      </c>
      <c r="C88" s="33" t="s">
        <v>212</v>
      </c>
      <c r="D88" s="33" t="s">
        <v>2242</v>
      </c>
      <c r="E88" s="33" t="s">
        <v>2243</v>
      </c>
      <c r="F88" s="26" t="str">
        <f>HYPERLINK("https://mapwv.gov/flood/map/?wkid=102100&amp;x=-9076925.036505459&amp;y=4758452.704820916&amp;l=13&amp;v=2","FT")</f>
        <v>FT</v>
      </c>
      <c r="G88" s="34" t="s">
        <v>32</v>
      </c>
      <c r="H88" s="34" t="s">
        <v>25</v>
      </c>
      <c r="I88" s="33" t="s">
        <v>1902</v>
      </c>
      <c r="J88" s="34" t="s">
        <v>26</v>
      </c>
      <c r="K88" s="34" t="s">
        <v>160</v>
      </c>
      <c r="L88" s="34" t="s">
        <v>37</v>
      </c>
      <c r="M88" s="33" t="s">
        <v>48</v>
      </c>
      <c r="N88" s="3" t="s">
        <v>35</v>
      </c>
      <c r="O88" s="34" t="s">
        <v>114</v>
      </c>
      <c r="P88" s="33" t="s">
        <v>2005</v>
      </c>
      <c r="Q88" s="33" t="s">
        <v>30</v>
      </c>
      <c r="R88" s="34" t="s">
        <v>119</v>
      </c>
      <c r="S88" s="35">
        <v>374400</v>
      </c>
      <c r="T88" s="2" t="s">
        <v>44</v>
      </c>
      <c r="U88" s="36">
        <v>10.509216</v>
      </c>
      <c r="V88" s="36">
        <v>9.50921630859375</v>
      </c>
      <c r="W88" s="37">
        <v>0.36036865234374998</v>
      </c>
      <c r="X88" s="38">
        <v>134922.0234375</v>
      </c>
    </row>
    <row r="89" spans="1:24" x14ac:dyDescent="0.25">
      <c r="A89" s="33" t="s">
        <v>2095</v>
      </c>
      <c r="B89" s="33" t="s">
        <v>1768</v>
      </c>
      <c r="C89" s="33" t="s">
        <v>1760</v>
      </c>
      <c r="D89" s="33" t="s">
        <v>2244</v>
      </c>
      <c r="E89" s="33" t="s">
        <v>2245</v>
      </c>
      <c r="F89" s="26" t="str">
        <f>HYPERLINK("https://mapwv.gov/flood/map/?wkid=102100&amp;x=-9078127.943457063&amp;y=4764635.26816866&amp;l=13&amp;v=2","FT")</f>
        <v>FT</v>
      </c>
      <c r="G89" s="34" t="s">
        <v>32</v>
      </c>
      <c r="H89" s="34" t="s">
        <v>25</v>
      </c>
      <c r="I89" s="33" t="s">
        <v>1903</v>
      </c>
      <c r="J89" s="34" t="s">
        <v>26</v>
      </c>
      <c r="K89" s="34" t="s">
        <v>970</v>
      </c>
      <c r="L89" s="34" t="s">
        <v>45</v>
      </c>
      <c r="M89" s="33" t="s">
        <v>52</v>
      </c>
      <c r="N89" s="3" t="s">
        <v>35</v>
      </c>
      <c r="O89" s="34" t="s">
        <v>114</v>
      </c>
      <c r="P89" s="33" t="s">
        <v>2006</v>
      </c>
      <c r="Q89" s="33" t="s">
        <v>30</v>
      </c>
      <c r="R89" s="34" t="s">
        <v>119</v>
      </c>
      <c r="S89" s="35">
        <v>372700</v>
      </c>
      <c r="T89" s="2" t="s">
        <v>44</v>
      </c>
      <c r="U89" s="36">
        <v>6.2254639999999997</v>
      </c>
      <c r="V89" s="36">
        <v>5.2254638671875</v>
      </c>
      <c r="W89" s="37">
        <v>0.16450927734375001</v>
      </c>
      <c r="X89" s="38">
        <v>61312.607666015603</v>
      </c>
    </row>
    <row r="90" spans="1:24" x14ac:dyDescent="0.25">
      <c r="A90" s="33" t="s">
        <v>2096</v>
      </c>
      <c r="B90" s="33" t="s">
        <v>1763</v>
      </c>
      <c r="C90" s="33" t="s">
        <v>1790</v>
      </c>
      <c r="D90" s="33" t="s">
        <v>2246</v>
      </c>
      <c r="E90" s="33" t="s">
        <v>2247</v>
      </c>
      <c r="F90" s="26" t="str">
        <f>HYPERLINK("https://mapwv.gov/flood/map/?wkid=102100&amp;x=-9078658.933198003&amp;y=4761930.189285729&amp;l=13&amp;v=2","FT")</f>
        <v>FT</v>
      </c>
      <c r="G90" s="34" t="s">
        <v>32</v>
      </c>
      <c r="H90" s="34" t="s">
        <v>25</v>
      </c>
      <c r="I90" s="33" t="s">
        <v>1904</v>
      </c>
      <c r="J90" s="34" t="s">
        <v>26</v>
      </c>
      <c r="K90" s="34" t="s">
        <v>127</v>
      </c>
      <c r="L90" s="34" t="s">
        <v>58</v>
      </c>
      <c r="M90" s="33" t="s">
        <v>72</v>
      </c>
      <c r="N90" s="3" t="s">
        <v>35</v>
      </c>
      <c r="O90" s="34" t="s">
        <v>114</v>
      </c>
      <c r="P90" s="33" t="s">
        <v>2007</v>
      </c>
      <c r="Q90" s="33" t="s">
        <v>30</v>
      </c>
      <c r="R90" s="34" t="s">
        <v>119</v>
      </c>
      <c r="S90" s="35">
        <v>372100</v>
      </c>
      <c r="T90" s="2" t="s">
        <v>44</v>
      </c>
      <c r="U90" s="36">
        <v>1.0150146</v>
      </c>
      <c r="V90" s="36">
        <v>1.50146484375E-2</v>
      </c>
      <c r="W90" s="37">
        <v>7.5073242187500004E-4</v>
      </c>
      <c r="X90" s="38">
        <v>279.34753417968699</v>
      </c>
    </row>
    <row r="91" spans="1:24" x14ac:dyDescent="0.25">
      <c r="A91" s="33" t="s">
        <v>1834</v>
      </c>
      <c r="B91" s="33" t="s">
        <v>1768</v>
      </c>
      <c r="C91" s="33" t="s">
        <v>394</v>
      </c>
      <c r="D91" s="33" t="s">
        <v>1808</v>
      </c>
      <c r="E91" s="33" t="s">
        <v>1809</v>
      </c>
      <c r="F91" s="26" t="str">
        <f>HYPERLINK("https://mapwv.gov/flood/map/?wkid=102100&amp;x=-9078566.464549784&amp;y=4767072.634809979&amp;l=13&amp;v=2","FT")</f>
        <v>FT</v>
      </c>
      <c r="G91" s="34" t="s">
        <v>32</v>
      </c>
      <c r="H91" s="34" t="s">
        <v>25</v>
      </c>
      <c r="I91" s="33" t="s">
        <v>1848</v>
      </c>
      <c r="J91" s="34" t="s">
        <v>26</v>
      </c>
      <c r="K91" s="34" t="s">
        <v>141</v>
      </c>
      <c r="L91" s="34" t="s">
        <v>27</v>
      </c>
      <c r="M91" s="33" t="s">
        <v>48</v>
      </c>
      <c r="N91" s="3" t="s">
        <v>35</v>
      </c>
      <c r="O91" s="34" t="s">
        <v>114</v>
      </c>
      <c r="P91" s="33" t="s">
        <v>2008</v>
      </c>
      <c r="Q91" s="33" t="s">
        <v>30</v>
      </c>
      <c r="R91" s="34" t="s">
        <v>119</v>
      </c>
      <c r="S91" s="35">
        <v>361700</v>
      </c>
      <c r="T91" s="2" t="s">
        <v>44</v>
      </c>
      <c r="U91" s="36">
        <v>0</v>
      </c>
      <c r="V91" s="36">
        <v>-1</v>
      </c>
      <c r="W91" s="37">
        <v>0</v>
      </c>
      <c r="X91" s="38">
        <v>0</v>
      </c>
    </row>
    <row r="92" spans="1:24" hidden="1" x14ac:dyDescent="0.25">
      <c r="A92" s="33" t="s">
        <v>2097</v>
      </c>
      <c r="B92" s="33" t="s">
        <v>1759</v>
      </c>
      <c r="C92" s="33" t="s">
        <v>2154</v>
      </c>
      <c r="D92" s="33" t="s">
        <v>2248</v>
      </c>
      <c r="E92" s="33" t="s">
        <v>2249</v>
      </c>
      <c r="F92" s="26" t="str">
        <f>HYPERLINK("https://mapwv.gov/flood/map/?wkid=102100&amp;x=-9074747.816953951&amp;y=4746559.53144874&amp;l=13&amp;v=2","FT")</f>
        <v>FT</v>
      </c>
      <c r="G92" s="34" t="s">
        <v>32</v>
      </c>
      <c r="H92" s="34" t="s">
        <v>25</v>
      </c>
      <c r="I92" s="33" t="s">
        <v>1905</v>
      </c>
      <c r="J92" s="34" t="s">
        <v>26</v>
      </c>
      <c r="K92" s="34" t="s">
        <v>127</v>
      </c>
      <c r="L92" s="34" t="s">
        <v>51</v>
      </c>
      <c r="M92" s="33" t="s">
        <v>41</v>
      </c>
      <c r="N92" s="3" t="s">
        <v>42</v>
      </c>
      <c r="O92" s="34" t="s">
        <v>115</v>
      </c>
      <c r="P92" s="33" t="s">
        <v>2009</v>
      </c>
      <c r="Q92" s="33" t="s">
        <v>43</v>
      </c>
      <c r="R92" s="34" t="s">
        <v>120</v>
      </c>
      <c r="S92" s="35">
        <v>356000</v>
      </c>
      <c r="T92" s="2" t="s">
        <v>44</v>
      </c>
      <c r="U92" s="36">
        <v>0</v>
      </c>
      <c r="V92" s="36">
        <v>-4</v>
      </c>
      <c r="W92" s="37">
        <v>0</v>
      </c>
      <c r="X92" s="38">
        <v>0</v>
      </c>
    </row>
    <row r="93" spans="1:24" hidden="1" x14ac:dyDescent="0.25">
      <c r="A93" s="33" t="s">
        <v>1820</v>
      </c>
      <c r="B93" s="33" t="s">
        <v>1759</v>
      </c>
      <c r="C93" s="33" t="s">
        <v>394</v>
      </c>
      <c r="D93" s="33" t="s">
        <v>1779</v>
      </c>
      <c r="E93" s="33" t="s">
        <v>1780</v>
      </c>
      <c r="F93" s="26" t="str">
        <f>HYPERLINK("https://mapwv.gov/flood/map/?wkid=102100&amp;x=-9093153.144896474&amp;y=4754386.842434599&amp;l=13&amp;v=2","FT")</f>
        <v>FT</v>
      </c>
      <c r="G93" s="34" t="s">
        <v>55</v>
      </c>
      <c r="H93" s="34" t="s">
        <v>25</v>
      </c>
      <c r="I93" s="33" t="s">
        <v>1906</v>
      </c>
      <c r="J93" s="34" t="s">
        <v>162</v>
      </c>
      <c r="K93" s="34" t="s">
        <v>133</v>
      </c>
      <c r="L93" s="34" t="s">
        <v>51</v>
      </c>
      <c r="M93" s="33" t="s">
        <v>41</v>
      </c>
      <c r="N93" s="3" t="s">
        <v>42</v>
      </c>
      <c r="O93" s="34" t="s">
        <v>114</v>
      </c>
      <c r="P93" s="33" t="s">
        <v>2010</v>
      </c>
      <c r="Q93" s="33" t="s">
        <v>43</v>
      </c>
      <c r="R93" s="34" t="s">
        <v>120</v>
      </c>
      <c r="S93" s="35">
        <v>353000</v>
      </c>
      <c r="T93" s="2" t="s">
        <v>44</v>
      </c>
      <c r="U93" s="36">
        <v>0.86419679999999999</v>
      </c>
      <c r="V93" s="36">
        <v>-3.13580322265625</v>
      </c>
      <c r="W93" s="37">
        <v>0</v>
      </c>
      <c r="X93" s="38">
        <v>0</v>
      </c>
    </row>
    <row r="94" spans="1:24" hidden="1" x14ac:dyDescent="0.25">
      <c r="A94" s="33" t="s">
        <v>2098</v>
      </c>
      <c r="B94" s="33" t="s">
        <v>1759</v>
      </c>
      <c r="C94" s="33" t="s">
        <v>2250</v>
      </c>
      <c r="D94" s="33" t="s">
        <v>2251</v>
      </c>
      <c r="E94" s="33" t="s">
        <v>2252</v>
      </c>
      <c r="F94" s="26" t="str">
        <f>HYPERLINK("https://mapwv.gov/flood/map/?wkid=102100&amp;x=-9067509.278419709&amp;y=4755628.90448867&amp;l=13&amp;v=2","FT")</f>
        <v>FT</v>
      </c>
      <c r="G94" s="34" t="s">
        <v>38</v>
      </c>
      <c r="H94" s="34" t="s">
        <v>25</v>
      </c>
      <c r="I94" s="33" t="s">
        <v>1907</v>
      </c>
      <c r="J94" s="34" t="s">
        <v>26</v>
      </c>
      <c r="K94" s="34" t="s">
        <v>125</v>
      </c>
      <c r="L94" s="34" t="s">
        <v>45</v>
      </c>
      <c r="M94" s="33" t="s">
        <v>41</v>
      </c>
      <c r="N94" s="3" t="s">
        <v>42</v>
      </c>
      <c r="O94" s="34" t="s">
        <v>114</v>
      </c>
      <c r="P94" s="33" t="s">
        <v>2011</v>
      </c>
      <c r="Q94" s="33" t="s">
        <v>43</v>
      </c>
      <c r="R94" s="34" t="s">
        <v>120</v>
      </c>
      <c r="S94" s="35">
        <v>343900</v>
      </c>
      <c r="T94" s="2" t="s">
        <v>44</v>
      </c>
      <c r="U94" s="36">
        <v>0</v>
      </c>
      <c r="V94" s="36">
        <v>-4</v>
      </c>
      <c r="W94" s="37">
        <v>0</v>
      </c>
      <c r="X94" s="38">
        <v>0</v>
      </c>
    </row>
    <row r="95" spans="1:24" hidden="1" x14ac:dyDescent="0.25">
      <c r="A95" s="33" t="s">
        <v>2099</v>
      </c>
      <c r="B95" s="33" t="s">
        <v>1768</v>
      </c>
      <c r="C95" s="33" t="s">
        <v>1760</v>
      </c>
      <c r="D95" s="33" t="s">
        <v>2253</v>
      </c>
      <c r="E95" s="33" t="s">
        <v>2254</v>
      </c>
      <c r="F95" s="26" t="str">
        <f>HYPERLINK("https://mapwv.gov/flood/map/?wkid=102100&amp;x=-9077608.831505788&amp;y=4767139.796177479&amp;l=13&amp;v=2","FT")</f>
        <v>FT</v>
      </c>
      <c r="G95" s="34" t="s">
        <v>32</v>
      </c>
      <c r="H95" s="34" t="s">
        <v>66</v>
      </c>
      <c r="I95" s="33" t="s">
        <v>1908</v>
      </c>
      <c r="J95" s="34" t="s">
        <v>26</v>
      </c>
      <c r="K95" s="34" t="s">
        <v>140</v>
      </c>
      <c r="L95" s="34" t="s">
        <v>58</v>
      </c>
      <c r="M95" s="33" t="s">
        <v>41</v>
      </c>
      <c r="N95" s="3" t="s">
        <v>42</v>
      </c>
      <c r="O95" s="34" t="s">
        <v>115</v>
      </c>
      <c r="P95" s="33" t="s">
        <v>2012</v>
      </c>
      <c r="Q95" s="33" t="s">
        <v>43</v>
      </c>
      <c r="R95" s="34" t="s">
        <v>120</v>
      </c>
      <c r="S95" s="35">
        <v>337100</v>
      </c>
      <c r="T95" s="2" t="s">
        <v>44</v>
      </c>
      <c r="U95" s="36">
        <v>1</v>
      </c>
      <c r="V95" s="36">
        <v>-3</v>
      </c>
      <c r="W95" s="37">
        <v>0.04</v>
      </c>
      <c r="X95" s="38">
        <v>13484</v>
      </c>
    </row>
    <row r="96" spans="1:24" hidden="1" x14ac:dyDescent="0.25">
      <c r="A96" s="33" t="s">
        <v>2100</v>
      </c>
      <c r="B96" s="33" t="s">
        <v>1763</v>
      </c>
      <c r="C96" s="33" t="s">
        <v>1764</v>
      </c>
      <c r="D96" s="33" t="s">
        <v>2255</v>
      </c>
      <c r="E96" s="33" t="s">
        <v>2256</v>
      </c>
      <c r="F96" s="26" t="str">
        <f>HYPERLINK("https://mapwv.gov/flood/map/?wkid=102100&amp;x=-9073888.406662656&amp;y=4760488.602526514&amp;l=13&amp;v=2","FT")</f>
        <v>FT</v>
      </c>
      <c r="G96" s="34" t="s">
        <v>32</v>
      </c>
      <c r="H96" s="34" t="s">
        <v>25</v>
      </c>
      <c r="I96" s="33" t="s">
        <v>1909</v>
      </c>
      <c r="J96" s="34" t="s">
        <v>26</v>
      </c>
      <c r="K96" s="34" t="s">
        <v>160</v>
      </c>
      <c r="L96" s="34" t="s">
        <v>27</v>
      </c>
      <c r="M96" s="33" t="s">
        <v>59</v>
      </c>
      <c r="N96" s="3" t="s">
        <v>42</v>
      </c>
      <c r="O96" s="34" t="s">
        <v>115</v>
      </c>
      <c r="P96" s="33" t="s">
        <v>1988</v>
      </c>
      <c r="Q96" s="33" t="s">
        <v>30</v>
      </c>
      <c r="R96" s="34" t="s">
        <v>119</v>
      </c>
      <c r="S96" s="35">
        <v>335000</v>
      </c>
      <c r="T96" s="2" t="s">
        <v>31</v>
      </c>
      <c r="U96" s="36">
        <v>0.60101320000000003</v>
      </c>
      <c r="V96" s="36">
        <v>-0.39898681640625</v>
      </c>
      <c r="W96" s="37">
        <v>9.0151977539062497E-2</v>
      </c>
      <c r="X96" s="38">
        <v>30200.912475585901</v>
      </c>
    </row>
    <row r="97" spans="1:24" x14ac:dyDescent="0.25">
      <c r="A97" s="33" t="s">
        <v>1819</v>
      </c>
      <c r="B97" s="33" t="s">
        <v>1759</v>
      </c>
      <c r="C97" s="33" t="s">
        <v>1776</v>
      </c>
      <c r="D97" s="33" t="s">
        <v>1777</v>
      </c>
      <c r="E97" s="33" t="s">
        <v>1778</v>
      </c>
      <c r="F97" s="26" t="str">
        <f>HYPERLINK("https://mapwv.gov/flood/map/?wkid=102100&amp;x=-9077540.861049222&amp;y=4734118.255679664&amp;l=13&amp;v=2","FT")</f>
        <v>FT</v>
      </c>
      <c r="G97" s="34" t="s">
        <v>55</v>
      </c>
      <c r="H97" s="34" t="s">
        <v>25</v>
      </c>
      <c r="I97" s="33" t="s">
        <v>1910</v>
      </c>
      <c r="J97" s="34" t="s">
        <v>39</v>
      </c>
      <c r="K97" s="34" t="s">
        <v>91</v>
      </c>
      <c r="L97" s="34" t="s">
        <v>27</v>
      </c>
      <c r="M97" s="33" t="s">
        <v>67</v>
      </c>
      <c r="N97" s="3" t="s">
        <v>112</v>
      </c>
      <c r="O97" s="34" t="s">
        <v>114</v>
      </c>
      <c r="P97" s="33" t="s">
        <v>2013</v>
      </c>
      <c r="Q97" s="33" t="s">
        <v>30</v>
      </c>
      <c r="R97" s="34" t="s">
        <v>119</v>
      </c>
      <c r="S97" s="35">
        <v>329600</v>
      </c>
      <c r="T97" s="2" t="s">
        <v>44</v>
      </c>
      <c r="U97" s="36">
        <v>0.78015137000000001</v>
      </c>
      <c r="V97" s="36">
        <v>-0.2198486328125</v>
      </c>
      <c r="W97" s="37">
        <v>0</v>
      </c>
      <c r="X97" s="38">
        <v>0</v>
      </c>
    </row>
    <row r="98" spans="1:24" hidden="1" x14ac:dyDescent="0.25">
      <c r="A98" s="33" t="s">
        <v>2101</v>
      </c>
      <c r="B98" s="33" t="s">
        <v>1763</v>
      </c>
      <c r="C98" s="33" t="s">
        <v>212</v>
      </c>
      <c r="D98" s="33" t="s">
        <v>2257</v>
      </c>
      <c r="E98" s="33" t="s">
        <v>2258</v>
      </c>
      <c r="F98" s="26" t="str">
        <f>HYPERLINK("https://mapwv.gov/flood/map/?wkid=102100&amp;x=-9073846.054271828&amp;y=4754716.942523101&amp;l=13&amp;v=2","FT")</f>
        <v>FT</v>
      </c>
      <c r="G98" s="34" t="s">
        <v>32</v>
      </c>
      <c r="H98" s="34" t="s">
        <v>25</v>
      </c>
      <c r="I98" s="33" t="s">
        <v>1911</v>
      </c>
      <c r="J98" s="34" t="s">
        <v>26</v>
      </c>
      <c r="K98" s="34" t="s">
        <v>126</v>
      </c>
      <c r="L98" s="34" t="s">
        <v>45</v>
      </c>
      <c r="M98" s="33" t="s">
        <v>41</v>
      </c>
      <c r="N98" s="3" t="s">
        <v>42</v>
      </c>
      <c r="O98" s="34" t="s">
        <v>114</v>
      </c>
      <c r="P98" s="33" t="s">
        <v>2014</v>
      </c>
      <c r="Q98" s="33" t="s">
        <v>53</v>
      </c>
      <c r="R98" s="34" t="s">
        <v>120</v>
      </c>
      <c r="S98" s="35">
        <v>326700</v>
      </c>
      <c r="T98" s="2" t="s">
        <v>44</v>
      </c>
      <c r="U98" s="36">
        <v>7.1299440000000001</v>
      </c>
      <c r="V98" s="36">
        <v>3.12994384765625</v>
      </c>
      <c r="W98" s="37">
        <v>0.40909606933593701</v>
      </c>
      <c r="X98" s="38">
        <v>133651.68585205</v>
      </c>
    </row>
    <row r="99" spans="1:24" hidden="1" x14ac:dyDescent="0.25">
      <c r="A99" s="33" t="s">
        <v>2102</v>
      </c>
      <c r="B99" s="33" t="s">
        <v>1759</v>
      </c>
      <c r="C99" s="33" t="s">
        <v>2154</v>
      </c>
      <c r="D99" s="33" t="s">
        <v>2259</v>
      </c>
      <c r="E99" s="33" t="s">
        <v>2260</v>
      </c>
      <c r="F99" s="26" t="str">
        <f>HYPERLINK("https://mapwv.gov/flood/map/?wkid=102100&amp;x=-9074774.644060675&amp;y=4746551.042446696&amp;l=13&amp;v=2","FT")</f>
        <v>FT</v>
      </c>
      <c r="G99" s="34" t="s">
        <v>32</v>
      </c>
      <c r="H99" s="34" t="s">
        <v>25</v>
      </c>
      <c r="I99" s="33" t="s">
        <v>1912</v>
      </c>
      <c r="J99" s="34" t="s">
        <v>26</v>
      </c>
      <c r="K99" s="34" t="s">
        <v>160</v>
      </c>
      <c r="L99" s="34" t="s">
        <v>51</v>
      </c>
      <c r="M99" s="33" t="s">
        <v>41</v>
      </c>
      <c r="N99" s="3" t="s">
        <v>42</v>
      </c>
      <c r="O99" s="34" t="s">
        <v>114</v>
      </c>
      <c r="P99" s="33" t="s">
        <v>2015</v>
      </c>
      <c r="Q99" s="33" t="s">
        <v>43</v>
      </c>
      <c r="R99" s="34" t="s">
        <v>120</v>
      </c>
      <c r="S99" s="35">
        <v>323200</v>
      </c>
      <c r="T99" s="2" t="s">
        <v>44</v>
      </c>
      <c r="U99" s="36">
        <v>0</v>
      </c>
      <c r="V99" s="36">
        <v>-4</v>
      </c>
      <c r="W99" s="37">
        <v>0</v>
      </c>
      <c r="X99" s="38">
        <v>0</v>
      </c>
    </row>
    <row r="100" spans="1:24" hidden="1" x14ac:dyDescent="0.25">
      <c r="A100" s="33" t="s">
        <v>2103</v>
      </c>
      <c r="B100" s="33" t="s">
        <v>1759</v>
      </c>
      <c r="C100" s="33" t="s">
        <v>2154</v>
      </c>
      <c r="D100" s="33" t="s">
        <v>2261</v>
      </c>
      <c r="E100" s="33" t="s">
        <v>2262</v>
      </c>
      <c r="F100" s="26" t="str">
        <f>HYPERLINK("https://mapwv.gov/flood/map/?wkid=102100&amp;x=-9074723.771276021&amp;y=4746583.968062711&amp;l=13&amp;v=2","FT")</f>
        <v>FT</v>
      </c>
      <c r="G100" s="34" t="s">
        <v>32</v>
      </c>
      <c r="H100" s="34" t="s">
        <v>25</v>
      </c>
      <c r="I100" s="33" t="s">
        <v>1913</v>
      </c>
      <c r="J100" s="34" t="s">
        <v>26</v>
      </c>
      <c r="K100" s="34" t="s">
        <v>133</v>
      </c>
      <c r="L100" s="34" t="s">
        <v>51</v>
      </c>
      <c r="M100" s="33" t="s">
        <v>41</v>
      </c>
      <c r="N100" s="3" t="s">
        <v>42</v>
      </c>
      <c r="O100" s="34" t="s">
        <v>115</v>
      </c>
      <c r="P100" s="33" t="s">
        <v>2016</v>
      </c>
      <c r="Q100" s="33" t="s">
        <v>43</v>
      </c>
      <c r="R100" s="34" t="s">
        <v>120</v>
      </c>
      <c r="S100" s="35">
        <v>321500</v>
      </c>
      <c r="T100" s="2" t="s">
        <v>44</v>
      </c>
      <c r="U100" s="36">
        <v>0</v>
      </c>
      <c r="V100" s="36">
        <v>-4</v>
      </c>
      <c r="W100" s="37">
        <v>0</v>
      </c>
      <c r="X100" s="38">
        <v>0</v>
      </c>
    </row>
    <row r="101" spans="1:24" x14ac:dyDescent="0.25">
      <c r="A101" s="33" t="s">
        <v>1821</v>
      </c>
      <c r="B101" s="33" t="s">
        <v>1759</v>
      </c>
      <c r="C101" s="33" t="s">
        <v>212</v>
      </c>
      <c r="D101" s="33" t="s">
        <v>1782</v>
      </c>
      <c r="E101" s="33" t="s">
        <v>1783</v>
      </c>
      <c r="F101" s="26" t="str">
        <f>HYPERLINK("https://mapwv.gov/flood/map/?wkid=102100&amp;x=-9073766.470743347&amp;y=4755397.515512653&amp;l=13&amp;v=2","FT")</f>
        <v>FT</v>
      </c>
      <c r="G101" s="34" t="s">
        <v>32</v>
      </c>
      <c r="H101" s="34" t="s">
        <v>25</v>
      </c>
      <c r="I101" s="33" t="s">
        <v>1914</v>
      </c>
      <c r="J101" s="34" t="s">
        <v>39</v>
      </c>
      <c r="K101" s="34" t="s">
        <v>123</v>
      </c>
      <c r="L101" s="34" t="s">
        <v>37</v>
      </c>
      <c r="M101" s="33" t="s">
        <v>72</v>
      </c>
      <c r="N101" s="3" t="s">
        <v>35</v>
      </c>
      <c r="O101" s="34" t="s">
        <v>114</v>
      </c>
      <c r="P101" s="33" t="s">
        <v>2017</v>
      </c>
      <c r="Q101" s="33" t="s">
        <v>30</v>
      </c>
      <c r="R101" s="34" t="s">
        <v>119</v>
      </c>
      <c r="S101" s="35">
        <v>319000</v>
      </c>
      <c r="T101" s="2" t="s">
        <v>44</v>
      </c>
      <c r="U101" s="36">
        <v>0</v>
      </c>
      <c r="V101" s="36">
        <v>-1</v>
      </c>
      <c r="W101" s="37">
        <v>0</v>
      </c>
      <c r="X101" s="38">
        <v>0</v>
      </c>
    </row>
    <row r="102" spans="1:24" hidden="1" x14ac:dyDescent="0.25">
      <c r="A102" s="33" t="s">
        <v>2104</v>
      </c>
      <c r="B102" s="33" t="s">
        <v>1759</v>
      </c>
      <c r="C102" s="33" t="s">
        <v>2263</v>
      </c>
      <c r="D102" s="33" t="s">
        <v>2264</v>
      </c>
      <c r="E102" s="33" t="s">
        <v>2265</v>
      </c>
      <c r="F102" s="26" t="str">
        <f>HYPERLINK("https://mapwv.gov/flood/map/?wkid=102100&amp;x=-9069101.082127467&amp;y=4747157.602032985&amp;l=13&amp;v=2","FT")</f>
        <v>FT</v>
      </c>
      <c r="G102" s="34" t="s">
        <v>38</v>
      </c>
      <c r="H102" s="34" t="s">
        <v>25</v>
      </c>
      <c r="I102" s="33" t="s">
        <v>1915</v>
      </c>
      <c r="J102" s="34" t="s">
        <v>26</v>
      </c>
      <c r="K102" s="34" t="s">
        <v>99</v>
      </c>
      <c r="L102" s="34" t="s">
        <v>45</v>
      </c>
      <c r="M102" s="33" t="s">
        <v>41</v>
      </c>
      <c r="N102" s="3" t="s">
        <v>42</v>
      </c>
      <c r="O102" s="34" t="s">
        <v>115</v>
      </c>
      <c r="P102" s="33" t="s">
        <v>2018</v>
      </c>
      <c r="Q102" s="33" t="s">
        <v>43</v>
      </c>
      <c r="R102" s="34" t="s">
        <v>120</v>
      </c>
      <c r="S102" s="35">
        <v>316200</v>
      </c>
      <c r="T102" s="2" t="s">
        <v>44</v>
      </c>
      <c r="U102" s="36">
        <v>0</v>
      </c>
      <c r="V102" s="36">
        <v>-4</v>
      </c>
      <c r="W102" s="37">
        <v>0</v>
      </c>
      <c r="X102" s="38">
        <v>0</v>
      </c>
    </row>
    <row r="103" spans="1:24" hidden="1" x14ac:dyDescent="0.25">
      <c r="A103" s="33" t="s">
        <v>2105</v>
      </c>
      <c r="B103" s="33" t="s">
        <v>1759</v>
      </c>
      <c r="C103" s="33" t="s">
        <v>2266</v>
      </c>
      <c r="D103" s="33" t="s">
        <v>2267</v>
      </c>
      <c r="E103" s="33" t="s">
        <v>2268</v>
      </c>
      <c r="F103" s="26" t="str">
        <f>HYPERLINK("https://mapwv.gov/flood/map/?wkid=102100&amp;x=-9076716.752506167&amp;y=4751135.622543352&amp;l=13&amp;v=2","FT")</f>
        <v>FT</v>
      </c>
      <c r="G103" s="34" t="s">
        <v>38</v>
      </c>
      <c r="H103" s="34" t="s">
        <v>25</v>
      </c>
      <c r="I103" s="33" t="s">
        <v>1916</v>
      </c>
      <c r="J103" s="34" t="s">
        <v>26</v>
      </c>
      <c r="K103" s="34" t="s">
        <v>104</v>
      </c>
      <c r="L103" s="34" t="s">
        <v>58</v>
      </c>
      <c r="M103" s="33" t="s">
        <v>59</v>
      </c>
      <c r="N103" s="3" t="s">
        <v>42</v>
      </c>
      <c r="O103" s="34" t="s">
        <v>115</v>
      </c>
      <c r="P103" s="33" t="s">
        <v>2019</v>
      </c>
      <c r="Q103" s="33" t="s">
        <v>30</v>
      </c>
      <c r="R103" s="34" t="s">
        <v>119</v>
      </c>
      <c r="S103" s="35">
        <v>316050</v>
      </c>
      <c r="T103" s="2" t="s">
        <v>31</v>
      </c>
      <c r="U103" s="36">
        <v>0</v>
      </c>
      <c r="V103" s="36">
        <v>-1</v>
      </c>
      <c r="W103" s="37">
        <v>0</v>
      </c>
      <c r="X103" s="38">
        <v>0</v>
      </c>
    </row>
    <row r="104" spans="1:24" hidden="1" x14ac:dyDescent="0.25">
      <c r="A104" s="33" t="s">
        <v>2106</v>
      </c>
      <c r="B104" s="33" t="s">
        <v>1759</v>
      </c>
      <c r="C104" s="33" t="s">
        <v>2266</v>
      </c>
      <c r="D104" s="33" t="s">
        <v>2267</v>
      </c>
      <c r="E104" s="33" t="s">
        <v>2269</v>
      </c>
      <c r="F104" s="26" t="str">
        <f>HYPERLINK("https://mapwv.gov/flood/map/?wkid=102100&amp;x=-9076716.448826592&amp;y=4751090.016397041&amp;l=13&amp;v=2","FT")</f>
        <v>FT</v>
      </c>
      <c r="G104" s="34" t="s">
        <v>38</v>
      </c>
      <c r="H104" s="34" t="s">
        <v>25</v>
      </c>
      <c r="I104" s="33" t="s">
        <v>1916</v>
      </c>
      <c r="J104" s="34" t="s">
        <v>26</v>
      </c>
      <c r="K104" s="34" t="s">
        <v>104</v>
      </c>
      <c r="L104" s="34" t="s">
        <v>58</v>
      </c>
      <c r="M104" s="33" t="s">
        <v>59</v>
      </c>
      <c r="N104" s="3" t="s">
        <v>42</v>
      </c>
      <c r="O104" s="34" t="s">
        <v>115</v>
      </c>
      <c r="P104" s="33" t="s">
        <v>2019</v>
      </c>
      <c r="Q104" s="33" t="s">
        <v>30</v>
      </c>
      <c r="R104" s="34" t="s">
        <v>119</v>
      </c>
      <c r="S104" s="35">
        <v>316050</v>
      </c>
      <c r="T104" s="2" t="s">
        <v>31</v>
      </c>
      <c r="U104" s="36">
        <v>0</v>
      </c>
      <c r="V104" s="36">
        <v>-1</v>
      </c>
      <c r="W104" s="37">
        <v>0</v>
      </c>
      <c r="X104" s="38">
        <v>0</v>
      </c>
    </row>
    <row r="105" spans="1:24" hidden="1" x14ac:dyDescent="0.25">
      <c r="A105" s="33" t="s">
        <v>2107</v>
      </c>
      <c r="B105" s="33" t="s">
        <v>1759</v>
      </c>
      <c r="C105" s="33" t="s">
        <v>2154</v>
      </c>
      <c r="D105" s="33" t="s">
        <v>2270</v>
      </c>
      <c r="E105" s="33" t="s">
        <v>2271</v>
      </c>
      <c r="F105" s="26" t="str">
        <f>HYPERLINK("https://mapwv.gov/flood/map/?wkid=102100&amp;x=-9074976.271711012&amp;y=4746910.74614789&amp;l=13&amp;v=2","FT")</f>
        <v>FT</v>
      </c>
      <c r="G105" s="34" t="s">
        <v>32</v>
      </c>
      <c r="H105" s="34" t="s">
        <v>25</v>
      </c>
      <c r="I105" s="33" t="s">
        <v>1917</v>
      </c>
      <c r="J105" s="34" t="s">
        <v>26</v>
      </c>
      <c r="K105" s="34" t="s">
        <v>94</v>
      </c>
      <c r="L105" s="34" t="s">
        <v>47</v>
      </c>
      <c r="M105" s="33" t="s">
        <v>41</v>
      </c>
      <c r="N105" s="3" t="s">
        <v>42</v>
      </c>
      <c r="O105" s="34" t="s">
        <v>114</v>
      </c>
      <c r="P105" s="33" t="s">
        <v>2020</v>
      </c>
      <c r="Q105" s="33" t="s">
        <v>53</v>
      </c>
      <c r="R105" s="34" t="s">
        <v>120</v>
      </c>
      <c r="S105" s="35">
        <v>314800</v>
      </c>
      <c r="T105" s="2" t="s">
        <v>44</v>
      </c>
      <c r="U105" s="36">
        <v>0</v>
      </c>
      <c r="V105" s="36">
        <v>-4</v>
      </c>
      <c r="W105" s="37">
        <v>0</v>
      </c>
      <c r="X105" s="38">
        <v>0</v>
      </c>
    </row>
    <row r="106" spans="1:24" hidden="1" x14ac:dyDescent="0.25">
      <c r="A106" s="33" t="s">
        <v>2108</v>
      </c>
      <c r="B106" s="33" t="s">
        <v>1759</v>
      </c>
      <c r="C106" s="33" t="s">
        <v>212</v>
      </c>
      <c r="D106" s="33" t="s">
        <v>2272</v>
      </c>
      <c r="E106" s="33" t="s">
        <v>2273</v>
      </c>
      <c r="F106" s="26" t="str">
        <f>HYPERLINK("https://mapwv.gov/flood/map/?wkid=102100&amp;x=-9076827.67247131&amp;y=4752624.841611814&amp;l=13&amp;v=2","FT")</f>
        <v>FT</v>
      </c>
      <c r="G106" s="34" t="s">
        <v>32</v>
      </c>
      <c r="H106" s="34" t="s">
        <v>25</v>
      </c>
      <c r="I106" s="33" t="s">
        <v>1918</v>
      </c>
      <c r="J106" s="34" t="s">
        <v>26</v>
      </c>
      <c r="K106" s="34" t="s">
        <v>142</v>
      </c>
      <c r="L106" s="34" t="s">
        <v>50</v>
      </c>
      <c r="M106" s="33" t="s">
        <v>59</v>
      </c>
      <c r="N106" s="3" t="s">
        <v>42</v>
      </c>
      <c r="O106" s="34" t="s">
        <v>115</v>
      </c>
      <c r="P106" s="33" t="s">
        <v>2021</v>
      </c>
      <c r="Q106" s="33" t="s">
        <v>30</v>
      </c>
      <c r="R106" s="34" t="s">
        <v>119</v>
      </c>
      <c r="S106" s="35">
        <v>314400</v>
      </c>
      <c r="T106" s="2" t="s">
        <v>31</v>
      </c>
      <c r="U106" s="36">
        <v>0</v>
      </c>
      <c r="V106" s="36">
        <v>-1</v>
      </c>
      <c r="W106" s="37">
        <v>0</v>
      </c>
      <c r="X106" s="38">
        <v>0</v>
      </c>
    </row>
    <row r="107" spans="1:24" hidden="1" x14ac:dyDescent="0.25">
      <c r="A107" s="33" t="s">
        <v>2109</v>
      </c>
      <c r="B107" s="33" t="s">
        <v>1759</v>
      </c>
      <c r="C107" s="33" t="s">
        <v>2154</v>
      </c>
      <c r="D107" s="33" t="s">
        <v>2274</v>
      </c>
      <c r="E107" s="33" t="s">
        <v>2275</v>
      </c>
      <c r="F107" s="26" t="str">
        <f>HYPERLINK("https://mapwv.gov/flood/map/?wkid=102100&amp;x=-9074825.583191747&amp;y=4746331.997128776&amp;l=13&amp;v=2","FT")</f>
        <v>FT</v>
      </c>
      <c r="G107" s="34" t="s">
        <v>32</v>
      </c>
      <c r="H107" s="34" t="s">
        <v>25</v>
      </c>
      <c r="I107" s="33" t="s">
        <v>1919</v>
      </c>
      <c r="J107" s="34" t="s">
        <v>26</v>
      </c>
      <c r="K107" s="34" t="s">
        <v>127</v>
      </c>
      <c r="L107" s="34" t="s">
        <v>45</v>
      </c>
      <c r="M107" s="33" t="s">
        <v>41</v>
      </c>
      <c r="N107" s="3" t="s">
        <v>42</v>
      </c>
      <c r="O107" s="34" t="s">
        <v>114</v>
      </c>
      <c r="P107" s="33" t="s">
        <v>1501</v>
      </c>
      <c r="Q107" s="33" t="s">
        <v>43</v>
      </c>
      <c r="R107" s="34" t="s">
        <v>120</v>
      </c>
      <c r="S107" s="35">
        <v>311700</v>
      </c>
      <c r="T107" s="2" t="s">
        <v>44</v>
      </c>
      <c r="U107" s="36">
        <v>0.54803466999999995</v>
      </c>
      <c r="V107" s="36">
        <v>-3.45196533203125</v>
      </c>
      <c r="W107" s="37">
        <v>0</v>
      </c>
      <c r="X107" s="38">
        <v>0</v>
      </c>
    </row>
    <row r="108" spans="1:24" hidden="1" x14ac:dyDescent="0.25">
      <c r="A108" s="33" t="s">
        <v>2110</v>
      </c>
      <c r="B108" s="33" t="s">
        <v>1759</v>
      </c>
      <c r="C108" s="33" t="s">
        <v>2276</v>
      </c>
      <c r="D108" s="33" t="s">
        <v>2277</v>
      </c>
      <c r="E108" s="33" t="s">
        <v>2278</v>
      </c>
      <c r="F108" s="26" t="str">
        <f>HYPERLINK("https://mapwv.gov/flood/map/?wkid=102100&amp;x=-9080001.136566145&amp;y=4742633.2765620295&amp;l=13&amp;v=2","FT")</f>
        <v>FT</v>
      </c>
      <c r="G108" s="34" t="s">
        <v>38</v>
      </c>
      <c r="H108" s="34" t="s">
        <v>25</v>
      </c>
      <c r="I108" s="33" t="s">
        <v>1920</v>
      </c>
      <c r="J108" s="34" t="s">
        <v>26</v>
      </c>
      <c r="K108" s="34" t="s">
        <v>136</v>
      </c>
      <c r="L108" s="34" t="s">
        <v>58</v>
      </c>
      <c r="M108" s="33" t="s">
        <v>41</v>
      </c>
      <c r="N108" s="3" t="s">
        <v>42</v>
      </c>
      <c r="O108" s="34" t="s">
        <v>114</v>
      </c>
      <c r="P108" s="33" t="s">
        <v>2022</v>
      </c>
      <c r="Q108" s="33" t="s">
        <v>43</v>
      </c>
      <c r="R108" s="34" t="s">
        <v>120</v>
      </c>
      <c r="S108" s="35">
        <v>310300</v>
      </c>
      <c r="T108" s="2" t="s">
        <v>44</v>
      </c>
      <c r="U108" s="36">
        <v>0</v>
      </c>
      <c r="V108" s="36">
        <v>-4</v>
      </c>
      <c r="W108" s="37">
        <v>0</v>
      </c>
      <c r="X108" s="38">
        <v>0</v>
      </c>
    </row>
    <row r="109" spans="1:24" hidden="1" x14ac:dyDescent="0.25">
      <c r="A109" s="33" t="s">
        <v>2111</v>
      </c>
      <c r="B109" s="33" t="s">
        <v>1768</v>
      </c>
      <c r="C109" s="33" t="s">
        <v>1760</v>
      </c>
      <c r="D109" s="33" t="s">
        <v>2279</v>
      </c>
      <c r="E109" s="33" t="s">
        <v>2280</v>
      </c>
      <c r="F109" s="26" t="str">
        <f>HYPERLINK("https://mapwv.gov/flood/map/?wkid=102100&amp;x=-9077610.979415357&amp;y=4766991.356548594&amp;l=13&amp;v=2","FT")</f>
        <v>FT</v>
      </c>
      <c r="G109" s="34" t="s">
        <v>32</v>
      </c>
      <c r="H109" s="34" t="s">
        <v>25</v>
      </c>
      <c r="I109" s="33"/>
      <c r="J109" s="34" t="s">
        <v>39</v>
      </c>
      <c r="K109" s="34" t="s">
        <v>145</v>
      </c>
      <c r="L109" s="34" t="s">
        <v>27</v>
      </c>
      <c r="M109" s="33" t="s">
        <v>59</v>
      </c>
      <c r="N109" s="3" t="s">
        <v>42</v>
      </c>
      <c r="O109" s="34" t="s">
        <v>115</v>
      </c>
      <c r="P109" s="33" t="s">
        <v>2023</v>
      </c>
      <c r="Q109" s="33" t="s">
        <v>30</v>
      </c>
      <c r="R109" s="34" t="s">
        <v>119</v>
      </c>
      <c r="S109" s="35">
        <v>309700</v>
      </c>
      <c r="T109" s="2" t="s">
        <v>44</v>
      </c>
      <c r="U109" s="36">
        <v>0</v>
      </c>
      <c r="V109" s="36">
        <v>-1</v>
      </c>
      <c r="W109" s="37">
        <v>0</v>
      </c>
      <c r="X109" s="38">
        <v>0</v>
      </c>
    </row>
    <row r="110" spans="1:24" x14ac:dyDescent="0.25">
      <c r="A110" s="33" t="s">
        <v>1814</v>
      </c>
      <c r="B110" s="33" t="s">
        <v>1759</v>
      </c>
      <c r="C110" s="33" t="s">
        <v>1760</v>
      </c>
      <c r="D110" s="33" t="s">
        <v>1761</v>
      </c>
      <c r="E110" s="33" t="s">
        <v>1762</v>
      </c>
      <c r="F110" s="26" t="str">
        <f>HYPERLINK("https://mapwv.gov/flood/map/?wkid=102100&amp;x=-9078532.602830475&amp;y=4766632.7051486615&amp;l=13&amp;v=2","FT")</f>
        <v>FT</v>
      </c>
      <c r="G110" s="34" t="s">
        <v>55</v>
      </c>
      <c r="H110" s="34" t="s">
        <v>25</v>
      </c>
      <c r="I110" s="33" t="s">
        <v>1921</v>
      </c>
      <c r="J110" s="34" t="s">
        <v>162</v>
      </c>
      <c r="K110" s="34" t="s">
        <v>127</v>
      </c>
      <c r="L110" s="34" t="s">
        <v>58</v>
      </c>
      <c r="M110" s="33" t="s">
        <v>56</v>
      </c>
      <c r="N110" s="3" t="s">
        <v>35</v>
      </c>
      <c r="O110" s="34" t="s">
        <v>114</v>
      </c>
      <c r="P110" s="33" t="s">
        <v>2024</v>
      </c>
      <c r="Q110" s="33" t="s">
        <v>30</v>
      </c>
      <c r="R110" s="34" t="s">
        <v>119</v>
      </c>
      <c r="S110" s="35">
        <v>309600</v>
      </c>
      <c r="T110" s="2" t="s">
        <v>44</v>
      </c>
      <c r="U110" s="36">
        <v>1.3828735000000001</v>
      </c>
      <c r="V110" s="36">
        <v>0.38287353515625</v>
      </c>
      <c r="W110" s="37">
        <v>5.44586181640625E-2</v>
      </c>
      <c r="X110" s="38">
        <v>16860.388183593699</v>
      </c>
    </row>
    <row r="111" spans="1:24" x14ac:dyDescent="0.25">
      <c r="A111" s="33" t="s">
        <v>2112</v>
      </c>
      <c r="B111" s="33" t="s">
        <v>1759</v>
      </c>
      <c r="C111" s="33" t="s">
        <v>1760</v>
      </c>
      <c r="D111" s="33" t="s">
        <v>2171</v>
      </c>
      <c r="E111" s="33" t="s">
        <v>2281</v>
      </c>
      <c r="F111" s="26" t="str">
        <f>HYPERLINK("https://mapwv.gov/flood/map/?wkid=102100&amp;x=-9078034.808673007&amp;y=4764047.383052405&amp;l=13&amp;v=2","FT")</f>
        <v>FT</v>
      </c>
      <c r="G111" s="34" t="s">
        <v>32</v>
      </c>
      <c r="H111" s="34" t="s">
        <v>25</v>
      </c>
      <c r="I111" s="33" t="s">
        <v>1864</v>
      </c>
      <c r="J111" s="34" t="s">
        <v>26</v>
      </c>
      <c r="K111" s="34" t="s">
        <v>106</v>
      </c>
      <c r="L111" s="34" t="s">
        <v>37</v>
      </c>
      <c r="M111" s="33" t="s">
        <v>48</v>
      </c>
      <c r="N111" s="3" t="s">
        <v>35</v>
      </c>
      <c r="O111" s="34" t="s">
        <v>114</v>
      </c>
      <c r="P111" s="33" t="s">
        <v>2025</v>
      </c>
      <c r="Q111" s="33" t="s">
        <v>30</v>
      </c>
      <c r="R111" s="34" t="s">
        <v>119</v>
      </c>
      <c r="S111" s="35">
        <v>308000</v>
      </c>
      <c r="T111" s="2" t="s">
        <v>31</v>
      </c>
      <c r="U111" s="36">
        <v>1.7307739</v>
      </c>
      <c r="V111" s="36">
        <v>0.73077392578125</v>
      </c>
      <c r="W111" s="37">
        <v>6.8461914062500004E-2</v>
      </c>
      <c r="X111" s="38">
        <v>21086.26953125</v>
      </c>
    </row>
    <row r="112" spans="1:24" x14ac:dyDescent="0.25">
      <c r="A112" s="33" t="s">
        <v>2113</v>
      </c>
      <c r="B112" s="33" t="s">
        <v>1763</v>
      </c>
      <c r="C112" s="33" t="s">
        <v>1773</v>
      </c>
      <c r="D112" s="33" t="s">
        <v>2282</v>
      </c>
      <c r="E112" s="33" t="s">
        <v>2283</v>
      </c>
      <c r="F112" s="26" t="str">
        <f>HYPERLINK("https://mapwv.gov/flood/map/?wkid=102100&amp;x=-9081215.38062865&amp;y=4757116.580294439&amp;l=13&amp;v=2","FT")</f>
        <v>FT</v>
      </c>
      <c r="G112" s="34" t="s">
        <v>32</v>
      </c>
      <c r="H112" s="34" t="s">
        <v>25</v>
      </c>
      <c r="I112" s="33" t="s">
        <v>1922</v>
      </c>
      <c r="J112" s="34" t="s">
        <v>26</v>
      </c>
      <c r="K112" s="34" t="s">
        <v>94</v>
      </c>
      <c r="L112" s="34" t="s">
        <v>27</v>
      </c>
      <c r="M112" s="33" t="s">
        <v>48</v>
      </c>
      <c r="N112" s="3" t="s">
        <v>35</v>
      </c>
      <c r="O112" s="34" t="s">
        <v>114</v>
      </c>
      <c r="P112" s="33" t="s">
        <v>2026</v>
      </c>
      <c r="Q112" s="33" t="s">
        <v>30</v>
      </c>
      <c r="R112" s="34" t="s">
        <v>119</v>
      </c>
      <c r="S112" s="35">
        <v>306700</v>
      </c>
      <c r="T112" s="2" t="s">
        <v>44</v>
      </c>
      <c r="U112" s="36">
        <v>1.0275879000000001</v>
      </c>
      <c r="V112" s="36">
        <v>2.7587890625E-2</v>
      </c>
      <c r="W112" s="37">
        <v>1.220703125E-2</v>
      </c>
      <c r="X112" s="38">
        <v>3743.896484375</v>
      </c>
    </row>
    <row r="113" spans="1:24" hidden="1" x14ac:dyDescent="0.25">
      <c r="A113" s="33" t="s">
        <v>2114</v>
      </c>
      <c r="B113" s="33" t="s">
        <v>1768</v>
      </c>
      <c r="C113" s="33" t="s">
        <v>1760</v>
      </c>
      <c r="D113" s="33" t="s">
        <v>2284</v>
      </c>
      <c r="E113" s="33" t="s">
        <v>2280</v>
      </c>
      <c r="F113" s="26" t="str">
        <f>HYPERLINK("https://mapwv.gov/flood/map/?wkid=102100&amp;x=-9077695.177470695&amp;y=4767032.704884033&amp;l=13&amp;v=2","FT")</f>
        <v>FT</v>
      </c>
      <c r="G113" s="34" t="s">
        <v>32</v>
      </c>
      <c r="H113" s="34" t="s">
        <v>66</v>
      </c>
      <c r="I113" s="33"/>
      <c r="J113" s="34" t="s">
        <v>39</v>
      </c>
      <c r="K113" s="34" t="s">
        <v>145</v>
      </c>
      <c r="L113" s="34" t="s">
        <v>27</v>
      </c>
      <c r="M113" s="33" t="s">
        <v>59</v>
      </c>
      <c r="N113" s="3" t="s">
        <v>42</v>
      </c>
      <c r="O113" s="34" t="s">
        <v>115</v>
      </c>
      <c r="P113" s="33" t="s">
        <v>2023</v>
      </c>
      <c r="Q113" s="33" t="s">
        <v>30</v>
      </c>
      <c r="R113" s="34" t="s">
        <v>119</v>
      </c>
      <c r="S113" s="35">
        <v>304600</v>
      </c>
      <c r="T113" s="2" t="s">
        <v>44</v>
      </c>
      <c r="U113" s="36">
        <v>1</v>
      </c>
      <c r="V113" s="36">
        <v>0</v>
      </c>
      <c r="W113" s="37">
        <v>0.15</v>
      </c>
      <c r="X113" s="38">
        <v>45690</v>
      </c>
    </row>
    <row r="114" spans="1:24" x14ac:dyDescent="0.25">
      <c r="A114" s="33" t="s">
        <v>1824</v>
      </c>
      <c r="B114" s="33" t="s">
        <v>1763</v>
      </c>
      <c r="C114" s="33" t="s">
        <v>1773</v>
      </c>
      <c r="D114" s="33" t="s">
        <v>1788</v>
      </c>
      <c r="E114" s="33" t="s">
        <v>1789</v>
      </c>
      <c r="F114" s="26" t="str">
        <f>HYPERLINK("https://mapwv.gov/flood/map/?wkid=102100&amp;x=-9078649.316752475&amp;y=4758142.056063172&amp;l=13&amp;v=2","FT")</f>
        <v>FT</v>
      </c>
      <c r="G114" s="34" t="s">
        <v>32</v>
      </c>
      <c r="H114" s="34" t="s">
        <v>25</v>
      </c>
      <c r="I114" s="33" t="s">
        <v>1923</v>
      </c>
      <c r="J114" s="34" t="s">
        <v>26</v>
      </c>
      <c r="K114" s="34" t="s">
        <v>117</v>
      </c>
      <c r="L114" s="34" t="s">
        <v>45</v>
      </c>
      <c r="M114" s="33" t="s">
        <v>52</v>
      </c>
      <c r="N114" s="3" t="s">
        <v>35</v>
      </c>
      <c r="O114" s="34" t="s">
        <v>114</v>
      </c>
      <c r="P114" s="33" t="s">
        <v>2027</v>
      </c>
      <c r="Q114" s="33" t="s">
        <v>30</v>
      </c>
      <c r="R114" s="34" t="s">
        <v>119</v>
      </c>
      <c r="S114" s="35">
        <v>304100</v>
      </c>
      <c r="T114" s="2" t="s">
        <v>44</v>
      </c>
      <c r="U114" s="36">
        <v>0</v>
      </c>
      <c r="V114" s="36">
        <v>-1</v>
      </c>
      <c r="W114" s="37">
        <v>0</v>
      </c>
      <c r="X114" s="38">
        <v>0</v>
      </c>
    </row>
    <row r="115" spans="1:24" hidden="1" x14ac:dyDescent="0.25">
      <c r="A115" s="33" t="s">
        <v>2115</v>
      </c>
      <c r="B115" s="33" t="s">
        <v>1759</v>
      </c>
      <c r="C115" s="33" t="s">
        <v>2219</v>
      </c>
      <c r="D115" s="33" t="s">
        <v>2285</v>
      </c>
      <c r="E115" s="33" t="s">
        <v>2286</v>
      </c>
      <c r="F115" s="26" t="str">
        <f>HYPERLINK("https://mapwv.gov/flood/map/?wkid=102100&amp;x=-9088623.535335183&amp;y=4753146.270630286&amp;l=13&amp;v=2","FT")</f>
        <v>FT</v>
      </c>
      <c r="G115" s="34" t="s">
        <v>38</v>
      </c>
      <c r="H115" s="34" t="s">
        <v>25</v>
      </c>
      <c r="I115" s="33" t="s">
        <v>1924</v>
      </c>
      <c r="J115" s="34" t="s">
        <v>26</v>
      </c>
      <c r="K115" s="34" t="s">
        <v>93</v>
      </c>
      <c r="L115" s="34" t="s">
        <v>45</v>
      </c>
      <c r="M115" s="33" t="s">
        <v>41</v>
      </c>
      <c r="N115" s="3" t="s">
        <v>42</v>
      </c>
      <c r="O115" s="34" t="s">
        <v>115</v>
      </c>
      <c r="P115" s="33" t="s">
        <v>2028</v>
      </c>
      <c r="Q115" s="33" t="s">
        <v>43</v>
      </c>
      <c r="R115" s="34" t="s">
        <v>120</v>
      </c>
      <c r="S115" s="35">
        <v>303700</v>
      </c>
      <c r="T115" s="2" t="s">
        <v>44</v>
      </c>
      <c r="U115" s="36">
        <v>0</v>
      </c>
      <c r="V115" s="36">
        <v>-4</v>
      </c>
      <c r="W115" s="37">
        <v>0</v>
      </c>
      <c r="X115" s="38">
        <v>0</v>
      </c>
    </row>
    <row r="116" spans="1:24" hidden="1" x14ac:dyDescent="0.25">
      <c r="A116" s="33" t="s">
        <v>2116</v>
      </c>
      <c r="B116" s="33" t="s">
        <v>1759</v>
      </c>
      <c r="C116" s="33" t="s">
        <v>2287</v>
      </c>
      <c r="D116" s="33" t="s">
        <v>2288</v>
      </c>
      <c r="E116" s="33" t="s">
        <v>2289</v>
      </c>
      <c r="F116" s="26" t="str">
        <f>HYPERLINK("https://mapwv.gov/flood/map/?wkid=102100&amp;x=-9071938.085621733&amp;y=4747309.6627134485&amp;l=13&amp;v=2","FT")</f>
        <v>FT</v>
      </c>
      <c r="G116" s="34" t="s">
        <v>38</v>
      </c>
      <c r="H116" s="34" t="s">
        <v>25</v>
      </c>
      <c r="I116" s="33" t="s">
        <v>1925</v>
      </c>
      <c r="J116" s="34" t="s">
        <v>26</v>
      </c>
      <c r="K116" s="34" t="s">
        <v>99</v>
      </c>
      <c r="L116" s="34" t="s">
        <v>45</v>
      </c>
      <c r="M116" s="33" t="s">
        <v>41</v>
      </c>
      <c r="N116" s="3" t="s">
        <v>42</v>
      </c>
      <c r="O116" s="34" t="s">
        <v>115</v>
      </c>
      <c r="P116" s="33" t="s">
        <v>2029</v>
      </c>
      <c r="Q116" s="33" t="s">
        <v>53</v>
      </c>
      <c r="R116" s="34" t="s">
        <v>120</v>
      </c>
      <c r="S116" s="35">
        <v>301600</v>
      </c>
      <c r="T116" s="2" t="s">
        <v>44</v>
      </c>
      <c r="U116" s="36">
        <v>0</v>
      </c>
      <c r="V116" s="36">
        <v>-4</v>
      </c>
      <c r="W116" s="37">
        <v>0</v>
      </c>
      <c r="X116" s="38">
        <v>0</v>
      </c>
    </row>
    <row r="118" spans="1:24" x14ac:dyDescent="0.25">
      <c r="A118" s="4" t="s">
        <v>60</v>
      </c>
      <c r="B118" s="4" t="s">
        <v>1</v>
      </c>
      <c r="C118" s="4" t="s">
        <v>61</v>
      </c>
      <c r="D118" s="4" t="s">
        <v>62</v>
      </c>
      <c r="E118" s="4" t="s">
        <v>63</v>
      </c>
    </row>
    <row r="119" spans="1:24" x14ac:dyDescent="0.25">
      <c r="A119" s="4">
        <v>540214</v>
      </c>
      <c r="B119" s="1" t="s">
        <v>2030</v>
      </c>
      <c r="C119" s="4" t="s">
        <v>1758</v>
      </c>
      <c r="D119" s="1" t="s">
        <v>64</v>
      </c>
      <c r="E119" s="4">
        <v>5</v>
      </c>
      <c r="S119" s="39" t="s">
        <v>167</v>
      </c>
    </row>
    <row r="120" spans="1:24" x14ac:dyDescent="0.25">
      <c r="A120" s="33" t="s">
        <v>2311</v>
      </c>
      <c r="B120" s="33" t="s">
        <v>1763</v>
      </c>
      <c r="C120" s="33" t="s">
        <v>1790</v>
      </c>
      <c r="D120" s="33" t="s">
        <v>2310</v>
      </c>
      <c r="E120" s="33" t="s">
        <v>2312</v>
      </c>
      <c r="F120" s="26" t="str">
        <f>HYPERLINK("https://mapwv.gov/flood/map/?wkid=102100&amp;x=-9078594.814507142&amp;y=4762043.232901076&amp;l=13&amp;v=2","FT")</f>
        <v>FT</v>
      </c>
      <c r="G120" s="34" t="s">
        <v>32</v>
      </c>
      <c r="H120" s="27" t="s">
        <v>66</v>
      </c>
      <c r="I120" s="33" t="s">
        <v>1838</v>
      </c>
      <c r="J120" s="34" t="s">
        <v>26</v>
      </c>
      <c r="K120" s="28">
        <v>9999</v>
      </c>
      <c r="L120" s="34" t="s">
        <v>58</v>
      </c>
      <c r="M120" s="33" t="s">
        <v>28</v>
      </c>
      <c r="N120" s="3" t="s">
        <v>111</v>
      </c>
      <c r="O120" s="28">
        <v>1</v>
      </c>
      <c r="P120" s="47">
        <v>100000</v>
      </c>
      <c r="Q120" s="33" t="s">
        <v>30</v>
      </c>
      <c r="R120" s="34" t="s">
        <v>119</v>
      </c>
      <c r="S120" s="35">
        <v>69000000</v>
      </c>
      <c r="T120" s="20" t="s">
        <v>29</v>
      </c>
      <c r="U120" s="36">
        <v>0.22753905999999999</v>
      </c>
      <c r="V120" s="36">
        <v>-0.7724609375</v>
      </c>
      <c r="W120" s="32">
        <v>2.2753906250000001E-3</v>
      </c>
      <c r="X120" s="38">
        <v>157001.91</v>
      </c>
    </row>
    <row r="121" spans="1:24" x14ac:dyDescent="0.25">
      <c r="A121" s="33" t="s">
        <v>1830</v>
      </c>
      <c r="B121" s="33" t="s">
        <v>1763</v>
      </c>
      <c r="C121" s="33" t="s">
        <v>212</v>
      </c>
      <c r="D121" s="33" t="s">
        <v>1800</v>
      </c>
      <c r="E121" s="33" t="s">
        <v>1801</v>
      </c>
      <c r="F121" s="26" t="s">
        <v>24</v>
      </c>
      <c r="G121" s="34" t="s">
        <v>32</v>
      </c>
      <c r="H121" s="34" t="s">
        <v>25</v>
      </c>
      <c r="I121" s="33" t="s">
        <v>1837</v>
      </c>
      <c r="J121" s="34" t="s">
        <v>26</v>
      </c>
      <c r="K121" s="34" t="s">
        <v>99</v>
      </c>
      <c r="L121" s="34" t="s">
        <v>51</v>
      </c>
      <c r="M121" s="33" t="s">
        <v>34</v>
      </c>
      <c r="N121" s="3" t="s">
        <v>113</v>
      </c>
      <c r="O121" s="34" t="s">
        <v>115</v>
      </c>
      <c r="P121" s="33" t="s">
        <v>1931</v>
      </c>
      <c r="Q121" s="33" t="s">
        <v>30</v>
      </c>
      <c r="R121" s="34" t="s">
        <v>119</v>
      </c>
      <c r="S121" s="35">
        <v>38271500</v>
      </c>
      <c r="T121" s="2" t="s">
        <v>44</v>
      </c>
      <c r="U121" s="36">
        <v>0</v>
      </c>
      <c r="V121" s="36">
        <v>-1</v>
      </c>
      <c r="W121" s="37">
        <v>0</v>
      </c>
      <c r="X121" s="38">
        <v>0</v>
      </c>
    </row>
    <row r="122" spans="1:24" x14ac:dyDescent="0.25">
      <c r="A122" s="33" t="s">
        <v>2034</v>
      </c>
      <c r="B122" s="33" t="s">
        <v>1763</v>
      </c>
      <c r="C122" s="33" t="s">
        <v>1790</v>
      </c>
      <c r="D122" s="33" t="s">
        <v>2117</v>
      </c>
      <c r="E122" s="33" t="s">
        <v>2118</v>
      </c>
      <c r="F122" s="26" t="s">
        <v>24</v>
      </c>
      <c r="G122" s="34" t="s">
        <v>82</v>
      </c>
      <c r="H122" s="34" t="s">
        <v>25</v>
      </c>
      <c r="I122" s="33" t="s">
        <v>1838</v>
      </c>
      <c r="J122" s="34" t="s">
        <v>39</v>
      </c>
      <c r="K122" s="34" t="s">
        <v>316</v>
      </c>
      <c r="L122" s="34" t="s">
        <v>45</v>
      </c>
      <c r="M122" s="33" t="s">
        <v>1485</v>
      </c>
      <c r="N122" s="3" t="s">
        <v>35</v>
      </c>
      <c r="O122" s="34" t="s">
        <v>1927</v>
      </c>
      <c r="P122" s="33" t="s">
        <v>1932</v>
      </c>
      <c r="Q122" s="33" t="s">
        <v>30</v>
      </c>
      <c r="R122" s="34" t="s">
        <v>119</v>
      </c>
      <c r="S122" s="35">
        <v>25287200</v>
      </c>
      <c r="T122" s="2" t="s">
        <v>44</v>
      </c>
      <c r="U122" s="36">
        <v>0</v>
      </c>
      <c r="V122" s="36">
        <v>-1</v>
      </c>
      <c r="W122" s="37">
        <v>0</v>
      </c>
      <c r="X122" s="38">
        <v>0</v>
      </c>
    </row>
    <row r="123" spans="1:24" x14ac:dyDescent="0.25">
      <c r="A123" s="33" t="s">
        <v>2036</v>
      </c>
      <c r="B123" s="33" t="s">
        <v>1763</v>
      </c>
      <c r="C123" s="33" t="s">
        <v>1790</v>
      </c>
      <c r="D123" s="33" t="s">
        <v>2121</v>
      </c>
      <c r="E123" s="33" t="s">
        <v>2122</v>
      </c>
      <c r="F123" s="26" t="s">
        <v>24</v>
      </c>
      <c r="G123" s="34" t="s">
        <v>82</v>
      </c>
      <c r="H123" s="34" t="s">
        <v>25</v>
      </c>
      <c r="I123" s="33" t="s">
        <v>1838</v>
      </c>
      <c r="J123" s="34" t="s">
        <v>39</v>
      </c>
      <c r="K123" s="34" t="s">
        <v>85</v>
      </c>
      <c r="L123" s="34" t="s">
        <v>49</v>
      </c>
      <c r="M123" s="33" t="s">
        <v>73</v>
      </c>
      <c r="N123" s="3" t="s">
        <v>111</v>
      </c>
      <c r="O123" s="34" t="s">
        <v>1928</v>
      </c>
      <c r="P123" s="33" t="s">
        <v>1935</v>
      </c>
      <c r="Q123" s="33" t="s">
        <v>30</v>
      </c>
      <c r="R123" s="34" t="s">
        <v>119</v>
      </c>
      <c r="S123" s="35">
        <v>4014900</v>
      </c>
      <c r="T123" s="2" t="s">
        <v>44</v>
      </c>
      <c r="U123" s="36">
        <v>0</v>
      </c>
      <c r="V123" s="36">
        <v>-1</v>
      </c>
      <c r="W123" s="37">
        <v>0</v>
      </c>
      <c r="X123" s="38">
        <v>0</v>
      </c>
    </row>
    <row r="124" spans="1:24" x14ac:dyDescent="0.25">
      <c r="A124" s="33" t="s">
        <v>1828</v>
      </c>
      <c r="B124" s="33" t="s">
        <v>1763</v>
      </c>
      <c r="C124" s="33" t="s">
        <v>1764</v>
      </c>
      <c r="D124" s="33" t="s">
        <v>1797</v>
      </c>
      <c r="E124" s="33" t="s">
        <v>1798</v>
      </c>
      <c r="F124" s="26" t="s">
        <v>24</v>
      </c>
      <c r="G124" s="34" t="s">
        <v>32</v>
      </c>
      <c r="H124" s="34" t="s">
        <v>25</v>
      </c>
      <c r="I124" s="33" t="s">
        <v>1846</v>
      </c>
      <c r="J124" s="34" t="s">
        <v>26</v>
      </c>
      <c r="K124" s="34" t="s">
        <v>125</v>
      </c>
      <c r="L124" s="34" t="s">
        <v>58</v>
      </c>
      <c r="M124" s="33" t="s">
        <v>48</v>
      </c>
      <c r="N124" s="3" t="s">
        <v>35</v>
      </c>
      <c r="O124" s="34" t="s">
        <v>115</v>
      </c>
      <c r="P124" s="33" t="s">
        <v>1942</v>
      </c>
      <c r="Q124" s="33" t="s">
        <v>30</v>
      </c>
      <c r="R124" s="34" t="s">
        <v>119</v>
      </c>
      <c r="S124" s="35">
        <v>1962000</v>
      </c>
      <c r="T124" s="2" t="s">
        <v>31</v>
      </c>
      <c r="U124" s="36">
        <v>0</v>
      </c>
      <c r="V124" s="36">
        <v>-1</v>
      </c>
      <c r="W124" s="37">
        <v>0</v>
      </c>
      <c r="X124" s="38">
        <v>0</v>
      </c>
    </row>
    <row r="125" spans="1:24" x14ac:dyDescent="0.25">
      <c r="A125" s="33" t="s">
        <v>2041</v>
      </c>
      <c r="B125" s="33" t="s">
        <v>1763</v>
      </c>
      <c r="C125" s="33" t="s">
        <v>212</v>
      </c>
      <c r="D125" s="33" t="s">
        <v>2131</v>
      </c>
      <c r="E125" s="33" t="s">
        <v>2132</v>
      </c>
      <c r="F125" s="26" t="s">
        <v>24</v>
      </c>
      <c r="G125" s="34" t="s">
        <v>82</v>
      </c>
      <c r="H125" s="34" t="s">
        <v>25</v>
      </c>
      <c r="I125" s="33" t="s">
        <v>1847</v>
      </c>
      <c r="J125" s="34" t="s">
        <v>26</v>
      </c>
      <c r="K125" s="34" t="s">
        <v>133</v>
      </c>
      <c r="L125" s="34" t="s">
        <v>58</v>
      </c>
      <c r="M125" s="33" t="s">
        <v>73</v>
      </c>
      <c r="N125" s="3" t="s">
        <v>111</v>
      </c>
      <c r="O125" s="34" t="s">
        <v>114</v>
      </c>
      <c r="P125" s="33" t="s">
        <v>1943</v>
      </c>
      <c r="Q125" s="33" t="s">
        <v>30</v>
      </c>
      <c r="R125" s="34" t="s">
        <v>119</v>
      </c>
      <c r="S125" s="35">
        <v>1790100</v>
      </c>
      <c r="T125" s="2" t="s">
        <v>44</v>
      </c>
      <c r="U125" s="36">
        <v>0</v>
      </c>
      <c r="V125" s="36">
        <v>-1</v>
      </c>
      <c r="W125" s="37">
        <v>0</v>
      </c>
      <c r="X125" s="38">
        <v>0</v>
      </c>
    </row>
    <row r="126" spans="1:24" x14ac:dyDescent="0.25">
      <c r="A126" s="33" t="s">
        <v>2044</v>
      </c>
      <c r="B126" s="33" t="s">
        <v>1763</v>
      </c>
      <c r="C126" s="33" t="s">
        <v>1764</v>
      </c>
      <c r="D126" s="33" t="s">
        <v>2137</v>
      </c>
      <c r="E126" s="33" t="s">
        <v>2138</v>
      </c>
      <c r="F126" s="26" t="s">
        <v>24</v>
      </c>
      <c r="G126" s="34" t="s">
        <v>32</v>
      </c>
      <c r="H126" s="34" t="s">
        <v>25</v>
      </c>
      <c r="I126" s="33" t="s">
        <v>1849</v>
      </c>
      <c r="J126" s="34" t="s">
        <v>26</v>
      </c>
      <c r="K126" s="34" t="s">
        <v>139</v>
      </c>
      <c r="L126" s="34" t="s">
        <v>54</v>
      </c>
      <c r="M126" s="33" t="s">
        <v>48</v>
      </c>
      <c r="N126" s="3" t="s">
        <v>35</v>
      </c>
      <c r="O126" s="34" t="s">
        <v>114</v>
      </c>
      <c r="P126" s="33" t="s">
        <v>1946</v>
      </c>
      <c r="Q126" s="33" t="s">
        <v>30</v>
      </c>
      <c r="R126" s="34" t="s">
        <v>119</v>
      </c>
      <c r="S126" s="35">
        <v>1574000</v>
      </c>
      <c r="T126" s="2" t="s">
        <v>44</v>
      </c>
      <c r="U126" s="36">
        <v>5.7191159999999996</v>
      </c>
      <c r="V126" s="36">
        <v>4.7191162109375</v>
      </c>
      <c r="W126" s="37">
        <v>0.19438232421875001</v>
      </c>
      <c r="X126" s="38">
        <v>305957.77832031198</v>
      </c>
    </row>
    <row r="127" spans="1:24" x14ac:dyDescent="0.25">
      <c r="A127" s="33" t="s">
        <v>1818</v>
      </c>
      <c r="B127" s="33" t="s">
        <v>1763</v>
      </c>
      <c r="C127" s="33" t="s">
        <v>1767</v>
      </c>
      <c r="D127" s="33" t="s">
        <v>1774</v>
      </c>
      <c r="E127" s="33" t="s">
        <v>1775</v>
      </c>
      <c r="F127" s="26" t="s">
        <v>24</v>
      </c>
      <c r="G127" s="34" t="s">
        <v>55</v>
      </c>
      <c r="H127" s="34" t="s">
        <v>25</v>
      </c>
      <c r="I127" s="33"/>
      <c r="J127" s="34" t="s">
        <v>39</v>
      </c>
      <c r="K127" s="34" t="s">
        <v>105</v>
      </c>
      <c r="L127" s="34" t="s">
        <v>51</v>
      </c>
      <c r="M127" s="33" t="s">
        <v>67</v>
      </c>
      <c r="N127" s="3" t="s">
        <v>112</v>
      </c>
      <c r="O127" s="34" t="s">
        <v>114</v>
      </c>
      <c r="P127" s="33" t="s">
        <v>1947</v>
      </c>
      <c r="Q127" s="33" t="s">
        <v>30</v>
      </c>
      <c r="R127" s="34" t="s">
        <v>119</v>
      </c>
      <c r="S127" s="35">
        <v>1232600</v>
      </c>
      <c r="T127" s="2" t="s">
        <v>44</v>
      </c>
      <c r="U127" s="36">
        <v>0.88580320000000001</v>
      </c>
      <c r="V127" s="36">
        <v>-0.11419677734375</v>
      </c>
      <c r="W127" s="37">
        <v>0</v>
      </c>
      <c r="X127" s="38">
        <v>0</v>
      </c>
    </row>
    <row r="128" spans="1:24" x14ac:dyDescent="0.25">
      <c r="A128" s="33" t="s">
        <v>1831</v>
      </c>
      <c r="B128" s="33" t="s">
        <v>1763</v>
      </c>
      <c r="C128" s="33" t="s">
        <v>212</v>
      </c>
      <c r="D128" s="33" t="s">
        <v>1802</v>
      </c>
      <c r="E128" s="33" t="s">
        <v>1803</v>
      </c>
      <c r="F128" s="26" t="s">
        <v>24</v>
      </c>
      <c r="G128" s="34" t="s">
        <v>32</v>
      </c>
      <c r="H128" s="34" t="s">
        <v>25</v>
      </c>
      <c r="I128" s="33" t="s">
        <v>1854</v>
      </c>
      <c r="J128" s="34" t="s">
        <v>26</v>
      </c>
      <c r="K128" s="34" t="s">
        <v>136</v>
      </c>
      <c r="L128" s="34" t="s">
        <v>51</v>
      </c>
      <c r="M128" s="33" t="s">
        <v>52</v>
      </c>
      <c r="N128" s="3" t="s">
        <v>35</v>
      </c>
      <c r="O128" s="34" t="s">
        <v>114</v>
      </c>
      <c r="P128" s="33" t="s">
        <v>1953</v>
      </c>
      <c r="Q128" s="33" t="s">
        <v>30</v>
      </c>
      <c r="R128" s="34" t="s">
        <v>119</v>
      </c>
      <c r="S128" s="35">
        <v>971900</v>
      </c>
      <c r="T128" s="2" t="s">
        <v>44</v>
      </c>
      <c r="U128" s="36">
        <v>0</v>
      </c>
      <c r="V128" s="36">
        <v>-1</v>
      </c>
      <c r="W128" s="37">
        <v>0</v>
      </c>
      <c r="X128" s="38">
        <v>0</v>
      </c>
    </row>
    <row r="129" spans="1:24" x14ac:dyDescent="0.25">
      <c r="A129" s="33" t="s">
        <v>1823</v>
      </c>
      <c r="B129" s="33" t="s">
        <v>1763</v>
      </c>
      <c r="C129" s="33" t="s">
        <v>212</v>
      </c>
      <c r="D129" s="33" t="s">
        <v>1786</v>
      </c>
      <c r="E129" s="33" t="s">
        <v>1787</v>
      </c>
      <c r="F129" s="26" t="s">
        <v>24</v>
      </c>
      <c r="G129" s="34" t="s">
        <v>32</v>
      </c>
      <c r="H129" s="34" t="s">
        <v>25</v>
      </c>
      <c r="I129" s="33" t="s">
        <v>1856</v>
      </c>
      <c r="J129" s="34" t="s">
        <v>26</v>
      </c>
      <c r="K129" s="34" t="s">
        <v>142</v>
      </c>
      <c r="L129" s="34" t="s">
        <v>50</v>
      </c>
      <c r="M129" s="33" t="s">
        <v>52</v>
      </c>
      <c r="N129" s="3" t="s">
        <v>35</v>
      </c>
      <c r="O129" s="34" t="s">
        <v>115</v>
      </c>
      <c r="P129" s="33" t="s">
        <v>1955</v>
      </c>
      <c r="Q129" s="33" t="s">
        <v>30</v>
      </c>
      <c r="R129" s="34" t="s">
        <v>119</v>
      </c>
      <c r="S129" s="35">
        <v>922900</v>
      </c>
      <c r="T129" s="2" t="s">
        <v>44</v>
      </c>
      <c r="U129" s="36">
        <v>10.607605</v>
      </c>
      <c r="V129" s="36">
        <v>9.60760498046875</v>
      </c>
      <c r="W129" s="37">
        <v>0.27822814941406199</v>
      </c>
      <c r="X129" s="38">
        <v>256776.75909423799</v>
      </c>
    </row>
    <row r="130" spans="1:24" x14ac:dyDescent="0.25">
      <c r="A130" s="33" t="s">
        <v>2055</v>
      </c>
      <c r="B130" s="33" t="s">
        <v>1763</v>
      </c>
      <c r="C130" s="33" t="s">
        <v>1760</v>
      </c>
      <c r="D130" s="33" t="s">
        <v>2161</v>
      </c>
      <c r="E130" s="33" t="s">
        <v>2162</v>
      </c>
      <c r="F130" s="26" t="s">
        <v>24</v>
      </c>
      <c r="G130" s="34" t="s">
        <v>32</v>
      </c>
      <c r="H130" s="34" t="s">
        <v>25</v>
      </c>
      <c r="I130" s="33" t="s">
        <v>1860</v>
      </c>
      <c r="J130" s="34" t="s">
        <v>39</v>
      </c>
      <c r="K130" s="34" t="s">
        <v>103</v>
      </c>
      <c r="L130" s="34" t="s">
        <v>50</v>
      </c>
      <c r="M130" s="33" t="s">
        <v>48</v>
      </c>
      <c r="N130" s="3" t="s">
        <v>35</v>
      </c>
      <c r="O130" s="34" t="s">
        <v>114</v>
      </c>
      <c r="P130" s="33" t="s">
        <v>1961</v>
      </c>
      <c r="Q130" s="33" t="s">
        <v>30</v>
      </c>
      <c r="R130" s="34" t="s">
        <v>119</v>
      </c>
      <c r="S130" s="35">
        <v>690200</v>
      </c>
      <c r="T130" s="2" t="s">
        <v>44</v>
      </c>
      <c r="U130" s="36">
        <v>4.4210205</v>
      </c>
      <c r="V130" s="36">
        <v>3.4210205078125</v>
      </c>
      <c r="W130" s="37">
        <v>0.16842041015625001</v>
      </c>
      <c r="X130" s="38">
        <v>116243.76708984299</v>
      </c>
    </row>
    <row r="131" spans="1:24" x14ac:dyDescent="0.25">
      <c r="A131" s="33" t="s">
        <v>2060</v>
      </c>
      <c r="B131" s="33" t="s">
        <v>1763</v>
      </c>
      <c r="C131" s="33" t="s">
        <v>1760</v>
      </c>
      <c r="D131" s="33" t="s">
        <v>2171</v>
      </c>
      <c r="E131" s="33" t="s">
        <v>2172</v>
      </c>
      <c r="F131" s="26" t="s">
        <v>24</v>
      </c>
      <c r="G131" s="34" t="s">
        <v>32</v>
      </c>
      <c r="H131" s="34" t="s">
        <v>25</v>
      </c>
      <c r="I131" s="33" t="s">
        <v>1864</v>
      </c>
      <c r="J131" s="34" t="s">
        <v>39</v>
      </c>
      <c r="K131" s="34" t="s">
        <v>123</v>
      </c>
      <c r="L131" s="34" t="s">
        <v>37</v>
      </c>
      <c r="M131" s="33" t="s">
        <v>48</v>
      </c>
      <c r="N131" s="3" t="s">
        <v>35</v>
      </c>
      <c r="O131" s="34" t="s">
        <v>114</v>
      </c>
      <c r="P131" s="33" t="s">
        <v>1966</v>
      </c>
      <c r="Q131" s="33" t="s">
        <v>30</v>
      </c>
      <c r="R131" s="34" t="s">
        <v>119</v>
      </c>
      <c r="S131" s="35">
        <v>639000</v>
      </c>
      <c r="T131" s="2" t="s">
        <v>31</v>
      </c>
      <c r="U131" s="36">
        <v>4.9131470000000004</v>
      </c>
      <c r="V131" s="36">
        <v>3.91314697265625</v>
      </c>
      <c r="W131" s="37">
        <v>0.17826293945312499</v>
      </c>
      <c r="X131" s="38">
        <v>113910.018310546</v>
      </c>
    </row>
    <row r="132" spans="1:24" x14ac:dyDescent="0.25">
      <c r="A132" s="33" t="s">
        <v>2062</v>
      </c>
      <c r="B132" s="33" t="s">
        <v>1763</v>
      </c>
      <c r="C132" s="33" t="s">
        <v>1760</v>
      </c>
      <c r="D132" s="33" t="s">
        <v>2176</v>
      </c>
      <c r="E132" s="33" t="s">
        <v>2177</v>
      </c>
      <c r="F132" s="26" t="s">
        <v>24</v>
      </c>
      <c r="G132" s="34" t="s">
        <v>32</v>
      </c>
      <c r="H132" s="34" t="s">
        <v>25</v>
      </c>
      <c r="I132" s="33" t="s">
        <v>1866</v>
      </c>
      <c r="J132" s="34" t="s">
        <v>39</v>
      </c>
      <c r="K132" s="34" t="s">
        <v>90</v>
      </c>
      <c r="L132" s="34" t="s">
        <v>51</v>
      </c>
      <c r="M132" s="33" t="s">
        <v>52</v>
      </c>
      <c r="N132" s="3" t="s">
        <v>35</v>
      </c>
      <c r="O132" s="34" t="s">
        <v>114</v>
      </c>
      <c r="P132" s="33" t="s">
        <v>1968</v>
      </c>
      <c r="Q132" s="33" t="s">
        <v>30</v>
      </c>
      <c r="R132" s="34" t="s">
        <v>119</v>
      </c>
      <c r="S132" s="35">
        <v>618600</v>
      </c>
      <c r="T132" s="2" t="s">
        <v>44</v>
      </c>
      <c r="U132" s="36">
        <v>2.3212890000000002</v>
      </c>
      <c r="V132" s="36">
        <v>1.3212890625</v>
      </c>
      <c r="W132" s="37">
        <v>9.6425781249999995E-2</v>
      </c>
      <c r="X132" s="38">
        <v>59648.98828125</v>
      </c>
    </row>
    <row r="133" spans="1:24" x14ac:dyDescent="0.25">
      <c r="A133" s="33" t="s">
        <v>2065</v>
      </c>
      <c r="B133" s="33" t="s">
        <v>1763</v>
      </c>
      <c r="C133" s="33" t="s">
        <v>1760</v>
      </c>
      <c r="D133" s="33" t="s">
        <v>2183</v>
      </c>
      <c r="E133" s="33" t="s">
        <v>2184</v>
      </c>
      <c r="F133" s="26" t="s">
        <v>24</v>
      </c>
      <c r="G133" s="34" t="s">
        <v>32</v>
      </c>
      <c r="H133" s="34" t="s">
        <v>25</v>
      </c>
      <c r="I133" s="33" t="s">
        <v>1864</v>
      </c>
      <c r="J133" s="34" t="s">
        <v>39</v>
      </c>
      <c r="K133" s="34" t="s">
        <v>123</v>
      </c>
      <c r="L133" s="34" t="s">
        <v>27</v>
      </c>
      <c r="M133" s="33" t="s">
        <v>52</v>
      </c>
      <c r="N133" s="3" t="s">
        <v>35</v>
      </c>
      <c r="O133" s="34" t="s">
        <v>114</v>
      </c>
      <c r="P133" s="33" t="s">
        <v>1971</v>
      </c>
      <c r="Q133" s="33" t="s">
        <v>30</v>
      </c>
      <c r="R133" s="34" t="s">
        <v>119</v>
      </c>
      <c r="S133" s="35">
        <v>605200</v>
      </c>
      <c r="T133" s="2" t="s">
        <v>44</v>
      </c>
      <c r="U133" s="36">
        <v>4.5194089999999996</v>
      </c>
      <c r="V133" s="36">
        <v>3.5194091796875</v>
      </c>
      <c r="W133" s="37">
        <v>0.13038818359375001</v>
      </c>
      <c r="X133" s="38">
        <v>78910.9287109375</v>
      </c>
    </row>
    <row r="134" spans="1:24" x14ac:dyDescent="0.25">
      <c r="A134" s="33" t="s">
        <v>1825</v>
      </c>
      <c r="B134" s="33" t="s">
        <v>1763</v>
      </c>
      <c r="C134" s="33" t="s">
        <v>1790</v>
      </c>
      <c r="D134" s="33" t="s">
        <v>1791</v>
      </c>
      <c r="E134" s="33" t="s">
        <v>1792</v>
      </c>
      <c r="F134" s="26" t="s">
        <v>24</v>
      </c>
      <c r="G134" s="34" t="s">
        <v>32</v>
      </c>
      <c r="H134" s="34" t="s">
        <v>25</v>
      </c>
      <c r="I134" s="33" t="s">
        <v>1870</v>
      </c>
      <c r="J134" s="34" t="s">
        <v>39</v>
      </c>
      <c r="K134" s="34" t="s">
        <v>137</v>
      </c>
      <c r="L134" s="34" t="s">
        <v>27</v>
      </c>
      <c r="M134" s="33" t="s">
        <v>72</v>
      </c>
      <c r="N134" s="3" t="s">
        <v>35</v>
      </c>
      <c r="O134" s="34" t="s">
        <v>114</v>
      </c>
      <c r="P134" s="33" t="s">
        <v>1973</v>
      </c>
      <c r="Q134" s="33" t="s">
        <v>30</v>
      </c>
      <c r="R134" s="34" t="s">
        <v>119</v>
      </c>
      <c r="S134" s="35">
        <v>591400</v>
      </c>
      <c r="T134" s="2" t="s">
        <v>44</v>
      </c>
      <c r="U134" s="36">
        <v>0</v>
      </c>
      <c r="V134" s="36">
        <v>-1</v>
      </c>
      <c r="W134" s="37">
        <v>0</v>
      </c>
      <c r="X134" s="38">
        <v>0</v>
      </c>
    </row>
    <row r="135" spans="1:24" x14ac:dyDescent="0.25">
      <c r="A135" s="33" t="s">
        <v>2078</v>
      </c>
      <c r="B135" s="33" t="s">
        <v>1763</v>
      </c>
      <c r="C135" s="33" t="s">
        <v>212</v>
      </c>
      <c r="D135" s="33" t="s">
        <v>2209</v>
      </c>
      <c r="E135" s="33" t="s">
        <v>2210</v>
      </c>
      <c r="F135" s="26" t="s">
        <v>24</v>
      </c>
      <c r="G135" s="34" t="s">
        <v>32</v>
      </c>
      <c r="H135" s="34" t="s">
        <v>25</v>
      </c>
      <c r="I135" s="33" t="s">
        <v>1881</v>
      </c>
      <c r="J135" s="34" t="s">
        <v>26</v>
      </c>
      <c r="K135" s="34" t="s">
        <v>140</v>
      </c>
      <c r="L135" s="34" t="s">
        <v>49</v>
      </c>
      <c r="M135" s="33" t="s">
        <v>41</v>
      </c>
      <c r="N135" s="3" t="s">
        <v>42</v>
      </c>
      <c r="O135" s="34" t="s">
        <v>115</v>
      </c>
      <c r="P135" s="33" t="s">
        <v>1982</v>
      </c>
      <c r="Q135" s="33" t="s">
        <v>53</v>
      </c>
      <c r="R135" s="34" t="s">
        <v>120</v>
      </c>
      <c r="S135" s="35">
        <v>505700</v>
      </c>
      <c r="T135" s="2" t="s">
        <v>44</v>
      </c>
      <c r="U135" s="36">
        <v>6.4081419999999998</v>
      </c>
      <c r="V135" s="36">
        <v>2.40814208984375</v>
      </c>
      <c r="W135" s="37">
        <v>0.15632568359374902</v>
      </c>
      <c r="X135" s="38">
        <v>79053.898193359302</v>
      </c>
    </row>
    <row r="136" spans="1:24" x14ac:dyDescent="0.25">
      <c r="A136" s="33" t="s">
        <v>2082</v>
      </c>
      <c r="B136" s="33" t="s">
        <v>1763</v>
      </c>
      <c r="C136" s="33" t="s">
        <v>1790</v>
      </c>
      <c r="D136" s="33" t="s">
        <v>2217</v>
      </c>
      <c r="E136" s="33" t="s">
        <v>2218</v>
      </c>
      <c r="F136" s="26" t="s">
        <v>24</v>
      </c>
      <c r="G136" s="34" t="s">
        <v>38</v>
      </c>
      <c r="H136" s="34" t="s">
        <v>25</v>
      </c>
      <c r="I136" s="33" t="s">
        <v>1885</v>
      </c>
      <c r="J136" s="34" t="s">
        <v>26</v>
      </c>
      <c r="K136" s="34" t="s">
        <v>84</v>
      </c>
      <c r="L136" s="34" t="s">
        <v>51</v>
      </c>
      <c r="M136" s="33" t="s">
        <v>48</v>
      </c>
      <c r="N136" s="3" t="s">
        <v>35</v>
      </c>
      <c r="O136" s="34" t="s">
        <v>115</v>
      </c>
      <c r="P136" s="33" t="s">
        <v>1986</v>
      </c>
      <c r="Q136" s="33" t="s">
        <v>30</v>
      </c>
      <c r="R136" s="34" t="s">
        <v>119</v>
      </c>
      <c r="S136" s="35">
        <v>479500</v>
      </c>
      <c r="T136" s="2" t="s">
        <v>44</v>
      </c>
      <c r="U136" s="36">
        <v>0</v>
      </c>
      <c r="V136" s="36">
        <v>-1</v>
      </c>
      <c r="W136" s="37">
        <v>0</v>
      </c>
      <c r="X136" s="38">
        <v>0</v>
      </c>
    </row>
    <row r="137" spans="1:24" x14ac:dyDescent="0.25">
      <c r="A137" s="33" t="s">
        <v>1815</v>
      </c>
      <c r="B137" s="33" t="s">
        <v>1763</v>
      </c>
      <c r="C137" s="33" t="s">
        <v>1764</v>
      </c>
      <c r="D137" s="33" t="s">
        <v>1765</v>
      </c>
      <c r="E137" s="33" t="s">
        <v>1766</v>
      </c>
      <c r="F137" s="26" t="s">
        <v>24</v>
      </c>
      <c r="G137" s="34" t="s">
        <v>55</v>
      </c>
      <c r="H137" s="34" t="s">
        <v>25</v>
      </c>
      <c r="I137" s="33" t="s">
        <v>1886</v>
      </c>
      <c r="J137" s="34" t="s">
        <v>39</v>
      </c>
      <c r="K137" s="34" t="s">
        <v>964</v>
      </c>
      <c r="L137" s="34" t="s">
        <v>54</v>
      </c>
      <c r="M137" s="33" t="s">
        <v>72</v>
      </c>
      <c r="N137" s="3" t="s">
        <v>35</v>
      </c>
      <c r="O137" s="34" t="s">
        <v>115</v>
      </c>
      <c r="P137" s="33" t="s">
        <v>1987</v>
      </c>
      <c r="Q137" s="33" t="s">
        <v>30</v>
      </c>
      <c r="R137" s="34" t="s">
        <v>119</v>
      </c>
      <c r="S137" s="35">
        <v>469000</v>
      </c>
      <c r="T137" s="2" t="s">
        <v>44</v>
      </c>
      <c r="U137" s="36">
        <v>1.2244263</v>
      </c>
      <c r="V137" s="36">
        <v>0.22442626953125</v>
      </c>
      <c r="W137" s="37">
        <v>1.12213134765625E-2</v>
      </c>
      <c r="X137" s="38">
        <v>5262.7960205078098</v>
      </c>
    </row>
    <row r="138" spans="1:24" x14ac:dyDescent="0.25">
      <c r="A138" s="33" t="s">
        <v>1826</v>
      </c>
      <c r="B138" s="33" t="s">
        <v>1763</v>
      </c>
      <c r="C138" s="33" t="s">
        <v>1790</v>
      </c>
      <c r="D138" s="33" t="s">
        <v>1793</v>
      </c>
      <c r="E138" s="33" t="s">
        <v>1794</v>
      </c>
      <c r="F138" s="26" t="s">
        <v>24</v>
      </c>
      <c r="G138" s="34" t="s">
        <v>32</v>
      </c>
      <c r="H138" s="34" t="s">
        <v>25</v>
      </c>
      <c r="I138" s="33" t="s">
        <v>1889</v>
      </c>
      <c r="J138" s="34" t="s">
        <v>26</v>
      </c>
      <c r="K138" s="34" t="s">
        <v>128</v>
      </c>
      <c r="L138" s="34" t="s">
        <v>27</v>
      </c>
      <c r="M138" s="33" t="s">
        <v>57</v>
      </c>
      <c r="N138" s="3" t="s">
        <v>35</v>
      </c>
      <c r="O138" s="34" t="s">
        <v>114</v>
      </c>
      <c r="P138" s="33" t="s">
        <v>1990</v>
      </c>
      <c r="Q138" s="33" t="s">
        <v>30</v>
      </c>
      <c r="R138" s="34" t="s">
        <v>119</v>
      </c>
      <c r="S138" s="35">
        <v>459100</v>
      </c>
      <c r="T138" s="2" t="s">
        <v>44</v>
      </c>
      <c r="U138" s="36">
        <v>0</v>
      </c>
      <c r="V138" s="36">
        <v>-1</v>
      </c>
      <c r="W138" s="37">
        <v>0</v>
      </c>
      <c r="X138" s="38">
        <v>0</v>
      </c>
    </row>
    <row r="139" spans="1:24" x14ac:dyDescent="0.25">
      <c r="A139" s="33" t="s">
        <v>1829</v>
      </c>
      <c r="B139" s="33" t="s">
        <v>1763</v>
      </c>
      <c r="C139" s="33" t="s">
        <v>1764</v>
      </c>
      <c r="D139" s="33" t="s">
        <v>1797</v>
      </c>
      <c r="E139" s="33" t="s">
        <v>1799</v>
      </c>
      <c r="F139" s="26" t="s">
        <v>24</v>
      </c>
      <c r="G139" s="34" t="s">
        <v>32</v>
      </c>
      <c r="H139" s="34" t="s">
        <v>25</v>
      </c>
      <c r="I139" s="33" t="s">
        <v>1846</v>
      </c>
      <c r="J139" s="34" t="s">
        <v>39</v>
      </c>
      <c r="K139" s="34" t="s">
        <v>103</v>
      </c>
      <c r="L139" s="34" t="s">
        <v>58</v>
      </c>
      <c r="M139" s="33" t="s">
        <v>48</v>
      </c>
      <c r="N139" s="3" t="s">
        <v>35</v>
      </c>
      <c r="O139" s="34" t="s">
        <v>115</v>
      </c>
      <c r="P139" s="33" t="s">
        <v>1992</v>
      </c>
      <c r="Q139" s="33" t="s">
        <v>30</v>
      </c>
      <c r="R139" s="34" t="s">
        <v>119</v>
      </c>
      <c r="S139" s="35">
        <v>446200</v>
      </c>
      <c r="T139" s="2" t="s">
        <v>31</v>
      </c>
      <c r="U139" s="36">
        <v>0</v>
      </c>
      <c r="V139" s="36">
        <v>-1</v>
      </c>
      <c r="W139" s="37">
        <v>0</v>
      </c>
      <c r="X139" s="38">
        <v>0</v>
      </c>
    </row>
    <row r="140" spans="1:24" x14ac:dyDescent="0.25">
      <c r="A140" s="33" t="s">
        <v>2085</v>
      </c>
      <c r="B140" s="33" t="s">
        <v>1763</v>
      </c>
      <c r="C140" s="33" t="s">
        <v>1790</v>
      </c>
      <c r="D140" s="33" t="s">
        <v>2224</v>
      </c>
      <c r="E140" s="33" t="s">
        <v>2225</v>
      </c>
      <c r="F140" s="26" t="s">
        <v>24</v>
      </c>
      <c r="G140" s="34" t="s">
        <v>38</v>
      </c>
      <c r="H140" s="34" t="s">
        <v>25</v>
      </c>
      <c r="I140" s="33" t="s">
        <v>1891</v>
      </c>
      <c r="J140" s="34" t="s">
        <v>39</v>
      </c>
      <c r="K140" s="34" t="s">
        <v>129</v>
      </c>
      <c r="L140" s="34" t="s">
        <v>50</v>
      </c>
      <c r="M140" s="33" t="s">
        <v>48</v>
      </c>
      <c r="N140" s="3" t="s">
        <v>35</v>
      </c>
      <c r="O140" s="34" t="s">
        <v>114</v>
      </c>
      <c r="P140" s="33" t="s">
        <v>1993</v>
      </c>
      <c r="Q140" s="33" t="s">
        <v>30</v>
      </c>
      <c r="R140" s="34" t="s">
        <v>119</v>
      </c>
      <c r="S140" s="35">
        <v>439800</v>
      </c>
      <c r="T140" s="2" t="s">
        <v>31</v>
      </c>
      <c r="U140" s="36">
        <v>0</v>
      </c>
      <c r="V140" s="36">
        <v>-1</v>
      </c>
      <c r="W140" s="37">
        <v>0</v>
      </c>
      <c r="X140" s="38">
        <v>0</v>
      </c>
    </row>
    <row r="141" spans="1:24" x14ac:dyDescent="0.25">
      <c r="A141" s="33" t="s">
        <v>2086</v>
      </c>
      <c r="B141" s="33" t="s">
        <v>1763</v>
      </c>
      <c r="C141" s="33" t="s">
        <v>1790</v>
      </c>
      <c r="D141" s="33" t="s">
        <v>2226</v>
      </c>
      <c r="E141" s="33" t="s">
        <v>2227</v>
      </c>
      <c r="F141" s="26" t="s">
        <v>24</v>
      </c>
      <c r="G141" s="34" t="s">
        <v>32</v>
      </c>
      <c r="H141" s="34" t="s">
        <v>25</v>
      </c>
      <c r="I141" s="33" t="s">
        <v>1892</v>
      </c>
      <c r="J141" s="34" t="s">
        <v>39</v>
      </c>
      <c r="K141" s="34" t="s">
        <v>717</v>
      </c>
      <c r="L141" s="34" t="s">
        <v>37</v>
      </c>
      <c r="M141" s="33" t="s">
        <v>72</v>
      </c>
      <c r="N141" s="3" t="s">
        <v>35</v>
      </c>
      <c r="O141" s="34" t="s">
        <v>114</v>
      </c>
      <c r="P141" s="33" t="s">
        <v>1994</v>
      </c>
      <c r="Q141" s="33" t="s">
        <v>30</v>
      </c>
      <c r="R141" s="34" t="s">
        <v>119</v>
      </c>
      <c r="S141" s="35">
        <v>433200</v>
      </c>
      <c r="T141" s="2" t="s">
        <v>44</v>
      </c>
      <c r="U141" s="36">
        <v>1.9007567999999999</v>
      </c>
      <c r="V141" s="36">
        <v>0.9007568359375</v>
      </c>
      <c r="W141" s="37">
        <v>4.5037841796874999E-2</v>
      </c>
      <c r="X141" s="38">
        <v>19510.393066406199</v>
      </c>
    </row>
    <row r="142" spans="1:24" x14ac:dyDescent="0.25">
      <c r="A142" s="33" t="s">
        <v>1827</v>
      </c>
      <c r="B142" s="33" t="s">
        <v>1763</v>
      </c>
      <c r="C142" s="33" t="s">
        <v>1764</v>
      </c>
      <c r="D142" s="33" t="s">
        <v>1795</v>
      </c>
      <c r="E142" s="33" t="s">
        <v>1796</v>
      </c>
      <c r="F142" s="26" t="s">
        <v>24</v>
      </c>
      <c r="G142" s="34" t="s">
        <v>32</v>
      </c>
      <c r="H142" s="34" t="s">
        <v>25</v>
      </c>
      <c r="I142" s="33" t="s">
        <v>1895</v>
      </c>
      <c r="J142" s="34" t="s">
        <v>26</v>
      </c>
      <c r="K142" s="34" t="s">
        <v>970</v>
      </c>
      <c r="L142" s="34" t="s">
        <v>58</v>
      </c>
      <c r="M142" s="33" t="s">
        <v>48</v>
      </c>
      <c r="N142" s="3" t="s">
        <v>35</v>
      </c>
      <c r="O142" s="34" t="s">
        <v>114</v>
      </c>
      <c r="P142" s="33" t="s">
        <v>1997</v>
      </c>
      <c r="Q142" s="33" t="s">
        <v>30</v>
      </c>
      <c r="R142" s="34" t="s">
        <v>119</v>
      </c>
      <c r="S142" s="35">
        <v>421400</v>
      </c>
      <c r="T142" s="2" t="s">
        <v>44</v>
      </c>
      <c r="U142" s="36">
        <v>0</v>
      </c>
      <c r="V142" s="36">
        <v>-1</v>
      </c>
      <c r="W142" s="37">
        <v>0</v>
      </c>
      <c r="X142" s="38">
        <v>0</v>
      </c>
    </row>
    <row r="143" spans="1:24" x14ac:dyDescent="0.25">
      <c r="A143" s="33" t="s">
        <v>2096</v>
      </c>
      <c r="B143" s="33" t="s">
        <v>1763</v>
      </c>
      <c r="C143" s="33" t="s">
        <v>1790</v>
      </c>
      <c r="D143" s="33" t="s">
        <v>2246</v>
      </c>
      <c r="E143" s="33" t="s">
        <v>2247</v>
      </c>
      <c r="F143" s="26" t="s">
        <v>24</v>
      </c>
      <c r="G143" s="34" t="s">
        <v>32</v>
      </c>
      <c r="H143" s="34" t="s">
        <v>25</v>
      </c>
      <c r="I143" s="33" t="s">
        <v>1904</v>
      </c>
      <c r="J143" s="34" t="s">
        <v>26</v>
      </c>
      <c r="K143" s="34" t="s">
        <v>127</v>
      </c>
      <c r="L143" s="34" t="s">
        <v>58</v>
      </c>
      <c r="M143" s="33" t="s">
        <v>72</v>
      </c>
      <c r="N143" s="3" t="s">
        <v>35</v>
      </c>
      <c r="O143" s="34" t="s">
        <v>114</v>
      </c>
      <c r="P143" s="33" t="s">
        <v>2007</v>
      </c>
      <c r="Q143" s="33" t="s">
        <v>30</v>
      </c>
      <c r="R143" s="34" t="s">
        <v>119</v>
      </c>
      <c r="S143" s="35">
        <v>372100</v>
      </c>
      <c r="T143" s="2" t="s">
        <v>44</v>
      </c>
      <c r="U143" s="36">
        <v>1.0150146</v>
      </c>
      <c r="V143" s="36">
        <v>1.50146484375E-2</v>
      </c>
      <c r="W143" s="37">
        <v>7.5073242187500004E-4</v>
      </c>
      <c r="X143" s="38">
        <v>279.34753417968699</v>
      </c>
    </row>
    <row r="144" spans="1:24" x14ac:dyDescent="0.25">
      <c r="A144" s="33" t="s">
        <v>2100</v>
      </c>
      <c r="B144" s="33" t="s">
        <v>1763</v>
      </c>
      <c r="C144" s="33" t="s">
        <v>1764</v>
      </c>
      <c r="D144" s="33" t="s">
        <v>2255</v>
      </c>
      <c r="E144" s="33" t="s">
        <v>2256</v>
      </c>
      <c r="F144" s="26" t="s">
        <v>24</v>
      </c>
      <c r="G144" s="34" t="s">
        <v>32</v>
      </c>
      <c r="H144" s="34" t="s">
        <v>25</v>
      </c>
      <c r="I144" s="33" t="s">
        <v>1909</v>
      </c>
      <c r="J144" s="34" t="s">
        <v>26</v>
      </c>
      <c r="K144" s="34" t="s">
        <v>160</v>
      </c>
      <c r="L144" s="34" t="s">
        <v>27</v>
      </c>
      <c r="M144" s="33" t="s">
        <v>59</v>
      </c>
      <c r="N144" s="3" t="s">
        <v>42</v>
      </c>
      <c r="O144" s="34" t="s">
        <v>115</v>
      </c>
      <c r="P144" s="33" t="s">
        <v>1988</v>
      </c>
      <c r="Q144" s="33" t="s">
        <v>30</v>
      </c>
      <c r="R144" s="34" t="s">
        <v>119</v>
      </c>
      <c r="S144" s="35">
        <v>335000</v>
      </c>
      <c r="T144" s="2" t="s">
        <v>31</v>
      </c>
      <c r="U144" s="36">
        <v>0.60101320000000003</v>
      </c>
      <c r="V144" s="36">
        <v>-0.39898681640625</v>
      </c>
      <c r="W144" s="37">
        <v>9.0151977539062497E-2</v>
      </c>
      <c r="X144" s="38">
        <v>30200.912475585901</v>
      </c>
    </row>
    <row r="145" spans="1:24" x14ac:dyDescent="0.25">
      <c r="A145" s="33" t="s">
        <v>2101</v>
      </c>
      <c r="B145" s="33" t="s">
        <v>1763</v>
      </c>
      <c r="C145" s="33" t="s">
        <v>212</v>
      </c>
      <c r="D145" s="33" t="s">
        <v>2257</v>
      </c>
      <c r="E145" s="33" t="s">
        <v>2258</v>
      </c>
      <c r="F145" s="26" t="s">
        <v>24</v>
      </c>
      <c r="G145" s="34" t="s">
        <v>32</v>
      </c>
      <c r="H145" s="34" t="s">
        <v>25</v>
      </c>
      <c r="I145" s="33" t="s">
        <v>1911</v>
      </c>
      <c r="J145" s="34" t="s">
        <v>26</v>
      </c>
      <c r="K145" s="34" t="s">
        <v>126</v>
      </c>
      <c r="L145" s="34" t="s">
        <v>45</v>
      </c>
      <c r="M145" s="33" t="s">
        <v>41</v>
      </c>
      <c r="N145" s="3" t="s">
        <v>42</v>
      </c>
      <c r="O145" s="34" t="s">
        <v>114</v>
      </c>
      <c r="P145" s="33" t="s">
        <v>2014</v>
      </c>
      <c r="Q145" s="33" t="s">
        <v>53</v>
      </c>
      <c r="R145" s="34" t="s">
        <v>120</v>
      </c>
      <c r="S145" s="35">
        <v>326700</v>
      </c>
      <c r="T145" s="2" t="s">
        <v>44</v>
      </c>
      <c r="U145" s="36">
        <v>7.1299440000000001</v>
      </c>
      <c r="V145" s="36">
        <v>3.12994384765625</v>
      </c>
      <c r="W145" s="37">
        <v>0.40909606933593701</v>
      </c>
      <c r="X145" s="38">
        <v>133651.68585205</v>
      </c>
    </row>
    <row r="146" spans="1:24" x14ac:dyDescent="0.25">
      <c r="A146" s="33" t="s">
        <v>2113</v>
      </c>
      <c r="B146" s="33" t="s">
        <v>1763</v>
      </c>
      <c r="C146" s="33" t="s">
        <v>1773</v>
      </c>
      <c r="D146" s="33" t="s">
        <v>2282</v>
      </c>
      <c r="E146" s="33" t="s">
        <v>2283</v>
      </c>
      <c r="F146" s="26" t="s">
        <v>24</v>
      </c>
      <c r="G146" s="34" t="s">
        <v>32</v>
      </c>
      <c r="H146" s="34" t="s">
        <v>25</v>
      </c>
      <c r="I146" s="33" t="s">
        <v>1922</v>
      </c>
      <c r="J146" s="34" t="s">
        <v>26</v>
      </c>
      <c r="K146" s="34" t="s">
        <v>94</v>
      </c>
      <c r="L146" s="34" t="s">
        <v>27</v>
      </c>
      <c r="M146" s="33" t="s">
        <v>48</v>
      </c>
      <c r="N146" s="3" t="s">
        <v>35</v>
      </c>
      <c r="O146" s="34" t="s">
        <v>114</v>
      </c>
      <c r="P146" s="33" t="s">
        <v>2026</v>
      </c>
      <c r="Q146" s="33" t="s">
        <v>30</v>
      </c>
      <c r="R146" s="34" t="s">
        <v>119</v>
      </c>
      <c r="S146" s="35">
        <v>306700</v>
      </c>
      <c r="T146" s="2" t="s">
        <v>44</v>
      </c>
      <c r="U146" s="36">
        <v>1.0275879000000001</v>
      </c>
      <c r="V146" s="36">
        <v>2.7587890625E-2</v>
      </c>
      <c r="W146" s="37">
        <v>1.220703125E-2</v>
      </c>
      <c r="X146" s="38">
        <v>3743.896484375</v>
      </c>
    </row>
    <row r="147" spans="1:24" x14ac:dyDescent="0.25">
      <c r="A147" s="33" t="s">
        <v>1824</v>
      </c>
      <c r="B147" s="33" t="s">
        <v>1763</v>
      </c>
      <c r="C147" s="33" t="s">
        <v>1773</v>
      </c>
      <c r="D147" s="33" t="s">
        <v>1788</v>
      </c>
      <c r="E147" s="33" t="s">
        <v>1789</v>
      </c>
      <c r="F147" s="26" t="s">
        <v>24</v>
      </c>
      <c r="G147" s="34" t="s">
        <v>32</v>
      </c>
      <c r="H147" s="34" t="s">
        <v>25</v>
      </c>
      <c r="I147" s="33" t="s">
        <v>1923</v>
      </c>
      <c r="J147" s="34" t="s">
        <v>26</v>
      </c>
      <c r="K147" s="34" t="s">
        <v>117</v>
      </c>
      <c r="L147" s="34" t="s">
        <v>45</v>
      </c>
      <c r="M147" s="33" t="s">
        <v>52</v>
      </c>
      <c r="N147" s="3" t="s">
        <v>35</v>
      </c>
      <c r="O147" s="34" t="s">
        <v>114</v>
      </c>
      <c r="P147" s="33" t="s">
        <v>2027</v>
      </c>
      <c r="Q147" s="33" t="s">
        <v>30</v>
      </c>
      <c r="R147" s="34" t="s">
        <v>119</v>
      </c>
      <c r="S147" s="35">
        <v>304100</v>
      </c>
      <c r="T147" s="2" t="s">
        <v>44</v>
      </c>
      <c r="U147" s="36">
        <v>0</v>
      </c>
      <c r="V147" s="36">
        <v>-1</v>
      </c>
      <c r="W147" s="37">
        <v>0</v>
      </c>
      <c r="X147" s="38">
        <v>0</v>
      </c>
    </row>
    <row r="149" spans="1:24" x14ac:dyDescent="0.25">
      <c r="A149" s="4" t="s">
        <v>60</v>
      </c>
      <c r="B149" s="4" t="s">
        <v>1</v>
      </c>
      <c r="C149" s="4" t="s">
        <v>61</v>
      </c>
      <c r="D149" s="4" t="s">
        <v>62</v>
      </c>
      <c r="E149" s="4" t="s">
        <v>63</v>
      </c>
    </row>
    <row r="150" spans="1:24" x14ac:dyDescent="0.25">
      <c r="A150" s="4">
        <v>540215</v>
      </c>
      <c r="B150" s="1" t="s">
        <v>2031</v>
      </c>
      <c r="C150" s="4" t="s">
        <v>1758</v>
      </c>
      <c r="D150" s="1" t="s">
        <v>64</v>
      </c>
      <c r="E150" s="4">
        <v>5</v>
      </c>
      <c r="S150" s="39" t="s">
        <v>167</v>
      </c>
    </row>
    <row r="151" spans="1:24" x14ac:dyDescent="0.25">
      <c r="A151" s="33" t="s">
        <v>1816</v>
      </c>
      <c r="B151" s="33" t="s">
        <v>1768</v>
      </c>
      <c r="C151" s="33" t="s">
        <v>1760</v>
      </c>
      <c r="D151" s="33" t="s">
        <v>1769</v>
      </c>
      <c r="E151" s="33" t="s">
        <v>1770</v>
      </c>
      <c r="F151" s="26" t="s">
        <v>24</v>
      </c>
      <c r="G151" s="34" t="s">
        <v>55</v>
      </c>
      <c r="H151" s="34" t="s">
        <v>25</v>
      </c>
      <c r="I151" s="33" t="s">
        <v>1839</v>
      </c>
      <c r="J151" s="34" t="s">
        <v>39</v>
      </c>
      <c r="K151" s="34" t="s">
        <v>146</v>
      </c>
      <c r="L151" s="34" t="s">
        <v>45</v>
      </c>
      <c r="M151" s="33" t="s">
        <v>48</v>
      </c>
      <c r="N151" s="3" t="s">
        <v>35</v>
      </c>
      <c r="O151" s="34" t="s">
        <v>115</v>
      </c>
      <c r="P151" s="33" t="s">
        <v>1933</v>
      </c>
      <c r="Q151" s="33" t="s">
        <v>30</v>
      </c>
      <c r="R151" s="34" t="s">
        <v>119</v>
      </c>
      <c r="S151" s="35">
        <v>21712700</v>
      </c>
      <c r="T151" s="2" t="s">
        <v>31</v>
      </c>
      <c r="U151" s="36">
        <v>0.71368410000000004</v>
      </c>
      <c r="V151" s="36">
        <v>-0.28631591796875</v>
      </c>
      <c r="W151" s="37">
        <v>7.1368408203125004E-3</v>
      </c>
      <c r="X151" s="38">
        <v>154960.08367919899</v>
      </c>
    </row>
    <row r="152" spans="1:24" x14ac:dyDescent="0.25">
      <c r="A152" s="33" t="s">
        <v>2035</v>
      </c>
      <c r="B152" s="33" t="s">
        <v>1768</v>
      </c>
      <c r="C152" s="33" t="s">
        <v>1760</v>
      </c>
      <c r="D152" s="33" t="s">
        <v>2119</v>
      </c>
      <c r="E152" s="33" t="s">
        <v>2120</v>
      </c>
      <c r="F152" s="26" t="s">
        <v>24</v>
      </c>
      <c r="G152" s="34" t="s">
        <v>32</v>
      </c>
      <c r="H152" s="34" t="s">
        <v>25</v>
      </c>
      <c r="I152" s="33" t="s">
        <v>1840</v>
      </c>
      <c r="J152" s="34" t="s">
        <v>26</v>
      </c>
      <c r="K152" s="34" t="s">
        <v>127</v>
      </c>
      <c r="L152" s="34" t="s">
        <v>27</v>
      </c>
      <c r="M152" s="33" t="s">
        <v>48</v>
      </c>
      <c r="N152" s="3" t="s">
        <v>35</v>
      </c>
      <c r="O152" s="34" t="s">
        <v>114</v>
      </c>
      <c r="P152" s="33" t="s">
        <v>1934</v>
      </c>
      <c r="Q152" s="33" t="s">
        <v>30</v>
      </c>
      <c r="R152" s="34" t="s">
        <v>119</v>
      </c>
      <c r="S152" s="35">
        <v>5092400</v>
      </c>
      <c r="T152" s="2" t="s">
        <v>44</v>
      </c>
      <c r="U152" s="36">
        <v>0</v>
      </c>
      <c r="V152" s="36">
        <v>-1</v>
      </c>
      <c r="W152" s="37">
        <v>0</v>
      </c>
      <c r="X152" s="38">
        <v>0</v>
      </c>
    </row>
    <row r="153" spans="1:24" x14ac:dyDescent="0.25">
      <c r="A153" s="33" t="s">
        <v>2037</v>
      </c>
      <c r="B153" s="33" t="s">
        <v>1768</v>
      </c>
      <c r="C153" s="33" t="s">
        <v>1760</v>
      </c>
      <c r="D153" s="33" t="s">
        <v>2123</v>
      </c>
      <c r="E153" s="33" t="s">
        <v>2124</v>
      </c>
      <c r="F153" s="26" t="s">
        <v>24</v>
      </c>
      <c r="G153" s="34" t="s">
        <v>32</v>
      </c>
      <c r="H153" s="34" t="s">
        <v>25</v>
      </c>
      <c r="I153" s="33" t="s">
        <v>1841</v>
      </c>
      <c r="J153" s="34" t="s">
        <v>26</v>
      </c>
      <c r="K153" s="34" t="s">
        <v>86</v>
      </c>
      <c r="L153" s="34" t="s">
        <v>27</v>
      </c>
      <c r="M153" s="33" t="s">
        <v>56</v>
      </c>
      <c r="N153" s="3" t="s">
        <v>35</v>
      </c>
      <c r="O153" s="34" t="s">
        <v>115</v>
      </c>
      <c r="P153" s="33" t="s">
        <v>1936</v>
      </c>
      <c r="Q153" s="33" t="s">
        <v>30</v>
      </c>
      <c r="R153" s="34" t="s">
        <v>119</v>
      </c>
      <c r="S153" s="35">
        <v>3535000</v>
      </c>
      <c r="T153" s="2" t="s">
        <v>44</v>
      </c>
      <c r="U153" s="36">
        <v>1</v>
      </c>
      <c r="V153" s="36">
        <v>0</v>
      </c>
      <c r="W153" s="37">
        <v>0.02</v>
      </c>
      <c r="X153" s="38">
        <v>70700</v>
      </c>
    </row>
    <row r="154" spans="1:24" x14ac:dyDescent="0.25">
      <c r="A154" s="33" t="s">
        <v>1835</v>
      </c>
      <c r="B154" s="33" t="s">
        <v>1768</v>
      </c>
      <c r="C154" s="33" t="s">
        <v>1760</v>
      </c>
      <c r="D154" s="33" t="s">
        <v>1810</v>
      </c>
      <c r="E154" s="33" t="s">
        <v>1811</v>
      </c>
      <c r="F154" s="26" t="s">
        <v>24</v>
      </c>
      <c r="G154" s="34" t="s">
        <v>32</v>
      </c>
      <c r="H154" s="34" t="s">
        <v>25</v>
      </c>
      <c r="I154" s="33" t="s">
        <v>1842</v>
      </c>
      <c r="J154" s="34" t="s">
        <v>26</v>
      </c>
      <c r="K154" s="34" t="s">
        <v>127</v>
      </c>
      <c r="L154" s="34" t="s">
        <v>27</v>
      </c>
      <c r="M154" s="33" t="s">
        <v>48</v>
      </c>
      <c r="N154" s="3" t="s">
        <v>35</v>
      </c>
      <c r="O154" s="34" t="s">
        <v>114</v>
      </c>
      <c r="P154" s="33" t="s">
        <v>1937</v>
      </c>
      <c r="Q154" s="33" t="s">
        <v>30</v>
      </c>
      <c r="R154" s="34" t="s">
        <v>119</v>
      </c>
      <c r="S154" s="35">
        <v>3423000</v>
      </c>
      <c r="T154" s="2" t="s">
        <v>44</v>
      </c>
      <c r="U154" s="36">
        <v>0</v>
      </c>
      <c r="V154" s="36">
        <v>-1</v>
      </c>
      <c r="W154" s="37">
        <v>0</v>
      </c>
      <c r="X154" s="38">
        <v>0</v>
      </c>
    </row>
    <row r="155" spans="1:24" x14ac:dyDescent="0.25">
      <c r="A155" s="33" t="s">
        <v>1836</v>
      </c>
      <c r="B155" s="33" t="s">
        <v>1768</v>
      </c>
      <c r="C155" s="33" t="s">
        <v>1760</v>
      </c>
      <c r="D155" s="33" t="s">
        <v>1812</v>
      </c>
      <c r="E155" s="33" t="s">
        <v>1813</v>
      </c>
      <c r="F155" s="26" t="s">
        <v>24</v>
      </c>
      <c r="G155" s="34" t="s">
        <v>32</v>
      </c>
      <c r="H155" s="34" t="s">
        <v>25</v>
      </c>
      <c r="I155" s="33" t="s">
        <v>1843</v>
      </c>
      <c r="J155" s="34" t="s">
        <v>26</v>
      </c>
      <c r="K155" s="34" t="s">
        <v>171</v>
      </c>
      <c r="L155" s="34" t="s">
        <v>27</v>
      </c>
      <c r="M155" s="33" t="s">
        <v>48</v>
      </c>
      <c r="N155" s="3" t="s">
        <v>35</v>
      </c>
      <c r="O155" s="34" t="s">
        <v>114</v>
      </c>
      <c r="P155" s="33" t="s">
        <v>1938</v>
      </c>
      <c r="Q155" s="33" t="s">
        <v>30</v>
      </c>
      <c r="R155" s="34" t="s">
        <v>119</v>
      </c>
      <c r="S155" s="35">
        <v>3336900</v>
      </c>
      <c r="T155" s="2" t="s">
        <v>44</v>
      </c>
      <c r="U155" s="36">
        <v>0</v>
      </c>
      <c r="V155" s="36">
        <v>-1</v>
      </c>
      <c r="W155" s="37">
        <v>0</v>
      </c>
      <c r="X155" s="38">
        <v>0</v>
      </c>
    </row>
    <row r="156" spans="1:24" x14ac:dyDescent="0.25">
      <c r="A156" s="33" t="s">
        <v>2038</v>
      </c>
      <c r="B156" s="33" t="s">
        <v>1768</v>
      </c>
      <c r="C156" s="33" t="s">
        <v>1760</v>
      </c>
      <c r="D156" s="33" t="s">
        <v>2125</v>
      </c>
      <c r="E156" s="33" t="s">
        <v>2126</v>
      </c>
      <c r="F156" s="26" t="s">
        <v>24</v>
      </c>
      <c r="G156" s="34" t="s">
        <v>32</v>
      </c>
      <c r="H156" s="34" t="s">
        <v>66</v>
      </c>
      <c r="I156" s="33" t="s">
        <v>1844</v>
      </c>
      <c r="J156" s="34" t="s">
        <v>39</v>
      </c>
      <c r="K156" s="34" t="s">
        <v>1475</v>
      </c>
      <c r="L156" s="34" t="s">
        <v>37</v>
      </c>
      <c r="M156" s="33" t="s">
        <v>48</v>
      </c>
      <c r="N156" s="3" t="s">
        <v>35</v>
      </c>
      <c r="O156" s="34" t="s">
        <v>114</v>
      </c>
      <c r="P156" s="33" t="s">
        <v>1939</v>
      </c>
      <c r="Q156" s="33" t="s">
        <v>30</v>
      </c>
      <c r="R156" s="34" t="s">
        <v>119</v>
      </c>
      <c r="S156" s="35">
        <v>3267400</v>
      </c>
      <c r="T156" s="2" t="s">
        <v>44</v>
      </c>
      <c r="U156" s="36">
        <v>1</v>
      </c>
      <c r="V156" s="36">
        <v>0</v>
      </c>
      <c r="W156" s="37">
        <v>0.01</v>
      </c>
      <c r="X156" s="38">
        <v>32674</v>
      </c>
    </row>
    <row r="157" spans="1:24" x14ac:dyDescent="0.25">
      <c r="A157" s="33" t="s">
        <v>2039</v>
      </c>
      <c r="B157" s="33" t="s">
        <v>1768</v>
      </c>
      <c r="C157" s="33" t="s">
        <v>1760</v>
      </c>
      <c r="D157" s="33" t="s">
        <v>2127</v>
      </c>
      <c r="E157" s="33" t="s">
        <v>2128</v>
      </c>
      <c r="F157" s="26" t="s">
        <v>24</v>
      </c>
      <c r="G157" s="34" t="s">
        <v>32</v>
      </c>
      <c r="H157" s="34" t="s">
        <v>25</v>
      </c>
      <c r="I157" s="33" t="s">
        <v>1839</v>
      </c>
      <c r="J157" s="34" t="s">
        <v>26</v>
      </c>
      <c r="K157" s="34" t="s">
        <v>160</v>
      </c>
      <c r="L157" s="34" t="s">
        <v>58</v>
      </c>
      <c r="M157" s="33" t="s">
        <v>48</v>
      </c>
      <c r="N157" s="3" t="s">
        <v>35</v>
      </c>
      <c r="O157" s="34" t="s">
        <v>114</v>
      </c>
      <c r="P157" s="33" t="s">
        <v>1940</v>
      </c>
      <c r="Q157" s="33" t="s">
        <v>30</v>
      </c>
      <c r="R157" s="34" t="s">
        <v>119</v>
      </c>
      <c r="S157" s="35">
        <v>2619500</v>
      </c>
      <c r="T157" s="2" t="s">
        <v>31</v>
      </c>
      <c r="U157" s="36">
        <v>3.4700316999999998</v>
      </c>
      <c r="V157" s="36">
        <v>2.47003173828125</v>
      </c>
      <c r="W157" s="37">
        <v>0.14940063476562501</v>
      </c>
      <c r="X157" s="38">
        <v>391354.96276855399</v>
      </c>
    </row>
    <row r="158" spans="1:24" x14ac:dyDescent="0.25">
      <c r="A158" s="33" t="s">
        <v>2042</v>
      </c>
      <c r="B158" s="33" t="s">
        <v>1768</v>
      </c>
      <c r="C158" s="33" t="s">
        <v>1760</v>
      </c>
      <c r="D158" s="33" t="s">
        <v>2133</v>
      </c>
      <c r="E158" s="33" t="s">
        <v>2134</v>
      </c>
      <c r="F158" s="26" t="s">
        <v>24</v>
      </c>
      <c r="G158" s="34" t="s">
        <v>32</v>
      </c>
      <c r="H158" s="34" t="s">
        <v>25</v>
      </c>
      <c r="I158" s="33" t="s">
        <v>1848</v>
      </c>
      <c r="J158" s="34" t="s">
        <v>26</v>
      </c>
      <c r="K158" s="34" t="s">
        <v>99</v>
      </c>
      <c r="L158" s="34" t="s">
        <v>50</v>
      </c>
      <c r="M158" s="33" t="s">
        <v>48</v>
      </c>
      <c r="N158" s="3" t="s">
        <v>35</v>
      </c>
      <c r="O158" s="34" t="s">
        <v>114</v>
      </c>
      <c r="P158" s="33" t="s">
        <v>1944</v>
      </c>
      <c r="Q158" s="33" t="s">
        <v>30</v>
      </c>
      <c r="R158" s="34" t="s">
        <v>119</v>
      </c>
      <c r="S158" s="35">
        <v>1739600</v>
      </c>
      <c r="T158" s="2" t="s">
        <v>44</v>
      </c>
      <c r="U158" s="36">
        <v>1.6422730000000001</v>
      </c>
      <c r="V158" s="36">
        <v>0.64227294921875</v>
      </c>
      <c r="W158" s="37">
        <v>6.1381835937499997E-2</v>
      </c>
      <c r="X158" s="38">
        <v>106779.841796875</v>
      </c>
    </row>
    <row r="159" spans="1:24" x14ac:dyDescent="0.25">
      <c r="A159" s="33" t="s">
        <v>2043</v>
      </c>
      <c r="B159" s="33" t="s">
        <v>1768</v>
      </c>
      <c r="C159" s="33" t="s">
        <v>1760</v>
      </c>
      <c r="D159" s="33" t="s">
        <v>2135</v>
      </c>
      <c r="E159" s="33" t="s">
        <v>2136</v>
      </c>
      <c r="F159" s="26" t="s">
        <v>24</v>
      </c>
      <c r="G159" s="34" t="s">
        <v>32</v>
      </c>
      <c r="H159" s="34" t="s">
        <v>25</v>
      </c>
      <c r="I159" s="33" t="s">
        <v>1839</v>
      </c>
      <c r="J159" s="34" t="s">
        <v>26</v>
      </c>
      <c r="K159" s="34" t="s">
        <v>720</v>
      </c>
      <c r="L159" s="34" t="s">
        <v>58</v>
      </c>
      <c r="M159" s="33" t="s">
        <v>48</v>
      </c>
      <c r="N159" s="3" t="s">
        <v>35</v>
      </c>
      <c r="O159" s="34" t="s">
        <v>114</v>
      </c>
      <c r="P159" s="33" t="s">
        <v>1945</v>
      </c>
      <c r="Q159" s="33" t="s">
        <v>30</v>
      </c>
      <c r="R159" s="34" t="s">
        <v>119</v>
      </c>
      <c r="S159" s="35">
        <v>1705400</v>
      </c>
      <c r="T159" s="2" t="s">
        <v>44</v>
      </c>
      <c r="U159" s="36">
        <v>1.4026489</v>
      </c>
      <c r="V159" s="36">
        <v>0.40264892578125</v>
      </c>
      <c r="W159" s="37">
        <v>4.2211914062500001E-2</v>
      </c>
      <c r="X159" s="38">
        <v>71988.1982421875</v>
      </c>
    </row>
    <row r="160" spans="1:24" x14ac:dyDescent="0.25">
      <c r="A160" s="33" t="s">
        <v>2046</v>
      </c>
      <c r="B160" s="33" t="s">
        <v>1768</v>
      </c>
      <c r="C160" s="33" t="s">
        <v>1760</v>
      </c>
      <c r="D160" s="33" t="s">
        <v>2141</v>
      </c>
      <c r="E160" s="33" t="s">
        <v>2142</v>
      </c>
      <c r="F160" s="26" t="s">
        <v>24</v>
      </c>
      <c r="G160" s="34" t="s">
        <v>32</v>
      </c>
      <c r="H160" s="34" t="s">
        <v>25</v>
      </c>
      <c r="I160" s="33" t="s">
        <v>1851</v>
      </c>
      <c r="J160" s="34" t="s">
        <v>26</v>
      </c>
      <c r="K160" s="34" t="s">
        <v>136</v>
      </c>
      <c r="L160" s="34" t="s">
        <v>58</v>
      </c>
      <c r="M160" s="33" t="s">
        <v>48</v>
      </c>
      <c r="N160" s="3" t="s">
        <v>35</v>
      </c>
      <c r="O160" s="34" t="s">
        <v>114</v>
      </c>
      <c r="P160" s="33" t="s">
        <v>1949</v>
      </c>
      <c r="Q160" s="33" t="s">
        <v>30</v>
      </c>
      <c r="R160" s="34" t="s">
        <v>119</v>
      </c>
      <c r="S160" s="35">
        <v>1139000</v>
      </c>
      <c r="T160" s="2" t="s">
        <v>44</v>
      </c>
      <c r="U160" s="36">
        <v>0.95001219999999997</v>
      </c>
      <c r="V160" s="36">
        <v>-4.998779296875E-2</v>
      </c>
      <c r="W160" s="37">
        <v>9.5001220703125003E-3</v>
      </c>
      <c r="X160" s="38">
        <v>10820.639038085899</v>
      </c>
    </row>
    <row r="161" spans="1:24" x14ac:dyDescent="0.25">
      <c r="A161" s="33" t="s">
        <v>2048</v>
      </c>
      <c r="B161" s="33" t="s">
        <v>1768</v>
      </c>
      <c r="C161" s="33" t="s">
        <v>1760</v>
      </c>
      <c r="D161" s="33" t="s">
        <v>2145</v>
      </c>
      <c r="E161" s="33" t="s">
        <v>2146</v>
      </c>
      <c r="F161" s="26" t="s">
        <v>24</v>
      </c>
      <c r="G161" s="34" t="s">
        <v>32</v>
      </c>
      <c r="H161" s="34" t="s">
        <v>25</v>
      </c>
      <c r="I161" s="33" t="s">
        <v>1853</v>
      </c>
      <c r="J161" s="34" t="s">
        <v>26</v>
      </c>
      <c r="K161" s="34" t="s">
        <v>139</v>
      </c>
      <c r="L161" s="34" t="s">
        <v>38</v>
      </c>
      <c r="M161" s="33" t="s">
        <v>52</v>
      </c>
      <c r="N161" s="3" t="s">
        <v>35</v>
      </c>
      <c r="O161" s="34" t="s">
        <v>114</v>
      </c>
      <c r="P161" s="33" t="s">
        <v>1951</v>
      </c>
      <c r="Q161" s="33" t="s">
        <v>30</v>
      </c>
      <c r="R161" s="34" t="s">
        <v>119</v>
      </c>
      <c r="S161" s="35">
        <v>1040600</v>
      </c>
      <c r="T161" s="2" t="s">
        <v>44</v>
      </c>
      <c r="U161" s="36">
        <v>2.1856080000000002</v>
      </c>
      <c r="V161" s="36">
        <v>1.18560791015625</v>
      </c>
      <c r="W161" s="37">
        <v>9.3712158203125007E-2</v>
      </c>
      <c r="X161" s="38">
        <v>97516.871826171802</v>
      </c>
    </row>
    <row r="162" spans="1:24" x14ac:dyDescent="0.25">
      <c r="A162" s="33" t="s">
        <v>2051</v>
      </c>
      <c r="B162" s="33" t="s">
        <v>1768</v>
      </c>
      <c r="C162" s="33" t="s">
        <v>1760</v>
      </c>
      <c r="D162" s="33" t="s">
        <v>2152</v>
      </c>
      <c r="E162" s="33" t="s">
        <v>2153</v>
      </c>
      <c r="F162" s="26" t="s">
        <v>24</v>
      </c>
      <c r="G162" s="34" t="s">
        <v>32</v>
      </c>
      <c r="H162" s="34" t="s">
        <v>25</v>
      </c>
      <c r="I162" s="33" t="s">
        <v>1857</v>
      </c>
      <c r="J162" s="34" t="s">
        <v>26</v>
      </c>
      <c r="K162" s="34" t="s">
        <v>104</v>
      </c>
      <c r="L162" s="34" t="s">
        <v>37</v>
      </c>
      <c r="M162" s="33" t="s">
        <v>72</v>
      </c>
      <c r="N162" s="3" t="s">
        <v>35</v>
      </c>
      <c r="O162" s="34" t="s">
        <v>115</v>
      </c>
      <c r="P162" s="33" t="s">
        <v>1957</v>
      </c>
      <c r="Q162" s="33" t="s">
        <v>30</v>
      </c>
      <c r="R162" s="34" t="s">
        <v>119</v>
      </c>
      <c r="S162" s="35">
        <v>743500</v>
      </c>
      <c r="T162" s="2" t="s">
        <v>44</v>
      </c>
      <c r="U162" s="36">
        <v>4.2028809999999996</v>
      </c>
      <c r="V162" s="36">
        <v>3.202880859375</v>
      </c>
      <c r="W162" s="37">
        <v>0.1140576171875</v>
      </c>
      <c r="X162" s="38">
        <v>84801.838378906206</v>
      </c>
    </row>
    <row r="163" spans="1:24" x14ac:dyDescent="0.25">
      <c r="A163" s="33" t="s">
        <v>2053</v>
      </c>
      <c r="B163" s="33" t="s">
        <v>1768</v>
      </c>
      <c r="C163" s="33" t="s">
        <v>1760</v>
      </c>
      <c r="D163" s="33" t="s">
        <v>2157</v>
      </c>
      <c r="E163" s="33" t="s">
        <v>2158</v>
      </c>
      <c r="F163" s="26" t="s">
        <v>24</v>
      </c>
      <c r="G163" s="34" t="s">
        <v>32</v>
      </c>
      <c r="H163" s="34" t="s">
        <v>25</v>
      </c>
      <c r="I163" s="33" t="s">
        <v>1858</v>
      </c>
      <c r="J163" s="34" t="s">
        <v>26</v>
      </c>
      <c r="K163" s="34" t="s">
        <v>128</v>
      </c>
      <c r="L163" s="34" t="s">
        <v>27</v>
      </c>
      <c r="M163" s="33" t="s">
        <v>59</v>
      </c>
      <c r="N163" s="3" t="s">
        <v>42</v>
      </c>
      <c r="O163" s="34" t="s">
        <v>115</v>
      </c>
      <c r="P163" s="33" t="s">
        <v>1959</v>
      </c>
      <c r="Q163" s="33" t="s">
        <v>30</v>
      </c>
      <c r="R163" s="34" t="s">
        <v>119</v>
      </c>
      <c r="S163" s="35">
        <v>714700</v>
      </c>
      <c r="T163" s="2" t="s">
        <v>44</v>
      </c>
      <c r="U163" s="36">
        <v>0</v>
      </c>
      <c r="V163" s="36">
        <v>-1</v>
      </c>
      <c r="W163" s="37">
        <v>0</v>
      </c>
      <c r="X163" s="38">
        <v>0</v>
      </c>
    </row>
    <row r="164" spans="1:24" x14ac:dyDescent="0.25">
      <c r="A164" s="33" t="s">
        <v>2054</v>
      </c>
      <c r="B164" s="33" t="s">
        <v>1768</v>
      </c>
      <c r="C164" s="33" t="s">
        <v>394</v>
      </c>
      <c r="D164" s="33" t="s">
        <v>2159</v>
      </c>
      <c r="E164" s="33" t="s">
        <v>2160</v>
      </c>
      <c r="F164" s="26" t="s">
        <v>24</v>
      </c>
      <c r="G164" s="34" t="s">
        <v>32</v>
      </c>
      <c r="H164" s="34" t="s">
        <v>25</v>
      </c>
      <c r="I164" s="33" t="s">
        <v>1859</v>
      </c>
      <c r="J164" s="34" t="s">
        <v>26</v>
      </c>
      <c r="K164" s="34" t="s">
        <v>138</v>
      </c>
      <c r="L164" s="34" t="s">
        <v>27</v>
      </c>
      <c r="M164" s="33" t="s">
        <v>52</v>
      </c>
      <c r="N164" s="3" t="s">
        <v>35</v>
      </c>
      <c r="O164" s="34" t="s">
        <v>116</v>
      </c>
      <c r="P164" s="33" t="s">
        <v>1960</v>
      </c>
      <c r="Q164" s="33" t="s">
        <v>30</v>
      </c>
      <c r="R164" s="34" t="s">
        <v>119</v>
      </c>
      <c r="S164" s="35">
        <v>709200</v>
      </c>
      <c r="T164" s="2" t="s">
        <v>44</v>
      </c>
      <c r="U164" s="36">
        <v>3.949646</v>
      </c>
      <c r="V164" s="36">
        <v>2.94964599609375</v>
      </c>
      <c r="W164" s="37">
        <v>0.119496459960937</v>
      </c>
      <c r="X164" s="38">
        <v>84746.889404296802</v>
      </c>
    </row>
    <row r="165" spans="1:24" x14ac:dyDescent="0.25">
      <c r="A165" s="33" t="s">
        <v>2056</v>
      </c>
      <c r="B165" s="33" t="s">
        <v>1768</v>
      </c>
      <c r="C165" s="33" t="s">
        <v>1760</v>
      </c>
      <c r="D165" s="33" t="s">
        <v>2163</v>
      </c>
      <c r="E165" s="33" t="s">
        <v>2164</v>
      </c>
      <c r="F165" s="26" t="s">
        <v>24</v>
      </c>
      <c r="G165" s="34" t="s">
        <v>32</v>
      </c>
      <c r="H165" s="34" t="s">
        <v>25</v>
      </c>
      <c r="I165" s="33" t="s">
        <v>1861</v>
      </c>
      <c r="J165" s="34" t="s">
        <v>26</v>
      </c>
      <c r="K165" s="34" t="s">
        <v>88</v>
      </c>
      <c r="L165" s="34" t="s">
        <v>58</v>
      </c>
      <c r="M165" s="33" t="s">
        <v>48</v>
      </c>
      <c r="N165" s="3" t="s">
        <v>35</v>
      </c>
      <c r="O165" s="34" t="s">
        <v>114</v>
      </c>
      <c r="P165" s="33" t="s">
        <v>1962</v>
      </c>
      <c r="Q165" s="33" t="s">
        <v>30</v>
      </c>
      <c r="R165" s="34" t="s">
        <v>119</v>
      </c>
      <c r="S165" s="35">
        <v>678500</v>
      </c>
      <c r="T165" s="2" t="s">
        <v>44</v>
      </c>
      <c r="U165" s="36">
        <v>2.8000487999999999</v>
      </c>
      <c r="V165" s="36">
        <v>1.800048828125</v>
      </c>
      <c r="W165" s="37">
        <v>0.13000244140625</v>
      </c>
      <c r="X165" s="38">
        <v>88206.656494140596</v>
      </c>
    </row>
    <row r="166" spans="1:24" x14ac:dyDescent="0.25">
      <c r="A166" s="33" t="s">
        <v>2058</v>
      </c>
      <c r="B166" s="33" t="s">
        <v>1768</v>
      </c>
      <c r="C166" s="33" t="s">
        <v>1760</v>
      </c>
      <c r="D166" s="33" t="s">
        <v>2167</v>
      </c>
      <c r="E166" s="33" t="s">
        <v>2168</v>
      </c>
      <c r="F166" s="26" t="s">
        <v>24</v>
      </c>
      <c r="G166" s="34" t="s">
        <v>32</v>
      </c>
      <c r="H166" s="34" t="s">
        <v>25</v>
      </c>
      <c r="I166" s="33" t="s">
        <v>1862</v>
      </c>
      <c r="J166" s="34" t="s">
        <v>26</v>
      </c>
      <c r="K166" s="34" t="s">
        <v>160</v>
      </c>
      <c r="L166" s="34" t="s">
        <v>51</v>
      </c>
      <c r="M166" s="33" t="s">
        <v>48</v>
      </c>
      <c r="N166" s="3" t="s">
        <v>35</v>
      </c>
      <c r="O166" s="34" t="s">
        <v>114</v>
      </c>
      <c r="P166" s="33" t="s">
        <v>1964</v>
      </c>
      <c r="Q166" s="33" t="s">
        <v>30</v>
      </c>
      <c r="R166" s="34" t="s">
        <v>119</v>
      </c>
      <c r="S166" s="35">
        <v>659900</v>
      </c>
      <c r="T166" s="2" t="s">
        <v>44</v>
      </c>
      <c r="U166" s="36">
        <v>2.0019531E-2</v>
      </c>
      <c r="V166" s="36">
        <v>-0.97998046875</v>
      </c>
      <c r="W166" s="37">
        <v>2.0019531249999999E-4</v>
      </c>
      <c r="X166" s="38">
        <v>132.10888671875</v>
      </c>
    </row>
    <row r="167" spans="1:24" x14ac:dyDescent="0.25">
      <c r="A167" s="33" t="s">
        <v>2059</v>
      </c>
      <c r="B167" s="33" t="s">
        <v>1768</v>
      </c>
      <c r="C167" s="33" t="s">
        <v>1760</v>
      </c>
      <c r="D167" s="33" t="s">
        <v>2169</v>
      </c>
      <c r="E167" s="33" t="s">
        <v>2170</v>
      </c>
      <c r="F167" s="26" t="s">
        <v>24</v>
      </c>
      <c r="G167" s="34" t="s">
        <v>32</v>
      </c>
      <c r="H167" s="34" t="s">
        <v>66</v>
      </c>
      <c r="I167" s="33" t="s">
        <v>1863</v>
      </c>
      <c r="J167" s="34" t="s">
        <v>39</v>
      </c>
      <c r="K167" s="34" t="s">
        <v>156</v>
      </c>
      <c r="L167" s="34" t="s">
        <v>58</v>
      </c>
      <c r="M167" s="33" t="s">
        <v>67</v>
      </c>
      <c r="N167" s="3" t="s">
        <v>112</v>
      </c>
      <c r="O167" s="34" t="s">
        <v>115</v>
      </c>
      <c r="P167" s="33" t="s">
        <v>1965</v>
      </c>
      <c r="Q167" s="33" t="s">
        <v>30</v>
      </c>
      <c r="R167" s="34" t="s">
        <v>119</v>
      </c>
      <c r="S167" s="35">
        <v>646100</v>
      </c>
      <c r="T167" s="2" t="s">
        <v>44</v>
      </c>
      <c r="U167" s="36">
        <v>0.91015625</v>
      </c>
      <c r="V167" s="36">
        <v>-8.984375E-2</v>
      </c>
      <c r="W167" s="37">
        <v>0</v>
      </c>
      <c r="X167" s="38">
        <v>0</v>
      </c>
    </row>
    <row r="168" spans="1:24" x14ac:dyDescent="0.25">
      <c r="A168" s="33" t="s">
        <v>2075</v>
      </c>
      <c r="B168" s="33" t="s">
        <v>1768</v>
      </c>
      <c r="C168" s="33" t="s">
        <v>1760</v>
      </c>
      <c r="D168" s="33" t="s">
        <v>2204</v>
      </c>
      <c r="E168" s="33" t="s">
        <v>2205</v>
      </c>
      <c r="F168" s="26" t="s">
        <v>24</v>
      </c>
      <c r="G168" s="34" t="s">
        <v>32</v>
      </c>
      <c r="H168" s="34" t="s">
        <v>25</v>
      </c>
      <c r="I168" s="33" t="s">
        <v>1879</v>
      </c>
      <c r="J168" s="34" t="s">
        <v>26</v>
      </c>
      <c r="K168" s="34" t="s">
        <v>1926</v>
      </c>
      <c r="L168" s="34" t="s">
        <v>47</v>
      </c>
      <c r="M168" s="33" t="s">
        <v>57</v>
      </c>
      <c r="N168" s="3" t="s">
        <v>35</v>
      </c>
      <c r="O168" s="34" t="s">
        <v>114</v>
      </c>
      <c r="P168" s="33" t="s">
        <v>1980</v>
      </c>
      <c r="Q168" s="33" t="s">
        <v>30</v>
      </c>
      <c r="R168" s="34" t="s">
        <v>119</v>
      </c>
      <c r="S168" s="35">
        <v>513400</v>
      </c>
      <c r="T168" s="2" t="s">
        <v>44</v>
      </c>
      <c r="U168" s="36">
        <v>0.76000977000000003</v>
      </c>
      <c r="V168" s="36">
        <v>-0.239990234375</v>
      </c>
      <c r="W168" s="37">
        <v>1.52001953125E-2</v>
      </c>
      <c r="X168" s="38">
        <v>7803.7802734375</v>
      </c>
    </row>
    <row r="169" spans="1:24" x14ac:dyDescent="0.25">
      <c r="A169" s="33" t="s">
        <v>1833</v>
      </c>
      <c r="B169" s="33" t="s">
        <v>1768</v>
      </c>
      <c r="C169" s="33" t="s">
        <v>394</v>
      </c>
      <c r="D169" s="33" t="s">
        <v>1806</v>
      </c>
      <c r="E169" s="33" t="s">
        <v>1807</v>
      </c>
      <c r="F169" s="26" t="s">
        <v>24</v>
      </c>
      <c r="G169" s="34" t="s">
        <v>32</v>
      </c>
      <c r="H169" s="34" t="s">
        <v>25</v>
      </c>
      <c r="I169" s="33" t="s">
        <v>1896</v>
      </c>
      <c r="J169" s="34" t="s">
        <v>26</v>
      </c>
      <c r="K169" s="34" t="s">
        <v>141</v>
      </c>
      <c r="L169" s="34" t="s">
        <v>47</v>
      </c>
      <c r="M169" s="33" t="s">
        <v>56</v>
      </c>
      <c r="N169" s="3" t="s">
        <v>35</v>
      </c>
      <c r="O169" s="34" t="s">
        <v>115</v>
      </c>
      <c r="P169" s="33" t="s">
        <v>1998</v>
      </c>
      <c r="Q169" s="33" t="s">
        <v>30</v>
      </c>
      <c r="R169" s="34" t="s">
        <v>119</v>
      </c>
      <c r="S169" s="35">
        <v>417900</v>
      </c>
      <c r="T169" s="2" t="s">
        <v>44</v>
      </c>
      <c r="U169" s="36">
        <v>0</v>
      </c>
      <c r="V169" s="36">
        <v>-1</v>
      </c>
      <c r="W169" s="37">
        <v>0</v>
      </c>
      <c r="X169" s="38">
        <v>0</v>
      </c>
    </row>
    <row r="170" spans="1:24" x14ac:dyDescent="0.25">
      <c r="A170" s="33" t="s">
        <v>1817</v>
      </c>
      <c r="B170" s="33" t="s">
        <v>1768</v>
      </c>
      <c r="C170" s="33" t="s">
        <v>1760</v>
      </c>
      <c r="D170" s="33" t="s">
        <v>1771</v>
      </c>
      <c r="E170" s="33" t="s">
        <v>1772</v>
      </c>
      <c r="F170" s="26" t="s">
        <v>24</v>
      </c>
      <c r="G170" s="34" t="s">
        <v>55</v>
      </c>
      <c r="H170" s="34" t="s">
        <v>25</v>
      </c>
      <c r="I170" s="33" t="s">
        <v>1899</v>
      </c>
      <c r="J170" s="34" t="s">
        <v>162</v>
      </c>
      <c r="K170" s="34" t="s">
        <v>140</v>
      </c>
      <c r="L170" s="34" t="s">
        <v>27</v>
      </c>
      <c r="M170" s="33" t="s">
        <v>48</v>
      </c>
      <c r="N170" s="3" t="s">
        <v>35</v>
      </c>
      <c r="O170" s="34" t="s">
        <v>115</v>
      </c>
      <c r="P170" s="33" t="s">
        <v>2002</v>
      </c>
      <c r="Q170" s="33" t="s">
        <v>30</v>
      </c>
      <c r="R170" s="34" t="s">
        <v>119</v>
      </c>
      <c r="S170" s="35">
        <v>398900</v>
      </c>
      <c r="T170" s="2" t="s">
        <v>44</v>
      </c>
      <c r="U170" s="36">
        <v>0.67004395000000005</v>
      </c>
      <c r="V170" s="36">
        <v>-0.3299560546875</v>
      </c>
      <c r="W170" s="37">
        <v>6.7004394531250001E-3</v>
      </c>
      <c r="X170" s="38">
        <v>2672.8052978515602</v>
      </c>
    </row>
    <row r="171" spans="1:24" x14ac:dyDescent="0.25">
      <c r="A171" s="33" t="s">
        <v>2093</v>
      </c>
      <c r="B171" s="33" t="s">
        <v>1768</v>
      </c>
      <c r="C171" s="33" t="s">
        <v>1760</v>
      </c>
      <c r="D171" s="33" t="s">
        <v>2240</v>
      </c>
      <c r="E171" s="33" t="s">
        <v>2241</v>
      </c>
      <c r="F171" s="26" t="s">
        <v>24</v>
      </c>
      <c r="G171" s="34" t="s">
        <v>32</v>
      </c>
      <c r="H171" s="34" t="s">
        <v>25</v>
      </c>
      <c r="I171" s="33" t="s">
        <v>1901</v>
      </c>
      <c r="J171" s="34" t="s">
        <v>26</v>
      </c>
      <c r="K171" s="34" t="s">
        <v>83</v>
      </c>
      <c r="L171" s="34" t="s">
        <v>45</v>
      </c>
      <c r="M171" s="33" t="s">
        <v>48</v>
      </c>
      <c r="N171" s="3" t="s">
        <v>35</v>
      </c>
      <c r="O171" s="34" t="s">
        <v>114</v>
      </c>
      <c r="P171" s="33" t="s">
        <v>2004</v>
      </c>
      <c r="Q171" s="33" t="s">
        <v>30</v>
      </c>
      <c r="R171" s="34" t="s">
        <v>119</v>
      </c>
      <c r="S171" s="35">
        <v>383700</v>
      </c>
      <c r="T171" s="2" t="s">
        <v>44</v>
      </c>
      <c r="U171" s="36">
        <v>1</v>
      </c>
      <c r="V171" s="36">
        <v>0</v>
      </c>
      <c r="W171" s="37">
        <v>0.01</v>
      </c>
      <c r="X171" s="38">
        <v>3837</v>
      </c>
    </row>
    <row r="172" spans="1:24" x14ac:dyDescent="0.25">
      <c r="A172" s="33" t="s">
        <v>2095</v>
      </c>
      <c r="B172" s="33" t="s">
        <v>1768</v>
      </c>
      <c r="C172" s="33" t="s">
        <v>1760</v>
      </c>
      <c r="D172" s="33" t="s">
        <v>2244</v>
      </c>
      <c r="E172" s="33" t="s">
        <v>2245</v>
      </c>
      <c r="F172" s="26" t="s">
        <v>24</v>
      </c>
      <c r="G172" s="34" t="s">
        <v>32</v>
      </c>
      <c r="H172" s="34" t="s">
        <v>25</v>
      </c>
      <c r="I172" s="33" t="s">
        <v>1903</v>
      </c>
      <c r="J172" s="34" t="s">
        <v>26</v>
      </c>
      <c r="K172" s="34" t="s">
        <v>970</v>
      </c>
      <c r="L172" s="34" t="s">
        <v>45</v>
      </c>
      <c r="M172" s="33" t="s">
        <v>52</v>
      </c>
      <c r="N172" s="3" t="s">
        <v>35</v>
      </c>
      <c r="O172" s="34" t="s">
        <v>114</v>
      </c>
      <c r="P172" s="33" t="s">
        <v>2006</v>
      </c>
      <c r="Q172" s="33" t="s">
        <v>30</v>
      </c>
      <c r="R172" s="34" t="s">
        <v>119</v>
      </c>
      <c r="S172" s="35">
        <v>372700</v>
      </c>
      <c r="T172" s="2" t="s">
        <v>44</v>
      </c>
      <c r="U172" s="36">
        <v>6.2254639999999997</v>
      </c>
      <c r="V172" s="36">
        <v>5.2254638671875</v>
      </c>
      <c r="W172" s="37">
        <v>0.16450927734375001</v>
      </c>
      <c r="X172" s="38">
        <v>61312.607666015603</v>
      </c>
    </row>
    <row r="173" spans="1:24" x14ac:dyDescent="0.25">
      <c r="A173" s="33" t="s">
        <v>1834</v>
      </c>
      <c r="B173" s="33" t="s">
        <v>1768</v>
      </c>
      <c r="C173" s="33" t="s">
        <v>394</v>
      </c>
      <c r="D173" s="33" t="s">
        <v>1808</v>
      </c>
      <c r="E173" s="33" t="s">
        <v>1809</v>
      </c>
      <c r="F173" s="26" t="s">
        <v>24</v>
      </c>
      <c r="G173" s="34" t="s">
        <v>32</v>
      </c>
      <c r="H173" s="34" t="s">
        <v>25</v>
      </c>
      <c r="I173" s="33" t="s">
        <v>1848</v>
      </c>
      <c r="J173" s="34" t="s">
        <v>26</v>
      </c>
      <c r="K173" s="34" t="s">
        <v>141</v>
      </c>
      <c r="L173" s="34" t="s">
        <v>27</v>
      </c>
      <c r="M173" s="33" t="s">
        <v>48</v>
      </c>
      <c r="N173" s="3" t="s">
        <v>35</v>
      </c>
      <c r="O173" s="34" t="s">
        <v>114</v>
      </c>
      <c r="P173" s="33" t="s">
        <v>2008</v>
      </c>
      <c r="Q173" s="33" t="s">
        <v>30</v>
      </c>
      <c r="R173" s="34" t="s">
        <v>119</v>
      </c>
      <c r="S173" s="35">
        <v>361700</v>
      </c>
      <c r="T173" s="2" t="s">
        <v>44</v>
      </c>
      <c r="U173" s="36">
        <v>0</v>
      </c>
      <c r="V173" s="36">
        <v>-1</v>
      </c>
      <c r="W173" s="37">
        <v>0</v>
      </c>
      <c r="X173" s="38">
        <v>0</v>
      </c>
    </row>
    <row r="174" spans="1:24" x14ac:dyDescent="0.25">
      <c r="A174" s="33" t="s">
        <v>2099</v>
      </c>
      <c r="B174" s="33" t="s">
        <v>1768</v>
      </c>
      <c r="C174" s="33" t="s">
        <v>1760</v>
      </c>
      <c r="D174" s="33" t="s">
        <v>2253</v>
      </c>
      <c r="E174" s="33" t="s">
        <v>2254</v>
      </c>
      <c r="F174" s="26" t="s">
        <v>24</v>
      </c>
      <c r="G174" s="34" t="s">
        <v>32</v>
      </c>
      <c r="H174" s="34" t="s">
        <v>66</v>
      </c>
      <c r="I174" s="33" t="s">
        <v>1908</v>
      </c>
      <c r="J174" s="34" t="s">
        <v>26</v>
      </c>
      <c r="K174" s="34" t="s">
        <v>140</v>
      </c>
      <c r="L174" s="34" t="s">
        <v>58</v>
      </c>
      <c r="M174" s="33" t="s">
        <v>41</v>
      </c>
      <c r="N174" s="3" t="s">
        <v>42</v>
      </c>
      <c r="O174" s="34" t="s">
        <v>115</v>
      </c>
      <c r="P174" s="33" t="s">
        <v>2012</v>
      </c>
      <c r="Q174" s="33" t="s">
        <v>43</v>
      </c>
      <c r="R174" s="34" t="s">
        <v>120</v>
      </c>
      <c r="S174" s="35">
        <v>337100</v>
      </c>
      <c r="T174" s="2" t="s">
        <v>44</v>
      </c>
      <c r="U174" s="36">
        <v>1</v>
      </c>
      <c r="V174" s="36">
        <v>-3</v>
      </c>
      <c r="W174" s="37">
        <v>0.04</v>
      </c>
      <c r="X174" s="38">
        <v>13484</v>
      </c>
    </row>
    <row r="175" spans="1:24" x14ac:dyDescent="0.25">
      <c r="A175" s="33" t="s">
        <v>2111</v>
      </c>
      <c r="B175" s="33" t="s">
        <v>1768</v>
      </c>
      <c r="C175" s="33" t="s">
        <v>1760</v>
      </c>
      <c r="D175" s="33" t="s">
        <v>2279</v>
      </c>
      <c r="E175" s="33" t="s">
        <v>2280</v>
      </c>
      <c r="F175" s="26" t="s">
        <v>24</v>
      </c>
      <c r="G175" s="34" t="s">
        <v>32</v>
      </c>
      <c r="H175" s="34" t="s">
        <v>25</v>
      </c>
      <c r="I175" s="33"/>
      <c r="J175" s="34" t="s">
        <v>39</v>
      </c>
      <c r="K175" s="34" t="s">
        <v>145</v>
      </c>
      <c r="L175" s="34" t="s">
        <v>27</v>
      </c>
      <c r="M175" s="33" t="s">
        <v>59</v>
      </c>
      <c r="N175" s="3" t="s">
        <v>42</v>
      </c>
      <c r="O175" s="34" t="s">
        <v>115</v>
      </c>
      <c r="P175" s="33" t="s">
        <v>2023</v>
      </c>
      <c r="Q175" s="33" t="s">
        <v>30</v>
      </c>
      <c r="R175" s="34" t="s">
        <v>119</v>
      </c>
      <c r="S175" s="35">
        <v>309700</v>
      </c>
      <c r="T175" s="2" t="s">
        <v>44</v>
      </c>
      <c r="U175" s="36">
        <v>0</v>
      </c>
      <c r="V175" s="36">
        <v>-1</v>
      </c>
      <c r="W175" s="37">
        <v>0</v>
      </c>
      <c r="X175" s="38">
        <v>0</v>
      </c>
    </row>
    <row r="176" spans="1:24" x14ac:dyDescent="0.25">
      <c r="A176" s="33" t="s">
        <v>2114</v>
      </c>
      <c r="B176" s="33" t="s">
        <v>1768</v>
      </c>
      <c r="C176" s="33" t="s">
        <v>1760</v>
      </c>
      <c r="D176" s="33" t="s">
        <v>2284</v>
      </c>
      <c r="E176" s="33" t="s">
        <v>2280</v>
      </c>
      <c r="F176" s="26" t="s">
        <v>24</v>
      </c>
      <c r="G176" s="34" t="s">
        <v>32</v>
      </c>
      <c r="H176" s="34" t="s">
        <v>66</v>
      </c>
      <c r="I176" s="33"/>
      <c r="J176" s="34" t="s">
        <v>39</v>
      </c>
      <c r="K176" s="34" t="s">
        <v>145</v>
      </c>
      <c r="L176" s="34" t="s">
        <v>27</v>
      </c>
      <c r="M176" s="33" t="s">
        <v>59</v>
      </c>
      <c r="N176" s="3" t="s">
        <v>42</v>
      </c>
      <c r="O176" s="34" t="s">
        <v>115</v>
      </c>
      <c r="P176" s="33" t="s">
        <v>2023</v>
      </c>
      <c r="Q176" s="33" t="s">
        <v>30</v>
      </c>
      <c r="R176" s="34" t="s">
        <v>119</v>
      </c>
      <c r="S176" s="35">
        <v>304600</v>
      </c>
      <c r="T176" s="2" t="s">
        <v>44</v>
      </c>
      <c r="U176" s="36">
        <v>1</v>
      </c>
      <c r="V176" s="36">
        <v>0</v>
      </c>
      <c r="W176" s="37">
        <v>0.15</v>
      </c>
      <c r="X176" s="38">
        <v>45690</v>
      </c>
    </row>
    <row r="178" spans="1:24" x14ac:dyDescent="0.25">
      <c r="A178" s="4" t="s">
        <v>60</v>
      </c>
      <c r="B178" s="4" t="s">
        <v>1</v>
      </c>
      <c r="C178" s="4" t="s">
        <v>61</v>
      </c>
      <c r="D178" s="4" t="s">
        <v>62</v>
      </c>
      <c r="E178" s="4" t="s">
        <v>63</v>
      </c>
    </row>
    <row r="179" spans="1:24" x14ac:dyDescent="0.25">
      <c r="A179" s="4">
        <v>540213</v>
      </c>
      <c r="B179" s="1" t="s">
        <v>2032</v>
      </c>
      <c r="C179" s="4" t="s">
        <v>1758</v>
      </c>
      <c r="D179" s="1" t="s">
        <v>65</v>
      </c>
      <c r="E179" s="4">
        <v>5</v>
      </c>
      <c r="S179" s="39" t="s">
        <v>167</v>
      </c>
    </row>
    <row r="180" spans="1:24" x14ac:dyDescent="0.25">
      <c r="A180" s="33" t="s">
        <v>2067</v>
      </c>
      <c r="B180" s="33" t="s">
        <v>1759</v>
      </c>
      <c r="C180" s="33" t="s">
        <v>394</v>
      </c>
      <c r="D180" s="33" t="s">
        <v>2188</v>
      </c>
      <c r="E180" s="33" t="s">
        <v>2189</v>
      </c>
      <c r="F180" s="26" t="str">
        <f>HYPERLINK("https://mapwv.gov/flood/map/?wkid=102100&amp;x=-9061807.482746689&amp;y=4772540.1121079875&amp;l=13&amp;v=2","FT")</f>
        <v>FT</v>
      </c>
      <c r="G180" s="34" t="s">
        <v>32</v>
      </c>
      <c r="H180" s="34" t="s">
        <v>25</v>
      </c>
      <c r="I180" s="33" t="s">
        <v>1871</v>
      </c>
      <c r="J180" s="34" t="s">
        <v>36</v>
      </c>
      <c r="K180" s="34" t="s">
        <v>87</v>
      </c>
      <c r="L180" s="34"/>
      <c r="M180" s="33" t="s">
        <v>28</v>
      </c>
      <c r="N180" s="3" t="s">
        <v>111</v>
      </c>
      <c r="O180" s="34" t="s">
        <v>114</v>
      </c>
      <c r="P180" s="47">
        <v>11600</v>
      </c>
      <c r="Q180" s="33" t="s">
        <v>30</v>
      </c>
      <c r="R180" s="34" t="s">
        <v>119</v>
      </c>
      <c r="S180" s="35">
        <v>7500000</v>
      </c>
      <c r="T180" s="2" t="s">
        <v>29</v>
      </c>
      <c r="U180" s="36">
        <v>1.6318359</v>
      </c>
      <c r="V180" s="36">
        <v>0.6318359375</v>
      </c>
      <c r="W180" s="37">
        <v>0.03</v>
      </c>
      <c r="X180" s="38">
        <v>225000</v>
      </c>
    </row>
    <row r="181" spans="1:24" x14ac:dyDescent="0.25">
      <c r="A181" s="33" t="s">
        <v>2306</v>
      </c>
      <c r="B181" s="33" t="s">
        <v>1759</v>
      </c>
      <c r="C181" s="33" t="s">
        <v>394</v>
      </c>
      <c r="D181" s="33" t="s">
        <v>2307</v>
      </c>
      <c r="E181" s="33" t="s">
        <v>2308</v>
      </c>
      <c r="F181" s="26" t="str">
        <f>HYPERLINK("https://mapwv.gov/flood/map/?wkid=102100&amp;x=-9072208.217728237&amp;y=4774756.968145472&amp;l=13&amp;v=2","FT")</f>
        <v>FT</v>
      </c>
      <c r="G181" s="34" t="s">
        <v>32</v>
      </c>
      <c r="H181" s="34" t="s">
        <v>25</v>
      </c>
      <c r="I181" s="33" t="s">
        <v>2309</v>
      </c>
      <c r="J181" s="34" t="s">
        <v>26</v>
      </c>
      <c r="K181" s="34">
        <v>1990</v>
      </c>
      <c r="L181" s="34" t="s">
        <v>58</v>
      </c>
      <c r="M181" s="33" t="s">
        <v>28</v>
      </c>
      <c r="N181" s="3" t="s">
        <v>111</v>
      </c>
      <c r="O181" s="34" t="s">
        <v>114</v>
      </c>
      <c r="P181" s="47">
        <v>3500</v>
      </c>
      <c r="Q181" s="33" t="s">
        <v>30</v>
      </c>
      <c r="R181" s="34" t="s">
        <v>119</v>
      </c>
      <c r="S181" s="35">
        <v>4600000</v>
      </c>
      <c r="T181" s="2" t="s">
        <v>29</v>
      </c>
      <c r="U181" s="36">
        <v>7.554138</v>
      </c>
      <c r="V181" s="36">
        <v>6.55413818359375</v>
      </c>
      <c r="W181" s="37">
        <v>0.16</v>
      </c>
      <c r="X181" s="38">
        <v>736000</v>
      </c>
    </row>
    <row r="182" spans="1:24" x14ac:dyDescent="0.25">
      <c r="A182" s="33" t="s">
        <v>2317</v>
      </c>
      <c r="B182" s="33" t="s">
        <v>1759</v>
      </c>
      <c r="C182" s="33" t="s">
        <v>212</v>
      </c>
      <c r="D182" s="33" t="s">
        <v>2318</v>
      </c>
      <c r="E182" s="33" t="s">
        <v>2319</v>
      </c>
      <c r="F182" s="26" t="str">
        <f>HYPERLINK("https://mapwv.gov/flood/map/?wkid=102100&amp;x=-9073884.470850736&amp;y=4753954.797819494&amp;l=13&amp;v=2","FT")</f>
        <v>FT</v>
      </c>
      <c r="G182" s="34" t="s">
        <v>32</v>
      </c>
      <c r="H182" s="34" t="s">
        <v>25</v>
      </c>
      <c r="I182" s="33" t="s">
        <v>2320</v>
      </c>
      <c r="J182" s="34" t="s">
        <v>26</v>
      </c>
      <c r="K182" s="34">
        <v>2000</v>
      </c>
      <c r="L182" s="34" t="s">
        <v>37</v>
      </c>
      <c r="M182" s="33" t="s">
        <v>28</v>
      </c>
      <c r="N182" s="3" t="s">
        <v>111</v>
      </c>
      <c r="O182" s="34">
        <v>1</v>
      </c>
      <c r="P182" s="47">
        <v>14500</v>
      </c>
      <c r="Q182" s="33" t="s">
        <v>30</v>
      </c>
      <c r="R182" s="34" t="s">
        <v>119</v>
      </c>
      <c r="S182" s="35">
        <v>2800000</v>
      </c>
      <c r="T182" s="2" t="s">
        <v>29</v>
      </c>
      <c r="U182" s="36">
        <v>0</v>
      </c>
      <c r="V182" s="36">
        <v>0</v>
      </c>
      <c r="W182" s="37">
        <v>0</v>
      </c>
      <c r="X182" s="38">
        <v>0</v>
      </c>
    </row>
    <row r="183" spans="1:24" x14ac:dyDescent="0.25">
      <c r="A183" s="33" t="s">
        <v>2040</v>
      </c>
      <c r="B183" s="33" t="s">
        <v>1759</v>
      </c>
      <c r="C183" s="33" t="s">
        <v>1776</v>
      </c>
      <c r="D183" s="33" t="s">
        <v>2129</v>
      </c>
      <c r="E183" s="33" t="s">
        <v>2130</v>
      </c>
      <c r="F183" s="26" t="s">
        <v>24</v>
      </c>
      <c r="G183" s="34" t="s">
        <v>32</v>
      </c>
      <c r="H183" s="34" t="s">
        <v>25</v>
      </c>
      <c r="I183" s="33" t="s">
        <v>1845</v>
      </c>
      <c r="J183" s="34" t="s">
        <v>26</v>
      </c>
      <c r="K183" s="34" t="s">
        <v>140</v>
      </c>
      <c r="L183" s="34" t="s">
        <v>58</v>
      </c>
      <c r="M183" s="33" t="s">
        <v>71</v>
      </c>
      <c r="N183" s="3" t="s">
        <v>42</v>
      </c>
      <c r="O183" s="34" t="s">
        <v>116</v>
      </c>
      <c r="P183" s="33" t="s">
        <v>1941</v>
      </c>
      <c r="Q183" s="33" t="s">
        <v>30</v>
      </c>
      <c r="R183" s="34" t="s">
        <v>119</v>
      </c>
      <c r="S183" s="35">
        <v>1989400</v>
      </c>
      <c r="T183" s="2" t="s">
        <v>44</v>
      </c>
      <c r="U183" s="36">
        <v>0</v>
      </c>
      <c r="V183" s="36">
        <v>-1</v>
      </c>
      <c r="W183" s="37">
        <v>0</v>
      </c>
      <c r="X183" s="38">
        <v>0</v>
      </c>
    </row>
    <row r="184" spans="1:24" x14ac:dyDescent="0.25">
      <c r="A184" s="33" t="s">
        <v>2045</v>
      </c>
      <c r="B184" s="33" t="s">
        <v>1759</v>
      </c>
      <c r="C184" s="33" t="s">
        <v>1764</v>
      </c>
      <c r="D184" s="33" t="s">
        <v>2139</v>
      </c>
      <c r="E184" s="33" t="s">
        <v>2140</v>
      </c>
      <c r="F184" s="26" t="s">
        <v>24</v>
      </c>
      <c r="G184" s="34" t="s">
        <v>32</v>
      </c>
      <c r="H184" s="34" t="s">
        <v>25</v>
      </c>
      <c r="I184" s="33" t="s">
        <v>1850</v>
      </c>
      <c r="J184" s="34" t="s">
        <v>39</v>
      </c>
      <c r="K184" s="34" t="s">
        <v>132</v>
      </c>
      <c r="L184" s="34" t="s">
        <v>50</v>
      </c>
      <c r="M184" s="33" t="s">
        <v>72</v>
      </c>
      <c r="N184" s="3" t="s">
        <v>35</v>
      </c>
      <c r="O184" s="34" t="s">
        <v>114</v>
      </c>
      <c r="P184" s="33" t="s">
        <v>1948</v>
      </c>
      <c r="Q184" s="33" t="s">
        <v>30</v>
      </c>
      <c r="R184" s="34" t="s">
        <v>119</v>
      </c>
      <c r="S184" s="35">
        <v>1232400</v>
      </c>
      <c r="T184" s="2" t="s">
        <v>44</v>
      </c>
      <c r="U184" s="36">
        <v>2.0118407999999999</v>
      </c>
      <c r="V184" s="36">
        <v>1.0118408203125</v>
      </c>
      <c r="W184" s="37">
        <v>5.0355224609374999E-2</v>
      </c>
      <c r="X184" s="38">
        <v>62057.778808593699</v>
      </c>
    </row>
    <row r="185" spans="1:24" x14ac:dyDescent="0.25">
      <c r="A185" s="33" t="s">
        <v>2047</v>
      </c>
      <c r="B185" s="33" t="s">
        <v>1759</v>
      </c>
      <c r="C185" s="33" t="s">
        <v>1764</v>
      </c>
      <c r="D185" s="33" t="s">
        <v>2143</v>
      </c>
      <c r="E185" s="33" t="s">
        <v>2144</v>
      </c>
      <c r="F185" s="26" t="s">
        <v>24</v>
      </c>
      <c r="G185" s="34" t="s">
        <v>32</v>
      </c>
      <c r="H185" s="34" t="s">
        <v>25</v>
      </c>
      <c r="I185" s="33" t="s">
        <v>1852</v>
      </c>
      <c r="J185" s="34" t="s">
        <v>39</v>
      </c>
      <c r="K185" s="34" t="s">
        <v>145</v>
      </c>
      <c r="L185" s="34" t="s">
        <v>50</v>
      </c>
      <c r="M185" s="33" t="s">
        <v>1929</v>
      </c>
      <c r="N185" s="3" t="s">
        <v>42</v>
      </c>
      <c r="O185" s="34" t="s">
        <v>114</v>
      </c>
      <c r="P185" s="33" t="s">
        <v>1950</v>
      </c>
      <c r="Q185" s="33" t="s">
        <v>30</v>
      </c>
      <c r="R185" s="34" t="s">
        <v>119</v>
      </c>
      <c r="S185" s="35">
        <v>1068900</v>
      </c>
      <c r="T185" s="2" t="s">
        <v>44</v>
      </c>
      <c r="U185" s="36">
        <v>0</v>
      </c>
      <c r="V185" s="36">
        <v>-1</v>
      </c>
      <c r="W185" s="37">
        <v>0</v>
      </c>
      <c r="X185" s="38">
        <v>0</v>
      </c>
    </row>
    <row r="186" spans="1:24" x14ac:dyDescent="0.25">
      <c r="A186" s="33" t="s">
        <v>2049</v>
      </c>
      <c r="B186" s="33" t="s">
        <v>1759</v>
      </c>
      <c r="C186" s="33" t="s">
        <v>1760</v>
      </c>
      <c r="D186" s="33" t="s">
        <v>2147</v>
      </c>
      <c r="E186" s="33" t="s">
        <v>2148</v>
      </c>
      <c r="F186" s="26" t="s">
        <v>24</v>
      </c>
      <c r="G186" s="34" t="s">
        <v>32</v>
      </c>
      <c r="H186" s="34" t="s">
        <v>25</v>
      </c>
      <c r="I186" s="33"/>
      <c r="J186" s="34" t="s">
        <v>26</v>
      </c>
      <c r="K186" s="34" t="s">
        <v>1483</v>
      </c>
      <c r="L186" s="34" t="s">
        <v>45</v>
      </c>
      <c r="M186" s="33" t="s">
        <v>57</v>
      </c>
      <c r="N186" s="3" t="s">
        <v>35</v>
      </c>
      <c r="O186" s="34" t="s">
        <v>114</v>
      </c>
      <c r="P186" s="33" t="s">
        <v>1952</v>
      </c>
      <c r="Q186" s="33" t="s">
        <v>30</v>
      </c>
      <c r="R186" s="34" t="s">
        <v>119</v>
      </c>
      <c r="S186" s="35">
        <v>1007200</v>
      </c>
      <c r="T186" s="2" t="s">
        <v>44</v>
      </c>
      <c r="U186" s="36">
        <v>4.5194089999999996</v>
      </c>
      <c r="V186" s="36">
        <v>3.5194091796875</v>
      </c>
      <c r="W186" s="37">
        <v>0.25116455078125</v>
      </c>
      <c r="X186" s="38">
        <v>252972.935546875</v>
      </c>
    </row>
    <row r="187" spans="1:24" x14ac:dyDescent="0.25">
      <c r="A187" s="33" t="s">
        <v>2050</v>
      </c>
      <c r="B187" s="33" t="s">
        <v>1759</v>
      </c>
      <c r="C187" s="33" t="s">
        <v>2149</v>
      </c>
      <c r="D187" s="33" t="s">
        <v>2150</v>
      </c>
      <c r="E187" s="33" t="s">
        <v>2151</v>
      </c>
      <c r="F187" s="26" t="s">
        <v>24</v>
      </c>
      <c r="G187" s="34" t="s">
        <v>38</v>
      </c>
      <c r="H187" s="34" t="s">
        <v>25</v>
      </c>
      <c r="I187" s="33" t="s">
        <v>1855</v>
      </c>
      <c r="J187" s="34" t="s">
        <v>39</v>
      </c>
      <c r="K187" s="34" t="s">
        <v>92</v>
      </c>
      <c r="L187" s="34" t="s">
        <v>58</v>
      </c>
      <c r="M187" s="33" t="s">
        <v>67</v>
      </c>
      <c r="N187" s="3" t="s">
        <v>112</v>
      </c>
      <c r="O187" s="34" t="s">
        <v>114</v>
      </c>
      <c r="P187" s="33" t="s">
        <v>1954</v>
      </c>
      <c r="Q187" s="33" t="s">
        <v>30</v>
      </c>
      <c r="R187" s="34" t="s">
        <v>119</v>
      </c>
      <c r="S187" s="35">
        <v>925300</v>
      </c>
      <c r="T187" s="2" t="s">
        <v>44</v>
      </c>
      <c r="U187" s="36">
        <v>0</v>
      </c>
      <c r="V187" s="36">
        <v>-1</v>
      </c>
      <c r="W187" s="37">
        <v>0</v>
      </c>
      <c r="X187" s="38">
        <v>0</v>
      </c>
    </row>
    <row r="188" spans="1:24" x14ac:dyDescent="0.25">
      <c r="A188" s="33" t="s">
        <v>1822</v>
      </c>
      <c r="B188" s="33" t="s">
        <v>1759</v>
      </c>
      <c r="C188" s="33" t="s">
        <v>1764</v>
      </c>
      <c r="D188" s="33" t="s">
        <v>1784</v>
      </c>
      <c r="E188" s="33" t="s">
        <v>1785</v>
      </c>
      <c r="F188" s="26" t="s">
        <v>24</v>
      </c>
      <c r="G188" s="34" t="s">
        <v>32</v>
      </c>
      <c r="H188" s="34" t="s">
        <v>25</v>
      </c>
      <c r="I188" s="33"/>
      <c r="J188" s="34" t="s">
        <v>26</v>
      </c>
      <c r="K188" s="34" t="s">
        <v>169</v>
      </c>
      <c r="L188" s="34" t="s">
        <v>27</v>
      </c>
      <c r="M188" s="33" t="s">
        <v>72</v>
      </c>
      <c r="N188" s="3" t="s">
        <v>35</v>
      </c>
      <c r="O188" s="34" t="s">
        <v>114</v>
      </c>
      <c r="P188" s="33" t="s">
        <v>1956</v>
      </c>
      <c r="Q188" s="33" t="s">
        <v>30</v>
      </c>
      <c r="R188" s="34" t="s">
        <v>119</v>
      </c>
      <c r="S188" s="35">
        <v>787900</v>
      </c>
      <c r="T188" s="2" t="s">
        <v>44</v>
      </c>
      <c r="U188" s="36">
        <v>0</v>
      </c>
      <c r="V188" s="36">
        <v>-1</v>
      </c>
      <c r="W188" s="37">
        <v>0</v>
      </c>
      <c r="X188" s="38">
        <v>0</v>
      </c>
    </row>
    <row r="189" spans="1:24" x14ac:dyDescent="0.25">
      <c r="A189" s="33" t="s">
        <v>2052</v>
      </c>
      <c r="B189" s="33" t="s">
        <v>1759</v>
      </c>
      <c r="C189" s="33" t="s">
        <v>2154</v>
      </c>
      <c r="D189" s="33" t="s">
        <v>2155</v>
      </c>
      <c r="E189" s="33" t="s">
        <v>2156</v>
      </c>
      <c r="F189" s="26" t="s">
        <v>24</v>
      </c>
      <c r="G189" s="34" t="s">
        <v>32</v>
      </c>
      <c r="H189" s="34" t="s">
        <v>25</v>
      </c>
      <c r="I189" s="33"/>
      <c r="J189" s="34" t="s">
        <v>36</v>
      </c>
      <c r="K189" s="34" t="s">
        <v>87</v>
      </c>
      <c r="L189" s="34"/>
      <c r="M189" s="33" t="s">
        <v>1930</v>
      </c>
      <c r="N189" s="3" t="s">
        <v>42</v>
      </c>
      <c r="O189" s="34" t="s">
        <v>114</v>
      </c>
      <c r="P189" s="33" t="s">
        <v>1958</v>
      </c>
      <c r="Q189" s="33" t="s">
        <v>30</v>
      </c>
      <c r="R189" s="34" t="s">
        <v>119</v>
      </c>
      <c r="S189" s="35">
        <v>719870</v>
      </c>
      <c r="T189" s="2" t="s">
        <v>121</v>
      </c>
      <c r="U189" s="36">
        <v>0.70556640000000004</v>
      </c>
      <c r="V189" s="36">
        <v>-0.29443359375</v>
      </c>
      <c r="W189" s="37">
        <v>0.1058349609375</v>
      </c>
      <c r="X189" s="38">
        <v>76187.413330078096</v>
      </c>
    </row>
    <row r="190" spans="1:24" x14ac:dyDescent="0.25">
      <c r="A190" s="33" t="s">
        <v>2057</v>
      </c>
      <c r="B190" s="33" t="s">
        <v>1759</v>
      </c>
      <c r="C190" s="33" t="s">
        <v>1773</v>
      </c>
      <c r="D190" s="33" t="s">
        <v>2165</v>
      </c>
      <c r="E190" s="33" t="s">
        <v>2166</v>
      </c>
      <c r="F190" s="26" t="s">
        <v>24</v>
      </c>
      <c r="G190" s="34" t="s">
        <v>32</v>
      </c>
      <c r="H190" s="34" t="s">
        <v>25</v>
      </c>
      <c r="I190" s="33"/>
      <c r="J190" s="34" t="s">
        <v>26</v>
      </c>
      <c r="K190" s="34" t="s">
        <v>136</v>
      </c>
      <c r="L190" s="34" t="s">
        <v>37</v>
      </c>
      <c r="M190" s="33" t="s">
        <v>148</v>
      </c>
      <c r="N190" s="3" t="s">
        <v>113</v>
      </c>
      <c r="O190" s="34" t="s">
        <v>115</v>
      </c>
      <c r="P190" s="33" t="s">
        <v>1963</v>
      </c>
      <c r="Q190" s="33" t="s">
        <v>30</v>
      </c>
      <c r="R190" s="34" t="s">
        <v>119</v>
      </c>
      <c r="S190" s="35">
        <v>674500</v>
      </c>
      <c r="T190" s="2" t="s">
        <v>44</v>
      </c>
      <c r="U190" s="36">
        <v>0</v>
      </c>
      <c r="V190" s="36">
        <v>-1</v>
      </c>
      <c r="W190" s="37">
        <v>0</v>
      </c>
      <c r="X190" s="38">
        <v>0</v>
      </c>
    </row>
    <row r="191" spans="1:24" x14ac:dyDescent="0.25">
      <c r="A191" s="33" t="s">
        <v>2061</v>
      </c>
      <c r="B191" s="33" t="s">
        <v>1759</v>
      </c>
      <c r="C191" s="33" t="s">
        <v>2173</v>
      </c>
      <c r="D191" s="33" t="s">
        <v>2174</v>
      </c>
      <c r="E191" s="33" t="s">
        <v>2175</v>
      </c>
      <c r="F191" s="26" t="s">
        <v>24</v>
      </c>
      <c r="G191" s="34" t="s">
        <v>38</v>
      </c>
      <c r="H191" s="34" t="s">
        <v>25</v>
      </c>
      <c r="I191" s="33" t="s">
        <v>1865</v>
      </c>
      <c r="J191" s="34" t="s">
        <v>26</v>
      </c>
      <c r="K191" s="34" t="s">
        <v>126</v>
      </c>
      <c r="L191" s="34" t="s">
        <v>27</v>
      </c>
      <c r="M191" s="33" t="s">
        <v>48</v>
      </c>
      <c r="N191" s="3" t="s">
        <v>35</v>
      </c>
      <c r="O191" s="34" t="s">
        <v>114</v>
      </c>
      <c r="P191" s="33" t="s">
        <v>1967</v>
      </c>
      <c r="Q191" s="33" t="s">
        <v>30</v>
      </c>
      <c r="R191" s="34" t="s">
        <v>119</v>
      </c>
      <c r="S191" s="35">
        <v>633000</v>
      </c>
      <c r="T191" s="2" t="s">
        <v>44</v>
      </c>
      <c r="U191" s="36">
        <v>0</v>
      </c>
      <c r="V191" s="36">
        <v>-1</v>
      </c>
      <c r="W191" s="37">
        <v>0</v>
      </c>
      <c r="X191" s="38">
        <v>0</v>
      </c>
    </row>
    <row r="192" spans="1:24" x14ac:dyDescent="0.25">
      <c r="A192" s="33" t="s">
        <v>2063</v>
      </c>
      <c r="B192" s="33" t="s">
        <v>1759</v>
      </c>
      <c r="C192" s="33" t="s">
        <v>1764</v>
      </c>
      <c r="D192" s="33" t="s">
        <v>2178</v>
      </c>
      <c r="E192" s="33" t="s">
        <v>2179</v>
      </c>
      <c r="F192" s="26" t="s">
        <v>24</v>
      </c>
      <c r="G192" s="34" t="s">
        <v>32</v>
      </c>
      <c r="H192" s="34" t="s">
        <v>25</v>
      </c>
      <c r="I192" s="33" t="s">
        <v>1867</v>
      </c>
      <c r="J192" s="34" t="s">
        <v>26</v>
      </c>
      <c r="K192" s="34" t="s">
        <v>127</v>
      </c>
      <c r="L192" s="34" t="s">
        <v>27</v>
      </c>
      <c r="M192" s="33" t="s">
        <v>56</v>
      </c>
      <c r="N192" s="3" t="s">
        <v>35</v>
      </c>
      <c r="O192" s="34" t="s">
        <v>114</v>
      </c>
      <c r="P192" s="33" t="s">
        <v>1969</v>
      </c>
      <c r="Q192" s="33" t="s">
        <v>30</v>
      </c>
      <c r="R192" s="34" t="s">
        <v>119</v>
      </c>
      <c r="S192" s="35">
        <v>615200</v>
      </c>
      <c r="T192" s="2" t="s">
        <v>44</v>
      </c>
      <c r="U192" s="36">
        <v>1.8149413999999999</v>
      </c>
      <c r="V192" s="36">
        <v>0.81494140625</v>
      </c>
      <c r="W192" s="37">
        <v>9.3344726562499994E-2</v>
      </c>
      <c r="X192" s="38">
        <v>57425.675781249898</v>
      </c>
    </row>
    <row r="193" spans="1:24" x14ac:dyDescent="0.25">
      <c r="A193" s="33" t="s">
        <v>2064</v>
      </c>
      <c r="B193" s="33" t="s">
        <v>1759</v>
      </c>
      <c r="C193" s="33" t="s">
        <v>2180</v>
      </c>
      <c r="D193" s="33" t="s">
        <v>2181</v>
      </c>
      <c r="E193" s="33" t="s">
        <v>2182</v>
      </c>
      <c r="F193" s="26" t="s">
        <v>24</v>
      </c>
      <c r="G193" s="34" t="s">
        <v>38</v>
      </c>
      <c r="H193" s="34" t="s">
        <v>25</v>
      </c>
      <c r="I193" s="33" t="s">
        <v>1868</v>
      </c>
      <c r="J193" s="34" t="s">
        <v>39</v>
      </c>
      <c r="K193" s="34" t="s">
        <v>1477</v>
      </c>
      <c r="L193" s="34" t="s">
        <v>37</v>
      </c>
      <c r="M193" s="33" t="s">
        <v>148</v>
      </c>
      <c r="N193" s="3" t="s">
        <v>113</v>
      </c>
      <c r="O193" s="34" t="s">
        <v>114</v>
      </c>
      <c r="P193" s="33" t="s">
        <v>1970</v>
      </c>
      <c r="Q193" s="33" t="s">
        <v>30</v>
      </c>
      <c r="R193" s="34" t="s">
        <v>119</v>
      </c>
      <c r="S193" s="35">
        <v>610700</v>
      </c>
      <c r="T193" s="2" t="s">
        <v>44</v>
      </c>
      <c r="U193" s="36">
        <v>0</v>
      </c>
      <c r="V193" s="36">
        <v>-1</v>
      </c>
      <c r="W193" s="37">
        <v>0</v>
      </c>
      <c r="X193" s="38">
        <v>0</v>
      </c>
    </row>
    <row r="194" spans="1:24" x14ac:dyDescent="0.25">
      <c r="A194" s="33" t="s">
        <v>2066</v>
      </c>
      <c r="B194" s="33" t="s">
        <v>1759</v>
      </c>
      <c r="C194" s="33" t="s">
        <v>2185</v>
      </c>
      <c r="D194" s="33" t="s">
        <v>2186</v>
      </c>
      <c r="E194" s="33" t="s">
        <v>2187</v>
      </c>
      <c r="F194" s="26" t="s">
        <v>24</v>
      </c>
      <c r="G194" s="34" t="s">
        <v>38</v>
      </c>
      <c r="H194" s="34" t="s">
        <v>25</v>
      </c>
      <c r="I194" s="33" t="s">
        <v>1869</v>
      </c>
      <c r="J194" s="34" t="s">
        <v>26</v>
      </c>
      <c r="K194" s="34" t="s">
        <v>160</v>
      </c>
      <c r="L194" s="34" t="s">
        <v>38</v>
      </c>
      <c r="M194" s="33" t="s">
        <v>46</v>
      </c>
      <c r="N194" s="3" t="s">
        <v>35</v>
      </c>
      <c r="O194" s="34" t="s">
        <v>114</v>
      </c>
      <c r="P194" s="33" t="s">
        <v>1972</v>
      </c>
      <c r="Q194" s="33" t="s">
        <v>30</v>
      </c>
      <c r="R194" s="34" t="s">
        <v>119</v>
      </c>
      <c r="S194" s="35">
        <v>603300</v>
      </c>
      <c r="T194" s="2" t="s">
        <v>44</v>
      </c>
      <c r="U194" s="36">
        <v>0</v>
      </c>
      <c r="V194" s="36">
        <v>-1</v>
      </c>
      <c r="W194" s="37">
        <v>0</v>
      </c>
      <c r="X194" s="38">
        <v>0</v>
      </c>
    </row>
    <row r="195" spans="1:24" x14ac:dyDescent="0.25">
      <c r="A195" s="33" t="s">
        <v>2068</v>
      </c>
      <c r="B195" s="33" t="s">
        <v>1759</v>
      </c>
      <c r="C195" s="33" t="s">
        <v>1773</v>
      </c>
      <c r="D195" s="33" t="s">
        <v>2190</v>
      </c>
      <c r="E195" s="33" t="s">
        <v>2191</v>
      </c>
      <c r="F195" s="26" t="s">
        <v>24</v>
      </c>
      <c r="G195" s="34" t="s">
        <v>32</v>
      </c>
      <c r="H195" s="34" t="s">
        <v>25</v>
      </c>
      <c r="I195" s="33" t="s">
        <v>1872</v>
      </c>
      <c r="J195" s="34" t="s">
        <v>39</v>
      </c>
      <c r="K195" s="34" t="s">
        <v>96</v>
      </c>
      <c r="L195" s="34" t="s">
        <v>50</v>
      </c>
      <c r="M195" s="33" t="s">
        <v>67</v>
      </c>
      <c r="N195" s="3" t="s">
        <v>112</v>
      </c>
      <c r="O195" s="34" t="s">
        <v>114</v>
      </c>
      <c r="P195" s="33" t="s">
        <v>1974</v>
      </c>
      <c r="Q195" s="33" t="s">
        <v>30</v>
      </c>
      <c r="R195" s="34" t="s">
        <v>119</v>
      </c>
      <c r="S195" s="35">
        <v>589700</v>
      </c>
      <c r="T195" s="2" t="s">
        <v>44</v>
      </c>
      <c r="U195" s="36">
        <v>0.10894775399999999</v>
      </c>
      <c r="V195" s="36">
        <v>-0.89105224609375</v>
      </c>
      <c r="W195" s="37">
        <v>0</v>
      </c>
      <c r="X195" s="38">
        <v>0</v>
      </c>
    </row>
    <row r="196" spans="1:24" x14ac:dyDescent="0.25">
      <c r="A196" s="33" t="s">
        <v>2070</v>
      </c>
      <c r="B196" s="33" t="s">
        <v>1759</v>
      </c>
      <c r="C196" s="33" t="s">
        <v>1764</v>
      </c>
      <c r="D196" s="33" t="s">
        <v>2194</v>
      </c>
      <c r="E196" s="33" t="s">
        <v>2195</v>
      </c>
      <c r="F196" s="26" t="s">
        <v>24</v>
      </c>
      <c r="G196" s="34" t="s">
        <v>32</v>
      </c>
      <c r="H196" s="34" t="s">
        <v>25</v>
      </c>
      <c r="I196" s="33" t="s">
        <v>1874</v>
      </c>
      <c r="J196" s="34" t="s">
        <v>39</v>
      </c>
      <c r="K196" s="34" t="s">
        <v>146</v>
      </c>
      <c r="L196" s="34" t="s">
        <v>54</v>
      </c>
      <c r="M196" s="33" t="s">
        <v>148</v>
      </c>
      <c r="N196" s="3" t="s">
        <v>113</v>
      </c>
      <c r="O196" s="34" t="s">
        <v>115</v>
      </c>
      <c r="P196" s="33" t="s">
        <v>1976</v>
      </c>
      <c r="Q196" s="33" t="s">
        <v>30</v>
      </c>
      <c r="R196" s="34" t="s">
        <v>119</v>
      </c>
      <c r="S196" s="35">
        <v>554500</v>
      </c>
      <c r="T196" s="2" t="s">
        <v>44</v>
      </c>
      <c r="U196" s="36">
        <v>1.3228150000000001</v>
      </c>
      <c r="V196" s="36">
        <v>0.32281494140625</v>
      </c>
      <c r="W196" s="37">
        <v>7.1019287109374996E-2</v>
      </c>
      <c r="X196" s="38">
        <v>39380.194702148401</v>
      </c>
    </row>
    <row r="197" spans="1:24" x14ac:dyDescent="0.25">
      <c r="A197" s="33" t="s">
        <v>2072</v>
      </c>
      <c r="B197" s="33" t="s">
        <v>1759</v>
      </c>
      <c r="C197" s="33" t="s">
        <v>1760</v>
      </c>
      <c r="D197" s="33" t="s">
        <v>2198</v>
      </c>
      <c r="E197" s="33" t="s">
        <v>2199</v>
      </c>
      <c r="F197" s="26" t="s">
        <v>24</v>
      </c>
      <c r="G197" s="34" t="s">
        <v>38</v>
      </c>
      <c r="H197" s="34" t="s">
        <v>25</v>
      </c>
      <c r="I197" s="33" t="s">
        <v>1876</v>
      </c>
      <c r="J197" s="34" t="s">
        <v>26</v>
      </c>
      <c r="K197" s="34" t="s">
        <v>93</v>
      </c>
      <c r="L197" s="34" t="s">
        <v>51</v>
      </c>
      <c r="M197" s="33" t="s">
        <v>41</v>
      </c>
      <c r="N197" s="3" t="s">
        <v>42</v>
      </c>
      <c r="O197" s="34" t="s">
        <v>114</v>
      </c>
      <c r="P197" s="33" t="s">
        <v>1978</v>
      </c>
      <c r="Q197" s="33" t="s">
        <v>43</v>
      </c>
      <c r="R197" s="34" t="s">
        <v>120</v>
      </c>
      <c r="S197" s="35">
        <v>538600</v>
      </c>
      <c r="T197" s="2" t="s">
        <v>44</v>
      </c>
      <c r="U197" s="36">
        <v>0</v>
      </c>
      <c r="V197" s="36">
        <v>-4</v>
      </c>
      <c r="W197" s="37">
        <v>0</v>
      </c>
      <c r="X197" s="38">
        <v>0</v>
      </c>
    </row>
    <row r="198" spans="1:24" x14ac:dyDescent="0.25">
      <c r="A198" s="33" t="s">
        <v>2074</v>
      </c>
      <c r="B198" s="33" t="s">
        <v>1759</v>
      </c>
      <c r="C198" s="33" t="s">
        <v>1776</v>
      </c>
      <c r="D198" s="33" t="s">
        <v>2202</v>
      </c>
      <c r="E198" s="33" t="s">
        <v>2203</v>
      </c>
      <c r="F198" s="26" t="s">
        <v>24</v>
      </c>
      <c r="G198" s="34" t="s">
        <v>32</v>
      </c>
      <c r="H198" s="34" t="s">
        <v>25</v>
      </c>
      <c r="I198" s="33" t="s">
        <v>1878</v>
      </c>
      <c r="J198" s="34" t="s">
        <v>26</v>
      </c>
      <c r="K198" s="34" t="s">
        <v>117</v>
      </c>
      <c r="L198" s="34" t="s">
        <v>54</v>
      </c>
      <c r="M198" s="33" t="s">
        <v>48</v>
      </c>
      <c r="N198" s="3" t="s">
        <v>35</v>
      </c>
      <c r="O198" s="34" t="s">
        <v>115</v>
      </c>
      <c r="P198" s="33" t="s">
        <v>1979</v>
      </c>
      <c r="Q198" s="33" t="s">
        <v>30</v>
      </c>
      <c r="R198" s="34" t="s">
        <v>119</v>
      </c>
      <c r="S198" s="35">
        <v>521300</v>
      </c>
      <c r="T198" s="2" t="s">
        <v>31</v>
      </c>
      <c r="U198" s="36">
        <v>0</v>
      </c>
      <c r="V198" s="36">
        <v>-1</v>
      </c>
      <c r="W198" s="37">
        <v>0</v>
      </c>
      <c r="X198" s="38">
        <v>0</v>
      </c>
    </row>
    <row r="199" spans="1:24" x14ac:dyDescent="0.25">
      <c r="A199" s="33" t="s">
        <v>2076</v>
      </c>
      <c r="B199" s="33" t="s">
        <v>1759</v>
      </c>
      <c r="C199" s="33" t="s">
        <v>1773</v>
      </c>
      <c r="D199" s="33" t="s">
        <v>2206</v>
      </c>
      <c r="E199" s="33" t="s">
        <v>2207</v>
      </c>
      <c r="F199" s="26" t="s">
        <v>24</v>
      </c>
      <c r="G199" s="34" t="s">
        <v>38</v>
      </c>
      <c r="H199" s="34" t="s">
        <v>25</v>
      </c>
      <c r="I199" s="33" t="s">
        <v>1880</v>
      </c>
      <c r="J199" s="34" t="s">
        <v>26</v>
      </c>
      <c r="K199" s="34" t="s">
        <v>99</v>
      </c>
      <c r="L199" s="34" t="s">
        <v>58</v>
      </c>
      <c r="M199" s="33" t="s">
        <v>59</v>
      </c>
      <c r="N199" s="3" t="s">
        <v>42</v>
      </c>
      <c r="O199" s="34" t="s">
        <v>114</v>
      </c>
      <c r="P199" s="33" t="s">
        <v>1981</v>
      </c>
      <c r="Q199" s="33" t="s">
        <v>30</v>
      </c>
      <c r="R199" s="34" t="s">
        <v>119</v>
      </c>
      <c r="S199" s="35">
        <v>512700</v>
      </c>
      <c r="T199" s="2" t="s">
        <v>31</v>
      </c>
      <c r="U199" s="36">
        <v>0</v>
      </c>
      <c r="V199" s="36">
        <v>-1</v>
      </c>
      <c r="W199" s="37">
        <v>0</v>
      </c>
      <c r="X199" s="38">
        <v>0</v>
      </c>
    </row>
    <row r="200" spans="1:24" x14ac:dyDescent="0.25">
      <c r="A200" s="33" t="s">
        <v>2077</v>
      </c>
      <c r="B200" s="33" t="s">
        <v>1759</v>
      </c>
      <c r="C200" s="33" t="s">
        <v>1773</v>
      </c>
      <c r="D200" s="33" t="s">
        <v>2206</v>
      </c>
      <c r="E200" s="33" t="s">
        <v>2208</v>
      </c>
      <c r="F200" s="26" t="s">
        <v>24</v>
      </c>
      <c r="G200" s="34" t="s">
        <v>38</v>
      </c>
      <c r="H200" s="34" t="s">
        <v>25</v>
      </c>
      <c r="I200" s="33" t="s">
        <v>1880</v>
      </c>
      <c r="J200" s="34" t="s">
        <v>26</v>
      </c>
      <c r="K200" s="34" t="s">
        <v>99</v>
      </c>
      <c r="L200" s="34" t="s">
        <v>58</v>
      </c>
      <c r="M200" s="33" t="s">
        <v>59</v>
      </c>
      <c r="N200" s="3" t="s">
        <v>42</v>
      </c>
      <c r="O200" s="34" t="s">
        <v>114</v>
      </c>
      <c r="P200" s="33" t="s">
        <v>1981</v>
      </c>
      <c r="Q200" s="33" t="s">
        <v>30</v>
      </c>
      <c r="R200" s="34" t="s">
        <v>119</v>
      </c>
      <c r="S200" s="35">
        <v>512700</v>
      </c>
      <c r="T200" s="2" t="s">
        <v>31</v>
      </c>
      <c r="U200" s="36">
        <v>0</v>
      </c>
      <c r="V200" s="36">
        <v>-1</v>
      </c>
      <c r="W200" s="37">
        <v>0</v>
      </c>
      <c r="X200" s="38">
        <v>0</v>
      </c>
    </row>
    <row r="201" spans="1:24" x14ac:dyDescent="0.25">
      <c r="A201" s="33" t="s">
        <v>2079</v>
      </c>
      <c r="B201" s="33" t="s">
        <v>1759</v>
      </c>
      <c r="C201" s="33" t="s">
        <v>212</v>
      </c>
      <c r="D201" s="33" t="s">
        <v>2211</v>
      </c>
      <c r="E201" s="33" t="s">
        <v>2212</v>
      </c>
      <c r="F201" s="26" t="s">
        <v>24</v>
      </c>
      <c r="G201" s="34" t="s">
        <v>32</v>
      </c>
      <c r="H201" s="34" t="s">
        <v>25</v>
      </c>
      <c r="I201" s="33" t="s">
        <v>1882</v>
      </c>
      <c r="J201" s="34" t="s">
        <v>26</v>
      </c>
      <c r="K201" s="34" t="s">
        <v>139</v>
      </c>
      <c r="L201" s="34" t="s">
        <v>58</v>
      </c>
      <c r="M201" s="33" t="s">
        <v>72</v>
      </c>
      <c r="N201" s="3" t="s">
        <v>35</v>
      </c>
      <c r="O201" s="34" t="s">
        <v>114</v>
      </c>
      <c r="P201" s="33" t="s">
        <v>1983</v>
      </c>
      <c r="Q201" s="33" t="s">
        <v>30</v>
      </c>
      <c r="R201" s="34" t="s">
        <v>119</v>
      </c>
      <c r="S201" s="35">
        <v>502000</v>
      </c>
      <c r="T201" s="2" t="s">
        <v>44</v>
      </c>
      <c r="U201" s="36">
        <v>5.522278</v>
      </c>
      <c r="V201" s="36">
        <v>4.52227783203125</v>
      </c>
      <c r="W201" s="37">
        <v>0.14566833496093701</v>
      </c>
      <c r="X201" s="38">
        <v>73125.504150390596</v>
      </c>
    </row>
    <row r="202" spans="1:24" x14ac:dyDescent="0.25">
      <c r="A202" s="33" t="s">
        <v>2083</v>
      </c>
      <c r="B202" s="33" t="s">
        <v>1759</v>
      </c>
      <c r="C202" s="33" t="s">
        <v>2219</v>
      </c>
      <c r="D202" s="33" t="s">
        <v>2220</v>
      </c>
      <c r="E202" s="33" t="s">
        <v>2221</v>
      </c>
      <c r="F202" s="26" t="s">
        <v>24</v>
      </c>
      <c r="G202" s="34" t="s">
        <v>38</v>
      </c>
      <c r="H202" s="34" t="s">
        <v>25</v>
      </c>
      <c r="I202" s="33" t="s">
        <v>1887</v>
      </c>
      <c r="J202" s="34" t="s">
        <v>26</v>
      </c>
      <c r="K202" s="34" t="s">
        <v>125</v>
      </c>
      <c r="L202" s="34" t="s">
        <v>50</v>
      </c>
      <c r="M202" s="33" t="s">
        <v>48</v>
      </c>
      <c r="N202" s="3" t="s">
        <v>35</v>
      </c>
      <c r="O202" s="34" t="s">
        <v>114</v>
      </c>
      <c r="P202" s="33" t="s">
        <v>1988</v>
      </c>
      <c r="Q202" s="33" t="s">
        <v>30</v>
      </c>
      <c r="R202" s="34" t="s">
        <v>119</v>
      </c>
      <c r="S202" s="35">
        <v>468900</v>
      </c>
      <c r="T202" s="2" t="s">
        <v>44</v>
      </c>
      <c r="U202" s="36">
        <v>0</v>
      </c>
      <c r="V202" s="36">
        <v>-1</v>
      </c>
      <c r="W202" s="37">
        <v>0</v>
      </c>
      <c r="X202" s="38">
        <v>0</v>
      </c>
    </row>
    <row r="203" spans="1:24" x14ac:dyDescent="0.25">
      <c r="A203" s="33" t="s">
        <v>1832</v>
      </c>
      <c r="B203" s="33" t="s">
        <v>1759</v>
      </c>
      <c r="C203" s="33" t="s">
        <v>1776</v>
      </c>
      <c r="D203" s="33" t="s">
        <v>1804</v>
      </c>
      <c r="E203" s="33" t="s">
        <v>1805</v>
      </c>
      <c r="F203" s="26" t="s">
        <v>24</v>
      </c>
      <c r="G203" s="34" t="s">
        <v>32</v>
      </c>
      <c r="H203" s="34" t="s">
        <v>25</v>
      </c>
      <c r="I203" s="33" t="s">
        <v>1890</v>
      </c>
      <c r="J203" s="34" t="s">
        <v>39</v>
      </c>
      <c r="K203" s="34" t="s">
        <v>145</v>
      </c>
      <c r="L203" s="34" t="s">
        <v>50</v>
      </c>
      <c r="M203" s="33" t="s">
        <v>48</v>
      </c>
      <c r="N203" s="3" t="s">
        <v>35</v>
      </c>
      <c r="O203" s="34" t="s">
        <v>114</v>
      </c>
      <c r="P203" s="33" t="s">
        <v>1991</v>
      </c>
      <c r="Q203" s="33" t="s">
        <v>30</v>
      </c>
      <c r="R203" s="34" t="s">
        <v>119</v>
      </c>
      <c r="S203" s="35">
        <v>447400</v>
      </c>
      <c r="T203" s="2" t="s">
        <v>31</v>
      </c>
      <c r="U203" s="36">
        <v>0</v>
      </c>
      <c r="V203" s="36">
        <v>-1</v>
      </c>
      <c r="W203" s="37">
        <v>0</v>
      </c>
      <c r="X203" s="38">
        <v>0</v>
      </c>
    </row>
    <row r="204" spans="1:24" x14ac:dyDescent="0.25">
      <c r="A204" s="33" t="s">
        <v>2088</v>
      </c>
      <c r="B204" s="33" t="s">
        <v>1759</v>
      </c>
      <c r="C204" s="33" t="s">
        <v>1760</v>
      </c>
      <c r="D204" s="33" t="s">
        <v>2230</v>
      </c>
      <c r="E204" s="33" t="s">
        <v>2231</v>
      </c>
      <c r="F204" s="26" t="s">
        <v>24</v>
      </c>
      <c r="G204" s="34" t="s">
        <v>32</v>
      </c>
      <c r="H204" s="34" t="s">
        <v>25</v>
      </c>
      <c r="I204" s="33" t="s">
        <v>1894</v>
      </c>
      <c r="J204" s="34" t="s">
        <v>39</v>
      </c>
      <c r="K204" s="34" t="s">
        <v>96</v>
      </c>
      <c r="L204" s="34" t="s">
        <v>50</v>
      </c>
      <c r="M204" s="33" t="s">
        <v>48</v>
      </c>
      <c r="N204" s="3" t="s">
        <v>35</v>
      </c>
      <c r="O204" s="34" t="s">
        <v>114</v>
      </c>
      <c r="P204" s="33" t="s">
        <v>1996</v>
      </c>
      <c r="Q204" s="33" t="s">
        <v>30</v>
      </c>
      <c r="R204" s="34" t="s">
        <v>119</v>
      </c>
      <c r="S204" s="35">
        <v>427900</v>
      </c>
      <c r="T204" s="2" t="s">
        <v>31</v>
      </c>
      <c r="U204" s="36">
        <v>3.0102540000000002</v>
      </c>
      <c r="V204" s="36">
        <v>2.01025390625</v>
      </c>
      <c r="W204" s="37">
        <v>0.14020507812499999</v>
      </c>
      <c r="X204" s="38">
        <v>59993.7529296875</v>
      </c>
    </row>
    <row r="205" spans="1:24" x14ac:dyDescent="0.25">
      <c r="A205" s="33" t="s">
        <v>2090</v>
      </c>
      <c r="B205" s="33" t="s">
        <v>1759</v>
      </c>
      <c r="C205" s="33" t="s">
        <v>1760</v>
      </c>
      <c r="D205" s="33" t="s">
        <v>2234</v>
      </c>
      <c r="E205" s="33" t="s">
        <v>2235</v>
      </c>
      <c r="F205" s="26" t="s">
        <v>24</v>
      </c>
      <c r="G205" s="34" t="s">
        <v>32</v>
      </c>
      <c r="H205" s="34" t="s">
        <v>25</v>
      </c>
      <c r="I205" s="33"/>
      <c r="J205" s="34" t="s">
        <v>26</v>
      </c>
      <c r="K205" s="34" t="s">
        <v>142</v>
      </c>
      <c r="L205" s="34" t="s">
        <v>27</v>
      </c>
      <c r="M205" s="33" t="s">
        <v>52</v>
      </c>
      <c r="N205" s="3" t="s">
        <v>35</v>
      </c>
      <c r="O205" s="34" t="s">
        <v>114</v>
      </c>
      <c r="P205" s="33" t="s">
        <v>2000</v>
      </c>
      <c r="Q205" s="33" t="s">
        <v>30</v>
      </c>
      <c r="R205" s="34" t="s">
        <v>119</v>
      </c>
      <c r="S205" s="35">
        <v>408600</v>
      </c>
      <c r="T205" s="2" t="s">
        <v>44</v>
      </c>
      <c r="U205" s="36">
        <v>3.1087036000000001</v>
      </c>
      <c r="V205" s="36">
        <v>2.10870361328125</v>
      </c>
      <c r="W205" s="37">
        <v>0.111087036132812</v>
      </c>
      <c r="X205" s="38">
        <v>45390.1629638671</v>
      </c>
    </row>
    <row r="206" spans="1:24" x14ac:dyDescent="0.25">
      <c r="A206" s="33" t="s">
        <v>2092</v>
      </c>
      <c r="B206" s="33" t="s">
        <v>1759</v>
      </c>
      <c r="C206" s="33" t="s">
        <v>1776</v>
      </c>
      <c r="D206" s="33" t="s">
        <v>2238</v>
      </c>
      <c r="E206" s="33" t="s">
        <v>2239</v>
      </c>
      <c r="F206" s="26" t="s">
        <v>24</v>
      </c>
      <c r="G206" s="34" t="s">
        <v>32</v>
      </c>
      <c r="H206" s="34" t="s">
        <v>25</v>
      </c>
      <c r="I206" s="33" t="s">
        <v>1900</v>
      </c>
      <c r="J206" s="34" t="s">
        <v>26</v>
      </c>
      <c r="K206" s="34" t="s">
        <v>126</v>
      </c>
      <c r="L206" s="34" t="s">
        <v>38</v>
      </c>
      <c r="M206" s="33" t="s">
        <v>52</v>
      </c>
      <c r="N206" s="3" t="s">
        <v>35</v>
      </c>
      <c r="O206" s="34" t="s">
        <v>114</v>
      </c>
      <c r="P206" s="33" t="s">
        <v>2003</v>
      </c>
      <c r="Q206" s="33" t="s">
        <v>30</v>
      </c>
      <c r="R206" s="34" t="s">
        <v>119</v>
      </c>
      <c r="S206" s="35">
        <v>386800</v>
      </c>
      <c r="T206" s="2" t="s">
        <v>44</v>
      </c>
      <c r="U206" s="36">
        <v>0</v>
      </c>
      <c r="V206" s="36">
        <v>-1</v>
      </c>
      <c r="W206" s="37">
        <v>0</v>
      </c>
      <c r="X206" s="38">
        <v>0</v>
      </c>
    </row>
    <row r="207" spans="1:24" x14ac:dyDescent="0.25">
      <c r="A207" s="33" t="s">
        <v>2094</v>
      </c>
      <c r="B207" s="33" t="s">
        <v>1759</v>
      </c>
      <c r="C207" s="33" t="s">
        <v>212</v>
      </c>
      <c r="D207" s="33" t="s">
        <v>2242</v>
      </c>
      <c r="E207" s="33" t="s">
        <v>2243</v>
      </c>
      <c r="F207" s="26" t="s">
        <v>24</v>
      </c>
      <c r="G207" s="34" t="s">
        <v>32</v>
      </c>
      <c r="H207" s="34" t="s">
        <v>25</v>
      </c>
      <c r="I207" s="33" t="s">
        <v>1902</v>
      </c>
      <c r="J207" s="34" t="s">
        <v>26</v>
      </c>
      <c r="K207" s="34" t="s">
        <v>160</v>
      </c>
      <c r="L207" s="34" t="s">
        <v>37</v>
      </c>
      <c r="M207" s="33" t="s">
        <v>48</v>
      </c>
      <c r="N207" s="3" t="s">
        <v>35</v>
      </c>
      <c r="O207" s="34" t="s">
        <v>114</v>
      </c>
      <c r="P207" s="33" t="s">
        <v>2005</v>
      </c>
      <c r="Q207" s="33" t="s">
        <v>30</v>
      </c>
      <c r="R207" s="34" t="s">
        <v>119</v>
      </c>
      <c r="S207" s="35">
        <v>374400</v>
      </c>
      <c r="T207" s="2" t="s">
        <v>44</v>
      </c>
      <c r="U207" s="36">
        <v>10.509216</v>
      </c>
      <c r="V207" s="36">
        <v>9.50921630859375</v>
      </c>
      <c r="W207" s="37">
        <v>0.36036865234374998</v>
      </c>
      <c r="X207" s="38">
        <v>134922.0234375</v>
      </c>
    </row>
    <row r="208" spans="1:24" x14ac:dyDescent="0.25">
      <c r="A208" s="33" t="s">
        <v>2097</v>
      </c>
      <c r="B208" s="33" t="s">
        <v>1759</v>
      </c>
      <c r="C208" s="33" t="s">
        <v>2154</v>
      </c>
      <c r="D208" s="33" t="s">
        <v>2248</v>
      </c>
      <c r="E208" s="33" t="s">
        <v>2249</v>
      </c>
      <c r="F208" s="26" t="s">
        <v>24</v>
      </c>
      <c r="G208" s="34" t="s">
        <v>32</v>
      </c>
      <c r="H208" s="34" t="s">
        <v>25</v>
      </c>
      <c r="I208" s="33" t="s">
        <v>1905</v>
      </c>
      <c r="J208" s="34" t="s">
        <v>26</v>
      </c>
      <c r="K208" s="34" t="s">
        <v>127</v>
      </c>
      <c r="L208" s="34" t="s">
        <v>51</v>
      </c>
      <c r="M208" s="33" t="s">
        <v>41</v>
      </c>
      <c r="N208" s="3" t="s">
        <v>42</v>
      </c>
      <c r="O208" s="34" t="s">
        <v>115</v>
      </c>
      <c r="P208" s="33" t="s">
        <v>2009</v>
      </c>
      <c r="Q208" s="33" t="s">
        <v>43</v>
      </c>
      <c r="R208" s="34" t="s">
        <v>120</v>
      </c>
      <c r="S208" s="35">
        <v>356000</v>
      </c>
      <c r="T208" s="2" t="s">
        <v>44</v>
      </c>
      <c r="U208" s="36">
        <v>0</v>
      </c>
      <c r="V208" s="36">
        <v>-4</v>
      </c>
      <c r="W208" s="37">
        <v>0</v>
      </c>
      <c r="X208" s="38">
        <v>0</v>
      </c>
    </row>
    <row r="209" spans="1:24" x14ac:dyDescent="0.25">
      <c r="A209" s="33" t="s">
        <v>1820</v>
      </c>
      <c r="B209" s="33" t="s">
        <v>1759</v>
      </c>
      <c r="C209" s="33" t="s">
        <v>394</v>
      </c>
      <c r="D209" s="33" t="s">
        <v>1779</v>
      </c>
      <c r="E209" s="33" t="s">
        <v>1780</v>
      </c>
      <c r="F209" s="26" t="s">
        <v>24</v>
      </c>
      <c r="G209" s="34" t="s">
        <v>55</v>
      </c>
      <c r="H209" s="34" t="s">
        <v>25</v>
      </c>
      <c r="I209" s="33" t="s">
        <v>1906</v>
      </c>
      <c r="J209" s="34" t="s">
        <v>162</v>
      </c>
      <c r="K209" s="34" t="s">
        <v>133</v>
      </c>
      <c r="L209" s="34" t="s">
        <v>51</v>
      </c>
      <c r="M209" s="33" t="s">
        <v>41</v>
      </c>
      <c r="N209" s="3" t="s">
        <v>42</v>
      </c>
      <c r="O209" s="34" t="s">
        <v>114</v>
      </c>
      <c r="P209" s="33" t="s">
        <v>2010</v>
      </c>
      <c r="Q209" s="33" t="s">
        <v>43</v>
      </c>
      <c r="R209" s="34" t="s">
        <v>120</v>
      </c>
      <c r="S209" s="35">
        <v>353000</v>
      </c>
      <c r="T209" s="2" t="s">
        <v>44</v>
      </c>
      <c r="U209" s="36">
        <v>0.86419679999999999</v>
      </c>
      <c r="V209" s="36">
        <v>-3.13580322265625</v>
      </c>
      <c r="W209" s="37">
        <v>0</v>
      </c>
      <c r="X209" s="38">
        <v>0</v>
      </c>
    </row>
    <row r="210" spans="1:24" x14ac:dyDescent="0.25">
      <c r="A210" s="33" t="s">
        <v>2098</v>
      </c>
      <c r="B210" s="33" t="s">
        <v>1759</v>
      </c>
      <c r="C210" s="33" t="s">
        <v>2250</v>
      </c>
      <c r="D210" s="33" t="s">
        <v>2251</v>
      </c>
      <c r="E210" s="33" t="s">
        <v>2252</v>
      </c>
      <c r="F210" s="26" t="s">
        <v>24</v>
      </c>
      <c r="G210" s="34" t="s">
        <v>38</v>
      </c>
      <c r="H210" s="34" t="s">
        <v>25</v>
      </c>
      <c r="I210" s="33" t="s">
        <v>1907</v>
      </c>
      <c r="J210" s="34" t="s">
        <v>26</v>
      </c>
      <c r="K210" s="34" t="s">
        <v>125</v>
      </c>
      <c r="L210" s="34" t="s">
        <v>45</v>
      </c>
      <c r="M210" s="33" t="s">
        <v>41</v>
      </c>
      <c r="N210" s="3" t="s">
        <v>42</v>
      </c>
      <c r="O210" s="34" t="s">
        <v>114</v>
      </c>
      <c r="P210" s="33" t="s">
        <v>2011</v>
      </c>
      <c r="Q210" s="33" t="s">
        <v>43</v>
      </c>
      <c r="R210" s="34" t="s">
        <v>120</v>
      </c>
      <c r="S210" s="35">
        <v>343900</v>
      </c>
      <c r="T210" s="2" t="s">
        <v>44</v>
      </c>
      <c r="U210" s="36">
        <v>0</v>
      </c>
      <c r="V210" s="36">
        <v>-4</v>
      </c>
      <c r="W210" s="37">
        <v>0</v>
      </c>
      <c r="X210" s="38">
        <v>0</v>
      </c>
    </row>
    <row r="211" spans="1:24" x14ac:dyDescent="0.25">
      <c r="A211" s="33" t="s">
        <v>1819</v>
      </c>
      <c r="B211" s="33" t="s">
        <v>1759</v>
      </c>
      <c r="C211" s="33" t="s">
        <v>1776</v>
      </c>
      <c r="D211" s="33" t="s">
        <v>1777</v>
      </c>
      <c r="E211" s="33" t="s">
        <v>1778</v>
      </c>
      <c r="F211" s="26" t="s">
        <v>24</v>
      </c>
      <c r="G211" s="34" t="s">
        <v>55</v>
      </c>
      <c r="H211" s="34" t="s">
        <v>25</v>
      </c>
      <c r="I211" s="33" t="s">
        <v>1910</v>
      </c>
      <c r="J211" s="34" t="s">
        <v>39</v>
      </c>
      <c r="K211" s="34" t="s">
        <v>91</v>
      </c>
      <c r="L211" s="34" t="s">
        <v>27</v>
      </c>
      <c r="M211" s="33" t="s">
        <v>67</v>
      </c>
      <c r="N211" s="3" t="s">
        <v>112</v>
      </c>
      <c r="O211" s="34" t="s">
        <v>114</v>
      </c>
      <c r="P211" s="33" t="s">
        <v>2013</v>
      </c>
      <c r="Q211" s="33" t="s">
        <v>30</v>
      </c>
      <c r="R211" s="34" t="s">
        <v>119</v>
      </c>
      <c r="S211" s="35">
        <v>329600</v>
      </c>
      <c r="T211" s="2" t="s">
        <v>44</v>
      </c>
      <c r="U211" s="36">
        <v>0.78015137000000001</v>
      </c>
      <c r="V211" s="36">
        <v>-0.2198486328125</v>
      </c>
      <c r="W211" s="37">
        <v>0</v>
      </c>
      <c r="X211" s="38">
        <v>0</v>
      </c>
    </row>
    <row r="212" spans="1:24" x14ac:dyDescent="0.25">
      <c r="A212" s="33" t="s">
        <v>2102</v>
      </c>
      <c r="B212" s="33" t="s">
        <v>1759</v>
      </c>
      <c r="C212" s="33" t="s">
        <v>2154</v>
      </c>
      <c r="D212" s="33" t="s">
        <v>2259</v>
      </c>
      <c r="E212" s="33" t="s">
        <v>2260</v>
      </c>
      <c r="F212" s="26" t="s">
        <v>24</v>
      </c>
      <c r="G212" s="34" t="s">
        <v>32</v>
      </c>
      <c r="H212" s="34" t="s">
        <v>25</v>
      </c>
      <c r="I212" s="33" t="s">
        <v>1912</v>
      </c>
      <c r="J212" s="34" t="s">
        <v>26</v>
      </c>
      <c r="K212" s="34" t="s">
        <v>160</v>
      </c>
      <c r="L212" s="34" t="s">
        <v>51</v>
      </c>
      <c r="M212" s="33" t="s">
        <v>41</v>
      </c>
      <c r="N212" s="3" t="s">
        <v>42</v>
      </c>
      <c r="O212" s="34" t="s">
        <v>114</v>
      </c>
      <c r="P212" s="33" t="s">
        <v>2015</v>
      </c>
      <c r="Q212" s="33" t="s">
        <v>43</v>
      </c>
      <c r="R212" s="34" t="s">
        <v>120</v>
      </c>
      <c r="S212" s="35">
        <v>323200</v>
      </c>
      <c r="T212" s="2" t="s">
        <v>44</v>
      </c>
      <c r="U212" s="36">
        <v>0</v>
      </c>
      <c r="V212" s="36">
        <v>-4</v>
      </c>
      <c r="W212" s="37">
        <v>0</v>
      </c>
      <c r="X212" s="38">
        <v>0</v>
      </c>
    </row>
    <row r="213" spans="1:24" x14ac:dyDescent="0.25">
      <c r="A213" s="33" t="s">
        <v>2103</v>
      </c>
      <c r="B213" s="33" t="s">
        <v>1759</v>
      </c>
      <c r="C213" s="33" t="s">
        <v>2154</v>
      </c>
      <c r="D213" s="33" t="s">
        <v>2261</v>
      </c>
      <c r="E213" s="33" t="s">
        <v>2262</v>
      </c>
      <c r="F213" s="26" t="s">
        <v>24</v>
      </c>
      <c r="G213" s="34" t="s">
        <v>32</v>
      </c>
      <c r="H213" s="34" t="s">
        <v>25</v>
      </c>
      <c r="I213" s="33" t="s">
        <v>1913</v>
      </c>
      <c r="J213" s="34" t="s">
        <v>26</v>
      </c>
      <c r="K213" s="34" t="s">
        <v>133</v>
      </c>
      <c r="L213" s="34" t="s">
        <v>51</v>
      </c>
      <c r="M213" s="33" t="s">
        <v>41</v>
      </c>
      <c r="N213" s="3" t="s">
        <v>42</v>
      </c>
      <c r="O213" s="34" t="s">
        <v>115</v>
      </c>
      <c r="P213" s="33" t="s">
        <v>2016</v>
      </c>
      <c r="Q213" s="33" t="s">
        <v>43</v>
      </c>
      <c r="R213" s="34" t="s">
        <v>120</v>
      </c>
      <c r="S213" s="35">
        <v>321500</v>
      </c>
      <c r="T213" s="2" t="s">
        <v>44</v>
      </c>
      <c r="U213" s="36">
        <v>0</v>
      </c>
      <c r="V213" s="36">
        <v>-4</v>
      </c>
      <c r="W213" s="37">
        <v>0</v>
      </c>
      <c r="X213" s="38">
        <v>0</v>
      </c>
    </row>
    <row r="214" spans="1:24" x14ac:dyDescent="0.25">
      <c r="A214" s="33" t="s">
        <v>1821</v>
      </c>
      <c r="B214" s="33" t="s">
        <v>1759</v>
      </c>
      <c r="C214" s="33" t="s">
        <v>212</v>
      </c>
      <c r="D214" s="33" t="s">
        <v>1782</v>
      </c>
      <c r="E214" s="33" t="s">
        <v>1783</v>
      </c>
      <c r="F214" s="26" t="s">
        <v>24</v>
      </c>
      <c r="G214" s="34" t="s">
        <v>32</v>
      </c>
      <c r="H214" s="34" t="s">
        <v>25</v>
      </c>
      <c r="I214" s="33" t="s">
        <v>1914</v>
      </c>
      <c r="J214" s="34" t="s">
        <v>39</v>
      </c>
      <c r="K214" s="34" t="s">
        <v>123</v>
      </c>
      <c r="L214" s="34" t="s">
        <v>37</v>
      </c>
      <c r="M214" s="33" t="s">
        <v>72</v>
      </c>
      <c r="N214" s="3" t="s">
        <v>35</v>
      </c>
      <c r="O214" s="34" t="s">
        <v>114</v>
      </c>
      <c r="P214" s="33" t="s">
        <v>2017</v>
      </c>
      <c r="Q214" s="33" t="s">
        <v>30</v>
      </c>
      <c r="R214" s="34" t="s">
        <v>119</v>
      </c>
      <c r="S214" s="35">
        <v>319000</v>
      </c>
      <c r="T214" s="2" t="s">
        <v>44</v>
      </c>
      <c r="U214" s="36">
        <v>0</v>
      </c>
      <c r="V214" s="36">
        <v>-1</v>
      </c>
      <c r="W214" s="37">
        <v>0</v>
      </c>
      <c r="X214" s="38">
        <v>0</v>
      </c>
    </row>
    <row r="215" spans="1:24" x14ac:dyDescent="0.25">
      <c r="A215" s="33" t="s">
        <v>2104</v>
      </c>
      <c r="B215" s="33" t="s">
        <v>1759</v>
      </c>
      <c r="C215" s="33" t="s">
        <v>2263</v>
      </c>
      <c r="D215" s="33" t="s">
        <v>2264</v>
      </c>
      <c r="E215" s="33" t="s">
        <v>2265</v>
      </c>
      <c r="F215" s="26" t="s">
        <v>24</v>
      </c>
      <c r="G215" s="34" t="s">
        <v>38</v>
      </c>
      <c r="H215" s="34" t="s">
        <v>25</v>
      </c>
      <c r="I215" s="33" t="s">
        <v>1915</v>
      </c>
      <c r="J215" s="34" t="s">
        <v>26</v>
      </c>
      <c r="K215" s="34" t="s">
        <v>99</v>
      </c>
      <c r="L215" s="34" t="s">
        <v>45</v>
      </c>
      <c r="M215" s="33" t="s">
        <v>41</v>
      </c>
      <c r="N215" s="3" t="s">
        <v>42</v>
      </c>
      <c r="O215" s="34" t="s">
        <v>115</v>
      </c>
      <c r="P215" s="33" t="s">
        <v>2018</v>
      </c>
      <c r="Q215" s="33" t="s">
        <v>43</v>
      </c>
      <c r="R215" s="34" t="s">
        <v>120</v>
      </c>
      <c r="S215" s="35">
        <v>316200</v>
      </c>
      <c r="T215" s="2" t="s">
        <v>44</v>
      </c>
      <c r="U215" s="36">
        <v>0</v>
      </c>
      <c r="V215" s="36">
        <v>-4</v>
      </c>
      <c r="W215" s="37">
        <v>0</v>
      </c>
      <c r="X215" s="38">
        <v>0</v>
      </c>
    </row>
    <row r="216" spans="1:24" x14ac:dyDescent="0.25">
      <c r="A216" s="33" t="s">
        <v>2105</v>
      </c>
      <c r="B216" s="33" t="s">
        <v>1759</v>
      </c>
      <c r="C216" s="33" t="s">
        <v>2266</v>
      </c>
      <c r="D216" s="33" t="s">
        <v>2267</v>
      </c>
      <c r="E216" s="33" t="s">
        <v>2268</v>
      </c>
      <c r="F216" s="26" t="s">
        <v>24</v>
      </c>
      <c r="G216" s="34" t="s">
        <v>38</v>
      </c>
      <c r="H216" s="34" t="s">
        <v>25</v>
      </c>
      <c r="I216" s="33" t="s">
        <v>1916</v>
      </c>
      <c r="J216" s="34" t="s">
        <v>26</v>
      </c>
      <c r="K216" s="34" t="s">
        <v>104</v>
      </c>
      <c r="L216" s="34" t="s">
        <v>58</v>
      </c>
      <c r="M216" s="33" t="s">
        <v>59</v>
      </c>
      <c r="N216" s="3" t="s">
        <v>42</v>
      </c>
      <c r="O216" s="34" t="s">
        <v>115</v>
      </c>
      <c r="P216" s="33" t="s">
        <v>2019</v>
      </c>
      <c r="Q216" s="33" t="s">
        <v>30</v>
      </c>
      <c r="R216" s="34" t="s">
        <v>119</v>
      </c>
      <c r="S216" s="35">
        <v>316050</v>
      </c>
      <c r="T216" s="2" t="s">
        <v>31</v>
      </c>
      <c r="U216" s="36">
        <v>0</v>
      </c>
      <c r="V216" s="36">
        <v>-1</v>
      </c>
      <c r="W216" s="37">
        <v>0</v>
      </c>
      <c r="X216" s="38">
        <v>0</v>
      </c>
    </row>
    <row r="217" spans="1:24" x14ac:dyDescent="0.25">
      <c r="A217" s="33" t="s">
        <v>2106</v>
      </c>
      <c r="B217" s="33" t="s">
        <v>1759</v>
      </c>
      <c r="C217" s="33" t="s">
        <v>2266</v>
      </c>
      <c r="D217" s="33" t="s">
        <v>2267</v>
      </c>
      <c r="E217" s="33" t="s">
        <v>2269</v>
      </c>
      <c r="F217" s="26" t="s">
        <v>24</v>
      </c>
      <c r="G217" s="34" t="s">
        <v>38</v>
      </c>
      <c r="H217" s="34" t="s">
        <v>25</v>
      </c>
      <c r="I217" s="33" t="s">
        <v>1916</v>
      </c>
      <c r="J217" s="34" t="s">
        <v>26</v>
      </c>
      <c r="K217" s="34" t="s">
        <v>104</v>
      </c>
      <c r="L217" s="34" t="s">
        <v>58</v>
      </c>
      <c r="M217" s="33" t="s">
        <v>59</v>
      </c>
      <c r="N217" s="3" t="s">
        <v>42</v>
      </c>
      <c r="O217" s="34" t="s">
        <v>115</v>
      </c>
      <c r="P217" s="33" t="s">
        <v>2019</v>
      </c>
      <c r="Q217" s="33" t="s">
        <v>30</v>
      </c>
      <c r="R217" s="34" t="s">
        <v>119</v>
      </c>
      <c r="S217" s="35">
        <v>316050</v>
      </c>
      <c r="T217" s="2" t="s">
        <v>31</v>
      </c>
      <c r="U217" s="36">
        <v>0</v>
      </c>
      <c r="V217" s="36">
        <v>-1</v>
      </c>
      <c r="W217" s="37">
        <v>0</v>
      </c>
      <c r="X217" s="38">
        <v>0</v>
      </c>
    </row>
    <row r="218" spans="1:24" x14ac:dyDescent="0.25">
      <c r="A218" s="33" t="s">
        <v>2107</v>
      </c>
      <c r="B218" s="33" t="s">
        <v>1759</v>
      </c>
      <c r="C218" s="33" t="s">
        <v>2154</v>
      </c>
      <c r="D218" s="33" t="s">
        <v>2270</v>
      </c>
      <c r="E218" s="33" t="s">
        <v>2271</v>
      </c>
      <c r="F218" s="26" t="s">
        <v>24</v>
      </c>
      <c r="G218" s="34" t="s">
        <v>32</v>
      </c>
      <c r="H218" s="34" t="s">
        <v>25</v>
      </c>
      <c r="I218" s="33" t="s">
        <v>1917</v>
      </c>
      <c r="J218" s="34" t="s">
        <v>26</v>
      </c>
      <c r="K218" s="34" t="s">
        <v>94</v>
      </c>
      <c r="L218" s="34" t="s">
        <v>47</v>
      </c>
      <c r="M218" s="33" t="s">
        <v>41</v>
      </c>
      <c r="N218" s="3" t="s">
        <v>42</v>
      </c>
      <c r="O218" s="34" t="s">
        <v>114</v>
      </c>
      <c r="P218" s="33" t="s">
        <v>2020</v>
      </c>
      <c r="Q218" s="33" t="s">
        <v>53</v>
      </c>
      <c r="R218" s="34" t="s">
        <v>120</v>
      </c>
      <c r="S218" s="35">
        <v>314800</v>
      </c>
      <c r="T218" s="2" t="s">
        <v>44</v>
      </c>
      <c r="U218" s="36">
        <v>0</v>
      </c>
      <c r="V218" s="36">
        <v>-4</v>
      </c>
      <c r="W218" s="37">
        <v>0</v>
      </c>
      <c r="X218" s="38">
        <v>0</v>
      </c>
    </row>
    <row r="219" spans="1:24" x14ac:dyDescent="0.25">
      <c r="A219" s="33" t="s">
        <v>2108</v>
      </c>
      <c r="B219" s="33" t="s">
        <v>1759</v>
      </c>
      <c r="C219" s="33" t="s">
        <v>212</v>
      </c>
      <c r="D219" s="33" t="s">
        <v>2272</v>
      </c>
      <c r="E219" s="33" t="s">
        <v>2273</v>
      </c>
      <c r="F219" s="26" t="s">
        <v>24</v>
      </c>
      <c r="G219" s="34" t="s">
        <v>32</v>
      </c>
      <c r="H219" s="34" t="s">
        <v>25</v>
      </c>
      <c r="I219" s="33" t="s">
        <v>1918</v>
      </c>
      <c r="J219" s="34" t="s">
        <v>26</v>
      </c>
      <c r="K219" s="34" t="s">
        <v>142</v>
      </c>
      <c r="L219" s="34" t="s">
        <v>50</v>
      </c>
      <c r="M219" s="33" t="s">
        <v>59</v>
      </c>
      <c r="N219" s="3" t="s">
        <v>42</v>
      </c>
      <c r="O219" s="34" t="s">
        <v>115</v>
      </c>
      <c r="P219" s="33" t="s">
        <v>2021</v>
      </c>
      <c r="Q219" s="33" t="s">
        <v>30</v>
      </c>
      <c r="R219" s="34" t="s">
        <v>119</v>
      </c>
      <c r="S219" s="35">
        <v>314400</v>
      </c>
      <c r="T219" s="2" t="s">
        <v>31</v>
      </c>
      <c r="U219" s="36">
        <v>0</v>
      </c>
      <c r="V219" s="36">
        <v>-1</v>
      </c>
      <c r="W219" s="37">
        <v>0</v>
      </c>
      <c r="X219" s="38">
        <v>0</v>
      </c>
    </row>
    <row r="220" spans="1:24" x14ac:dyDescent="0.25">
      <c r="A220" s="33" t="s">
        <v>2109</v>
      </c>
      <c r="B220" s="33" t="s">
        <v>1759</v>
      </c>
      <c r="C220" s="33" t="s">
        <v>2154</v>
      </c>
      <c r="D220" s="33" t="s">
        <v>2274</v>
      </c>
      <c r="E220" s="33" t="s">
        <v>2275</v>
      </c>
      <c r="F220" s="26" t="s">
        <v>24</v>
      </c>
      <c r="G220" s="34" t="s">
        <v>32</v>
      </c>
      <c r="H220" s="34" t="s">
        <v>25</v>
      </c>
      <c r="I220" s="33" t="s">
        <v>1919</v>
      </c>
      <c r="J220" s="34" t="s">
        <v>26</v>
      </c>
      <c r="K220" s="34" t="s">
        <v>127</v>
      </c>
      <c r="L220" s="34" t="s">
        <v>45</v>
      </c>
      <c r="M220" s="33" t="s">
        <v>41</v>
      </c>
      <c r="N220" s="3" t="s">
        <v>42</v>
      </c>
      <c r="O220" s="34" t="s">
        <v>114</v>
      </c>
      <c r="P220" s="33" t="s">
        <v>1501</v>
      </c>
      <c r="Q220" s="33" t="s">
        <v>43</v>
      </c>
      <c r="R220" s="34" t="s">
        <v>120</v>
      </c>
      <c r="S220" s="35">
        <v>311700</v>
      </c>
      <c r="T220" s="2" t="s">
        <v>44</v>
      </c>
      <c r="U220" s="36">
        <v>0.54803466999999995</v>
      </c>
      <c r="V220" s="36">
        <v>-3.45196533203125</v>
      </c>
      <c r="W220" s="37">
        <v>0</v>
      </c>
      <c r="X220" s="38">
        <v>0</v>
      </c>
    </row>
    <row r="221" spans="1:24" x14ac:dyDescent="0.25">
      <c r="A221" s="33" t="s">
        <v>2110</v>
      </c>
      <c r="B221" s="33" t="s">
        <v>1759</v>
      </c>
      <c r="C221" s="33" t="s">
        <v>2276</v>
      </c>
      <c r="D221" s="33" t="s">
        <v>2277</v>
      </c>
      <c r="E221" s="33" t="s">
        <v>2278</v>
      </c>
      <c r="F221" s="26" t="s">
        <v>24</v>
      </c>
      <c r="G221" s="34" t="s">
        <v>38</v>
      </c>
      <c r="H221" s="34" t="s">
        <v>25</v>
      </c>
      <c r="I221" s="33" t="s">
        <v>1920</v>
      </c>
      <c r="J221" s="34" t="s">
        <v>26</v>
      </c>
      <c r="K221" s="34" t="s">
        <v>136</v>
      </c>
      <c r="L221" s="34" t="s">
        <v>58</v>
      </c>
      <c r="M221" s="33" t="s">
        <v>41</v>
      </c>
      <c r="N221" s="3" t="s">
        <v>42</v>
      </c>
      <c r="O221" s="34" t="s">
        <v>114</v>
      </c>
      <c r="P221" s="33" t="s">
        <v>2022</v>
      </c>
      <c r="Q221" s="33" t="s">
        <v>43</v>
      </c>
      <c r="R221" s="34" t="s">
        <v>120</v>
      </c>
      <c r="S221" s="35">
        <v>310300</v>
      </c>
      <c r="T221" s="2" t="s">
        <v>44</v>
      </c>
      <c r="U221" s="36">
        <v>0</v>
      </c>
      <c r="V221" s="36">
        <v>-4</v>
      </c>
      <c r="W221" s="37">
        <v>0</v>
      </c>
      <c r="X221" s="38">
        <v>0</v>
      </c>
    </row>
    <row r="222" spans="1:24" x14ac:dyDescent="0.25">
      <c r="A222" s="33" t="s">
        <v>1814</v>
      </c>
      <c r="B222" s="33" t="s">
        <v>1759</v>
      </c>
      <c r="C222" s="33" t="s">
        <v>1760</v>
      </c>
      <c r="D222" s="33" t="s">
        <v>1761</v>
      </c>
      <c r="E222" s="33" t="s">
        <v>1762</v>
      </c>
      <c r="F222" s="26" t="s">
        <v>24</v>
      </c>
      <c r="G222" s="34" t="s">
        <v>55</v>
      </c>
      <c r="H222" s="34" t="s">
        <v>25</v>
      </c>
      <c r="I222" s="33" t="s">
        <v>1921</v>
      </c>
      <c r="J222" s="34" t="s">
        <v>162</v>
      </c>
      <c r="K222" s="34" t="s">
        <v>127</v>
      </c>
      <c r="L222" s="34" t="s">
        <v>58</v>
      </c>
      <c r="M222" s="33" t="s">
        <v>56</v>
      </c>
      <c r="N222" s="3" t="s">
        <v>35</v>
      </c>
      <c r="O222" s="34" t="s">
        <v>114</v>
      </c>
      <c r="P222" s="33" t="s">
        <v>2024</v>
      </c>
      <c r="Q222" s="33" t="s">
        <v>30</v>
      </c>
      <c r="R222" s="34" t="s">
        <v>119</v>
      </c>
      <c r="S222" s="35">
        <v>309600</v>
      </c>
      <c r="T222" s="2" t="s">
        <v>44</v>
      </c>
      <c r="U222" s="36">
        <v>1.3828735000000001</v>
      </c>
      <c r="V222" s="36">
        <v>0.38287353515625</v>
      </c>
      <c r="W222" s="37">
        <v>5.44586181640625E-2</v>
      </c>
      <c r="X222" s="38">
        <v>16860.388183593699</v>
      </c>
    </row>
    <row r="223" spans="1:24" x14ac:dyDescent="0.25">
      <c r="A223" s="33" t="s">
        <v>2112</v>
      </c>
      <c r="B223" s="33" t="s">
        <v>1759</v>
      </c>
      <c r="C223" s="33" t="s">
        <v>1760</v>
      </c>
      <c r="D223" s="33" t="s">
        <v>2171</v>
      </c>
      <c r="E223" s="33" t="s">
        <v>2281</v>
      </c>
      <c r="F223" s="26" t="s">
        <v>24</v>
      </c>
      <c r="G223" s="34" t="s">
        <v>32</v>
      </c>
      <c r="H223" s="34" t="s">
        <v>25</v>
      </c>
      <c r="I223" s="33" t="s">
        <v>1864</v>
      </c>
      <c r="J223" s="34" t="s">
        <v>26</v>
      </c>
      <c r="K223" s="34" t="s">
        <v>106</v>
      </c>
      <c r="L223" s="34" t="s">
        <v>37</v>
      </c>
      <c r="M223" s="33" t="s">
        <v>48</v>
      </c>
      <c r="N223" s="3" t="s">
        <v>35</v>
      </c>
      <c r="O223" s="34" t="s">
        <v>114</v>
      </c>
      <c r="P223" s="33" t="s">
        <v>2025</v>
      </c>
      <c r="Q223" s="33" t="s">
        <v>30</v>
      </c>
      <c r="R223" s="34" t="s">
        <v>119</v>
      </c>
      <c r="S223" s="35">
        <v>308000</v>
      </c>
      <c r="T223" s="2" t="s">
        <v>31</v>
      </c>
      <c r="U223" s="36">
        <v>1.7307739</v>
      </c>
      <c r="V223" s="36">
        <v>0.73077392578125</v>
      </c>
      <c r="W223" s="37">
        <v>6.8461914062500004E-2</v>
      </c>
      <c r="X223" s="38">
        <v>21086.26953125</v>
      </c>
    </row>
    <row r="224" spans="1:24" x14ac:dyDescent="0.25">
      <c r="A224" s="33" t="s">
        <v>2115</v>
      </c>
      <c r="B224" s="33" t="s">
        <v>1759</v>
      </c>
      <c r="C224" s="33" t="s">
        <v>2219</v>
      </c>
      <c r="D224" s="33" t="s">
        <v>2285</v>
      </c>
      <c r="E224" s="33" t="s">
        <v>2286</v>
      </c>
      <c r="F224" s="26" t="s">
        <v>24</v>
      </c>
      <c r="G224" s="34" t="s">
        <v>38</v>
      </c>
      <c r="H224" s="34" t="s">
        <v>25</v>
      </c>
      <c r="I224" s="33" t="s">
        <v>1924</v>
      </c>
      <c r="J224" s="34" t="s">
        <v>26</v>
      </c>
      <c r="K224" s="34" t="s">
        <v>93</v>
      </c>
      <c r="L224" s="34" t="s">
        <v>45</v>
      </c>
      <c r="M224" s="33" t="s">
        <v>41</v>
      </c>
      <c r="N224" s="3" t="s">
        <v>42</v>
      </c>
      <c r="O224" s="34" t="s">
        <v>115</v>
      </c>
      <c r="P224" s="33" t="s">
        <v>2028</v>
      </c>
      <c r="Q224" s="33" t="s">
        <v>43</v>
      </c>
      <c r="R224" s="34" t="s">
        <v>120</v>
      </c>
      <c r="S224" s="35">
        <v>303700</v>
      </c>
      <c r="T224" s="2" t="s">
        <v>44</v>
      </c>
      <c r="U224" s="36">
        <v>0</v>
      </c>
      <c r="V224" s="36">
        <v>-4</v>
      </c>
      <c r="W224" s="37">
        <v>0</v>
      </c>
      <c r="X224" s="38">
        <v>0</v>
      </c>
    </row>
    <row r="225" spans="1:24" x14ac:dyDescent="0.25">
      <c r="A225" s="33" t="s">
        <v>2116</v>
      </c>
      <c r="B225" s="33" t="s">
        <v>1759</v>
      </c>
      <c r="C225" s="33" t="s">
        <v>2287</v>
      </c>
      <c r="D225" s="33" t="s">
        <v>2288</v>
      </c>
      <c r="E225" s="33" t="s">
        <v>2289</v>
      </c>
      <c r="F225" s="26" t="s">
        <v>24</v>
      </c>
      <c r="G225" s="34" t="s">
        <v>38</v>
      </c>
      <c r="H225" s="34" t="s">
        <v>25</v>
      </c>
      <c r="I225" s="33" t="s">
        <v>1925</v>
      </c>
      <c r="J225" s="34" t="s">
        <v>26</v>
      </c>
      <c r="K225" s="34" t="s">
        <v>99</v>
      </c>
      <c r="L225" s="34" t="s">
        <v>45</v>
      </c>
      <c r="M225" s="33" t="s">
        <v>41</v>
      </c>
      <c r="N225" s="3" t="s">
        <v>42</v>
      </c>
      <c r="O225" s="34" t="s">
        <v>115</v>
      </c>
      <c r="P225" s="33" t="s">
        <v>2029</v>
      </c>
      <c r="Q225" s="33" t="s">
        <v>53</v>
      </c>
      <c r="R225" s="34" t="s">
        <v>120</v>
      </c>
      <c r="S225" s="35">
        <v>301600</v>
      </c>
      <c r="T225" s="2" t="s">
        <v>44</v>
      </c>
      <c r="U225" s="36">
        <v>0</v>
      </c>
      <c r="V225" s="36">
        <v>-4</v>
      </c>
      <c r="W225" s="37">
        <v>0</v>
      </c>
      <c r="X225" s="38">
        <v>0</v>
      </c>
    </row>
  </sheetData>
  <autoFilter ref="A6:X116" xr:uid="{D3B77F02-0D77-4C26-907E-ABC54999218B}">
    <filterColumn colId="13">
      <filters>
        <filter val="Commercial"/>
        <filter val="Government"/>
        <filter val="Industrial"/>
        <filter val="Religious"/>
      </filters>
    </filterColumn>
  </autoFilter>
  <hyperlinks>
    <hyperlink ref="J3" r:id="rId1" xr:uid="{3EF19EE5-BE06-4F11-B568-7D28B274AB8B}"/>
    <hyperlink ref="M3" r:id="rId2" xr:uid="{E23E39E7-B0E0-4ECA-82C8-DEED31C74F41}"/>
    <hyperlink ref="Q3" r:id="rId3" xr:uid="{E4C8ADD6-30D6-4A99-A03D-CEDE3383AEC5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C1E967-0FAE-480A-AE0C-F9F0479CB30C}">
  <dimension ref="B1:G27"/>
  <sheetViews>
    <sheetView zoomScale="110" zoomScaleNormal="110" workbookViewId="0">
      <selection activeCell="H21" sqref="H21"/>
    </sheetView>
  </sheetViews>
  <sheetFormatPr defaultRowHeight="15" x14ac:dyDescent="0.25"/>
  <cols>
    <col min="2" max="2" width="19.28515625" style="46" bestFit="1" customWidth="1"/>
    <col min="3" max="3" width="8.85546875" style="46"/>
    <col min="4" max="4" width="40.28515625" style="46" bestFit="1" customWidth="1"/>
    <col min="5" max="5" width="8.85546875" style="46"/>
    <col min="6" max="6" width="9.7109375" style="46" bestFit="1" customWidth="1"/>
    <col min="7" max="7" width="10.85546875" style="46" bestFit="1" customWidth="1"/>
  </cols>
  <sheetData>
    <row r="1" spans="2:7" x14ac:dyDescent="0.25">
      <c r="G1" s="39" t="s">
        <v>2033</v>
      </c>
    </row>
    <row r="2" spans="2:7" ht="36" x14ac:dyDescent="0.25">
      <c r="B2" s="42" t="s">
        <v>1</v>
      </c>
      <c r="C2" s="42" t="s">
        <v>5</v>
      </c>
      <c r="D2" s="42" t="s">
        <v>174</v>
      </c>
      <c r="E2" s="43" t="s">
        <v>12</v>
      </c>
      <c r="F2" s="40" t="s">
        <v>13</v>
      </c>
      <c r="G2" s="41" t="s">
        <v>18</v>
      </c>
    </row>
    <row r="3" spans="2:7" x14ac:dyDescent="0.25">
      <c r="B3" s="52" t="s">
        <v>2030</v>
      </c>
      <c r="C3" s="53" t="s">
        <v>24</v>
      </c>
      <c r="D3" s="52" t="s">
        <v>1838</v>
      </c>
      <c r="E3" s="52" t="s">
        <v>28</v>
      </c>
      <c r="F3" s="54" t="s">
        <v>29</v>
      </c>
      <c r="G3" s="55">
        <v>69000000</v>
      </c>
    </row>
    <row r="4" spans="2:7" x14ac:dyDescent="0.25">
      <c r="B4" s="52" t="s">
        <v>2030</v>
      </c>
      <c r="C4" s="53" t="s">
        <v>24</v>
      </c>
      <c r="D4" s="52" t="s">
        <v>1837</v>
      </c>
      <c r="E4" s="52" t="s">
        <v>34</v>
      </c>
      <c r="F4" s="54" t="s">
        <v>35</v>
      </c>
      <c r="G4" s="55">
        <v>38271500</v>
      </c>
    </row>
    <row r="5" spans="2:7" x14ac:dyDescent="0.25">
      <c r="B5" s="52" t="s">
        <v>2030</v>
      </c>
      <c r="C5" s="53" t="s">
        <v>24</v>
      </c>
      <c r="D5" s="52" t="s">
        <v>1838</v>
      </c>
      <c r="E5" s="52" t="s">
        <v>1485</v>
      </c>
      <c r="F5" s="54" t="s">
        <v>35</v>
      </c>
      <c r="G5" s="55">
        <v>25287200</v>
      </c>
    </row>
    <row r="6" spans="2:7" x14ac:dyDescent="0.25">
      <c r="B6" s="52" t="s">
        <v>2031</v>
      </c>
      <c r="C6" s="53" t="s">
        <v>24</v>
      </c>
      <c r="D6" s="52" t="s">
        <v>1839</v>
      </c>
      <c r="E6" s="52" t="s">
        <v>48</v>
      </c>
      <c r="F6" s="54" t="s">
        <v>35</v>
      </c>
      <c r="G6" s="55">
        <v>21712700</v>
      </c>
    </row>
    <row r="7" spans="2:7" x14ac:dyDescent="0.25">
      <c r="B7" s="52" t="s">
        <v>2032</v>
      </c>
      <c r="C7" s="53" t="s">
        <v>24</v>
      </c>
      <c r="D7" s="52" t="s">
        <v>1871</v>
      </c>
      <c r="E7" s="52" t="s">
        <v>28</v>
      </c>
      <c r="F7" s="54" t="s">
        <v>29</v>
      </c>
      <c r="G7" s="55">
        <v>7500000</v>
      </c>
    </row>
    <row r="8" spans="2:7" x14ac:dyDescent="0.25">
      <c r="B8" s="52" t="s">
        <v>2031</v>
      </c>
      <c r="C8" s="53" t="s">
        <v>24</v>
      </c>
      <c r="D8" s="52" t="s">
        <v>1840</v>
      </c>
      <c r="E8" s="52" t="s">
        <v>48</v>
      </c>
      <c r="F8" s="54" t="s">
        <v>35</v>
      </c>
      <c r="G8" s="55">
        <v>5092400</v>
      </c>
    </row>
    <row r="9" spans="2:7" x14ac:dyDescent="0.25">
      <c r="B9" s="52" t="s">
        <v>2032</v>
      </c>
      <c r="C9" s="53" t="s">
        <v>24</v>
      </c>
      <c r="D9" s="52" t="s">
        <v>2309</v>
      </c>
      <c r="E9" s="52" t="s">
        <v>28</v>
      </c>
      <c r="F9" s="54" t="s">
        <v>29</v>
      </c>
      <c r="G9" s="55">
        <v>4600000</v>
      </c>
    </row>
    <row r="10" spans="2:7" x14ac:dyDescent="0.25">
      <c r="B10" s="52" t="s">
        <v>2030</v>
      </c>
      <c r="C10" s="53" t="s">
        <v>24</v>
      </c>
      <c r="D10" s="52" t="s">
        <v>1838</v>
      </c>
      <c r="E10" s="52" t="s">
        <v>73</v>
      </c>
      <c r="F10" s="54" t="s">
        <v>29</v>
      </c>
      <c r="G10" s="55">
        <v>4014900</v>
      </c>
    </row>
    <row r="11" spans="2:7" x14ac:dyDescent="0.25">
      <c r="B11" s="52" t="s">
        <v>2031</v>
      </c>
      <c r="C11" s="53" t="s">
        <v>24</v>
      </c>
      <c r="D11" s="52" t="s">
        <v>1841</v>
      </c>
      <c r="E11" s="52" t="s">
        <v>56</v>
      </c>
      <c r="F11" s="54" t="s">
        <v>35</v>
      </c>
      <c r="G11" s="55">
        <v>3535000</v>
      </c>
    </row>
    <row r="12" spans="2:7" x14ac:dyDescent="0.25">
      <c r="B12" s="52" t="s">
        <v>2031</v>
      </c>
      <c r="C12" s="53" t="s">
        <v>24</v>
      </c>
      <c r="D12" s="52" t="s">
        <v>1842</v>
      </c>
      <c r="E12" s="52" t="s">
        <v>48</v>
      </c>
      <c r="F12" s="54" t="s">
        <v>35</v>
      </c>
      <c r="G12" s="55">
        <v>3423000</v>
      </c>
    </row>
    <row r="13" spans="2:7" x14ac:dyDescent="0.25">
      <c r="B13" s="52" t="s">
        <v>2031</v>
      </c>
      <c r="C13" s="53" t="s">
        <v>24</v>
      </c>
      <c r="D13" s="52" t="s">
        <v>1843</v>
      </c>
      <c r="E13" s="52" t="s">
        <v>48</v>
      </c>
      <c r="F13" s="54" t="s">
        <v>35</v>
      </c>
      <c r="G13" s="55">
        <v>3336900</v>
      </c>
    </row>
    <row r="14" spans="2:7" x14ac:dyDescent="0.25">
      <c r="B14" s="52" t="s">
        <v>2031</v>
      </c>
      <c r="C14" s="53" t="s">
        <v>24</v>
      </c>
      <c r="D14" s="52" t="s">
        <v>1844</v>
      </c>
      <c r="E14" s="52" t="s">
        <v>48</v>
      </c>
      <c r="F14" s="54" t="s">
        <v>35</v>
      </c>
      <c r="G14" s="55">
        <v>3267400</v>
      </c>
    </row>
    <row r="15" spans="2:7" x14ac:dyDescent="0.25">
      <c r="B15" s="52" t="s">
        <v>2032</v>
      </c>
      <c r="C15" s="53" t="s">
        <v>24</v>
      </c>
      <c r="D15" s="52" t="s">
        <v>2320</v>
      </c>
      <c r="E15" s="52" t="s">
        <v>28</v>
      </c>
      <c r="F15" s="54" t="s">
        <v>29</v>
      </c>
      <c r="G15" s="55">
        <v>2800000</v>
      </c>
    </row>
    <row r="16" spans="2:7" x14ac:dyDescent="0.25">
      <c r="B16" s="52" t="s">
        <v>2031</v>
      </c>
      <c r="C16" s="53" t="s">
        <v>24</v>
      </c>
      <c r="D16" s="52" t="s">
        <v>1839</v>
      </c>
      <c r="E16" s="52" t="s">
        <v>48</v>
      </c>
      <c r="F16" s="54" t="s">
        <v>35</v>
      </c>
      <c r="G16" s="55">
        <v>2619500</v>
      </c>
    </row>
    <row r="17" spans="2:7" x14ac:dyDescent="0.25">
      <c r="B17" s="52" t="s">
        <v>2321</v>
      </c>
      <c r="C17" s="53" t="s">
        <v>24</v>
      </c>
      <c r="D17" s="52" t="s">
        <v>2316</v>
      </c>
      <c r="E17" s="52" t="s">
        <v>28</v>
      </c>
      <c r="F17" s="54" t="s">
        <v>29</v>
      </c>
      <c r="G17" s="55">
        <v>2000000</v>
      </c>
    </row>
    <row r="18" spans="2:7" x14ac:dyDescent="0.25">
      <c r="B18" s="52" t="s">
        <v>2030</v>
      </c>
      <c r="C18" s="53" t="s">
        <v>24</v>
      </c>
      <c r="D18" s="52" t="s">
        <v>1846</v>
      </c>
      <c r="E18" s="52" t="s">
        <v>48</v>
      </c>
      <c r="F18" s="54" t="s">
        <v>35</v>
      </c>
      <c r="G18" s="55">
        <v>1962000</v>
      </c>
    </row>
    <row r="19" spans="2:7" x14ac:dyDescent="0.25">
      <c r="B19" s="52" t="s">
        <v>2030</v>
      </c>
      <c r="C19" s="53" t="s">
        <v>24</v>
      </c>
      <c r="D19" s="52" t="s">
        <v>1847</v>
      </c>
      <c r="E19" s="52" t="s">
        <v>73</v>
      </c>
      <c r="F19" s="54" t="s">
        <v>29</v>
      </c>
      <c r="G19" s="55">
        <v>1790100</v>
      </c>
    </row>
    <row r="20" spans="2:7" x14ac:dyDescent="0.25">
      <c r="B20" s="52" t="s">
        <v>2031</v>
      </c>
      <c r="C20" s="53" t="s">
        <v>24</v>
      </c>
      <c r="D20" s="52" t="s">
        <v>1848</v>
      </c>
      <c r="E20" s="52" t="s">
        <v>48</v>
      </c>
      <c r="F20" s="54" t="s">
        <v>35</v>
      </c>
      <c r="G20" s="55">
        <v>1739600</v>
      </c>
    </row>
    <row r="21" spans="2:7" x14ac:dyDescent="0.25">
      <c r="B21" s="52" t="s">
        <v>2031</v>
      </c>
      <c r="C21" s="53" t="s">
        <v>24</v>
      </c>
      <c r="D21" s="52" t="s">
        <v>1839</v>
      </c>
      <c r="E21" s="52" t="s">
        <v>48</v>
      </c>
      <c r="F21" s="54" t="s">
        <v>35</v>
      </c>
      <c r="G21" s="55">
        <v>1705400</v>
      </c>
    </row>
    <row r="22" spans="2:7" x14ac:dyDescent="0.25">
      <c r="B22" s="52" t="s">
        <v>2030</v>
      </c>
      <c r="C22" s="53" t="s">
        <v>24</v>
      </c>
      <c r="D22" s="52" t="s">
        <v>1849</v>
      </c>
      <c r="E22" s="52" t="s">
        <v>48</v>
      </c>
      <c r="F22" s="54" t="s">
        <v>35</v>
      </c>
      <c r="G22" s="55">
        <v>1574000</v>
      </c>
    </row>
    <row r="23" spans="2:7" x14ac:dyDescent="0.25">
      <c r="B23" s="52" t="s">
        <v>2030</v>
      </c>
      <c r="C23" s="53" t="s">
        <v>24</v>
      </c>
      <c r="D23" s="52" t="s">
        <v>1818</v>
      </c>
      <c r="E23" s="52" t="s">
        <v>67</v>
      </c>
      <c r="F23" s="54" t="s">
        <v>29</v>
      </c>
      <c r="G23" s="55">
        <v>1232600</v>
      </c>
    </row>
    <row r="24" spans="2:7" x14ac:dyDescent="0.25">
      <c r="B24" s="52" t="s">
        <v>2032</v>
      </c>
      <c r="C24" s="53" t="s">
        <v>24</v>
      </c>
      <c r="D24" s="52" t="s">
        <v>1850</v>
      </c>
      <c r="E24" s="52" t="s">
        <v>72</v>
      </c>
      <c r="F24" s="54" t="s">
        <v>35</v>
      </c>
      <c r="G24" s="55">
        <v>1232400</v>
      </c>
    </row>
    <row r="25" spans="2:7" x14ac:dyDescent="0.25">
      <c r="B25" s="52" t="s">
        <v>2031</v>
      </c>
      <c r="C25" s="53" t="s">
        <v>24</v>
      </c>
      <c r="D25" s="52" t="s">
        <v>1851</v>
      </c>
      <c r="E25" s="52" t="s">
        <v>48</v>
      </c>
      <c r="F25" s="54" t="s">
        <v>35</v>
      </c>
      <c r="G25" s="55">
        <v>1139000</v>
      </c>
    </row>
    <row r="26" spans="2:7" x14ac:dyDescent="0.25">
      <c r="B26" s="52" t="s">
        <v>2031</v>
      </c>
      <c r="C26" s="53" t="s">
        <v>24</v>
      </c>
      <c r="D26" s="52" t="s">
        <v>1853</v>
      </c>
      <c r="E26" s="52" t="s">
        <v>52</v>
      </c>
      <c r="F26" s="54" t="s">
        <v>35</v>
      </c>
      <c r="G26" s="55">
        <v>1040600</v>
      </c>
    </row>
    <row r="27" spans="2:7" x14ac:dyDescent="0.25">
      <c r="B27" s="52" t="s">
        <v>2032</v>
      </c>
      <c r="C27" s="53" t="s">
        <v>24</v>
      </c>
      <c r="D27" s="52" t="s">
        <v>2049</v>
      </c>
      <c r="E27" s="52" t="s">
        <v>57</v>
      </c>
      <c r="F27" s="54" t="s">
        <v>35</v>
      </c>
      <c r="G27" s="55">
        <v>1007200</v>
      </c>
    </row>
  </sheetData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CALHOUN</vt:lpstr>
      <vt:lpstr>JACKSON</vt:lpstr>
      <vt:lpstr>PLEASANTS</vt:lpstr>
      <vt:lpstr>RITCHIE</vt:lpstr>
      <vt:lpstr>ROANE</vt:lpstr>
      <vt:lpstr>TYLER</vt:lpstr>
      <vt:lpstr>WIRT</vt:lpstr>
      <vt:lpstr>WOOD</vt:lpstr>
      <vt:lpstr>WOOD (NON_RES &gt; 1M)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Maneesh Sharma</dc:creator>
  <cp:lastModifiedBy>Behrang Bidadian </cp:lastModifiedBy>
  <dcterms:created xsi:type="dcterms:W3CDTF">2021-08-18T19:44:08Z</dcterms:created>
  <dcterms:modified xsi:type="dcterms:W3CDTF">2021-12-01T14:57:42Z</dcterms:modified>
</cp:coreProperties>
</file>