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6\"/>
    </mc:Choice>
  </mc:AlternateContent>
  <xr:revisionPtr revIDLastSave="0" documentId="13_ncr:1_{864A7899-39A7-4BC5-ADF4-1E27B0E97362}" xr6:coauthVersionLast="44" xr6:coauthVersionMax="44" xr10:uidLastSave="{00000000-0000-0000-0000-000000000000}"/>
  <bookViews>
    <workbookView xWindow="-120" yWindow="-120" windowWidth="29040" windowHeight="15840" tabRatio="735" xr2:uid="{00000000-000D-0000-FFFF-FFFF00000000}"/>
  </bookViews>
  <sheets>
    <sheet name="DODDRIDGE" sheetId="21" r:id="rId1"/>
    <sheet name="HARRISON" sheetId="22" r:id="rId2"/>
    <sheet name="MARION" sheetId="23" r:id="rId3"/>
    <sheet name="MONONGALIA" sheetId="24" r:id="rId4"/>
    <sheet name="PRESTON" sheetId="25" r:id="rId5"/>
    <sheet name="TAYLOR" sheetId="26" r:id="rId6"/>
    <sheet name="MONONGALIA (NON_RES &gt; 800K)" sheetId="27" r:id="rId7"/>
  </sheets>
  <definedNames>
    <definedName name="_xlnm._FilterDatabase" localSheetId="0" hidden="1">DODDRIDGE!$A$6:$X$67</definedName>
    <definedName name="_xlnm._FilterDatabase" localSheetId="1" hidden="1">HARRISON!$A$6:$X$83</definedName>
    <definedName name="_xlnm._FilterDatabase" localSheetId="2" hidden="1">MARION!$A$6:$X$48</definedName>
    <definedName name="_xlnm._FilterDatabase" localSheetId="3" hidden="1">MONONGALIA!$A$6:$X$74</definedName>
    <definedName name="_xlnm._FilterDatabase" localSheetId="6" hidden="1">'MONONGALIA (NON_RES &gt; 800K)'!$B$2:$G$20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21" l="1"/>
  <c r="F9" i="22" l="1"/>
  <c r="F7" i="26" l="1"/>
  <c r="F9" i="26"/>
  <c r="F10" i="26"/>
  <c r="F11" i="26"/>
  <c r="F12" i="26"/>
  <c r="F8" i="26"/>
  <c r="F13" i="26"/>
  <c r="F14" i="26"/>
  <c r="F15" i="26"/>
  <c r="F16" i="26"/>
  <c r="F17" i="26"/>
  <c r="F18" i="26"/>
  <c r="F19" i="26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9" i="24"/>
  <c r="W11" i="24"/>
  <c r="F11" i="24"/>
  <c r="F7" i="24"/>
  <c r="F10" i="24"/>
  <c r="F12" i="24"/>
  <c r="F8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32" i="22" l="1"/>
  <c r="F7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3" i="22"/>
  <c r="F34" i="22"/>
  <c r="F35" i="22"/>
  <c r="F36" i="22"/>
  <c r="F37" i="22"/>
  <c r="F10" i="22"/>
  <c r="F38" i="22"/>
  <c r="F39" i="22"/>
  <c r="F40" i="22"/>
  <c r="F41" i="22"/>
  <c r="F42" i="22"/>
  <c r="F8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3" i="22"/>
  <c r="F8" i="21"/>
  <c r="F9" i="21"/>
  <c r="F10" i="21"/>
  <c r="F11" i="21"/>
  <c r="F12" i="21"/>
  <c r="F7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</calcChain>
</file>

<file path=xl/sharedStrings.xml><?xml version="1.0" encoding="utf-8"?>
<sst xmlns="http://schemas.openxmlformats.org/spreadsheetml/2006/main" count="5722" uniqueCount="1754">
  <si>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</si>
  <si>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</si>
  <si>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</si>
  <si>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</si>
  <si>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</si>
  <si>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</si>
  <si>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</si>
  <si>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</si>
  <si>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</si>
  <si>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</si>
  <si>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</si>
  <si>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</si>
  <si>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</si>
  <si>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</si>
  <si>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</si>
  <si>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</si>
  <si>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</si>
  <si>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</si>
  <si>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</si>
  <si>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</si>
  <si>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</si>
  <si>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</si>
  <si>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</si>
  <si>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</si>
  <si>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FT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</si>
  <si>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</si>
  <si>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</si>
  <si>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</si>
  <si>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</si>
  <si>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</si>
  <si>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</si>
  <si>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</si>
  <si>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</si>
  <si>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</si>
  <si>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</si>
  <si>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</si>
  <si>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</si>
  <si>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</si>
  <si>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A</t>
  </si>
  <si>
    <t>Pre-FIRM</t>
  </si>
  <si>
    <t>A+</t>
  </si>
  <si>
    <t>RES1</t>
  </si>
  <si>
    <t>Residential</t>
  </si>
  <si>
    <t>Basement</t>
  </si>
  <si>
    <t>Assessment (IAS)</t>
  </si>
  <si>
    <t>B</t>
  </si>
  <si>
    <t>B-</t>
  </si>
  <si>
    <t>COM1</t>
  </si>
  <si>
    <t>A-</t>
  </si>
  <si>
    <t>C-</t>
  </si>
  <si>
    <t>B+</t>
  </si>
  <si>
    <t>COM8</t>
  </si>
  <si>
    <t>Crawlspace</t>
  </si>
  <si>
    <t>D</t>
  </si>
  <si>
    <t>Updated AE</t>
  </si>
  <si>
    <t>COM7</t>
  </si>
  <si>
    <t>COM4</t>
  </si>
  <si>
    <t>C+</t>
  </si>
  <si>
    <t>REL1</t>
  </si>
  <si>
    <t>BOARD OF EDUCATION</t>
  </si>
  <si>
    <t>EDU1</t>
  </si>
  <si>
    <t>Insurance (BRIM)</t>
  </si>
  <si>
    <t>RES4</t>
  </si>
  <si>
    <t>COM2</t>
  </si>
  <si>
    <t>GOV2</t>
  </si>
  <si>
    <t>E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</si>
  <si>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</si>
  <si>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</si>
  <si>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</si>
  <si>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</si>
  <si>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</si>
  <si>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</si>
  <si>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</si>
  <si>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X</t>
  </si>
  <si>
    <t>2015</t>
  </si>
  <si>
    <t>2008</t>
  </si>
  <si>
    <t>1999</t>
  </si>
  <si>
    <t>0</t>
  </si>
  <si>
    <t>1986</t>
  </si>
  <si>
    <t>1978</t>
  </si>
  <si>
    <t>2005</t>
  </si>
  <si>
    <t>2010</t>
  </si>
  <si>
    <t>1964</t>
  </si>
  <si>
    <t>1970</t>
  </si>
  <si>
    <t>2006</t>
  </si>
  <si>
    <t>1997</t>
  </si>
  <si>
    <t>1960</t>
  </si>
  <si>
    <t>1996</t>
  </si>
  <si>
    <t>IND1</t>
  </si>
  <si>
    <t>Education</t>
  </si>
  <si>
    <t>Government</t>
  </si>
  <si>
    <t>Religious</t>
  </si>
  <si>
    <t>Industrial</t>
  </si>
  <si>
    <t>1</t>
  </si>
  <si>
    <t>2</t>
  </si>
  <si>
    <t>1.0</t>
  </si>
  <si>
    <t>4.0</t>
  </si>
  <si>
    <t>Area (RS Means)</t>
  </si>
  <si>
    <t>2017</t>
  </si>
  <si>
    <t>1990</t>
  </si>
  <si>
    <t>1995</t>
  </si>
  <si>
    <t>2001</t>
  </si>
  <si>
    <t>1975</t>
  </si>
  <si>
    <t>1994</t>
  </si>
  <si>
    <t>1962</t>
  </si>
  <si>
    <t>2012</t>
  </si>
  <si>
    <t>1991</t>
  </si>
  <si>
    <t>2007</t>
  </si>
  <si>
    <t>2009</t>
  </si>
  <si>
    <t>1973</t>
  </si>
  <si>
    <t>1972</t>
  </si>
  <si>
    <t>COM3</t>
  </si>
  <si>
    <t>1940</t>
  </si>
  <si>
    <t>1900</t>
  </si>
  <si>
    <t>3.0</t>
  </si>
  <si>
    <t>1998</t>
  </si>
  <si>
    <t>Post-FIRM construction regulated to Pre-FIRM (Mapped into SFHA)</t>
  </si>
  <si>
    <t>1988</t>
  </si>
  <si>
    <t>(Higher than $200,000)</t>
  </si>
  <si>
    <t>(Higher than $100,000)</t>
  </si>
  <si>
    <t>2018</t>
  </si>
  <si>
    <t>1992</t>
  </si>
  <si>
    <t>Owner Name or Building ID</t>
  </si>
  <si>
    <t>1955</t>
  </si>
  <si>
    <t>4150</t>
  </si>
  <si>
    <t>New utility changes applied manually</t>
  </si>
  <si>
    <t>09-08-0007-0017-0005_81</t>
  </si>
  <si>
    <t>09-08-0011-0077-0000_306</t>
  </si>
  <si>
    <t>09-04-0014-0013-0000_94</t>
  </si>
  <si>
    <t>09-06-0004-0027-0000_5915</t>
  </si>
  <si>
    <t>09-07-0013-0049-0000_5832</t>
  </si>
  <si>
    <t>09-09-0003-0160-0000_218</t>
  </si>
  <si>
    <t>09-01-0002-0008-0000_5716</t>
  </si>
  <si>
    <t>09-01-0007-0020-0000_169</t>
  </si>
  <si>
    <t>09-01-0007-0081-0000_864</t>
  </si>
  <si>
    <t>09-01-0010-0023-0002_239</t>
  </si>
  <si>
    <t>09-01-007A-0002-0000_1222</t>
  </si>
  <si>
    <t>09-03-0006-0020-0002_5169</t>
  </si>
  <si>
    <t>09-03-0006-0020-0002_5175</t>
  </si>
  <si>
    <t>09-03-0019-0029-0000_759</t>
  </si>
  <si>
    <t>09-03-0019-0036-0001_664</t>
  </si>
  <si>
    <t>09-03-0020-0017-0003_3550</t>
  </si>
  <si>
    <t>09-03-0020-0034-0002_3660</t>
  </si>
  <si>
    <t>09-04-0007-0014-0009_2100</t>
  </si>
  <si>
    <t>09-04-0007-0028-0001_1542</t>
  </si>
  <si>
    <t>09-04-0008-0011-0005_2636</t>
  </si>
  <si>
    <t>09-04-0008-0011-0006_2660</t>
  </si>
  <si>
    <t>09-04-0011-0025-0000_3076</t>
  </si>
  <si>
    <t>09-04-0014-0014-0000_8669</t>
  </si>
  <si>
    <t>09-04-0014-0025-0000_8526</t>
  </si>
  <si>
    <t>09-05-0011-0032-0000_14099</t>
  </si>
  <si>
    <t>09-05-0011-0033-0000_14723</t>
  </si>
  <si>
    <t>09-05-0013-0014-0000_730</t>
  </si>
  <si>
    <t>09-05-0016-0001-0000_26</t>
  </si>
  <si>
    <t>09-05-0016-0009-0000_226A</t>
  </si>
  <si>
    <t>09-05-0018-0049-0000_276</t>
  </si>
  <si>
    <t>09-05-0019-0050-0000_6849</t>
  </si>
  <si>
    <t>09-06-0004-0002-0006_4447</t>
  </si>
  <si>
    <t>09-06-0004-0023-0001_5938</t>
  </si>
  <si>
    <t>09-06-0004-0024-0000_249</t>
  </si>
  <si>
    <t>09-06-0008-0004-0000_6695</t>
  </si>
  <si>
    <t>09-06-0008-0016-0000_7129</t>
  </si>
  <si>
    <t>09-06-0008-0042-0001_1635</t>
  </si>
  <si>
    <t>09-06-0012-0001-0000_8549</t>
  </si>
  <si>
    <t>09-06-0012-0037-0004_5040</t>
  </si>
  <si>
    <t>09-07-0004-0028-0003_72A</t>
  </si>
  <si>
    <t>09-07-0013-0042-0000_6508</t>
  </si>
  <si>
    <t>09-08-0006-0002-0003_5379</t>
  </si>
  <si>
    <t>09-08-0006-0002-0007_5335</t>
  </si>
  <si>
    <t>09-08-0011-0009-0001_2752</t>
  </si>
  <si>
    <t>09-08-0011-0055-0000_732</t>
  </si>
  <si>
    <t>09-08-0011-0057-0000_754</t>
  </si>
  <si>
    <t>09-08-0011-0059-0000_790</t>
  </si>
  <si>
    <t>09-08-0011-0061-0000_812</t>
  </si>
  <si>
    <t>09-08-0011-0064-0000_854</t>
  </si>
  <si>
    <t>09-08-0011-0064-0000_876</t>
  </si>
  <si>
    <t>09-08-0012-0023-0000_1460</t>
  </si>
  <si>
    <t>09-08-0015-0004-0000_310</t>
  </si>
  <si>
    <t>09-08-0016-0007-0000_280A</t>
  </si>
  <si>
    <t>09-09-0003-0044-0000_92</t>
  </si>
  <si>
    <t>09-09-0003-0055-0000_40</t>
  </si>
  <si>
    <t>09-09-0003-0073-0000_38</t>
  </si>
  <si>
    <t>09-09-0003-0073-0000_40</t>
  </si>
  <si>
    <t>09-09-0003-0076-0000_91</t>
  </si>
  <si>
    <t>09-09-0003-0110-0000_33</t>
  </si>
  <si>
    <t>09-09-0003-0110-0002_23</t>
  </si>
  <si>
    <t>Doddridge County</t>
  </si>
  <si>
    <t>Town of West Union</t>
  </si>
  <si>
    <t>Middle Island Creek</t>
  </si>
  <si>
    <t>Johnson Fork</t>
  </si>
  <si>
    <t>Meathouse Fork</t>
  </si>
  <si>
    <t>Upper Run</t>
  </si>
  <si>
    <t>Arnold Creek</t>
  </si>
  <si>
    <t>Wilhelm Run</t>
  </si>
  <si>
    <t>Claylick Run</t>
  </si>
  <si>
    <t>Isarel Fork</t>
  </si>
  <si>
    <t>Buckeye Creek</t>
  </si>
  <si>
    <t>Long Run</t>
  </si>
  <si>
    <t>Big Isaac Creek</t>
  </si>
  <si>
    <t>McElroy Creek</t>
  </si>
  <si>
    <t>Talkington Fork</t>
  </si>
  <si>
    <t>Big Run</t>
  </si>
  <si>
    <t>Little Battle Run</t>
  </si>
  <si>
    <t>Eibscamp Run</t>
  </si>
  <si>
    <t>Toms Fork</t>
  </si>
  <si>
    <t>Brushy Fork (I)</t>
  </si>
  <si>
    <t>South Fork Hughes River</t>
  </si>
  <si>
    <t>Middle Fork</t>
  </si>
  <si>
    <t>Rock Run</t>
  </si>
  <si>
    <t>Brushy Fork</t>
  </si>
  <si>
    <t>09-08-0007-0017-0005</t>
  </si>
  <si>
    <t>09-08-0011-0077-0000</t>
  </si>
  <si>
    <t>09-04-0014-0013-0000</t>
  </si>
  <si>
    <t>09-06-0004-0027-0000</t>
  </si>
  <si>
    <t>09-07-0013-0049-0000</t>
  </si>
  <si>
    <t>09-09-0003-0160-0000</t>
  </si>
  <si>
    <t>09-01-0002-0008-0000</t>
  </si>
  <si>
    <t>09-01-0007-0020-0000</t>
  </si>
  <si>
    <t>09-01-0007-0081-0000</t>
  </si>
  <si>
    <t>09-01-0010-0023-0002</t>
  </si>
  <si>
    <t>09-01-007A-0002-0000</t>
  </si>
  <si>
    <t>09-03-0006-0020-0002</t>
  </si>
  <si>
    <t>09-03-0019-0029-0000</t>
  </si>
  <si>
    <t>09-03-0019-0036-0001</t>
  </si>
  <si>
    <t>09-03-0020-0017-0003</t>
  </si>
  <si>
    <t>09-03-0020-0034-0002</t>
  </si>
  <si>
    <t>09-04-0007-0014-0009</t>
  </si>
  <si>
    <t>09-04-0007-0028-0001</t>
  </si>
  <si>
    <t>09-04-0008-0011-0005</t>
  </si>
  <si>
    <t>09-04-0008-0011-0006</t>
  </si>
  <si>
    <t>09-04-0011-0025-0000</t>
  </si>
  <si>
    <t>09-04-0014-0014-0000</t>
  </si>
  <si>
    <t>09-04-0014-0025-0000</t>
  </si>
  <si>
    <t>09-05-0011-0032-0000</t>
  </si>
  <si>
    <t>09-05-0011-0033-0000</t>
  </si>
  <si>
    <t>09-05-0013-0014-0000</t>
  </si>
  <si>
    <t>09-05-0016-0001-0000</t>
  </si>
  <si>
    <t>09-05-0016-0009-0000</t>
  </si>
  <si>
    <t>09-05-0018-0049-0000</t>
  </si>
  <si>
    <t>09-05-0019-0050-0000</t>
  </si>
  <si>
    <t>09-06-0004-0002-0006</t>
  </si>
  <si>
    <t>09-06-0004-0023-0001</t>
  </si>
  <si>
    <t>09-06-0004-0024-0000</t>
  </si>
  <si>
    <t>09-06-0008-0004-0000</t>
  </si>
  <si>
    <t>09-06-0008-0016-0000</t>
  </si>
  <si>
    <t>09-06-0008-0042-0001</t>
  </si>
  <si>
    <t>09-06-0012-0001-0000</t>
  </si>
  <si>
    <t>09-06-0012-0037-0004</t>
  </si>
  <si>
    <t>09-07-0004-0028-0003</t>
  </si>
  <si>
    <t>09-07-0013-0042-0000</t>
  </si>
  <si>
    <t>09-08-0006-0002-0003</t>
  </si>
  <si>
    <t>09-08-0006-0002-0007</t>
  </si>
  <si>
    <t>09-08-0011-0009-0001</t>
  </si>
  <si>
    <t>09-08-0011-0055-0000</t>
  </si>
  <si>
    <t>09-08-0011-0057-0000</t>
  </si>
  <si>
    <t>09-08-0011-0059-0000</t>
  </si>
  <si>
    <t>09-08-0011-0061-0000</t>
  </si>
  <si>
    <t>09-08-0011-0064-0000</t>
  </si>
  <si>
    <t>09-08-0012-0023-0000</t>
  </si>
  <si>
    <t>09-08-0015-0004-0000</t>
  </si>
  <si>
    <t>09-08-0016-0007-0000</t>
  </si>
  <si>
    <t>09-09-0003-0044-0000</t>
  </si>
  <si>
    <t>09-09-0003-0055-0000</t>
  </si>
  <si>
    <t>09-09-0003-0073-0000</t>
  </si>
  <si>
    <t>09-09-0003-0076-0000</t>
  </si>
  <si>
    <t>09-09-0003-0110-0000</t>
  </si>
  <si>
    <t>09-09-0003-0110-0002</t>
  </si>
  <si>
    <t>81 DICK BLAKE DR, WEST UNION, WV, 26456</t>
  </si>
  <si>
    <t>306 SMITHTON RD, WEST UNION, WV, 26456</t>
  </si>
  <si>
    <t>94 JOHNSON FRK, SALEM, WV, 26426</t>
  </si>
  <si>
    <t>5915 WV RT 18 S, NEW MILTON, WV, 26411</t>
  </si>
  <si>
    <t>5832 GROVE SUMMERS RD, WEST UNION, WV, 26456</t>
  </si>
  <si>
    <t>218 EDMOND ST, WEST UNION, WV, 26456</t>
  </si>
  <si>
    <t>5716 LONG RUN RD, PENNSBORO, WV, 26415</t>
  </si>
  <si>
    <t>169 RAMSEYS RIDGE RD, WEST UNION, WV, 26456</t>
  </si>
  <si>
    <t>864 STONE VALLEY RD, WEST UNION, WV, 26456</t>
  </si>
  <si>
    <t>239 SUNNYSIDE RD, WEST UNION, WV, 26456</t>
  </si>
  <si>
    <t>1222 STONE VALLEY RD, WEST UNION, WV, 26456</t>
  </si>
  <si>
    <t>5169 ROCK RUN RD, WEST UNION, WV, 26456</t>
  </si>
  <si>
    <t>5175 ROCK RUN RD, WEST UNION, WV, 26456</t>
  </si>
  <si>
    <t>759 SALEM LONG RUN RD, WEST UNION, WV, 26456</t>
  </si>
  <si>
    <t>664 SALEM LONG RUN RD, WEST UNION, WV, 26456</t>
  </si>
  <si>
    <t>3550 SALEM LONG RUN RD, SALEM, WV, 26426</t>
  </si>
  <si>
    <t>3660 SALEM LONG RUN RD, SALEM, WV, 26426</t>
  </si>
  <si>
    <t>2100 MILETUS RD, SALEM, WV, 26426</t>
  </si>
  <si>
    <t>1542 MILETUS RD, SALEM, WV, 26426</t>
  </si>
  <si>
    <t>2636 MILETUS RD, SALEM, WV, 26426</t>
  </si>
  <si>
    <t>2660 MILETUS RD, SALEM, WV, 26426</t>
  </si>
  <si>
    <t>3076 BIG ISAAC RD, SALEM, WV, 26426</t>
  </si>
  <si>
    <t>8669 MEATHOUSE FORK RD, SALEM, WV, 26426</t>
  </si>
  <si>
    <t>8526 MEATHOUSE FORK RD, SALEM, WV, 26426</t>
  </si>
  <si>
    <t>14099 WV RT 23 N, WEST UNION, WV, 26456</t>
  </si>
  <si>
    <t>14723 WV RT 23 N, WEST UNION, WV, 26456</t>
  </si>
  <si>
    <t>730 BEVERLIN FRK, CENTER POINT, WV, 26339</t>
  </si>
  <si>
    <t>26 DEER DR, SALEM, WV, 26426</t>
  </si>
  <si>
    <t>226A BARRS LN, SALEM, WV, 26426</t>
  </si>
  <si>
    <t>276 NAZARETH FARM RD, SALEM, WV, 26426</t>
  </si>
  <si>
    <t>6849 WV RT 23 N, SALEM, WV, 26426</t>
  </si>
  <si>
    <t>4447 WV RT 18 S, NEW MILTON, WV, 26456</t>
  </si>
  <si>
    <t>5938 WV RT 18 S, NEW MILTON, WV, 26456</t>
  </si>
  <si>
    <t>249 SMITH HOLLOW RD, NEW MILTON, WV, 26456</t>
  </si>
  <si>
    <t>6695 WV RT 18 S, NEW MILTON, WV, 26411</t>
  </si>
  <si>
    <t>7129 WV RT 18 S, NEW MILTON, WV, 26411</t>
  </si>
  <si>
    <t>1635 MEATHOUSE FORK RD, NEW MILTON, WV, 26411</t>
  </si>
  <si>
    <t>8549 WV RT 18 S, NEW MILTON, WV, 26411</t>
  </si>
  <si>
    <t>5040 BRUSHY FORK RD, NEW MILTON, WV, 26411</t>
  </si>
  <si>
    <t xml:space="preserve">72A TAYLOR DRAIN RD, WEST UNION, WV, 26456 </t>
  </si>
  <si>
    <t>6508 GROVE SUMMERS RD, WEST UNION, WV, 26456</t>
  </si>
  <si>
    <t>5379 WV RT 18 N, WEST UNION, WV, 26456</t>
  </si>
  <si>
    <t>5335 WV RT 18 N, WEST UNION, WV, 26456</t>
  </si>
  <si>
    <t>2752 ROCK RUN RD, WEST UNION, WV, 26456</t>
  </si>
  <si>
    <t>732 SMITHTON RD, WEST UNION, WV, 26456</t>
  </si>
  <si>
    <t>754 SMITHTON RD, WEST UNION, WV, 26456</t>
  </si>
  <si>
    <t>790 SMITHTON RD, WEST UNION, WV, 26456</t>
  </si>
  <si>
    <t>812 SMITHTON RD, WEST UNION, WV, 26456</t>
  </si>
  <si>
    <t>854 SMITHTON RD, WEST UNION, WV, 26456</t>
  </si>
  <si>
    <t>876 SMITHTON RD, WEST UNION, WV, 26456</t>
  </si>
  <si>
    <t>1460 SMITHTON RD, WEST UNION, WV, 26456</t>
  </si>
  <si>
    <t>310 HOPE RD, WEST UNION, WV, 26456</t>
  </si>
  <si>
    <t>280A SNOWBIRD RD, WEST UNION, WV, 26456</t>
  </si>
  <si>
    <t>92 HYDE AVE, WEST UNION, WV, 26456</t>
  </si>
  <si>
    <t>40 JAMES ST, WEST UNION, WV, 26456</t>
  </si>
  <si>
    <t>38 BEECH ST, WEST UNION, WV, 26456</t>
  </si>
  <si>
    <t>40 BEECH ST, WEST UNION, WV, 26456</t>
  </si>
  <si>
    <t>91 CHEUVRONT AVE, WEST UNION, WV, 26456</t>
  </si>
  <si>
    <t>33 BEECH ST, WEST UNION, WV, 26456</t>
  </si>
  <si>
    <t>23 PIKE ST, WEST UNION, WV, 26456</t>
  </si>
  <si>
    <t>Advisory A</t>
  </si>
  <si>
    <t>SHERWOOD MIDSTREAM HOLDINGS LLC</t>
  </si>
  <si>
    <t>TOWN OF WEST UNION</t>
  </si>
  <si>
    <t>DODDRIDGE CO PARK &amp; RECREATION</t>
  </si>
  <si>
    <t>EQUITRANS INC</t>
  </si>
  <si>
    <t>TRENT RANDY &amp; CATHERINE (SURV)</t>
  </si>
  <si>
    <t>ASH TIMOTHY &amp; PAULA (SURV)</t>
  </si>
  <si>
    <t>LIPSCOMB DANNY LEE &amp; KERRI JO (SURV)</t>
  </si>
  <si>
    <t>C N G TRANSMISSION CORP</t>
  </si>
  <si>
    <t>JONES ARBEE R &amp; PHYLLIS A (SURV)</t>
  </si>
  <si>
    <t>HUTSON DOUGLAS A &amp; BILLIE M (SURV)</t>
  </si>
  <si>
    <t>PAYNE ARTHUR G &amp; MELSSA A (SURV)</t>
  </si>
  <si>
    <t>CNG TRANSMISSION CORP</t>
  </si>
  <si>
    <t>FRIELLO TIM J &amp; DAWN C (SURV)</t>
  </si>
  <si>
    <t>CARPENTER REBECCA A (UNDERWOOD)</t>
  </si>
  <si>
    <t>BARR JAMES T &amp; JOAN (SURV)</t>
  </si>
  <si>
    <t>CONE MIDSTREAM DEVCO III LP</t>
  </si>
  <si>
    <t>MARKWEST LIBERTY MIDSTREAM &amp; RESOURCES LLC</t>
  </si>
  <si>
    <t>DIAZ JACK M &amp; KAREN A (SURV)</t>
  </si>
  <si>
    <t>BEE LOWELL P &amp; SHARON D</t>
  </si>
  <si>
    <t>HUTSON JEFFREY SCOTT &amp; ZONA SNYDER HUTSON (SURV)</t>
  </si>
  <si>
    <t>DEVERICKS TODD ALAN &amp; ROBERTA JEAN (SURV)</t>
  </si>
  <si>
    <t>WEBB MICHAEL G &amp; R ANITA (SURV)</t>
  </si>
  <si>
    <t>DAVID JOSEPH T &amp; CHARLOTTE N (SURV)</t>
  </si>
  <si>
    <t>WEEKLEY SHARON K &amp; PAUL D (SURV)</t>
  </si>
  <si>
    <t>MOUNT HEBRON BAPTIST CHURCH TRUSTEES</t>
  </si>
  <si>
    <t>GUM JOSEPH E (LIFE)</t>
  </si>
  <si>
    <t>RYAN MICHAEL L</t>
  </si>
  <si>
    <t>BEE WARREN &amp; JUDY</t>
  </si>
  <si>
    <t>BRUNETTI FRANK E &amp; MARTHA A (SURV)</t>
  </si>
  <si>
    <t>WYCKOFF DEBORAH LYNN</t>
  </si>
  <si>
    <t>RICHARDS EZRA G &amp; ARTICE</t>
  </si>
  <si>
    <t>GLASPELL ERIC L</t>
  </si>
  <si>
    <t>PARSONS JEFFREY D &amp; NAOMI R (SURV)</t>
  </si>
  <si>
    <t>BEE RICHARD L &amp; STACY M (SURV)</t>
  </si>
  <si>
    <t>POWELL DENNIS S &amp; KAY L</t>
  </si>
  <si>
    <t>STATE OF W VA ROAD COMM</t>
  </si>
  <si>
    <t>DAVIS DESTINI LEA</t>
  </si>
  <si>
    <t>STICKEL HERMAN S III &amp; BETTY J (SURV)</t>
  </si>
  <si>
    <t>DEVINNEY MICHAEL K &amp; MICHELLE L (SURV)</t>
  </si>
  <si>
    <t>WEEKLEY HOMER L</t>
  </si>
  <si>
    <t>ASH KENNETH L &amp; DEBORA S (SURV)</t>
  </si>
  <si>
    <t>GUM TROY S &amp; TONYA L (SURV)</t>
  </si>
  <si>
    <t>SWIGER MICHAEL W &amp; JODI A (SURV)</t>
  </si>
  <si>
    <t>PIERCE DALE F &amp; PAULETTE (SURV)</t>
  </si>
  <si>
    <t>BIG ISAAC U M CHURCH</t>
  </si>
  <si>
    <t>DODD CO PUBLIC LIBRARY COMM</t>
  </si>
  <si>
    <t>SWANN LEWIS J &amp; HELEN K (SURV)</t>
  </si>
  <si>
    <t>ROGERS BRANDON</t>
  </si>
  <si>
    <t>HART ANDREW W &amp; MICHELLE L RYAN (SURV)</t>
  </si>
  <si>
    <t>GARVIN ANTHONY &amp; RHONDA (SURV)</t>
  </si>
  <si>
    <t>GREENWOOD VOLUNTEER FIRE DEPARTMENT INC</t>
  </si>
  <si>
    <t>TURNER MARTIN J &amp; LISA K (SURV)</t>
  </si>
  <si>
    <t>WEEKLEY JUDITH E (JOZWICK) &amp; MICHAEL L WEEKLEY</t>
  </si>
  <si>
    <t>LEGGETT HAROLD DUANE</t>
  </si>
  <si>
    <t>WEBB STANLEY</t>
  </si>
  <si>
    <t>NICHOLSON DONAVAN L &amp; PAMELA S (SURV)</t>
  </si>
  <si>
    <t>WYCKOFF GEORGE M &amp; SANDRA</t>
  </si>
  <si>
    <t>BRITTON MICHAEL RAY &amp; MATTHEW B (SURV)</t>
  </si>
  <si>
    <t>SANDORA RALPH JR (LIFE)</t>
  </si>
  <si>
    <t>9999</t>
  </si>
  <si>
    <t>1111</t>
  </si>
  <si>
    <t>2000</t>
  </si>
  <si>
    <t>2014</t>
  </si>
  <si>
    <t>1979</t>
  </si>
  <si>
    <t>2004</t>
  </si>
  <si>
    <t>1982</t>
  </si>
  <si>
    <t>1993</t>
  </si>
  <si>
    <t>1985</t>
  </si>
  <si>
    <t>2011</t>
  </si>
  <si>
    <t>2003</t>
  </si>
  <si>
    <t>1983</t>
  </si>
  <si>
    <t>1971</t>
  </si>
  <si>
    <t>2002</t>
  </si>
  <si>
    <t>1948</t>
  </si>
  <si>
    <t>1950</t>
  </si>
  <si>
    <t>1865</t>
  </si>
  <si>
    <t>1954</t>
  </si>
  <si>
    <t>1980</t>
  </si>
  <si>
    <t>1939</t>
  </si>
  <si>
    <t>E-</t>
  </si>
  <si>
    <t>17000</t>
  </si>
  <si>
    <t>576</t>
  </si>
  <si>
    <t>4754</t>
  </si>
  <si>
    <t>17100</t>
  </si>
  <si>
    <t>3300</t>
  </si>
  <si>
    <t>4280</t>
  </si>
  <si>
    <t>3044</t>
  </si>
  <si>
    <t>5571</t>
  </si>
  <si>
    <t>2205</t>
  </si>
  <si>
    <t>3692</t>
  </si>
  <si>
    <t>5800</t>
  </si>
  <si>
    <t>4100</t>
  </si>
  <si>
    <t>3096</t>
  </si>
  <si>
    <t>1680</t>
  </si>
  <si>
    <t>2356</t>
  </si>
  <si>
    <t>3832</t>
  </si>
  <si>
    <t>65000</t>
  </si>
  <si>
    <t>2156</t>
  </si>
  <si>
    <t>2440</t>
  </si>
  <si>
    <t>2040</t>
  </si>
  <si>
    <t>4272</t>
  </si>
  <si>
    <t>1764</t>
  </si>
  <si>
    <t>2856</t>
  </si>
  <si>
    <t>3680</t>
  </si>
  <si>
    <t>1820</t>
  </si>
  <si>
    <t>1945</t>
  </si>
  <si>
    <t>1920</t>
  </si>
  <si>
    <t>2432</t>
  </si>
  <si>
    <t>2169</t>
  </si>
  <si>
    <t>2016</t>
  </si>
  <si>
    <t>2052</t>
  </si>
  <si>
    <t>2135</t>
  </si>
  <si>
    <t>2280</t>
  </si>
  <si>
    <t>4000</t>
  </si>
  <si>
    <t>1638</t>
  </si>
  <si>
    <t>2838</t>
  </si>
  <si>
    <t>1768</t>
  </si>
  <si>
    <t>2160</t>
  </si>
  <si>
    <t>1888</t>
  </si>
  <si>
    <t>1848</t>
  </si>
  <si>
    <t>1250</t>
  </si>
  <si>
    <t>2504</t>
  </si>
  <si>
    <t>2820</t>
  </si>
  <si>
    <t>2535</t>
  </si>
  <si>
    <t>3128</t>
  </si>
  <si>
    <t>9666</t>
  </si>
  <si>
    <t>1530</t>
  </si>
  <si>
    <t>2128</t>
  </si>
  <si>
    <t>2208</t>
  </si>
  <si>
    <t>1144</t>
  </si>
  <si>
    <t>1568</t>
  </si>
  <si>
    <t>2624</t>
  </si>
  <si>
    <t>1674</t>
  </si>
  <si>
    <t>DODDRIDGE</t>
  </si>
  <si>
    <t>HARRISON</t>
  </si>
  <si>
    <t>17-16-0309-0005-0000_515</t>
  </si>
  <si>
    <t>17-16-0309-0006-0000_413</t>
  </si>
  <si>
    <t>17-16-0290-0013-0002_101</t>
  </si>
  <si>
    <t>17-01-0326-0100-0000_2096</t>
  </si>
  <si>
    <t>17-03-0024-0246-0000_408</t>
  </si>
  <si>
    <t>17-08-0009-0001-0001_1100</t>
  </si>
  <si>
    <t>17-16-0289-0037-0000_531</t>
  </si>
  <si>
    <t>17-03-0034-0155-0000_100</t>
  </si>
  <si>
    <t>17-05-0230-0035-0001_53</t>
  </si>
  <si>
    <t>17-16-0309-0042-0017_409</t>
  </si>
  <si>
    <t>17-19-2708-0075-0000_260</t>
  </si>
  <si>
    <t>17-17-0328-0072-0000_2798</t>
  </si>
  <si>
    <t>17-03-0029-0232-0000_423</t>
  </si>
  <si>
    <t>17-16-2407-0013-0000_164</t>
  </si>
  <si>
    <t>17-04-0804-0009-0000_1</t>
  </si>
  <si>
    <t>17-15-0289-0024-0017_1002</t>
  </si>
  <si>
    <t>17-07-0286-0084-0000_345</t>
  </si>
  <si>
    <t>17-07-0286-0084-0001_339</t>
  </si>
  <si>
    <t>17-15-2301-9999-9999_1041</t>
  </si>
  <si>
    <t>17-05-0250-0006-0000_4664A</t>
  </si>
  <si>
    <t>17-10-1804-0064-0000_99</t>
  </si>
  <si>
    <t>17-11-0409-0033-0000_144</t>
  </si>
  <si>
    <t>17-16-0289-0041-0000_108</t>
  </si>
  <si>
    <t>17-16-0309-0042-0014_607</t>
  </si>
  <si>
    <t>17-06-1003-0003-0002_208</t>
  </si>
  <si>
    <t>17-01-0306-0046-0003_1489</t>
  </si>
  <si>
    <t>17-15-0310-0020-0000_841</t>
  </si>
  <si>
    <t>17-08-0010-0177-0000_378</t>
  </si>
  <si>
    <t>17-15-0289-0024-0017_1002B</t>
  </si>
  <si>
    <t>17-08-0015-0356-0000_788</t>
  </si>
  <si>
    <t>17-01-0327-0005-0000_1201</t>
  </si>
  <si>
    <t>17-13-2104-0007-0000_80</t>
  </si>
  <si>
    <t>17-16-2403-0290-0000_9998</t>
  </si>
  <si>
    <t>17-06-0188-0017-0001_900</t>
  </si>
  <si>
    <t>17-06-1002-0001-0000_345</t>
  </si>
  <si>
    <t>17-03-0024-0021-0000_115</t>
  </si>
  <si>
    <t>17-01-0348-0030-0003_2855</t>
  </si>
  <si>
    <t>17-05-0230-0035-0004_21</t>
  </si>
  <si>
    <t>17-15-0349-0037-0005_1370</t>
  </si>
  <si>
    <t>17-16-2407-0027-0000_131</t>
  </si>
  <si>
    <t>17-15-0248-0052-0000_1978</t>
  </si>
  <si>
    <t>17-18-2610-0013-0000_38</t>
  </si>
  <si>
    <t>17-16-0250-0014-0003_20</t>
  </si>
  <si>
    <t>17-03-0021-0241-0000_1040</t>
  </si>
  <si>
    <t>17-15-0289-0024-0017_1004</t>
  </si>
  <si>
    <t>17-16-2407-0007-0000_9999</t>
  </si>
  <si>
    <t>17-15-0331-0023-0005_4123</t>
  </si>
  <si>
    <t>17-13-2104-0035-0000_88</t>
  </si>
  <si>
    <t>17-02-0202-0002-0004_8318</t>
  </si>
  <si>
    <t>17-15-0289-0024-0017_1005</t>
  </si>
  <si>
    <t>17-16-0250-0014-0006_105</t>
  </si>
  <si>
    <t>17-16-0289-0043-0000_184</t>
  </si>
  <si>
    <t>17-17-2501-0312-0000_158</t>
  </si>
  <si>
    <t>17-03-0004-0103-0000_114</t>
  </si>
  <si>
    <t>17-05-0230-0020-0001_321</t>
  </si>
  <si>
    <t>17-13-2104-0026-0000_83</t>
  </si>
  <si>
    <t>17-16-2408-0202-0002_500</t>
  </si>
  <si>
    <t>17-15-0310-0021-0001_861</t>
  </si>
  <si>
    <t>17-16-2407-0047-0000_414</t>
  </si>
  <si>
    <t>17-02-0202-0002-0011_8448</t>
  </si>
  <si>
    <t>17-01-0347-0022-0000_2033</t>
  </si>
  <si>
    <t>17-16-2407-0025-0000_136</t>
  </si>
  <si>
    <t>17-16-2408-0051-0000_103</t>
  </si>
  <si>
    <t>17-03-0326-0007-0000_94</t>
  </si>
  <si>
    <t>17-05-0230-0033-0001_5355</t>
  </si>
  <si>
    <t>17-04-0801-0190-0000_108</t>
  </si>
  <si>
    <t>17-03-0015-0088-0000_1017</t>
  </si>
  <si>
    <t>17-01-0328-0030-0001_2113</t>
  </si>
  <si>
    <t>17-06-1003-0002-0000_204</t>
  </si>
  <si>
    <t>17-20-0403-0016-0000_2222</t>
  </si>
  <si>
    <t>17-12-0426-0035-0006_681</t>
  </si>
  <si>
    <t>17-03-0001-0285-0000_315</t>
  </si>
  <si>
    <t>17-03-0029-0106-0000_502</t>
  </si>
  <si>
    <t>17-20-0403-0032-0000_1823</t>
  </si>
  <si>
    <t>17-17-2501-0315-0000_173</t>
  </si>
  <si>
    <t>(Higher than $300,000)</t>
  </si>
  <si>
    <t>City of Bridgeport</t>
  </si>
  <si>
    <t>Harrison County</t>
  </si>
  <si>
    <t>City of Clarksburg</t>
  </si>
  <si>
    <t>City of Salem</t>
  </si>
  <si>
    <t>Town of Anmoore</t>
  </si>
  <si>
    <t>Town of Nutter Fort</t>
  </si>
  <si>
    <t>Town of Lumberport</t>
  </si>
  <si>
    <t>City of Shinnston</t>
  </si>
  <si>
    <t>Town of Lost Creek</t>
  </si>
  <si>
    <t>Town of Stonewood</t>
  </si>
  <si>
    <t>Simpson Creek</t>
  </si>
  <si>
    <t>Ann Run</t>
  </si>
  <si>
    <t>Davisson Run</t>
  </si>
  <si>
    <t>Elk Creek</t>
  </si>
  <si>
    <t>West Fork River</t>
  </si>
  <si>
    <t>Fowlkes Run</t>
  </si>
  <si>
    <t>Thomas Fork</t>
  </si>
  <si>
    <t>Salem Fork</t>
  </si>
  <si>
    <t>Ann Moore Run</t>
  </si>
  <si>
    <t>Simpson Fork</t>
  </si>
  <si>
    <t>Peddler Run</t>
  </si>
  <si>
    <t>Tenmile Creek</t>
  </si>
  <si>
    <t>Barnett Run</t>
  </si>
  <si>
    <t>Gee Lick</t>
  </si>
  <si>
    <t>Shinns Run</t>
  </si>
  <si>
    <t>Smith Run</t>
  </si>
  <si>
    <t>Dog Run</t>
  </si>
  <si>
    <t>Beards Run</t>
  </si>
  <si>
    <t xml:space="preserve">Lost Creek </t>
  </si>
  <si>
    <t>Smithfield Run</t>
  </si>
  <si>
    <t>Sugarcamp Run</t>
  </si>
  <si>
    <t>Nutter Run</t>
  </si>
  <si>
    <t>Isaacs Creek Unnamed Tributary</t>
  </si>
  <si>
    <t>17-16-0309-0005-0000</t>
  </si>
  <si>
    <t>17-16-0309-0006-0000</t>
  </si>
  <si>
    <t>17-16-0290-0013-0002</t>
  </si>
  <si>
    <t>17-01-0326-0100-0000</t>
  </si>
  <si>
    <t>17-03-0024-0246-0000</t>
  </si>
  <si>
    <t>17-08-0009-0001-0001</t>
  </si>
  <si>
    <t>17-16-0289-0037-0000</t>
  </si>
  <si>
    <t>17-03-0034-0155-0000</t>
  </si>
  <si>
    <t>17-05-0230-0035-0001</t>
  </si>
  <si>
    <t>17-16-0309-0042-0017</t>
  </si>
  <si>
    <t>17-19-2708-0075-0000</t>
  </si>
  <si>
    <t>17-17-0328-0072-0000</t>
  </si>
  <si>
    <t>17-03-0029-0232-0000</t>
  </si>
  <si>
    <t>17-16-2407-0013-0000</t>
  </si>
  <si>
    <t>17-04-0804-0009-0000</t>
  </si>
  <si>
    <t>17-15-0289-0024-0017</t>
  </si>
  <si>
    <t>17-07-0286-0084-0000</t>
  </si>
  <si>
    <t>17-07-0286-0084-0001</t>
  </si>
  <si>
    <t>17-15-2301-9999-9999</t>
  </si>
  <si>
    <t>17-05-0250-0006-0000</t>
  </si>
  <si>
    <t>17-10-1804-0064-0000</t>
  </si>
  <si>
    <t>17-11-0409-0033-0000</t>
  </si>
  <si>
    <t>17-16-0289-0041-0000</t>
  </si>
  <si>
    <t>17-16-0309-0042-0014</t>
  </si>
  <si>
    <t>17-06-1003-0003-0002</t>
  </si>
  <si>
    <t>17-01-0306-0046-0003</t>
  </si>
  <si>
    <t>17-15-0310-0020-0000</t>
  </si>
  <si>
    <t>17-08-0010-0177-0000</t>
  </si>
  <si>
    <t>17-08-0015-0356-0000</t>
  </si>
  <si>
    <t>17-01-0327-0005-0000</t>
  </si>
  <si>
    <t>17-13-2104-0007-0000</t>
  </si>
  <si>
    <t>17-16-2403-0290-0000</t>
  </si>
  <si>
    <t>17-06-0188-0017-0001</t>
  </si>
  <si>
    <t>17-06-1002-0001-0000</t>
  </si>
  <si>
    <t>17-03-0024-0021-0000</t>
  </si>
  <si>
    <t>17-01-0348-0030-0003</t>
  </si>
  <si>
    <t>17-05-0230-0035-0004</t>
  </si>
  <si>
    <t>17-15-0349-0037-0005</t>
  </si>
  <si>
    <t>17-16-2407-0027-0000</t>
  </si>
  <si>
    <t>17-15-0248-0052-0000</t>
  </si>
  <si>
    <t>17-18-2610-0013-0000</t>
  </si>
  <si>
    <t>17-16-0250-0014-0003</t>
  </si>
  <si>
    <t>17-03-0021-0241-0000</t>
  </si>
  <si>
    <t>17-16-2407-0007-0000</t>
  </si>
  <si>
    <t>17-15-0331-0023-0005</t>
  </si>
  <si>
    <t>17-13-2104-0035-0000</t>
  </si>
  <si>
    <t>17-02-0202-0002-0004</t>
  </si>
  <si>
    <t>17-16-0250-0014-0006</t>
  </si>
  <si>
    <t>17-16-0289-0043-0000</t>
  </si>
  <si>
    <t>17-17-2501-0312-0000</t>
  </si>
  <si>
    <t>17-03-0004-0103-0000</t>
  </si>
  <si>
    <t>17-05-0230-0020-0001</t>
  </si>
  <si>
    <t>17-13-2104-0026-0000</t>
  </si>
  <si>
    <t>17-16-2408-0202-0002</t>
  </si>
  <si>
    <t>17-15-0310-0021-0001</t>
  </si>
  <si>
    <t>17-16-2407-0047-0000</t>
  </si>
  <si>
    <t>17-02-0202-0002-0011</t>
  </si>
  <si>
    <t>17-01-0347-0022-0000</t>
  </si>
  <si>
    <t>17-16-2407-0025-0000</t>
  </si>
  <si>
    <t>17-16-2408-0051-0000</t>
  </si>
  <si>
    <t>17-03-0326-0007-0000</t>
  </si>
  <si>
    <t>17-05-0230-0033-0001</t>
  </si>
  <si>
    <t>17-04-0801-0190-0000</t>
  </si>
  <si>
    <t>17-03-0015-0088-0000</t>
  </si>
  <si>
    <t>17-01-0328-0030-0001</t>
  </si>
  <si>
    <t>17-06-1003-0002-0000</t>
  </si>
  <si>
    <t>17-20-0403-0016-0000</t>
  </si>
  <si>
    <t>17-12-0426-0035-0006</t>
  </si>
  <si>
    <t>17-03-0001-0285-0000</t>
  </si>
  <si>
    <t>17-03-0029-0106-0000</t>
  </si>
  <si>
    <t>17-20-0403-0032-0000</t>
  </si>
  <si>
    <t>17-17-2501-0315-0000</t>
  </si>
  <si>
    <t>515 JOHNSON AVE, BRIDGEPORT, WV, 26330</t>
  </si>
  <si>
    <t>413 JOHNSON AVE, BRIDGEPORT, WV, 26330</t>
  </si>
  <si>
    <t xml:space="preserve">101 COUNTRY MEADOWS LN, BRIDGEPORT, WV, 26330 </t>
  </si>
  <si>
    <t>2096 DAVISSON RUN RD, CLARKSBURG, WV, 26301</t>
  </si>
  <si>
    <t>408 E B SAUNDERS WAY, CLARKSBURG, WV, 26301</t>
  </si>
  <si>
    <t xml:space="preserve">1100 N 26TH ST, CLARKSBURG, WV, 26301 </t>
  </si>
  <si>
    <t>531 JOHNSON AVE, BRIDGEPORT, WV, 26330</t>
  </si>
  <si>
    <t>100 JACKSON CT, CLARKSBURG, WV, 26301</t>
  </si>
  <si>
    <t>53 AUTO DR, SHINNSTON, WV, 26431</t>
  </si>
  <si>
    <t>409 W MAIN ST, BRIDGEPORT, WV, 26330</t>
  </si>
  <si>
    <t>260 E MAIN ST, SALEM, WV, 26426</t>
  </si>
  <si>
    <t>2798 PHILIPPI PKE, ANMOORE, WV, 26301</t>
  </si>
  <si>
    <t xml:space="preserve">423 TUNA ST, CLARKSBURG, WV, 26301 </t>
  </si>
  <si>
    <t>164 W MAIN ST, BRIDGEPORT, WV, 26330</t>
  </si>
  <si>
    <t>1 CLARKSBURG PARK DR, NUTTER FORT, WV, 26301</t>
  </si>
  <si>
    <t>1002 HALL VALLEY DR, BRIDGEPORT, WV, 26330</t>
  </si>
  <si>
    <t>345 WILSONBURG RD, CLARKSBURG, WV, 26301</t>
  </si>
  <si>
    <t>339 WILSONBURG RD, CLARKSBURG, WV, 26301</t>
  </si>
  <si>
    <t>1041 MAPLE LAKE RD, BRIDGEPORT, WV, 26330</t>
  </si>
  <si>
    <t>4664A BENEDUM DR, BRIDGEPORT, WV, 26330</t>
  </si>
  <si>
    <t>99 BRIDGE ST, LUMBERPORT, WV, 26386</t>
  </si>
  <si>
    <t>144 BEL MEADOW DR, MOUNT CLARE, WV, 26408</t>
  </si>
  <si>
    <t>108 BARNETTS RUN RD, BRIDGEPORT, WV, 26330</t>
  </si>
  <si>
    <t>607 S VIRGINIA AVE, BRIDGEPORT, WV, 26330</t>
  </si>
  <si>
    <t>208 S PIKE ST, SHINNSTON, WV, 26431</t>
  </si>
  <si>
    <t>1489 MILFORD ST, CLARKSBURG, WV, 26301</t>
  </si>
  <si>
    <t>841 ORAL LAKE RD, BRIDGEPORT, WV, 26330</t>
  </si>
  <si>
    <t>378 WEST FORK ST, CLARKSBURG, WV, 26301</t>
  </si>
  <si>
    <t>1002B HALL VALLEY DR, BRIDGEPORT, WV, 26330</t>
  </si>
  <si>
    <t>788 W PIKE ST, CLARKSBURG, WV, 26301</t>
  </si>
  <si>
    <t>1201 S CHESTNUT ST, CLARKSBURG, WV, 26301</t>
  </si>
  <si>
    <t>80 E MAIN ST, LOST CREEK, WV, 26385</t>
  </si>
  <si>
    <t>9998 E OLIVE ST, BRIDGEPORT, WV, 26330</t>
  </si>
  <si>
    <t>900 PIKE ST, SHINNSTON, WV, 26431</t>
  </si>
  <si>
    <t>345 LYNN ST, SHINNSTON, WV, 26431</t>
  </si>
  <si>
    <t>115 W MAIN ST, CLARKSBURG, WV, 26301</t>
  </si>
  <si>
    <t>2855 BUCKHANNON PKE, MOUNT CLARE, WV, 26408</t>
  </si>
  <si>
    <t>21 AUTO DR, SHINNSTON, WV, 26431</t>
  </si>
  <si>
    <t xml:space="preserve">1370 BRUSHY FORK RD, BRIDGEPORT, WV, 26330 </t>
  </si>
  <si>
    <t>131 W MAIN ST, BRIDGEPORT, WV, 26330</t>
  </si>
  <si>
    <t>1978 MEADOWBROOK RD, BRIDGEPORT, WV, 26330</t>
  </si>
  <si>
    <t>38 DOG RUN RD, SALEM, WV, 26426</t>
  </si>
  <si>
    <t>20 WEDGE ST, BRIDGEPORT, WV, 26330</t>
  </si>
  <si>
    <t xml:space="preserve">1040 S CHESTNUT ST, CLARKSBURG, WV, 26301 </t>
  </si>
  <si>
    <t>1004 HALL VALLEY DR, BRIDGEPORT, WV, 26330</t>
  </si>
  <si>
    <t>9999 N VIRGINIA AVE, BRIDGEPORT, WV, 26330</t>
  </si>
  <si>
    <t>4123 GREEN VALLEY RD, BRIDGEPORT, WV, 26330</t>
  </si>
  <si>
    <t>88 RAILROAD ST, LOST CREEK, WV, 26385</t>
  </si>
  <si>
    <t>8318 WATER ST, STONEWOOD, WV, 26301</t>
  </si>
  <si>
    <t>1005 HALL VALLEY DR, BRIDGEPORT, WV, 26330</t>
  </si>
  <si>
    <t>105 N WEDGE ST, BRIDGEPORT, WV, 26330</t>
  </si>
  <si>
    <t>184 BARNETTS RUN RD, BRIDGEPORT, WV, 26330</t>
  </si>
  <si>
    <t>158 ASH ST, ANMOORE, WV, 26301</t>
  </si>
  <si>
    <t>114 MILFORD ST, CLARKSBURG, WV, 26301</t>
  </si>
  <si>
    <t xml:space="preserve">321 SUGAR CAMP RD, SHINNSTON, WV, 26330 </t>
  </si>
  <si>
    <t>83 CHURCH CIR, LOST CREEK, WV, 26385</t>
  </si>
  <si>
    <t>500 GODFREY RD, BRIDGEPORT, WV, 26330</t>
  </si>
  <si>
    <t>861 ORAL LAKE RD, BRIDGEPORT, WV, 26330</t>
  </si>
  <si>
    <t>414 W MAIN ST, BRIDGEPORT, WV, 26330</t>
  </si>
  <si>
    <t>8448 WATER ST, STONEWOOD, WV, 26301</t>
  </si>
  <si>
    <t>2033 BUCKHANNON PKE, CLARKSBURG, WV, 26301</t>
  </si>
  <si>
    <t>136 W MAIN ST, BRIDGEPORT, WV, 26330</t>
  </si>
  <si>
    <t>103 W MAIN ST, BRIDGEPORT, WV, 26330</t>
  </si>
  <si>
    <t>94 ARMORY RD, CLARKSBURG, WV, 26301</t>
  </si>
  <si>
    <t>5355 BENEDUM DR, SHINNSTON, WV, 26431</t>
  </si>
  <si>
    <t>108 INDIANA AVE, NUTTER FORT, WV, 26301</t>
  </si>
  <si>
    <t>1017 RIVER RD, CLARKSBURG, WV, 26301</t>
  </si>
  <si>
    <t>2113 PHILIPPI PKE, CLARKSBURG, WV, 26301</t>
  </si>
  <si>
    <t>204 S PIKE ST, SHINNSTON, WV, 26431</t>
  </si>
  <si>
    <t>2222 ISAACS CREEK RD, JANE LEW, WV, 26378</t>
  </si>
  <si>
    <t>681 HAWK HWY, LOST CREEK, WV, 26385</t>
  </si>
  <si>
    <t>315 RIVERSIDE DR, CLARKSBURG, WV, 26301</t>
  </si>
  <si>
    <t>502 TUNA ST, CLARKSBURG, WV, 26301</t>
  </si>
  <si>
    <t xml:space="preserve">1823 ISAACS CREEK RD, LOST CREEK, WV, 26378 </t>
  </si>
  <si>
    <t>173 ASH ST, ANMOORE, WV, 26301</t>
  </si>
  <si>
    <t>Yes</t>
  </si>
  <si>
    <t>STONEBRIDGE LLC</t>
  </si>
  <si>
    <t>CASHAW HOLDINGS LLC</t>
  </si>
  <si>
    <t>HARRISON SERVICES LLC</t>
  </si>
  <si>
    <t>PARKWAY PROPERTIES LLC</t>
  </si>
  <si>
    <t>VINCENT BROTHERS RENTALS LLC</t>
  </si>
  <si>
    <t>J LLC</t>
  </si>
  <si>
    <t>TRUSTEES SALEM UNITED METHODIST CHURCH</t>
  </si>
  <si>
    <t>CLARKSBURG RE HOLDINGS LLC</t>
  </si>
  <si>
    <t>CITY OF BRIDGEPORT</t>
  </si>
  <si>
    <t>CITY OF CLARKSBURG BOARD OF PARK COMM</t>
  </si>
  <si>
    <t>RDR PROPERTIES II LLC</t>
  </si>
  <si>
    <t>SKANA ALUMINUM COMPANY</t>
  </si>
  <si>
    <t>RONALD LANE INC</t>
  </si>
  <si>
    <t>AMCOX DREAM TEAM, LLC</t>
  </si>
  <si>
    <t>LUMBERPORT ME CHURCH</t>
  </si>
  <si>
    <t>B &amp; J GOLF LIMITED LIABILITY COMPANY</t>
  </si>
  <si>
    <t>MAHADEV LLC</t>
  </si>
  <si>
    <t>BURNSIDE SCOTT P</t>
  </si>
  <si>
    <t>ORION DEVELOPMENT RA XXXIII LLP</t>
  </si>
  <si>
    <t>VILLAGE SQUARE DEVELOPMENT CORPORATION</t>
  </si>
  <si>
    <t>TRUSTEES GRACE INDEPENDENT BAPTIST CHURCH</t>
  </si>
  <si>
    <t>CLARKSBURG SANITARY BOARD</t>
  </si>
  <si>
    <t>AHN &amp; MAGO INVESTMENTS LLC</t>
  </si>
  <si>
    <t>ROMAN PROPERTIES LLC</t>
  </si>
  <si>
    <t>HARRISON COUNTY BANK</t>
  </si>
  <si>
    <t>J GOOTS INC</t>
  </si>
  <si>
    <t>CITY OF SHINNSTON</t>
  </si>
  <si>
    <t>UNITED CENTRAL INDUSTRIAL SUPPLY COMPANY LLC</t>
  </si>
  <si>
    <t>CITY NAT'L BANK OF WEST VIRGINIA</t>
  </si>
  <si>
    <t>WILLOWBEACH INVESTMENTS LLC</t>
  </si>
  <si>
    <t>BRENNAN JOHN E REVOCABLE TRUST</t>
  </si>
  <si>
    <t>DAY DON MELVIN</t>
  </si>
  <si>
    <t>JOHNSON PLACE LLC</t>
  </si>
  <si>
    <t>STICKEL DAVID E &amp; MARTHA A</t>
  </si>
  <si>
    <t>JOE DEFAZIO OIL COMPANY</t>
  </si>
  <si>
    <t>SALVATION ARMY</t>
  </si>
  <si>
    <t>SPURLOCK WILLIAM C III &amp; MICHELLE D</t>
  </si>
  <si>
    <t>TOWN OF LOST CREEK</t>
  </si>
  <si>
    <t>BT NEWYO LLC</t>
  </si>
  <si>
    <t>RS PROPERTY MANAGEMENT LLC</t>
  </si>
  <si>
    <t>WEST PENN AAA INC</t>
  </si>
  <si>
    <t>TOWN OF ANMOORE</t>
  </si>
  <si>
    <t>DONOVAN JOSEPH F BYPASS TRUST (PATRICE M DONOVAN, TRUSTEE)</t>
  </si>
  <si>
    <t>TRUSTEES BIBLE BAPTIST TEMPLE</t>
  </si>
  <si>
    <t>TRUSTEES M P CHURCH</t>
  </si>
  <si>
    <t>SHEARER RANDALL E &amp; MARION B</t>
  </si>
  <si>
    <t>SPURLOCK ENTERPRISES INC</t>
  </si>
  <si>
    <t>SUPPLY SOLUTIONS LLC</t>
  </si>
  <si>
    <t>ONE C LLC</t>
  </si>
  <si>
    <t>KERNS RANDALL E</t>
  </si>
  <si>
    <t>JMMJ DEVELOPERS LLC</t>
  </si>
  <si>
    <t>UNITED STATES OF AMERICA (FBI)</t>
  </si>
  <si>
    <t>BE PROPERTIES LLC</t>
  </si>
  <si>
    <t>TRUSTEES FREEDOM BAPTIST CHURCH</t>
  </si>
  <si>
    <t>HEFLIN STEPHEN P</t>
  </si>
  <si>
    <t>ANANIA MICHAEL A &amp;DEAN J IRREV TRUST(JAMES D BOYER TRUSTEE)</t>
  </si>
  <si>
    <t>ORION DEVELOPMENT RA VIII INC</t>
  </si>
  <si>
    <t>WRIGHT JOSEPH V</t>
  </si>
  <si>
    <t>CARCAR LLC</t>
  </si>
  <si>
    <t>TRAXXALL LLC</t>
  </si>
  <si>
    <t>BAD LIZARD GRANITE &amp; QUARTZ LLC</t>
  </si>
  <si>
    <t>TURNER CHRISTOPHER J &amp; KIMBERLY A</t>
  </si>
  <si>
    <t>JOE DEFAZIO OIL COMPANY &amp; ALAN ENTERPRIZES LLC</t>
  </si>
  <si>
    <t>1967</t>
  </si>
  <si>
    <t>1987</t>
  </si>
  <si>
    <t>1956</t>
  </si>
  <si>
    <t>1981</t>
  </si>
  <si>
    <t>1969</t>
  </si>
  <si>
    <t>1961</t>
  </si>
  <si>
    <t>1906</t>
  </si>
  <si>
    <t>1914</t>
  </si>
  <si>
    <t>1974</t>
  </si>
  <si>
    <t>RES3F</t>
  </si>
  <si>
    <t>RES6</t>
  </si>
  <si>
    <t>RES3B</t>
  </si>
  <si>
    <t>IND6</t>
  </si>
  <si>
    <t>COM5</t>
  </si>
  <si>
    <t>AGR1</t>
  </si>
  <si>
    <t>Agriculture</t>
  </si>
  <si>
    <t>4</t>
  </si>
  <si>
    <t>3</t>
  </si>
  <si>
    <t>6</t>
  </si>
  <si>
    <t>114834</t>
  </si>
  <si>
    <t>80176</t>
  </si>
  <si>
    <t>37968</t>
  </si>
  <si>
    <t>41040</t>
  </si>
  <si>
    <t>47712</t>
  </si>
  <si>
    <t>193901</t>
  </si>
  <si>
    <t>31074</t>
  </si>
  <si>
    <t>37414</t>
  </si>
  <si>
    <t>10320</t>
  </si>
  <si>
    <t>10240</t>
  </si>
  <si>
    <t>25109</t>
  </si>
  <si>
    <t>148418</t>
  </si>
  <si>
    <t>118467</t>
  </si>
  <si>
    <t>13926</t>
  </si>
  <si>
    <t>16238</t>
  </si>
  <si>
    <t>20784</t>
  </si>
  <si>
    <t>111480</t>
  </si>
  <si>
    <t>86912</t>
  </si>
  <si>
    <t>3782</t>
  </si>
  <si>
    <t>68548</t>
  </si>
  <si>
    <t>10488</t>
  </si>
  <si>
    <t>18684</t>
  </si>
  <si>
    <t>23996</t>
  </si>
  <si>
    <t>10292</t>
  </si>
  <si>
    <t>10896</t>
  </si>
  <si>
    <t>48828</t>
  </si>
  <si>
    <t>21760</t>
  </si>
  <si>
    <t>20748</t>
  </si>
  <si>
    <t>19132</t>
  </si>
  <si>
    <t>18650</t>
  </si>
  <si>
    <t>9805</t>
  </si>
  <si>
    <t>16504</t>
  </si>
  <si>
    <t>55735</t>
  </si>
  <si>
    <t>2656</t>
  </si>
  <si>
    <t>57019</t>
  </si>
  <si>
    <t>24682</t>
  </si>
  <si>
    <t>14350</t>
  </si>
  <si>
    <t>14400</t>
  </si>
  <si>
    <t>12576</t>
  </si>
  <si>
    <t>1604</t>
  </si>
  <si>
    <t>5329</t>
  </si>
  <si>
    <t>48787</t>
  </si>
  <si>
    <t>24525</t>
  </si>
  <si>
    <t>3579</t>
  </si>
  <si>
    <t>9231</t>
  </si>
  <si>
    <t>13708</t>
  </si>
  <si>
    <t>14664</t>
  </si>
  <si>
    <t>8000</t>
  </si>
  <si>
    <t>7260</t>
  </si>
  <si>
    <t>4182</t>
  </si>
  <si>
    <t>17170</t>
  </si>
  <si>
    <t>6400</t>
  </si>
  <si>
    <t>4432</t>
  </si>
  <si>
    <t>5070</t>
  </si>
  <si>
    <t>5020</t>
  </si>
  <si>
    <t>68508</t>
  </si>
  <si>
    <t>38634</t>
  </si>
  <si>
    <t>25744</t>
  </si>
  <si>
    <t>6732</t>
  </si>
  <si>
    <t>11130</t>
  </si>
  <si>
    <t>11516</t>
  </si>
  <si>
    <t>8800</t>
  </si>
  <si>
    <t>4805</t>
  </si>
  <si>
    <t>5735</t>
  </si>
  <si>
    <t>7680</t>
  </si>
  <si>
    <t>16078</t>
  </si>
  <si>
    <t>1636</t>
  </si>
  <si>
    <t>10600</t>
  </si>
  <si>
    <t>21180</t>
  </si>
  <si>
    <t>12764</t>
  </si>
  <si>
    <t>4370</t>
  </si>
  <si>
    <t>Assessment (IAS) Neighbor</t>
  </si>
  <si>
    <t>17-09-0206-0031-0002_484</t>
  </si>
  <si>
    <t>Jones Creek</t>
  </si>
  <si>
    <t>17-09-0206-0031-0002</t>
  </si>
  <si>
    <t>484 ROOSEVELT ST, LUMBERPORT, WV, 26386</t>
  </si>
  <si>
    <t>TOWN OF LUMBERPORT</t>
  </si>
  <si>
    <t>MARION</t>
  </si>
  <si>
    <t>24-13-0006-0132-0000_113</t>
  </si>
  <si>
    <t>24-12-0036-0019-0000_9999</t>
  </si>
  <si>
    <t>24-07-0004-0023-0000_17</t>
  </si>
  <si>
    <t>24-09-0030-0024-0002_31</t>
  </si>
  <si>
    <t>24-08-0015-0125-0000_3193</t>
  </si>
  <si>
    <t>24-05-0003-0129-0000_936</t>
  </si>
  <si>
    <t>24-05-0002-0035-0000_9999</t>
  </si>
  <si>
    <t>24-14-0015-0157-0000_9999</t>
  </si>
  <si>
    <t>24-05-0003-0141-0001_9999</t>
  </si>
  <si>
    <t>24-16-0027-0051-0000_2741</t>
  </si>
  <si>
    <t>24-09-0022-0043-0000_9998</t>
  </si>
  <si>
    <t>24-14-0015-9999-9999_425</t>
  </si>
  <si>
    <t>24-08-0014-0036-0000_9999</t>
  </si>
  <si>
    <t>24-09-0030-0024-0003_35</t>
  </si>
  <si>
    <t>24-13-0009-0066-0000_9999</t>
  </si>
  <si>
    <t>24-09-0040-0062-0000_9999</t>
  </si>
  <si>
    <t>24-05-0003-0130-0000_1015</t>
  </si>
  <si>
    <t>24-08-0031-0010-0007_3300</t>
  </si>
  <si>
    <t>24-18-0044-0010-0000_243</t>
  </si>
  <si>
    <t>24-08-0031-0009-0000_3369</t>
  </si>
  <si>
    <t>24-19-0014-0005-0000_28</t>
  </si>
  <si>
    <t>24-03-0001-0123-0000_102</t>
  </si>
  <si>
    <t>24-19-0014-0055-0000_302</t>
  </si>
  <si>
    <t>24-04-0004-0116-0000_120</t>
  </si>
  <si>
    <t>24-11-0051-0048-0003_9999</t>
  </si>
  <si>
    <t>24-19-0017-0134-0000_326</t>
  </si>
  <si>
    <t>24-05-0003-0147-0000_1114</t>
  </si>
  <si>
    <t>24-13-0006-0107-0000_204</t>
  </si>
  <si>
    <t>24-09-027B-0020-0001_382</t>
  </si>
  <si>
    <t>24-12-0046-0005-0001_50</t>
  </si>
  <si>
    <t>24-18-0036-0040-0000_2794</t>
  </si>
  <si>
    <t>24-08-0015-0158-0000_9999</t>
  </si>
  <si>
    <t>24-05-0002-0035-0000_9998</t>
  </si>
  <si>
    <t>24-19-0037-0017-0001_1151</t>
  </si>
  <si>
    <t>24-05-0005-0325-0000_4</t>
  </si>
  <si>
    <t>24-05-0003-0122-0000_949</t>
  </si>
  <si>
    <t>24-09-0023-0061-0000_254</t>
  </si>
  <si>
    <t>24-19-0017-0114-0002_2</t>
  </si>
  <si>
    <t>24-13-0002-0042-0000_101</t>
  </si>
  <si>
    <t>24-19-0017-0134-0000_9999</t>
  </si>
  <si>
    <t>24-19-0017-0009-0000_121</t>
  </si>
  <si>
    <t>24-13-0007-0020-0000_9999</t>
  </si>
  <si>
    <t>City of Mannington</t>
  </si>
  <si>
    <t>Marion County</t>
  </si>
  <si>
    <t>Town of Fairview</t>
  </si>
  <si>
    <t>Town of Farmington</t>
  </si>
  <si>
    <t>City of Fairmont</t>
  </si>
  <si>
    <t>Town of Monongah</t>
  </si>
  <si>
    <t>Buffalo Creek</t>
  </si>
  <si>
    <t>Dents Run</t>
  </si>
  <si>
    <t>Paw Paw Creek</t>
  </si>
  <si>
    <t>Booths Creek</t>
  </si>
  <si>
    <t>Hickman Run</t>
  </si>
  <si>
    <t>Tygart Valley River</t>
  </si>
  <si>
    <t>Glady Creek</t>
  </si>
  <si>
    <t>Prickett Creek</t>
  </si>
  <si>
    <t>Coal Run</t>
  </si>
  <si>
    <t>Sapp Run</t>
  </si>
  <si>
    <t>Buffalo Creek Tributary No. 1</t>
  </si>
  <si>
    <t>Guyses Run</t>
  </si>
  <si>
    <t>Little Creek</t>
  </si>
  <si>
    <t>Monongahela River</t>
  </si>
  <si>
    <t>24-13-0006-0132-0000</t>
  </si>
  <si>
    <t>24-12-0036-0019-0000</t>
  </si>
  <si>
    <t>24-07-0004-0023-0000</t>
  </si>
  <si>
    <t>24-09-0030-0024-0002</t>
  </si>
  <si>
    <t>24-08-0015-0125-0000</t>
  </si>
  <si>
    <t>24-05-0003-0129-0000</t>
  </si>
  <si>
    <t>24-05-0002-0035-0000</t>
  </si>
  <si>
    <t>24-14-0015-0157-0000</t>
  </si>
  <si>
    <t>24-05-0003-0141-0001</t>
  </si>
  <si>
    <t>24-16-0027-0051-0000</t>
  </si>
  <si>
    <t>24-09-0022-0043-0000</t>
  </si>
  <si>
    <t>24-14-0015-9999-9999</t>
  </si>
  <si>
    <t>24-08-0014-0036-0000</t>
  </si>
  <si>
    <t>24-09-0030-0024-0003</t>
  </si>
  <si>
    <t>24-13-0009-0066-0000</t>
  </si>
  <si>
    <t>24-09-0040-0062-0000</t>
  </si>
  <si>
    <t>24-05-0003-0130-0000</t>
  </si>
  <si>
    <t>24-08-0031-0010-0007</t>
  </si>
  <si>
    <t>24-18-0044-0010-0000</t>
  </si>
  <si>
    <t>24-08-0031-0009-0000</t>
  </si>
  <si>
    <t>24-19-0014-0005-0000</t>
  </si>
  <si>
    <t>24-03-0001-0123-0000</t>
  </si>
  <si>
    <t>24-19-0014-0055-0000</t>
  </si>
  <si>
    <t>24-04-0004-0116-0000</t>
  </si>
  <si>
    <t>24-11-0051-0048-0003</t>
  </si>
  <si>
    <t>24-19-0017-0134-0000</t>
  </si>
  <si>
    <t>24-05-0003-0147-0000</t>
  </si>
  <si>
    <t>24-13-0006-0107-0000</t>
  </si>
  <si>
    <t>24-09-027B-0020-0001</t>
  </si>
  <si>
    <t>24-12-0046-0005-0001</t>
  </si>
  <si>
    <t>24-18-0036-0040-0000</t>
  </si>
  <si>
    <t>24-08-0015-0158-0000</t>
  </si>
  <si>
    <t>24-19-0037-0017-0001</t>
  </si>
  <si>
    <t>24-05-0005-0325-0000</t>
  </si>
  <si>
    <t>24-05-0003-0122-0000</t>
  </si>
  <si>
    <t>24-09-0023-0061-0000</t>
  </si>
  <si>
    <t>24-19-0017-0114-0002</t>
  </si>
  <si>
    <t>24-13-0002-0042-0000</t>
  </si>
  <si>
    <t>24-19-0017-0009-0000</t>
  </si>
  <si>
    <t>24-13-0007-0020-0000</t>
  </si>
  <si>
    <t>113 CLARKSBURG ST, MANNINGTON, WV, 26582</t>
  </si>
  <si>
    <t>9999 DENTS RUN, MANNINGTON, WV, 26582</t>
  </si>
  <si>
    <t>17 JESSES RUN RD, FAIRVIEW, WV, 26570</t>
  </si>
  <si>
    <t>31 RODEO DR, FAIRMONT, WV, 26554</t>
  </si>
  <si>
    <t>3193 HUSKY HWY, FARMINGTON, WV, 26571</t>
  </si>
  <si>
    <t>936 EAST PARK AVE, FAIRMONT, WV, 26554</t>
  </si>
  <si>
    <t>9999 KING ST, FAIRMONT, WV, 26554</t>
  </si>
  <si>
    <t>9999 RIVERVIEW AVE, MONONGAH, WV, 26554</t>
  </si>
  <si>
    <t>9999 INDIANA AVE, FAIRMONT, WV, 26554</t>
  </si>
  <si>
    <t>2741 PAW PAW CREEK RD, RIVESVILLE, WV, 26588</t>
  </si>
  <si>
    <t>9998 RIVERSIDE DR, FAIRMONT, WV, 26554</t>
  </si>
  <si>
    <t>425 BRIDGE ST, MONONGAH, WV, 26554</t>
  </si>
  <si>
    <t>9999 CUSTER LN, FARMINGTON, WV, 26571</t>
  </si>
  <si>
    <t>35 RODEO DR, FAIRMONT, WV, 26554</t>
  </si>
  <si>
    <t>9999 FAIRVIEW ST, MANNINGTON, WV, 26582</t>
  </si>
  <si>
    <t>9999 MUNDELL FERRY RD, FAIRMONT, WV, 26554</t>
  </si>
  <si>
    <t>1015 INDIANA AVE, FAIRMONT, WV, 26554</t>
  </si>
  <si>
    <t>3300 HUSKY HWY, FARMINGTON, WV, 26571</t>
  </si>
  <si>
    <t>243 ROCK LAKE RD, FAIRMONT, WV, 26554</t>
  </si>
  <si>
    <t>3369 HUSKY HWY, FARMINGTON, WV, 26571</t>
  </si>
  <si>
    <t>28 FELLOWSHIP DR, FAIRMONT, WV, 26554</t>
  </si>
  <si>
    <t>102 BENONI AVE, FAIRMONT, WV, 26554</t>
  </si>
  <si>
    <t>302 MEADOWDALE RD, FAIRMONT, WV, 26554</t>
  </si>
  <si>
    <t>120 RIVER CREST DR, FAIRMONT, WV, 26554</t>
  </si>
  <si>
    <t>9999 FREEDOM HWY, WORTHINGTON, WV, 26591</t>
  </si>
  <si>
    <t>326 BUNNER RIDGE RD, FAIRMONT, WV, 26554</t>
  </si>
  <si>
    <t>1114 SPEEDWAY AVE, FAIRMONT, WV, 26554</t>
  </si>
  <si>
    <t>204 LOCUST ST, MANNINGTON, WV, 26582</t>
  </si>
  <si>
    <t>382 SAPPS RUN RD, FAIRMONT, WV, 26554</t>
  </si>
  <si>
    <t>50 DIGMANS RUN RD, MANNINGTON, WV, 26582</t>
  </si>
  <si>
    <t>2794 COLFAX RD, FAIRMONT, WV, 26554</t>
  </si>
  <si>
    <t>9999 CHURCH ST, FARMINGTON, WV, 26571</t>
  </si>
  <si>
    <t>9998 KING ST, FAIRMONT, WV, 26554</t>
  </si>
  <si>
    <t>1151 MEADOWDALE RD, FAIRMONT, WV, 26554</t>
  </si>
  <si>
    <t>4 AUBURN ST, FAIRMONT, WV, 26554</t>
  </si>
  <si>
    <t>949 EAST PARK AVE, FAIRMONT, WV, 26554</t>
  </si>
  <si>
    <t>254 WHITE ISLAND RD, FAIRMONT, WV, 26554</t>
  </si>
  <si>
    <t>2 ORANGE DR, FAIRMONT, WV, 26554</t>
  </si>
  <si>
    <t>101 Clayton St, Mannington, WV, 26582</t>
  </si>
  <si>
    <t>9999 BUNNER RIDGE RD, FAIRMONT, WV, 26554</t>
  </si>
  <si>
    <t>121 WINFIELD SCHOOL RD, FAIRMONT, WV, 26554</t>
  </si>
  <si>
    <t>9999 MILL ALY, MANNINGTON, WV, 26582</t>
  </si>
  <si>
    <t>CONSOLIDATION COAL COMPANY</t>
  </si>
  <si>
    <t>D L TONKERY DEVELOPMENT LLC</t>
  </si>
  <si>
    <t>JOHN MANCHIN SR ASSISTED LIVING LLC</t>
  </si>
  <si>
    <t>B C BANK INC</t>
  </si>
  <si>
    <t>MERIT DEVELOPMENT INC</t>
  </si>
  <si>
    <t>BAXTER VOLUNTEER FIRE DEPARTMENT INC</t>
  </si>
  <si>
    <t>NUZUM RANDAL E</t>
  </si>
  <si>
    <t>PETRUCCI ANTHONY &amp; SHERRY 1/2 &amp; REMIGLIO &amp; MELISSA 1/2</t>
  </si>
  <si>
    <t>DWW PROPERTIES LLC</t>
  </si>
  <si>
    <t>RICE LACY I III &amp; ELIZABETH K</t>
  </si>
  <si>
    <t>CGP DEVELOPMENT CO INC</t>
  </si>
  <si>
    <t>VICTORIA CORPORATION</t>
  </si>
  <si>
    <t>POWELL MERRY L</t>
  </si>
  <si>
    <t>TRS OF FELLOWSHIP BAPTIST CHURCH</t>
  </si>
  <si>
    <t>ARC OF MARION COUNTY THE</t>
  </si>
  <si>
    <t>GABRIEL BROTHERS INC</t>
  </si>
  <si>
    <t>PARKS ELLEN J &amp; LEE ANN VINCENT</t>
  </si>
  <si>
    <t>DG STRATEGIC II LLC</t>
  </si>
  <si>
    <t>TOOTHMAN DARRELL D &amp; KATHLEEN A</t>
  </si>
  <si>
    <t>LORI WILLIAM E. BISHOP OF WHEELING</t>
  </si>
  <si>
    <t>HALL JOHN T &amp; LINDA L</t>
  </si>
  <si>
    <t>POWELL NANCY A &amp; TRACY R</t>
  </si>
  <si>
    <t>SIMSA ANDREW J &amp; AMY C</t>
  </si>
  <si>
    <t>MANCHIN ROCH &amp; CINDY</t>
  </si>
  <si>
    <t>SCHULTZ MACHINE CO INC</t>
  </si>
  <si>
    <t>COUNTY COMMISSION OF MARION COUNTY WV THE</t>
  </si>
  <si>
    <t>HEJ CAPITAL LTD (LEASE DB 1168-729 PRIMARY AIM LLC)</t>
  </si>
  <si>
    <t>WADE J KEITH OR KATHY U</t>
  </si>
  <si>
    <t>BERRY NATHAN C &amp; CYNTHIA H</t>
  </si>
  <si>
    <t>CITY OF MANNINGTON</t>
  </si>
  <si>
    <t>MULLENAX SANDRA K</t>
  </si>
  <si>
    <t>TRS MANNINGTON B P O E 388</t>
  </si>
  <si>
    <t>1902</t>
  </si>
  <si>
    <t>2013</t>
  </si>
  <si>
    <t>1934</t>
  </si>
  <si>
    <t>1963</t>
  </si>
  <si>
    <t>1976</t>
  </si>
  <si>
    <t>1989</t>
  </si>
  <si>
    <t>1951</t>
  </si>
  <si>
    <t>1909</t>
  </si>
  <si>
    <t>1913</t>
  </si>
  <si>
    <t>S-</t>
  </si>
  <si>
    <t>X-</t>
  </si>
  <si>
    <t>RES3D</t>
  </si>
  <si>
    <t>39140</t>
  </si>
  <si>
    <t>73881</t>
  </si>
  <si>
    <t>33800</t>
  </si>
  <si>
    <t>63960</t>
  </si>
  <si>
    <t>10475</t>
  </si>
  <si>
    <t>7632</t>
  </si>
  <si>
    <t>21004</t>
  </si>
  <si>
    <t>43519</t>
  </si>
  <si>
    <t>82740</t>
  </si>
  <si>
    <t>13200</t>
  </si>
  <si>
    <t>4027</t>
  </si>
  <si>
    <t>18400</t>
  </si>
  <si>
    <t>23592</t>
  </si>
  <si>
    <t>33840</t>
  </si>
  <si>
    <t>4174</t>
  </si>
  <si>
    <t>25780</t>
  </si>
  <si>
    <t>11475</t>
  </si>
  <si>
    <t>3698</t>
  </si>
  <si>
    <t>33744</t>
  </si>
  <si>
    <t>18700</t>
  </si>
  <si>
    <t>11628</t>
  </si>
  <si>
    <t>21147</t>
  </si>
  <si>
    <t>2868</t>
  </si>
  <si>
    <t>9020</t>
  </si>
  <si>
    <t>20712</t>
  </si>
  <si>
    <t>25905</t>
  </si>
  <si>
    <t>3275</t>
  </si>
  <si>
    <t>3206</t>
  </si>
  <si>
    <t>4033</t>
  </si>
  <si>
    <t>3902</t>
  </si>
  <si>
    <t>6784</t>
  </si>
  <si>
    <t>7870</t>
  </si>
  <si>
    <t>19081</t>
  </si>
  <si>
    <t>14167</t>
  </si>
  <si>
    <t>2749</t>
  </si>
  <si>
    <t>2200</t>
  </si>
  <si>
    <t>3018</t>
  </si>
  <si>
    <t>6174</t>
  </si>
  <si>
    <t>37161</t>
  </si>
  <si>
    <t>14720</t>
  </si>
  <si>
    <t>10810</t>
  </si>
  <si>
    <t>MONONGALIA</t>
  </si>
  <si>
    <t>(Higher than $400,000)</t>
  </si>
  <si>
    <t>31-03-0006-0011-0000_1732</t>
  </si>
  <si>
    <t>31-08-0017-0007-0000_446</t>
  </si>
  <si>
    <t>31-15-0011-0261-0000_1</t>
  </si>
  <si>
    <t>31-17-0004-0003-0000_300</t>
  </si>
  <si>
    <t>31-14-0033-0012-0001_1751</t>
  </si>
  <si>
    <t>31-18-0021-0003-0000_3023</t>
  </si>
  <si>
    <t>31-18-0021-0003-0000_2922</t>
  </si>
  <si>
    <t>31-04-0001-0027-0000_6226</t>
  </si>
  <si>
    <t>31-14-0031-0101-0001_1433</t>
  </si>
  <si>
    <t>31-14-0033-0052-0000_1851</t>
  </si>
  <si>
    <t>31-14-0031-0101-0002_1351</t>
  </si>
  <si>
    <t>31-14-0031-0007-0001_1251</t>
  </si>
  <si>
    <t>31-18-014G-0084-0000_4109</t>
  </si>
  <si>
    <t>31-18-014H-0024-0000_4111</t>
  </si>
  <si>
    <t>31-01-0017-0014-0000_1044</t>
  </si>
  <si>
    <t>31-15-0010-0054-0000_308</t>
  </si>
  <si>
    <t>31-05-0019-0046-0000_437</t>
  </si>
  <si>
    <t>31-14-0031-0101-0003_1350</t>
  </si>
  <si>
    <t>31-08-0010-0003-0009_193</t>
  </si>
  <si>
    <t>31-18-0019-0024-0001_69</t>
  </si>
  <si>
    <t>31-18-014D-0037-0000_457</t>
  </si>
  <si>
    <t>31-18-0021-0039-0000_402</t>
  </si>
  <si>
    <t>31-08-0010-0031-0001_9998</t>
  </si>
  <si>
    <t>31-08-0010-0032-0001_915</t>
  </si>
  <si>
    <t>31-19-0005-0084-0000_136</t>
  </si>
  <si>
    <t>31-09-0028-0018-0000_40</t>
  </si>
  <si>
    <t>31-19-0006-0062-0000_50</t>
  </si>
  <si>
    <t>31-14-0033-0053-0001_1820</t>
  </si>
  <si>
    <t>31-19-0015-0001-0000_1900</t>
  </si>
  <si>
    <t>31-18-014D-0016-0000_213</t>
  </si>
  <si>
    <t>31-18-019B-0078-0000_9995</t>
  </si>
  <si>
    <t>31-08-0010-0019-0009_1</t>
  </si>
  <si>
    <t>31-18-014D-0036-0000_451</t>
  </si>
  <si>
    <t>31-05-0019-0058-0000_3313</t>
  </si>
  <si>
    <t>31-14-0031-0101-0001_1451</t>
  </si>
  <si>
    <t>31-03-0016-0066-0000_507</t>
  </si>
  <si>
    <t>31-08-004J-0138-0001_20</t>
  </si>
  <si>
    <t>31-08-0010-0019-0002_1151</t>
  </si>
  <si>
    <t>31-04-0009-0043-0001_9998</t>
  </si>
  <si>
    <t>31-18-019B-0080-0000_9994</t>
  </si>
  <si>
    <t>31-03-0013-0042-0000_9999</t>
  </si>
  <si>
    <t>31-14-0033-0015-0000_1750</t>
  </si>
  <si>
    <t>31-06-0003-0053-0000_1245</t>
  </si>
  <si>
    <t>31-18-019B-0021-0000_9996</t>
  </si>
  <si>
    <t>31-18-014D-0018-0000_233</t>
  </si>
  <si>
    <t>31-01-0012-0028-0004_10651</t>
  </si>
  <si>
    <t>31-18-014H-0021-0000_4117</t>
  </si>
  <si>
    <t>31-10-0030-0203-0000_797</t>
  </si>
  <si>
    <t>31-03-008B-0010-0000_2141</t>
  </si>
  <si>
    <t>31-18-014D-0038-0000_467</t>
  </si>
  <si>
    <t>31-18-0021-0039-0000_307</t>
  </si>
  <si>
    <t>31-07-0013-0024-0000_26</t>
  </si>
  <si>
    <t>31-18-0021-0002-0000_1428</t>
  </si>
  <si>
    <t>31-08-010K-0059-0002_911</t>
  </si>
  <si>
    <t>31-08-0010-0019-0017_1097</t>
  </si>
  <si>
    <t>31-18-0014-0051-0000_830</t>
  </si>
  <si>
    <t>31-18-0014-0051-0000_826</t>
  </si>
  <si>
    <t>31-18-0014-0051-0000_838</t>
  </si>
  <si>
    <t>31-18-0014-0051-0000_840</t>
  </si>
  <si>
    <t>31-18-0014-0051-0000_9996</t>
  </si>
  <si>
    <t>31-18-0014-0051-0000_9997</t>
  </si>
  <si>
    <t>31-18-0014-0051-0000_9998</t>
  </si>
  <si>
    <t>31-04-0023-0004-0000_1637</t>
  </si>
  <si>
    <t>31-05-0011-0013-0000_495</t>
  </si>
  <si>
    <t>31-08-0004-0038-0007_103</t>
  </si>
  <si>
    <t>31-08-006C-0005-0000_3</t>
  </si>
  <si>
    <t>Monongalia County</t>
  </si>
  <si>
    <t>City of Morgantown</t>
  </si>
  <si>
    <t>Town of Star City</t>
  </si>
  <si>
    <t>City of Westover</t>
  </si>
  <si>
    <t>Town of Granville</t>
  </si>
  <si>
    <t>Cobun Creek</t>
  </si>
  <si>
    <t>Popenoe Run</t>
  </si>
  <si>
    <t>Deckers Creek</t>
  </si>
  <si>
    <t>West Run</t>
  </si>
  <si>
    <t>Dunkard Creek</t>
  </si>
  <si>
    <t>Hartman Run</t>
  </si>
  <si>
    <t>Cheat River</t>
  </si>
  <si>
    <t>Miracle Run</t>
  </si>
  <si>
    <t>Coles Run</t>
  </si>
  <si>
    <t>Aaron Creek</t>
  </si>
  <si>
    <t>Knocking Run</t>
  </si>
  <si>
    <t>Scotts Run</t>
  </si>
  <si>
    <t>Shriver Run</t>
  </si>
  <si>
    <t>West Virginia Fork</t>
  </si>
  <si>
    <t>Robinson Run</t>
  </si>
  <si>
    <t>Indian Creek</t>
  </si>
  <si>
    <t>Whiteday Creek</t>
  </si>
  <si>
    <t>Tibbs Run</t>
  </si>
  <si>
    <t>31-03-0006-0011-0000</t>
  </si>
  <si>
    <t>31-08-0017-0007-0000</t>
  </si>
  <si>
    <t>31-15-0011-0261-0000</t>
  </si>
  <si>
    <t>31-17-0004-0003-0000</t>
  </si>
  <si>
    <t>31-14-0033-0012-0001</t>
  </si>
  <si>
    <t>31-18-0021-0003-0000</t>
  </si>
  <si>
    <t>31-04-0001-0027-0000</t>
  </si>
  <si>
    <t>31-14-0031-0101-0001</t>
  </si>
  <si>
    <t>31-14-0033-0052-0000</t>
  </si>
  <si>
    <t>31-14-0031-0101-0002</t>
  </si>
  <si>
    <t>31-14-0031-0007-0001</t>
  </si>
  <si>
    <t>31-18-014G-0084-0000</t>
  </si>
  <si>
    <t>31-18-014H-0024-0000</t>
  </si>
  <si>
    <t>31-01-0017-0014-0000</t>
  </si>
  <si>
    <t>31-15-0010-0054-0000</t>
  </si>
  <si>
    <t>31-05-0019-0046-0000</t>
  </si>
  <si>
    <t>31-14-0031-0101-0003</t>
  </si>
  <si>
    <t>31-08-0010-0003-0009</t>
  </si>
  <si>
    <t>31-18-0019-0024-0001</t>
  </si>
  <si>
    <t>31-18-014D-0037-0000</t>
  </si>
  <si>
    <t>31-18-0021-0039-0000</t>
  </si>
  <si>
    <t>31-08-0010-0031-0001</t>
  </si>
  <si>
    <t>31-08-0010-0032-0001</t>
  </si>
  <si>
    <t>31-19-0005-0084-0000</t>
  </si>
  <si>
    <t>31-09-0028-0018-0000</t>
  </si>
  <si>
    <t>31-19-0006-0062-0000</t>
  </si>
  <si>
    <t>31-14-0033-0053-0001</t>
  </si>
  <si>
    <t>31-19-0015-0001-0000</t>
  </si>
  <si>
    <t>31-18-014D-0016-0000</t>
  </si>
  <si>
    <t>31-18-019B-0078-0000</t>
  </si>
  <si>
    <t>31-08-0010-0019-0009</t>
  </si>
  <si>
    <t>31-18-014D-0036-0000</t>
  </si>
  <si>
    <t>31-05-0019-0058-0000</t>
  </si>
  <si>
    <t>31-03-0016-0066-0000</t>
  </si>
  <si>
    <t>31-08-004J-0138-0001</t>
  </si>
  <si>
    <t>31-08-0010-0019-0002</t>
  </si>
  <si>
    <t>31-04-0009-0043-0001</t>
  </si>
  <si>
    <t>31-18-019B-0080-0000</t>
  </si>
  <si>
    <t>31-03-0013-0042-0000</t>
  </si>
  <si>
    <t>31-14-0033-0015-0000</t>
  </si>
  <si>
    <t>31-06-0003-0053-0000</t>
  </si>
  <si>
    <t>31-18-019B-0021-0000</t>
  </si>
  <si>
    <t>31-18-014D-0018-0000</t>
  </si>
  <si>
    <t>31-01-0012-0028-0004</t>
  </si>
  <si>
    <t>31-18-014H-0021-0000</t>
  </si>
  <si>
    <t>31-10-0030-0203-0000</t>
  </si>
  <si>
    <t>31-03-008B-0010-0000</t>
  </si>
  <si>
    <t>31-18-014D-0038-0000</t>
  </si>
  <si>
    <t>31-07-0013-0024-0000</t>
  </si>
  <si>
    <t>31-18-0021-0002-0000</t>
  </si>
  <si>
    <t>31-08-010K-0059-0002</t>
  </si>
  <si>
    <t>31-08-0010-0019-0017</t>
  </si>
  <si>
    <t>31-18-0014-0051-0000</t>
  </si>
  <si>
    <t>31-04-0023-0004-0000</t>
  </si>
  <si>
    <t>31-05-0011-0013-0000</t>
  </si>
  <si>
    <t>31-08-0004-0038-0007</t>
  </si>
  <si>
    <t>31-08-006C-0005-0000</t>
  </si>
  <si>
    <t>1732 FORT MARTIN RD, MAIDSVILLE, WV, 26541</t>
  </si>
  <si>
    <t>446 GREENBAG RD, MORGANTOWN, WV, 26508</t>
  </si>
  <si>
    <t>1 ALUMNI DR, MORGANTOWN, WV, 26505</t>
  </si>
  <si>
    <t>300 FRONTIER AVE, STAR CITY, WV, 26505</t>
  </si>
  <si>
    <t>1751 EARL CORE RD, MORGANTOWN, WV, 26508</t>
  </si>
  <si>
    <t>3023 DISTRICT DR, MORGANTOWN, WV, 26505</t>
  </si>
  <si>
    <t>2922 DISTRICT DR, MORGANTOWN, WV, 26505</t>
  </si>
  <si>
    <t>6226 MASON DIXON HWY, BLACKSVILLE, WV, 26521</t>
  </si>
  <si>
    <t>1433 EARL CORE RD, MORGANTOWN, WV, 26505</t>
  </si>
  <si>
    <t>1851 EARL CORE RD, MORGANTOWN, WV, 26505</t>
  </si>
  <si>
    <t>1351 EARL CORE RD, MORGANTOWN, WV, 26505</t>
  </si>
  <si>
    <t>1251 EARL CORE RD, MORGANTOWN, WV, 26505</t>
  </si>
  <si>
    <t>4109 COVE POINT DR, MORGANTOWN, WV, 26508</t>
  </si>
  <si>
    <t>4111 COVE POINT DR, MORGANTOWN, WV, 26508</t>
  </si>
  <si>
    <t>1044 MIRACLE RUN RD, FAIRVIEW, WV, 26570</t>
  </si>
  <si>
    <t>308 ELMHURST ST, MORGANTOWN, WV, 26505</t>
  </si>
  <si>
    <t>437 GOSHEN RD, MORGANTOWN, WV, 26508</t>
  </si>
  <si>
    <t>1350 EARL CORE RD, MORGANTOWN, WV, 26505</t>
  </si>
  <si>
    <t>193 DISTRIBUTOR DR, MORGANTOWN, WV, 26508</t>
  </si>
  <si>
    <t>69 MONT CHATEAU RD, MORGANTOWN, WV, 26508</t>
  </si>
  <si>
    <t>457 LAKEVIEW DR, MORGANTOWN, WV, 26508</t>
  </si>
  <si>
    <t>402 ARROWWOOD DR, MORGANTOWN, WV, 26508</t>
  </si>
  <si>
    <t>9998 GREENBAG RD, MORGANTOWN, WV, 26508</t>
  </si>
  <si>
    <t>915 GREENBAG RD, MORGANTOWN, WV, 26508</t>
  </si>
  <si>
    <t>136 TOWER LN, WESTOVER, WV, 26501</t>
  </si>
  <si>
    <t>40 DONLEY ST, MORGANTOWN, WV, 26501</t>
  </si>
  <si>
    <t>50 TOWER LN, WESTOVER, WV, 26501</t>
  </si>
  <si>
    <t>1820 STURGISS AVE, MORGANTOWN, WV, 26505</t>
  </si>
  <si>
    <t>1900 DENTS RUN RD, MORGANTOWN, WV, 26501</t>
  </si>
  <si>
    <t>213 LAKEVIEW DR, MORGANTOWN, WV, 26508</t>
  </si>
  <si>
    <t>9995 ROCKLEY RD, MORGANTOWN, WV, 26508</t>
  </si>
  <si>
    <t>1 BROOKSTONE PLZ, MORGANTOWN, WV, 26508</t>
  </si>
  <si>
    <t>451 LAKEVIEW DR, MORGANTOWN, WV, 26508</t>
  </si>
  <si>
    <t>3313 FOUR H CAMP RD, MORGANTOWN, WV, 26508</t>
  </si>
  <si>
    <t>1451 EARL CORE UNIT 4, MORGANTOWN, WV, 26505</t>
  </si>
  <si>
    <t>507 SCOTTS RUN RD, MAIDSVILLE, WV, 26543</t>
  </si>
  <si>
    <t>20 COPPER CREEK CT, MORGANTOWN, WV, 26505</t>
  </si>
  <si>
    <t>1151 GREENBAG RD, MORGANTOWN, WV, 26508</t>
  </si>
  <si>
    <t>9998 BLUE GOOSE RD, FAIRVIEW, WV, 26570</t>
  </si>
  <si>
    <t>9994 ROCKLEY RD, MORGANTOWN, WV, 26508</t>
  </si>
  <si>
    <t>9999 LAZZELLE UNION RD, MAIDSVILLE, WV, 26541</t>
  </si>
  <si>
    <t>1750 EARL CORE RD, MORGANTOWN, WV, 26505</t>
  </si>
  <si>
    <t>1245 MAIN ST, GRANVILLE, WV, 26501</t>
  </si>
  <si>
    <t>9996 ROCKLEY RD, MORGANTOWN, WV, 26508</t>
  </si>
  <si>
    <t>233 LAKEVIEW DR, MORGANTOWN, WV, 26508</t>
  </si>
  <si>
    <t>10651 MASON DIXON HWY, BURTON, WV, 26562</t>
  </si>
  <si>
    <t>4117 COVE POINT DR, MORGANTOWN, WV, 26508</t>
  </si>
  <si>
    <t>797 EAST BROCKWAY AVE, MORGANTOWN, WV, 26501</t>
  </si>
  <si>
    <t>2141 LAZZELLE UNION RD, MAIDSVILLE, WV, 26541</t>
  </si>
  <si>
    <t>467 LAKEVIEW DR, MORGANTOWN, WV, 26508</t>
  </si>
  <si>
    <t>307 TUPELO DR, MORGANTOWN, WV, 26508</t>
  </si>
  <si>
    <t>26 MORGANTOWN LOCK RD, MORGANTOWN, WV, 26501</t>
  </si>
  <si>
    <t>1428 VAN VOORHIS UNIT 102, MORGANTOWN, WV, 26505</t>
  </si>
  <si>
    <t>911 GREENBAG RD, MORGANTOWN, WV, 26508</t>
  </si>
  <si>
    <t>1097 GREENBAG UNIT C, MORGANTOWN, WV, 26508</t>
  </si>
  <si>
    <t>830 MARINER VLG, MORGANTOWN, WV, 26508</t>
  </si>
  <si>
    <t>826 MARINER VLG, MORGANTOWN, WV, 26508</t>
  </si>
  <si>
    <t>838 MARINER VLG, MORGANTOWN, WV, 26508</t>
  </si>
  <si>
    <t>840 MARINER VLG, MORGANTOWN, WV, 26508</t>
  </si>
  <si>
    <t>9996 MARINER VLG, MORGANTOWN, WV, 26508</t>
  </si>
  <si>
    <t>9997 MARINER VLG, MORGANTOWN, WV, 26508</t>
  </si>
  <si>
    <t>9998 MARINER VLG, MORGANTOWN, WV, 26508</t>
  </si>
  <si>
    <t>1637 HAGANS RD, MAIDSVILLE, WV, 26541</t>
  </si>
  <si>
    <t>495 OPEKISKA RD, FAIRMONT, WV, 26554</t>
  </si>
  <si>
    <t>103 BIERER LN, MORGANTOWN, WV, 26505</t>
  </si>
  <si>
    <t>3 ROUND TABLE CT, MORGANTOWN, WV, 26508</t>
  </si>
  <si>
    <t>MONONGAHELA POWER COMPANY</t>
  </si>
  <si>
    <t>UNITED STATES</t>
  </si>
  <si>
    <t>WEST VIRGINIA UNIVERSITY BOARD OF GOVERNORS</t>
  </si>
  <si>
    <t>CITY OF MORGANTOWN</t>
  </si>
  <si>
    <t>BANCROFT 731 MARKET LLC</t>
  </si>
  <si>
    <t>VSD 2016-1 TRS 1 LLC %TRIMONT REAL ESTATE ADVISORS</t>
  </si>
  <si>
    <t>GLENMARK HOLDING LIMITED LIABILITY COMPANY</t>
  </si>
  <si>
    <t>R &amp; L ASSOCIATES</t>
  </si>
  <si>
    <t>HORTON FAMILY LIMITED PARTNERSHIP %ALDI INC</t>
  </si>
  <si>
    <t>GREER BUILDING LLC</t>
  </si>
  <si>
    <t>SWIGER JOSEPH E &amp; JACQUELINE M</t>
  </si>
  <si>
    <t>MACE ZACHARY D &amp; DANIELLE L</t>
  </si>
  <si>
    <t>ERP FEDERAL MINING COMPLEX LLC</t>
  </si>
  <si>
    <t>CHRISTIAN MISSIONARY ALLIANCE CHURCH</t>
  </si>
  <si>
    <t>SWANSON INDUSTRIES INC</t>
  </si>
  <si>
    <t>WESBANCO BANK OF FAIRMONT INC</t>
  </si>
  <si>
    <t>PACIFIC LLC</t>
  </si>
  <si>
    <t>MARINA 1 LLC</t>
  </si>
  <si>
    <t>DEWITT SHARON C PERSONAL RESIDENCE TRUST</t>
  </si>
  <si>
    <t>COPPER BEECH TOWNHOME COMMUNITIES TWENTY SIX SPE LLC</t>
  </si>
  <si>
    <t>MEGBA LLC</t>
  </si>
  <si>
    <t>TOWER LANE PROPERTIES LLC</t>
  </si>
  <si>
    <t>CITY OF MORGANTOWN BUILDING COMMISSION</t>
  </si>
  <si>
    <t>MCDONALD'S CORPORATION</t>
  </si>
  <si>
    <t>BRANCH ENERGY LLC</t>
  </si>
  <si>
    <t>HUMBERSON AARON &amp; RACHEL</t>
  </si>
  <si>
    <t>KRAMER TERRY W REVOCABLE TRUST</t>
  </si>
  <si>
    <t>R D R PROPERTIES LLC</t>
  </si>
  <si>
    <t>WOODFORD CURT &amp; JOY</t>
  </si>
  <si>
    <t>HESTON MICHAEL A JR</t>
  </si>
  <si>
    <t>GRANVILLE VOLUNTEER FIRE DEPARTMENT</t>
  </si>
  <si>
    <t>M T PROPERTIES INC</t>
  </si>
  <si>
    <t>D D M PROPERTIES LLC</t>
  </si>
  <si>
    <t>CHISLER INC</t>
  </si>
  <si>
    <t>HUGGINS JUNE A</t>
  </si>
  <si>
    <t>CENTRA BANK INC</t>
  </si>
  <si>
    <t>TOWN OF GRANVILLE</t>
  </si>
  <si>
    <t>BOZEK GEORGE P, CHERYL L, NICK A &amp; JUSTIN P</t>
  </si>
  <si>
    <t>TAKACS JOSEPH C &amp; PATRICIA</t>
  </si>
  <si>
    <t>TRUTH ASSEMBLY CHAPEL</t>
  </si>
  <si>
    <t>PRUD'HOMME BONHOMME JOSEPH &amp; BELENDA G</t>
  </si>
  <si>
    <t>MEPCO LLC</t>
  </si>
  <si>
    <t>TODD CLARENCE B</t>
  </si>
  <si>
    <t>UNITED STATES OF AMERICA</t>
  </si>
  <si>
    <t>CROESUS MORGANTOWN HOLDINGS LLC</t>
  </si>
  <si>
    <t>DSS ADVENTURES LLC</t>
  </si>
  <si>
    <t>HAYES HOLDINGS LLC</t>
  </si>
  <si>
    <t>LAKEVIEW DRIVE LLC</t>
  </si>
  <si>
    <t>HAGANS CHRISTIAN CHURCH</t>
  </si>
  <si>
    <t>ARNOLD PATRICIA A</t>
  </si>
  <si>
    <t>LYTLE RONALD G &amp; JENNIFER L</t>
  </si>
  <si>
    <t>BEARCE CHRISTOPHER R &amp; TERRY KING</t>
  </si>
  <si>
    <t>1977</t>
  </si>
  <si>
    <t>1924</t>
  </si>
  <si>
    <t>2019</t>
  </si>
  <si>
    <t>1929</t>
  </si>
  <si>
    <t>X+</t>
  </si>
  <si>
    <t>EDU2</t>
  </si>
  <si>
    <t>RES3A</t>
  </si>
  <si>
    <t>182511</t>
  </si>
  <si>
    <t>31000</t>
  </si>
  <si>
    <t>30162</t>
  </si>
  <si>
    <t>21000</t>
  </si>
  <si>
    <t>19200</t>
  </si>
  <si>
    <t>76000</t>
  </si>
  <si>
    <t>49330</t>
  </si>
  <si>
    <t>227249</t>
  </si>
  <si>
    <t>20280</t>
  </si>
  <si>
    <t>38738</t>
  </si>
  <si>
    <t>9360</t>
  </si>
  <si>
    <t>14889</t>
  </si>
  <si>
    <t>50594</t>
  </si>
  <si>
    <t>26000</t>
  </si>
  <si>
    <t>86684</t>
  </si>
  <si>
    <t>11326</t>
  </si>
  <si>
    <t>23040</t>
  </si>
  <si>
    <t>14568</t>
  </si>
  <si>
    <t>7124</t>
  </si>
  <si>
    <t>28000</t>
  </si>
  <si>
    <t>38257</t>
  </si>
  <si>
    <t>29644</t>
  </si>
  <si>
    <t>32031</t>
  </si>
  <si>
    <t>8708</t>
  </si>
  <si>
    <t>27560</t>
  </si>
  <si>
    <t>3800</t>
  </si>
  <si>
    <t>25334</t>
  </si>
  <si>
    <t>5786</t>
  </si>
  <si>
    <t>5172</t>
  </si>
  <si>
    <t>20000</t>
  </si>
  <si>
    <t>6420</t>
  </si>
  <si>
    <t>6473</t>
  </si>
  <si>
    <t>14646</t>
  </si>
  <si>
    <t>14549</t>
  </si>
  <si>
    <t>16170</t>
  </si>
  <si>
    <t>20421</t>
  </si>
  <si>
    <t>22790</t>
  </si>
  <si>
    <t>4615</t>
  </si>
  <si>
    <t>19686</t>
  </si>
  <si>
    <t>3072</t>
  </si>
  <si>
    <t>9600</t>
  </si>
  <si>
    <t>4402</t>
  </si>
  <si>
    <t>3342</t>
  </si>
  <si>
    <t>10710</t>
  </si>
  <si>
    <t>4584</t>
  </si>
  <si>
    <t>4235</t>
  </si>
  <si>
    <t>14780</t>
  </si>
  <si>
    <t>3897</t>
  </si>
  <si>
    <t>22000</t>
  </si>
  <si>
    <t>3000</t>
  </si>
  <si>
    <t>10202</t>
  </si>
  <si>
    <t>4400</t>
  </si>
  <si>
    <t>3600</t>
  </si>
  <si>
    <t>1700</t>
  </si>
  <si>
    <t>2800</t>
  </si>
  <si>
    <t>1450</t>
  </si>
  <si>
    <t>1600</t>
  </si>
  <si>
    <t>1550</t>
  </si>
  <si>
    <t>1300</t>
  </si>
  <si>
    <t>3456</t>
  </si>
  <si>
    <t>5281</t>
  </si>
  <si>
    <t>5010</t>
  </si>
  <si>
    <t>4277</t>
  </si>
  <si>
    <t>31-18-0014-0057-0003_166A</t>
  </si>
  <si>
    <t>31-18-0014-0057-0003</t>
  </si>
  <si>
    <t xml:space="preserve">166A SUNSET BEACH RD, MORGANTOWN, WV, 26508 </t>
  </si>
  <si>
    <t>MORGANTOWN UTILITY BOARD</t>
  </si>
  <si>
    <t>31-09-0049-0016-0000_171A</t>
  </si>
  <si>
    <t>31-09-0049-0016-0000</t>
  </si>
  <si>
    <t>171A DON KNOTTS BLVD, MORGANTOWN, WV, 26501</t>
  </si>
  <si>
    <t>MORGANTOWN WATER CO</t>
  </si>
  <si>
    <t>PRESTON</t>
  </si>
  <si>
    <t>39-06-0028-0001-0000_1001</t>
  </si>
  <si>
    <t>39-19-0001-0047-0000_36</t>
  </si>
  <si>
    <t>39-01-0008-0029-0000_530</t>
  </si>
  <si>
    <t>39-02-0019-0041-0007_414</t>
  </si>
  <si>
    <t>39-04-0011-0074-0000_139</t>
  </si>
  <si>
    <t>39-01-0017-0031-0000_1001A</t>
  </si>
  <si>
    <t>39-01-0017-0031-0000_1001B</t>
  </si>
  <si>
    <t>39-01-0017-0031-0000_1001C</t>
  </si>
  <si>
    <t>39-01-0017-0031-0000_1001D</t>
  </si>
  <si>
    <t>39-01-0017-0031-0000_1001E</t>
  </si>
  <si>
    <t>39-01-0017-0031-0000_1001F</t>
  </si>
  <si>
    <t>39-01-0017-0031-0000_12450</t>
  </si>
  <si>
    <t>39-16-0004-0042-0000_112</t>
  </si>
  <si>
    <t>39-06-0029-0028-0000_183</t>
  </si>
  <si>
    <t>39-01-0013-0009-0000_342</t>
  </si>
  <si>
    <t>39-02-0019-0041-0006_6473</t>
  </si>
  <si>
    <t>39-19-0001-0054-0000_160</t>
  </si>
  <si>
    <t>39-02-0019-0042-0000_6732</t>
  </si>
  <si>
    <t>39-03-0010-0012-0000_8160</t>
  </si>
  <si>
    <t>39-17-0005-0042-0000_701</t>
  </si>
  <si>
    <t>39-10-0029-0005-0000_88</t>
  </si>
  <si>
    <t>39-10-0046-0003-0000_4947</t>
  </si>
  <si>
    <t>39-19-0001-0033-0000_39</t>
  </si>
  <si>
    <t>39-04-0010-0043-0000_3691</t>
  </si>
  <si>
    <t>39-10-0029-0008-0001_15013</t>
  </si>
  <si>
    <t>39-19-0001-0007-0000_72</t>
  </si>
  <si>
    <t>39-19-0001-0013-0000_87</t>
  </si>
  <si>
    <t>39-10-0010-0038-0000_2768</t>
  </si>
  <si>
    <t>39-06-028A-0187-0000_100</t>
  </si>
  <si>
    <t>39-02-0013-0073-0000_11242</t>
  </si>
  <si>
    <t>39-19-0001-0058-0000_198</t>
  </si>
  <si>
    <t>39-10-0029-0006-0000_40</t>
  </si>
  <si>
    <t>39-10-0027-0010-0002_246</t>
  </si>
  <si>
    <t>39-18-0001-0016-0000_2672</t>
  </si>
  <si>
    <t>39-16-0004-0045-0018_13</t>
  </si>
  <si>
    <t>39-16-0001-0156-0000_41</t>
  </si>
  <si>
    <t>39-04-0010-0007-0000_38</t>
  </si>
  <si>
    <t>39-10-0029-0042-0000_339</t>
  </si>
  <si>
    <t>39-16-0004-0045-0017_33</t>
  </si>
  <si>
    <t>39-02-0019-0041-0002_9999</t>
  </si>
  <si>
    <t>39-02-0025-0033-0003_13911</t>
  </si>
  <si>
    <t>39-10-0046-0008-0000_4771</t>
  </si>
  <si>
    <t>39-06-028A-0007-0000_170</t>
  </si>
  <si>
    <t>39-10-0022-0019-0003_247</t>
  </si>
  <si>
    <t>Preston County</t>
  </si>
  <si>
    <t>Town of Rowlesburg</t>
  </si>
  <si>
    <t>Town of Bruceton Mills</t>
  </si>
  <si>
    <t>Town of Terra Alta</t>
  </si>
  <si>
    <t>Town of Albright</t>
  </si>
  <si>
    <t>Big Sandy Creek</t>
  </si>
  <si>
    <t>Right Fork Little Sandy Creek</t>
  </si>
  <si>
    <t>Birds Creek</t>
  </si>
  <si>
    <t>Snowy Creek</t>
  </si>
  <si>
    <t>Patterson Run</t>
  </si>
  <si>
    <t xml:space="preserve">Little Sandy Creek </t>
  </si>
  <si>
    <t>Laurel Run</t>
  </si>
  <si>
    <t>Dillan Creek</t>
  </si>
  <si>
    <t>York Run</t>
  </si>
  <si>
    <t>Little Sandy Creek</t>
  </si>
  <si>
    <t>Cherry Run</t>
  </si>
  <si>
    <t>39-06-0028-0001-0000</t>
  </si>
  <si>
    <t>39-19-0001-0047-0000</t>
  </si>
  <si>
    <t>39-01-0008-0029-0000</t>
  </si>
  <si>
    <t>39-02-0019-0041-0007</t>
  </si>
  <si>
    <t>39-04-0011-0074-0000</t>
  </si>
  <si>
    <t>39-01-0017-0031-0000</t>
  </si>
  <si>
    <t>39-16-0004-0042-0000</t>
  </si>
  <si>
    <t>39-06-0029-0028-0000</t>
  </si>
  <si>
    <t>39-01-0013-0009-0000</t>
  </si>
  <si>
    <t>39-02-0019-0041-0006</t>
  </si>
  <si>
    <t>39-19-0001-0054-0000</t>
  </si>
  <si>
    <t>39-02-0019-0042-0000</t>
  </si>
  <si>
    <t>39-03-0010-0012-0000</t>
  </si>
  <si>
    <t>39-17-0005-0042-0000</t>
  </si>
  <si>
    <t>39-10-0029-0005-0000</t>
  </si>
  <si>
    <t>39-10-0046-0003-0000</t>
  </si>
  <si>
    <t>39-19-0001-0033-0000</t>
  </si>
  <si>
    <t>39-04-0010-0043-0000</t>
  </si>
  <si>
    <t>39-10-0029-0008-0001</t>
  </si>
  <si>
    <t>39-19-0001-0007-0000</t>
  </si>
  <si>
    <t>39-19-0001-0013-0000</t>
  </si>
  <si>
    <t>39-10-0010-0038-0000</t>
  </si>
  <si>
    <t>39-06-028A-0187-0000</t>
  </si>
  <si>
    <t>39-02-0013-0073-0000</t>
  </si>
  <si>
    <t>39-19-0001-0058-0000</t>
  </si>
  <si>
    <t>39-10-0029-0006-0000</t>
  </si>
  <si>
    <t>39-10-0027-0010-0002</t>
  </si>
  <si>
    <t>39-18-0001-0016-0000</t>
  </si>
  <si>
    <t>39-16-0004-0045-0018</t>
  </si>
  <si>
    <t>39-16-0001-0156-0000</t>
  </si>
  <si>
    <t>39-04-0010-0007-0000</t>
  </si>
  <si>
    <t>39-10-0029-0042-0000</t>
  </si>
  <si>
    <t>39-16-0004-0045-0017</t>
  </si>
  <si>
    <t>39-02-0019-0041-0002</t>
  </si>
  <si>
    <t>39-02-0025-0033-0003</t>
  </si>
  <si>
    <t>39-10-0046-0008-0000</t>
  </si>
  <si>
    <t>39-06-028A-0007-0000</t>
  </si>
  <si>
    <t>39-10-0022-0019-0003</t>
  </si>
  <si>
    <t>1001 ARMY RD, KINGWOOD, WV, 26537</t>
  </si>
  <si>
    <t>36 MORGANTOWN ST, BRUCETON MILLS, WV, 26525</t>
  </si>
  <si>
    <t>530 POWER PLANT RD, ALBRIGHT, WV, 26519</t>
  </si>
  <si>
    <t>414 BURKE RD, MASONTOWN, WV, 26542</t>
  </si>
  <si>
    <t>139 FELLOWSVILLE SCHOOL RD, TUNNELTON, WV, 26444</t>
  </si>
  <si>
    <t>1001A ARMY RD, KINGWOOD, WV, 26537</t>
  </si>
  <si>
    <t>1001B ARMY RD, KINGWOOD, WV, 26537</t>
  </si>
  <si>
    <t>1001C ARMY RD, KINGWOOD, WV, 26537</t>
  </si>
  <si>
    <t>1001D ARMY RD, KINGWOOD, WV, 26537</t>
  </si>
  <si>
    <t>1001E ARMY RD, KINGWOOD, WV, 26537</t>
  </si>
  <si>
    <t>1001F ARMY RD, KINGWOOD, WV, 26537</t>
  </si>
  <si>
    <t>12450 RIVER RD, KINGWOOD, WV, 26537</t>
  </si>
  <si>
    <t>112 POPLAR ST, ROWLESBURG, WV, 26425</t>
  </si>
  <si>
    <t>183 CLUB HOUSE DR, TERRA ALTA, WV, 26764</t>
  </si>
  <si>
    <t>342 MILL RD, KINGWOOD, WV, 26537</t>
  </si>
  <si>
    <t>6473 KINGWOOD PIKE, REEDSVILLE, WV, 26547</t>
  </si>
  <si>
    <t>160 MORGANTOWN ST, BRUCETON MILLS, WV, 26525</t>
  </si>
  <si>
    <t>6732 KINGWOOD PIKE, REEDSVILLE, WV, 26547</t>
  </si>
  <si>
    <t>8160 N MOUNTAINEER HWY, NEWBURG, WV, 26410</t>
  </si>
  <si>
    <t>701 E STATE AVE, TERRA ALTA, WV, 26764</t>
  </si>
  <si>
    <t>88 FUEL DR, BRUCETON MILLS, WV, 26525</t>
  </si>
  <si>
    <t>4947 HILEMAN RD, BRUCETON MILLS, WV, 26525</t>
  </si>
  <si>
    <t>39 UNION ST, BRUCETON MILLS, WV, 26525</t>
  </si>
  <si>
    <t>3691 GEORGE WASHINGTON HWY, TUNNELTON, WV, 26444</t>
  </si>
  <si>
    <t>15013 N PRESTON HWY, BRUCETON MILLS, WV, 26525</t>
  </si>
  <si>
    <t>72 MILL ST, BRUCETON MILLS, WV, 26525</t>
  </si>
  <si>
    <t>87 UNION ST, BRUCETON MILLS, WV, 26525</t>
  </si>
  <si>
    <t>2768 HILEMAN RD, BRUCETON MILLS, WV, 26525</t>
  </si>
  <si>
    <t>100 COUNTRY CLUB CT, TERRA ALTA, WV, 26764</t>
  </si>
  <si>
    <t>11242 VETERANS MEMORIAL HWY, MASONTOWN, WV, 26542</t>
  </si>
  <si>
    <t>198 MORGANTOWN ST, BRUCETON MILLS, WV, 26525</t>
  </si>
  <si>
    <t>40 FUEL DR, BRUCETON MILLS, WV, 26525</t>
  </si>
  <si>
    <t>246 LAUREL RUN RD, BRUCETON MILLS, WV, 26525</t>
  </si>
  <si>
    <t>2672 N PRESTON HWY, ALBRIGHT, WV, 26519</t>
  </si>
  <si>
    <t>13 ELM ST, ROWLESBURG, WV, 26425</t>
  </si>
  <si>
    <t>41 S BUFFALO ST, ROWLESBURG, WV, 26425</t>
  </si>
  <si>
    <t>38 ANNON RD, NEWBURG, WV, 26410</t>
  </si>
  <si>
    <t>339 4H CAMP RD, BRUCETON MILLS, WV, 26525</t>
  </si>
  <si>
    <t>33 CHESSIE LN, ROWLESBURG, WV, 26425</t>
  </si>
  <si>
    <t>9999 KINGWOOD PIKE, REEDSVILLE, WV, 26547</t>
  </si>
  <si>
    <t>13911 N MOUNTAINEER HWY, REEDSVILLE, WV, 26547</t>
  </si>
  <si>
    <t>4771 HILEMAN RD, BRUCETON MILLS, WV, 26525</t>
  </si>
  <si>
    <t>170 LAKESIDE RD, TERRA ALTA, WV, 26764</t>
  </si>
  <si>
    <t>247 CASTEEL RD, BRUCETON MILLS, WV, 26525</t>
  </si>
  <si>
    <t>STATE ARMORY BOARD OF WV</t>
  </si>
  <si>
    <t>BRUCETON MILLS SCHOOL</t>
  </si>
  <si>
    <t>MASONTOWN TOWN OF</t>
  </si>
  <si>
    <t>U S OF AMERICA</t>
  </si>
  <si>
    <t>TOWN OF ROWLESBURG</t>
  </si>
  <si>
    <t>PRESTON COUNTRY CLUB</t>
  </si>
  <si>
    <t>ALLEGHENY WOOD PRODUCTS INC</t>
  </si>
  <si>
    <t>DMS STORAGE BUILDINGS LLC</t>
  </si>
  <si>
    <t>CLEAR MOUNTAIN BANK INC</t>
  </si>
  <si>
    <t>OLD MILL CHAPEL U B CHURCH</t>
  </si>
  <si>
    <t>CHRISTIAN EVANGELICAL CHURCH TRUSTEES</t>
  </si>
  <si>
    <t>TOWN OF TERRA ALTA</t>
  </si>
  <si>
    <t>BRUCETON FARM SERVICE INC</t>
  </si>
  <si>
    <t>ARNOLD WILLIAM L JR</t>
  </si>
  <si>
    <t>STATE BANCORP INC</t>
  </si>
  <si>
    <t>SAND HILL LLC</t>
  </si>
  <si>
    <t>WATERFRONT MARKET LLC</t>
  </si>
  <si>
    <t>REM ENGINEERING SERVICES PLLC</t>
  </si>
  <si>
    <t>MAGNOLIA ASSOCIATES LLC (ATTN:LEASE ACCOUNTING)</t>
  </si>
  <si>
    <t>MESSENGER LIMITED PARTNERSHIP</t>
  </si>
  <si>
    <t>SMITH TINA M</t>
  </si>
  <si>
    <t>REHE DIANA L &amp; REBECCA L REHE DONNA-LIFE</t>
  </si>
  <si>
    <t>FUNK PROPERTIES LLC</t>
  </si>
  <si>
    <t>HAMRIC RONALD L &amp; MICHELLE J</t>
  </si>
  <si>
    <t>BAPTIST CHURCH</t>
  </si>
  <si>
    <t>ROWLESBURG TOWN OF</t>
  </si>
  <si>
    <t>MURRAY FAMILY TRUST</t>
  </si>
  <si>
    <t>PRESTON COUNTY 4-H CAMP</t>
  </si>
  <si>
    <t>ROWLESBURG VOLUNTEER AMBULANCE SERVICE</t>
  </si>
  <si>
    <t>SHANE DAVID M</t>
  </si>
  <si>
    <t>HOVATTER RODNEY &amp; BRENDA</t>
  </si>
  <si>
    <t>FRIEND CATHERINE REVOCABLE TRUST U/A</t>
  </si>
  <si>
    <t>LAW JAMES P &amp; JENNA M</t>
  </si>
  <si>
    <t>PRESTON COUNTY SEWER PUBLIC SERVICE DISTRICT</t>
  </si>
  <si>
    <t>3333</t>
  </si>
  <si>
    <t>1935</t>
  </si>
  <si>
    <t>1930</t>
  </si>
  <si>
    <t>IND3</t>
  </si>
  <si>
    <t>545530</t>
  </si>
  <si>
    <t>92000</t>
  </si>
  <si>
    <t>385950</t>
  </si>
  <si>
    <t>24300</t>
  </si>
  <si>
    <t>875</t>
  </si>
  <si>
    <t>32625</t>
  </si>
  <si>
    <t>2350</t>
  </si>
  <si>
    <t>2850</t>
  </si>
  <si>
    <t>1050</t>
  </si>
  <si>
    <t>1000</t>
  </si>
  <si>
    <t>43100</t>
  </si>
  <si>
    <t>4300</t>
  </si>
  <si>
    <t>10928</t>
  </si>
  <si>
    <t>117337</t>
  </si>
  <si>
    <t>42300</t>
  </si>
  <si>
    <t>7494</t>
  </si>
  <si>
    <t>8709</t>
  </si>
  <si>
    <t>7200</t>
  </si>
  <si>
    <t>9768</t>
  </si>
  <si>
    <t>14724</t>
  </si>
  <si>
    <t>4969</t>
  </si>
  <si>
    <t>8614</t>
  </si>
  <si>
    <t>4680</t>
  </si>
  <si>
    <t>9104</t>
  </si>
  <si>
    <t>4920</t>
  </si>
  <si>
    <t>2363</t>
  </si>
  <si>
    <t>4158</t>
  </si>
  <si>
    <t>3780</t>
  </si>
  <si>
    <t>6860</t>
  </si>
  <si>
    <t>4148</t>
  </si>
  <si>
    <t>2861</t>
  </si>
  <si>
    <t>2700</t>
  </si>
  <si>
    <t>8240</t>
  </si>
  <si>
    <t>1849</t>
  </si>
  <si>
    <t>3882</t>
  </si>
  <si>
    <t>8675</t>
  </si>
  <si>
    <t>11032</t>
  </si>
  <si>
    <t>2328</t>
  </si>
  <si>
    <t>2715</t>
  </si>
  <si>
    <t>3364</t>
  </si>
  <si>
    <t>3.6</t>
  </si>
  <si>
    <t>TAYLOR</t>
  </si>
  <si>
    <t>46-01-0009-0266-0000_400</t>
  </si>
  <si>
    <t>46-07-0008-0039-0000_1240</t>
  </si>
  <si>
    <t>46-01-0002-0108-0000_1200</t>
  </si>
  <si>
    <t>46-04-0008-0059-0011_561</t>
  </si>
  <si>
    <t>46-05-003A-0015-0001_66</t>
  </si>
  <si>
    <t>46-03-0010-0045-0000_466</t>
  </si>
  <si>
    <t>46-01-0014-0099-0000_235</t>
  </si>
  <si>
    <t>46-01-0013-0187-0000_3</t>
  </si>
  <si>
    <t>46-03-0013-0002-0000_3854</t>
  </si>
  <si>
    <t>46-01-0014-9999-9999_9999</t>
  </si>
  <si>
    <t>46-01-0013-0190-0000_57</t>
  </si>
  <si>
    <t>46-07-0007-0080-0001_122</t>
  </si>
  <si>
    <t>46-07-0014-0066-0012_1950</t>
  </si>
  <si>
    <t>City of Grafton</t>
  </si>
  <si>
    <t>Taylor County</t>
  </si>
  <si>
    <t>Berkeley Run</t>
  </si>
  <si>
    <t>Three Fork Creek</t>
  </si>
  <si>
    <t>Corbin Branch</t>
  </si>
  <si>
    <t>Sandy Creek</t>
  </si>
  <si>
    <t>46-01-0009-0266-0000</t>
  </si>
  <si>
    <t>46-07-0008-0039-0000</t>
  </si>
  <si>
    <t>46-01-0002-0108-0000</t>
  </si>
  <si>
    <t>46-04-0008-0059-0011</t>
  </si>
  <si>
    <t>46-05-003A-0015-0001</t>
  </si>
  <si>
    <t>46-03-0010-0045-0000</t>
  </si>
  <si>
    <t>46-01-0014-0099-0000</t>
  </si>
  <si>
    <t>46-01-0013-0187-0000</t>
  </si>
  <si>
    <t>46-03-0013-0002-0000</t>
  </si>
  <si>
    <t>46-01-0014-9999-9999</t>
  </si>
  <si>
    <t>46-01-0013-0190-0000</t>
  </si>
  <si>
    <t>46-07-0007-0080-0001</t>
  </si>
  <si>
    <t>46-07-0014-0066-0012</t>
  </si>
  <si>
    <t>400 YATES AVE, GRAFTON, WV, 26354</t>
  </si>
  <si>
    <t>1240 PAUL E MALONE RD, GRAFTON, WV, 26354</t>
  </si>
  <si>
    <t>1200 INDUSTRIAL ST, GRAFTON, WV, 26354</t>
  </si>
  <si>
    <t>561 W VETERANS MEMORIAL HWY, FLEMINGTON, WV, 26347</t>
  </si>
  <si>
    <t>66 CALVARY LN, GRAFTON, WV, 26354</t>
  </si>
  <si>
    <t>466 GEORGE WASHINGTON HWY, GRAFTON, WV, 26354</t>
  </si>
  <si>
    <t>235 BARRETT ST, GRAFTON, WV, 26354</t>
  </si>
  <si>
    <t>3 MAPLE AVE, GRAFTON, WV, 26354</t>
  </si>
  <si>
    <t>3854 CORBIN BRANCH RD, BRIDGEPORT, WV, 26330</t>
  </si>
  <si>
    <t>9999 CSX WAY, GRAFTON, WV, 26354</t>
  </si>
  <si>
    <t>57 MAPLE AVE, GRAFTON, WV, 26354</t>
  </si>
  <si>
    <t>122 NEWCOME AVE, GRAFTON, WV, 26354</t>
  </si>
  <si>
    <t>1950 LITTLE FALLS RUN, GRAFTON, WV, 26354</t>
  </si>
  <si>
    <t>B OF E TAYLOR COUNTY</t>
  </si>
  <si>
    <t>WAREHOUSE ENTERPRISES LLC</t>
  </si>
  <si>
    <t>DBD DGRP 17 LLC</t>
  </si>
  <si>
    <t>TRUSTEES OF THE CALVARY BAPTIST CHURCH OF GRAFTON</t>
  </si>
  <si>
    <t>CITY OF GRAFTON THE</t>
  </si>
  <si>
    <t>METRO DEVELOPMENT &amp; MANAGEMENT LLC</t>
  </si>
  <si>
    <t>4-T ARENA INC</t>
  </si>
  <si>
    <t>GUMP ELIZABETH ANN</t>
  </si>
  <si>
    <t>MYERS JOHN R</t>
  </si>
  <si>
    <t>BAUER WILLIAM H &amp; BEVERLY D &amp; SURV</t>
  </si>
  <si>
    <t>1984</t>
  </si>
  <si>
    <t>143653</t>
  </si>
  <si>
    <t>15781</t>
  </si>
  <si>
    <t>68544</t>
  </si>
  <si>
    <t>10500</t>
  </si>
  <si>
    <t>12035</t>
  </si>
  <si>
    <t>12000</t>
  </si>
  <si>
    <t>6600</t>
  </si>
  <si>
    <t>38092</t>
  </si>
  <si>
    <t>6100</t>
  </si>
  <si>
    <t>2330</t>
  </si>
  <si>
    <t>(Higher than $800,000)</t>
  </si>
  <si>
    <t>Morgantown</t>
  </si>
  <si>
    <t>Star City</t>
  </si>
  <si>
    <t>Monongalia County*</t>
  </si>
  <si>
    <t>* Unincorporated</t>
  </si>
  <si>
    <t>17-16-0288-0039-0003_9999</t>
  </si>
  <si>
    <t>17-16-0288-0039-0003</t>
  </si>
  <si>
    <t>9999 PAUL WAYNE HAGGERTY RD, BRIDGEPORT, WV, 26330</t>
  </si>
  <si>
    <t>09-09-0003-0031-0000_232</t>
  </si>
  <si>
    <t>09-09-0003-0031-0000</t>
  </si>
  <si>
    <t>232 MARIE ST , West Union, WV, 26456</t>
  </si>
  <si>
    <t>WEST UNION FIRST ASSEMBLY OF GOD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</si>
</sst>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8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5" fillId="5" borderId="0" xfId="0" applyFont="1" applyFill="1"/>
    <xf numFmtId="0" fontId="0" fillId="6" borderId="0" xfId="0" applyFill="1"/>
    <xf numFmtId="0" fontId="0" fillId="0" borderId="0" xfId="0" applyAlignment="1">
      <alignment horizontal="center"/>
    </xf>
    <xf numFmtId="164" fontId="0" fillId="4" borderId="0" xfId="2" applyNumberFormat="1" applyFont="1" applyFill="1"/>
    <xf numFmtId="165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0" fillId="4" borderId="0" xfId="2" applyNumberFormat="1" applyFont="1" applyFill="1" applyBorder="1"/>
    <xf numFmtId="0" fontId="0" fillId="0" borderId="0" xfId="0" applyFont="1"/>
    <xf numFmtId="0" fontId="14" fillId="0" borderId="1" xfId="1" applyFont="1" applyBorder="1" applyAlignment="1">
      <alignment horizontal="center"/>
    </xf>
    <xf numFmtId="0" fontId="10" fillId="3" borderId="1" xfId="0" applyFont="1" applyFill="1" applyBorder="1"/>
    <xf numFmtId="164" fontId="11" fillId="4" borderId="1" xfId="2" applyNumberFormat="1" applyFont="1" applyFill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1" fillId="0" borderId="1" xfId="0" applyFont="1" applyBorder="1"/>
    <xf numFmtId="0" fontId="10" fillId="0" borderId="0" xfId="0" applyFont="1"/>
    <xf numFmtId="0" fontId="15" fillId="0" borderId="0" xfId="0" applyFont="1" applyAlignment="1">
      <alignment vertical="center"/>
    </xf>
    <xf numFmtId="44" fontId="0" fillId="0" borderId="0" xfId="0" applyNumberFormat="1"/>
    <xf numFmtId="14" fontId="16" fillId="0" borderId="0" xfId="0" applyNumberFormat="1" applyFont="1" applyAlignment="1">
      <alignment horizontal="left"/>
    </xf>
    <xf numFmtId="0" fontId="16" fillId="0" borderId="1" xfId="0" applyFont="1" applyFill="1" applyBorder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3FDB7-359F-4996-B7EC-7C8E66A00C31}">
  <dimension ref="A1:X67"/>
  <sheetViews>
    <sheetView tabSelected="1" workbookViewId="0">
      <pane ySplit="6" topLeftCell="A16" activePane="bottomLeft" state="frozen"/>
      <selection pane="bottomLeft" activeCell="A31" sqref="A31:XFD31"/>
    </sheetView>
  </sheetViews>
  <sheetFormatPr defaultRowHeight="15" x14ac:dyDescent="0.25"/>
  <cols>
    <col min="1" max="1" width="33.85546875" bestFit="1" customWidth="1"/>
    <col min="2" max="2" width="25" customWidth="1"/>
    <col min="7" max="7" width="10.5703125" customWidth="1"/>
    <col min="13" max="13" width="10.5703125" customWidth="1"/>
    <col min="14" max="14" width="14.28515625" bestFit="1" customWidth="1"/>
    <col min="17" max="17" width="11.28515625" customWidth="1"/>
    <col min="19" max="19" width="21.7109375" bestFit="1" customWidth="1"/>
    <col min="24" max="24" width="9.5703125" bestFit="1" customWidth="1"/>
  </cols>
  <sheetData>
    <row r="1" spans="1:24" ht="14.25" customHeight="1" x14ac:dyDescent="0.25">
      <c r="A1" s="4" t="s">
        <v>66</v>
      </c>
      <c r="B1" s="4"/>
      <c r="C1" s="4"/>
      <c r="D1" s="4"/>
      <c r="F1" s="17" t="s">
        <v>67</v>
      </c>
      <c r="G1" s="6"/>
      <c r="H1" s="6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4" x14ac:dyDescent="0.25">
      <c r="A2" s="60">
        <v>44630</v>
      </c>
      <c r="B2" s="12" t="s">
        <v>70</v>
      </c>
      <c r="F2" s="6"/>
      <c r="G2" s="6"/>
      <c r="H2" s="6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4" x14ac:dyDescent="0.25">
      <c r="A3" t="s">
        <v>72</v>
      </c>
      <c r="B3" s="41" t="s">
        <v>125</v>
      </c>
      <c r="F3" s="6"/>
      <c r="G3" s="6"/>
      <c r="H3" s="6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4" x14ac:dyDescent="0.25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25">
      <c r="A5" s="1" t="s">
        <v>461</v>
      </c>
      <c r="F5" s="6"/>
      <c r="G5" s="6"/>
      <c r="H5" s="6"/>
      <c r="J5" s="6"/>
      <c r="K5" s="6"/>
      <c r="L5" s="6"/>
      <c r="O5" s="6"/>
      <c r="P5" s="6"/>
      <c r="R5" s="6"/>
      <c r="S5" s="34" t="s">
        <v>119</v>
      </c>
      <c r="U5" s="6"/>
      <c r="V5" s="6"/>
      <c r="W5" s="9"/>
      <c r="X5" s="10"/>
    </row>
    <row r="6" spans="1:24" ht="60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25">
      <c r="A7" s="22" t="s">
        <v>131</v>
      </c>
      <c r="B7" s="2" t="s">
        <v>187</v>
      </c>
      <c r="C7" s="2" t="s">
        <v>188</v>
      </c>
      <c r="D7" s="2" t="s">
        <v>215</v>
      </c>
      <c r="E7" s="45" t="s">
        <v>272</v>
      </c>
      <c r="F7" s="24" t="str">
        <f>HYPERLINK("https://mapwv.gov/flood/map/?wkid=102100&amp;x=-8992524.765753841&amp;y=4764413.194504165&amp;l=13&amp;v=2","FT")</f>
        <v>FT</v>
      </c>
      <c r="G7" s="46" t="s">
        <v>54</v>
      </c>
      <c r="H7" s="23" t="s">
        <v>25</v>
      </c>
      <c r="I7" s="2" t="s">
        <v>59</v>
      </c>
      <c r="J7" s="22" t="s">
        <v>26</v>
      </c>
      <c r="K7" s="47">
        <v>9999</v>
      </c>
      <c r="L7" s="47"/>
      <c r="M7" s="45" t="s">
        <v>28</v>
      </c>
      <c r="N7" s="3" t="s">
        <v>90</v>
      </c>
      <c r="O7" s="47" t="s">
        <v>93</v>
      </c>
      <c r="P7" s="48">
        <v>5700</v>
      </c>
      <c r="Q7" s="2" t="s">
        <v>30</v>
      </c>
      <c r="R7" s="23" t="s">
        <v>95</v>
      </c>
      <c r="S7" s="30">
        <v>3500000</v>
      </c>
      <c r="T7" s="2" t="s">
        <v>29</v>
      </c>
      <c r="U7" s="31">
        <v>1.2270508</v>
      </c>
      <c r="V7" s="31">
        <v>0.22705078125</v>
      </c>
      <c r="W7" s="32">
        <v>2.81640625E-2</v>
      </c>
      <c r="X7" s="33">
        <v>98574.21875</v>
      </c>
    </row>
    <row r="8" spans="1:24" x14ac:dyDescent="0.25">
      <c r="A8" s="22" t="s">
        <v>126</v>
      </c>
      <c r="B8" s="2" t="s">
        <v>186</v>
      </c>
      <c r="C8" s="2" t="s">
        <v>188</v>
      </c>
      <c r="D8" s="2" t="s">
        <v>210</v>
      </c>
      <c r="E8" s="45" t="s">
        <v>267</v>
      </c>
      <c r="F8" s="24" t="str">
        <f>HYPERLINK("https://mapwv.gov/flood/map/?wkid=102100&amp;x=-8993006.25360966&amp;y=4766421.815901238&amp;l=13&amp;v=2","FT")</f>
        <v>FT</v>
      </c>
      <c r="G8" s="46" t="s">
        <v>32</v>
      </c>
      <c r="H8" s="23" t="s">
        <v>25</v>
      </c>
      <c r="I8" s="2" t="s">
        <v>328</v>
      </c>
      <c r="J8" s="22" t="s">
        <v>26</v>
      </c>
      <c r="K8" s="47" t="s">
        <v>98</v>
      </c>
      <c r="L8" s="47" t="s">
        <v>45</v>
      </c>
      <c r="M8" s="45" t="s">
        <v>56</v>
      </c>
      <c r="N8" s="3" t="s">
        <v>35</v>
      </c>
      <c r="O8" s="47" t="s">
        <v>94</v>
      </c>
      <c r="P8" s="45" t="s">
        <v>408</v>
      </c>
      <c r="Q8" s="2" t="s">
        <v>30</v>
      </c>
      <c r="R8" s="23" t="s">
        <v>95</v>
      </c>
      <c r="S8" s="30">
        <v>1536100</v>
      </c>
      <c r="T8" s="2" t="s">
        <v>44</v>
      </c>
      <c r="U8" s="31">
        <v>3.0275268999999998</v>
      </c>
      <c r="V8" s="31">
        <v>2.02752685546875</v>
      </c>
      <c r="W8" s="32">
        <v>0.161651611328125</v>
      </c>
      <c r="X8" s="33">
        <v>248313.040161132</v>
      </c>
    </row>
    <row r="9" spans="1:24" x14ac:dyDescent="0.25">
      <c r="A9" s="22" t="s">
        <v>127</v>
      </c>
      <c r="B9" s="2" t="s">
        <v>186</v>
      </c>
      <c r="C9" s="2" t="s">
        <v>188</v>
      </c>
      <c r="D9" s="2" t="s">
        <v>211</v>
      </c>
      <c r="E9" s="45" t="s">
        <v>268</v>
      </c>
      <c r="F9" s="24" t="str">
        <f>HYPERLINK("https://mapwv.gov/flood/map/?wkid=102100&amp;x=-8991253.09374715&amp;y=4763228.646617417&amp;l=13&amp;v=2","FT")</f>
        <v>FT</v>
      </c>
      <c r="G9" s="46" t="s">
        <v>54</v>
      </c>
      <c r="H9" s="23" t="s">
        <v>25</v>
      </c>
      <c r="I9" s="2" t="s">
        <v>329</v>
      </c>
      <c r="J9" s="22" t="s">
        <v>116</v>
      </c>
      <c r="K9" s="47" t="s">
        <v>101</v>
      </c>
      <c r="L9" s="47" t="s">
        <v>27</v>
      </c>
      <c r="M9" s="45" t="s">
        <v>28</v>
      </c>
      <c r="N9" s="3" t="s">
        <v>90</v>
      </c>
      <c r="O9" s="47" t="s">
        <v>93</v>
      </c>
      <c r="P9" s="45" t="s">
        <v>409</v>
      </c>
      <c r="Q9" s="2" t="s">
        <v>30</v>
      </c>
      <c r="R9" s="23" t="s">
        <v>95</v>
      </c>
      <c r="S9" s="30">
        <v>1382700</v>
      </c>
      <c r="T9" s="2" t="s">
        <v>44</v>
      </c>
      <c r="U9" s="31">
        <v>0.44158935999999999</v>
      </c>
      <c r="V9" s="31">
        <v>-0.55841064453125</v>
      </c>
      <c r="W9" s="32">
        <v>0</v>
      </c>
      <c r="X9" s="33">
        <v>0</v>
      </c>
    </row>
    <row r="10" spans="1:24" x14ac:dyDescent="0.25">
      <c r="A10" s="22" t="s">
        <v>128</v>
      </c>
      <c r="B10" s="2" t="s">
        <v>186</v>
      </c>
      <c r="C10" s="2" t="s">
        <v>189</v>
      </c>
      <c r="D10" s="2" t="s">
        <v>212</v>
      </c>
      <c r="E10" s="45" t="s">
        <v>269</v>
      </c>
      <c r="F10" s="24" t="str">
        <f>HYPERLINK("https://mapwv.gov/flood/map/?wkid=102100&amp;x=-8973964.9829084&amp;y=4749186.11263794&amp;l=13&amp;v=2","FT")</f>
        <v>FT</v>
      </c>
      <c r="G10" s="46" t="s">
        <v>54</v>
      </c>
      <c r="H10" s="23" t="s">
        <v>25</v>
      </c>
      <c r="I10" s="2" t="s">
        <v>330</v>
      </c>
      <c r="J10" s="22" t="s">
        <v>26</v>
      </c>
      <c r="K10" s="47" t="s">
        <v>387</v>
      </c>
      <c r="L10" s="47"/>
      <c r="M10" s="45" t="s">
        <v>62</v>
      </c>
      <c r="N10" s="3" t="s">
        <v>42</v>
      </c>
      <c r="O10" s="47" t="s">
        <v>93</v>
      </c>
      <c r="P10" s="45" t="s">
        <v>410</v>
      </c>
      <c r="Q10" s="2" t="s">
        <v>30</v>
      </c>
      <c r="R10" s="23" t="s">
        <v>95</v>
      </c>
      <c r="S10" s="30">
        <v>983799</v>
      </c>
      <c r="T10" s="2" t="s">
        <v>97</v>
      </c>
      <c r="U10" s="31">
        <v>1.5651245</v>
      </c>
      <c r="V10" s="31">
        <v>0.56512451171875</v>
      </c>
      <c r="W10" s="32">
        <v>1.6953735351562499E-2</v>
      </c>
      <c r="X10" s="33">
        <v>16679.067885131801</v>
      </c>
    </row>
    <row r="11" spans="1:24" x14ac:dyDescent="0.25">
      <c r="A11" s="22" t="s">
        <v>129</v>
      </c>
      <c r="B11" s="2" t="s">
        <v>186</v>
      </c>
      <c r="C11" s="2" t="s">
        <v>190</v>
      </c>
      <c r="D11" s="2" t="s">
        <v>213</v>
      </c>
      <c r="E11" s="45" t="s">
        <v>270</v>
      </c>
      <c r="F11" s="24" t="str">
        <f>HYPERLINK("https://mapwv.gov/flood/map/?wkid=102100&amp;x=-8982824.399463695&amp;y=4757048.685352199&amp;l=13&amp;v=2","FT")</f>
        <v>FT</v>
      </c>
      <c r="G11" s="46" t="s">
        <v>38</v>
      </c>
      <c r="H11" s="23" t="s">
        <v>25</v>
      </c>
      <c r="I11" s="2" t="s">
        <v>331</v>
      </c>
      <c r="J11" s="22" t="s">
        <v>36</v>
      </c>
      <c r="K11" s="47" t="s">
        <v>77</v>
      </c>
      <c r="L11" s="47"/>
      <c r="M11" s="45" t="s">
        <v>34</v>
      </c>
      <c r="N11" s="3" t="s">
        <v>92</v>
      </c>
      <c r="O11" s="47" t="s">
        <v>93</v>
      </c>
      <c r="P11" s="45" t="s">
        <v>411</v>
      </c>
      <c r="Q11" s="2" t="s">
        <v>30</v>
      </c>
      <c r="R11" s="23" t="s">
        <v>95</v>
      </c>
      <c r="S11" s="30">
        <v>792326</v>
      </c>
      <c r="T11" s="2" t="s">
        <v>97</v>
      </c>
      <c r="U11" s="31">
        <v>0.91058784999999998</v>
      </c>
      <c r="V11" s="31">
        <v>-8.9412152767181396E-2</v>
      </c>
      <c r="W11" s="32">
        <v>9.1058784723281813E-3</v>
      </c>
      <c r="X11" s="33">
        <v>7214.8242664659001</v>
      </c>
    </row>
    <row r="12" spans="1:24" x14ac:dyDescent="0.25">
      <c r="A12" s="22" t="s">
        <v>130</v>
      </c>
      <c r="B12" s="2" t="s">
        <v>186</v>
      </c>
      <c r="C12" s="2" t="s">
        <v>191</v>
      </c>
      <c r="D12" s="2" t="s">
        <v>214</v>
      </c>
      <c r="E12" s="45" t="s">
        <v>271</v>
      </c>
      <c r="F12" s="24" t="str">
        <f>HYPERLINK("https://mapwv.gov/flood/map/?wkid=102100&amp;x=-8997680.998072142&amp;y=4744357.115201&amp;l=13&amp;v=2","FT")</f>
        <v>FT</v>
      </c>
      <c r="G12" s="46" t="s">
        <v>38</v>
      </c>
      <c r="H12" s="23" t="s">
        <v>25</v>
      </c>
      <c r="I12" s="2" t="s">
        <v>332</v>
      </c>
      <c r="J12" s="22" t="s">
        <v>36</v>
      </c>
      <c r="K12" s="47" t="s">
        <v>77</v>
      </c>
      <c r="L12" s="47"/>
      <c r="M12" s="45" t="s">
        <v>58</v>
      </c>
      <c r="N12" s="3" t="s">
        <v>91</v>
      </c>
      <c r="O12" s="47" t="s">
        <v>93</v>
      </c>
      <c r="P12" s="45" t="s">
        <v>412</v>
      </c>
      <c r="Q12" s="2" t="s">
        <v>30</v>
      </c>
      <c r="R12" s="23" t="s">
        <v>95</v>
      </c>
      <c r="S12" s="30">
        <v>653407</v>
      </c>
      <c r="T12" s="2" t="s">
        <v>97</v>
      </c>
      <c r="U12" s="31">
        <v>0</v>
      </c>
      <c r="V12" s="31">
        <v>-1</v>
      </c>
      <c r="W12" s="32">
        <v>0</v>
      </c>
      <c r="X12" s="33">
        <v>0</v>
      </c>
    </row>
    <row r="13" spans="1:24" x14ac:dyDescent="0.25">
      <c r="A13" s="22" t="s">
        <v>132</v>
      </c>
      <c r="B13" s="2" t="s">
        <v>186</v>
      </c>
      <c r="C13" s="2" t="s">
        <v>192</v>
      </c>
      <c r="D13" s="2" t="s">
        <v>216</v>
      </c>
      <c r="E13" s="45" t="s">
        <v>273</v>
      </c>
      <c r="F13" s="24" t="str">
        <f>HYPERLINK("https://mapwv.gov/flood/map/?wkid=102100&amp;x=-8998166.616660308&amp;y=4768760.664324667&amp;l=13&amp;v=2","FT")</f>
        <v>FT</v>
      </c>
      <c r="G13" s="46" t="s">
        <v>38</v>
      </c>
      <c r="H13" s="23" t="s">
        <v>25</v>
      </c>
      <c r="I13" s="2" t="s">
        <v>333</v>
      </c>
      <c r="J13" s="22" t="s">
        <v>26</v>
      </c>
      <c r="K13" s="47" t="s">
        <v>389</v>
      </c>
      <c r="L13" s="47" t="s">
        <v>45</v>
      </c>
      <c r="M13" s="45" t="s">
        <v>41</v>
      </c>
      <c r="N13" s="3" t="s">
        <v>42</v>
      </c>
      <c r="O13" s="47" t="s">
        <v>94</v>
      </c>
      <c r="P13" s="45" t="s">
        <v>413</v>
      </c>
      <c r="Q13" s="2" t="s">
        <v>52</v>
      </c>
      <c r="R13" s="23" t="s">
        <v>96</v>
      </c>
      <c r="S13" s="30">
        <v>319300</v>
      </c>
      <c r="T13" s="2" t="s">
        <v>44</v>
      </c>
      <c r="U13" s="31">
        <v>0</v>
      </c>
      <c r="V13" s="31">
        <v>-4</v>
      </c>
      <c r="W13" s="32">
        <v>0</v>
      </c>
      <c r="X13" s="33">
        <v>0</v>
      </c>
    </row>
    <row r="14" spans="1:24" x14ac:dyDescent="0.25">
      <c r="A14" s="22" t="s">
        <v>133</v>
      </c>
      <c r="B14" s="2" t="s">
        <v>186</v>
      </c>
      <c r="C14" s="2" t="s">
        <v>193</v>
      </c>
      <c r="D14" s="2" t="s">
        <v>217</v>
      </c>
      <c r="E14" s="45" t="s">
        <v>274</v>
      </c>
      <c r="F14" s="24" t="str">
        <f>HYPERLINK("https://mapwv.gov/flood/map/?wkid=102100&amp;x=-8998134.55186022&amp;y=4763371.887143519&amp;l=13&amp;v=2","FT")</f>
        <v>FT</v>
      </c>
      <c r="G14" s="46" t="s">
        <v>38</v>
      </c>
      <c r="H14" s="23" t="s">
        <v>25</v>
      </c>
      <c r="I14" s="2" t="s">
        <v>334</v>
      </c>
      <c r="J14" s="22" t="s">
        <v>26</v>
      </c>
      <c r="K14" s="47" t="s">
        <v>100</v>
      </c>
      <c r="L14" s="47" t="s">
        <v>53</v>
      </c>
      <c r="M14" s="45" t="s">
        <v>58</v>
      </c>
      <c r="N14" s="3" t="s">
        <v>91</v>
      </c>
      <c r="O14" s="47" t="s">
        <v>93</v>
      </c>
      <c r="P14" s="45" t="s">
        <v>414</v>
      </c>
      <c r="Q14" s="2" t="s">
        <v>30</v>
      </c>
      <c r="R14" s="23" t="s">
        <v>95</v>
      </c>
      <c r="S14" s="30">
        <v>274400</v>
      </c>
      <c r="T14" s="2" t="s">
        <v>44</v>
      </c>
      <c r="U14" s="31">
        <v>0</v>
      </c>
      <c r="V14" s="31">
        <v>-1</v>
      </c>
      <c r="W14" s="32">
        <v>0</v>
      </c>
      <c r="X14" s="33">
        <v>0</v>
      </c>
    </row>
    <row r="15" spans="1:24" x14ac:dyDescent="0.25">
      <c r="A15" s="22" t="s">
        <v>134</v>
      </c>
      <c r="B15" s="2" t="s">
        <v>186</v>
      </c>
      <c r="C15" s="2" t="s">
        <v>193</v>
      </c>
      <c r="D15" s="2" t="s">
        <v>218</v>
      </c>
      <c r="E15" s="45" t="s">
        <v>275</v>
      </c>
      <c r="F15" s="24" t="str">
        <f>HYPERLINK("https://mapwv.gov/flood/map/?wkid=102100&amp;x=-8998043.056144344&amp;y=4762836.184295341&amp;l=13&amp;v=2","FT")</f>
        <v>FT</v>
      </c>
      <c r="G15" s="46" t="s">
        <v>38</v>
      </c>
      <c r="H15" s="23" t="s">
        <v>25</v>
      </c>
      <c r="I15" s="2" t="s">
        <v>335</v>
      </c>
      <c r="J15" s="22" t="s">
        <v>36</v>
      </c>
      <c r="K15" s="47" t="s">
        <v>77</v>
      </c>
      <c r="L15" s="47"/>
      <c r="M15" s="45" t="s">
        <v>34</v>
      </c>
      <c r="N15" s="3" t="s">
        <v>92</v>
      </c>
      <c r="O15" s="47" t="s">
        <v>93</v>
      </c>
      <c r="P15" s="45" t="s">
        <v>415</v>
      </c>
      <c r="Q15" s="2" t="s">
        <v>30</v>
      </c>
      <c r="R15" s="23" t="s">
        <v>95</v>
      </c>
      <c r="S15" s="30">
        <v>258131</v>
      </c>
      <c r="T15" s="2" t="s">
        <v>97</v>
      </c>
      <c r="U15" s="31">
        <v>0.74244726000000005</v>
      </c>
      <c r="V15" s="31">
        <v>-0.25755274295806801</v>
      </c>
      <c r="W15" s="32">
        <v>7.4244725704193104E-3</v>
      </c>
      <c r="X15" s="33">
        <v>1916.4865290749001</v>
      </c>
    </row>
    <row r="16" spans="1:24" x14ac:dyDescent="0.25">
      <c r="A16" s="22" t="s">
        <v>135</v>
      </c>
      <c r="B16" s="2" t="s">
        <v>186</v>
      </c>
      <c r="C16" s="2" t="s">
        <v>194</v>
      </c>
      <c r="D16" s="2" t="s">
        <v>219</v>
      </c>
      <c r="E16" s="45" t="s">
        <v>276</v>
      </c>
      <c r="F16" s="24" t="str">
        <f>HYPERLINK("https://mapwv.gov/flood/map/?wkid=102100&amp;x=-8997022.24149696&amp;y=4761004.458498341&amp;l=13&amp;v=2","FT")</f>
        <v>FT</v>
      </c>
      <c r="G16" s="46" t="s">
        <v>38</v>
      </c>
      <c r="H16" s="23" t="s">
        <v>25</v>
      </c>
      <c r="I16" s="2" t="s">
        <v>336</v>
      </c>
      <c r="J16" s="22" t="s">
        <v>26</v>
      </c>
      <c r="K16" s="47" t="s">
        <v>84</v>
      </c>
      <c r="L16" s="47" t="s">
        <v>27</v>
      </c>
      <c r="M16" s="45" t="s">
        <v>41</v>
      </c>
      <c r="N16" s="3" t="s">
        <v>42</v>
      </c>
      <c r="O16" s="47" t="s">
        <v>93</v>
      </c>
      <c r="P16" s="45" t="s">
        <v>416</v>
      </c>
      <c r="Q16" s="2" t="s">
        <v>43</v>
      </c>
      <c r="R16" s="23" t="s">
        <v>96</v>
      </c>
      <c r="S16" s="30">
        <v>192800</v>
      </c>
      <c r="T16" s="2" t="s">
        <v>44</v>
      </c>
      <c r="U16" s="31">
        <v>0</v>
      </c>
      <c r="V16" s="31">
        <v>-4</v>
      </c>
      <c r="W16" s="32">
        <v>0</v>
      </c>
      <c r="X16" s="33">
        <v>0</v>
      </c>
    </row>
    <row r="17" spans="1:24" x14ac:dyDescent="0.25">
      <c r="A17" s="22" t="s">
        <v>136</v>
      </c>
      <c r="B17" s="2" t="s">
        <v>186</v>
      </c>
      <c r="C17" s="2" t="s">
        <v>193</v>
      </c>
      <c r="D17" s="2" t="s">
        <v>220</v>
      </c>
      <c r="E17" s="45" t="s">
        <v>277</v>
      </c>
      <c r="F17" s="24" t="str">
        <f>HYPERLINK("https://mapwv.gov/flood/map/?wkid=102100&amp;x=-8997854.853847235&amp;y=4763667.18711806&amp;l=13&amp;v=2","FT")</f>
        <v>FT</v>
      </c>
      <c r="G17" s="46" t="s">
        <v>38</v>
      </c>
      <c r="H17" s="23" t="s">
        <v>25</v>
      </c>
      <c r="I17" s="2" t="s">
        <v>337</v>
      </c>
      <c r="J17" s="22" t="s">
        <v>39</v>
      </c>
      <c r="K17" s="47" t="s">
        <v>99</v>
      </c>
      <c r="L17" s="47" t="s">
        <v>46</v>
      </c>
      <c r="M17" s="45" t="s">
        <v>41</v>
      </c>
      <c r="N17" s="3" t="s">
        <v>42</v>
      </c>
      <c r="O17" s="47" t="s">
        <v>94</v>
      </c>
      <c r="P17" s="45" t="s">
        <v>417</v>
      </c>
      <c r="Q17" s="2" t="s">
        <v>52</v>
      </c>
      <c r="R17" s="23" t="s">
        <v>114</v>
      </c>
      <c r="S17" s="30">
        <v>191600</v>
      </c>
      <c r="T17" s="2" t="s">
        <v>44</v>
      </c>
      <c r="U17" s="31">
        <v>0</v>
      </c>
      <c r="V17" s="31">
        <v>-3</v>
      </c>
      <c r="W17" s="32">
        <v>0</v>
      </c>
      <c r="X17" s="33">
        <v>0</v>
      </c>
    </row>
    <row r="18" spans="1:24" x14ac:dyDescent="0.25">
      <c r="A18" s="22" t="s">
        <v>137</v>
      </c>
      <c r="B18" s="2" t="s">
        <v>186</v>
      </c>
      <c r="C18" s="2" t="s">
        <v>195</v>
      </c>
      <c r="D18" s="2" t="s">
        <v>221</v>
      </c>
      <c r="E18" s="45" t="s">
        <v>278</v>
      </c>
      <c r="F18" s="24" t="str">
        <f>HYPERLINK("https://mapwv.gov/flood/map/?wkid=102100&amp;x=-8984635.350060616&amp;y=4772475.759990923&amp;l=13&amp;v=2","FT")</f>
        <v>FT</v>
      </c>
      <c r="G18" s="46" t="s">
        <v>38</v>
      </c>
      <c r="H18" s="23" t="s">
        <v>25</v>
      </c>
      <c r="I18" s="2" t="s">
        <v>338</v>
      </c>
      <c r="J18" s="22" t="s">
        <v>26</v>
      </c>
      <c r="K18" s="47" t="s">
        <v>390</v>
      </c>
      <c r="L18" s="47" t="s">
        <v>27</v>
      </c>
      <c r="M18" s="45" t="s">
        <v>63</v>
      </c>
      <c r="N18" s="3" t="s">
        <v>35</v>
      </c>
      <c r="O18" s="47" t="s">
        <v>94</v>
      </c>
      <c r="P18" s="45" t="s">
        <v>418</v>
      </c>
      <c r="Q18" s="2" t="s">
        <v>30</v>
      </c>
      <c r="R18" s="23" t="s">
        <v>95</v>
      </c>
      <c r="S18" s="30">
        <v>190900</v>
      </c>
      <c r="T18" s="2" t="s">
        <v>44</v>
      </c>
      <c r="U18" s="31">
        <v>0</v>
      </c>
      <c r="V18" s="31">
        <v>-1</v>
      </c>
      <c r="W18" s="32">
        <v>0</v>
      </c>
      <c r="X18" s="33">
        <v>0</v>
      </c>
    </row>
    <row r="19" spans="1:24" x14ac:dyDescent="0.25">
      <c r="A19" s="22" t="s">
        <v>138</v>
      </c>
      <c r="B19" s="2" t="s">
        <v>186</v>
      </c>
      <c r="C19" s="2" t="s">
        <v>195</v>
      </c>
      <c r="D19" s="2" t="s">
        <v>221</v>
      </c>
      <c r="E19" s="45" t="s">
        <v>279</v>
      </c>
      <c r="F19" s="24" t="str">
        <f>HYPERLINK("https://mapwv.gov/flood/map/?wkid=102100&amp;x=-8984616.467937268&amp;y=4772452.656529618&amp;l=13&amp;v=2","FT")</f>
        <v>FT</v>
      </c>
      <c r="G19" s="46" t="s">
        <v>38</v>
      </c>
      <c r="H19" s="23" t="s">
        <v>25</v>
      </c>
      <c r="I19" s="2" t="s">
        <v>339</v>
      </c>
      <c r="J19" s="22" t="s">
        <v>26</v>
      </c>
      <c r="K19" s="47" t="s">
        <v>387</v>
      </c>
      <c r="L19" s="47"/>
      <c r="M19" s="45" t="s">
        <v>88</v>
      </c>
      <c r="N19" s="3" t="s">
        <v>92</v>
      </c>
      <c r="O19" s="47" t="s">
        <v>93</v>
      </c>
      <c r="P19" s="45" t="s">
        <v>419</v>
      </c>
      <c r="Q19" s="2" t="s">
        <v>30</v>
      </c>
      <c r="R19" s="23" t="s">
        <v>95</v>
      </c>
      <c r="S19" s="30">
        <v>189973</v>
      </c>
      <c r="T19" s="2" t="s">
        <v>97</v>
      </c>
      <c r="U19" s="31">
        <v>0</v>
      </c>
      <c r="V19" s="31">
        <v>-1</v>
      </c>
      <c r="W19" s="32">
        <v>0</v>
      </c>
      <c r="X19" s="33">
        <v>0</v>
      </c>
    </row>
    <row r="20" spans="1:24" x14ac:dyDescent="0.25">
      <c r="A20" s="22" t="s">
        <v>139</v>
      </c>
      <c r="B20" s="2" t="s">
        <v>186</v>
      </c>
      <c r="C20" s="2" t="s">
        <v>196</v>
      </c>
      <c r="D20" s="2" t="s">
        <v>222</v>
      </c>
      <c r="E20" s="45" t="s">
        <v>280</v>
      </c>
      <c r="F20" s="24" t="str">
        <f>HYPERLINK("https://mapwv.gov/flood/map/?wkid=102100&amp;x=-8980550.821649639&amp;y=4761501.528445324&amp;l=13&amp;v=2","FT")</f>
        <v>FT</v>
      </c>
      <c r="G20" s="46" t="s">
        <v>38</v>
      </c>
      <c r="H20" s="23" t="s">
        <v>25</v>
      </c>
      <c r="I20" s="2" t="s">
        <v>340</v>
      </c>
      <c r="J20" s="22" t="s">
        <v>26</v>
      </c>
      <c r="K20" s="47" t="s">
        <v>107</v>
      </c>
      <c r="L20" s="47" t="s">
        <v>57</v>
      </c>
      <c r="M20" s="45" t="s">
        <v>41</v>
      </c>
      <c r="N20" s="3" t="s">
        <v>42</v>
      </c>
      <c r="O20" s="47" t="s">
        <v>94</v>
      </c>
      <c r="P20" s="45" t="s">
        <v>420</v>
      </c>
      <c r="Q20" s="2" t="s">
        <v>52</v>
      </c>
      <c r="R20" s="23" t="s">
        <v>96</v>
      </c>
      <c r="S20" s="30">
        <v>187600</v>
      </c>
      <c r="T20" s="2" t="s">
        <v>44</v>
      </c>
      <c r="U20" s="31">
        <v>0</v>
      </c>
      <c r="V20" s="31">
        <v>-4</v>
      </c>
      <c r="W20" s="32">
        <v>0</v>
      </c>
      <c r="X20" s="33">
        <v>0</v>
      </c>
    </row>
    <row r="21" spans="1:24" x14ac:dyDescent="0.25">
      <c r="A21" s="22" t="s">
        <v>140</v>
      </c>
      <c r="B21" s="2" t="s">
        <v>186</v>
      </c>
      <c r="C21" s="2" t="s">
        <v>196</v>
      </c>
      <c r="D21" s="2" t="s">
        <v>223</v>
      </c>
      <c r="E21" s="45" t="s">
        <v>281</v>
      </c>
      <c r="F21" s="24" t="str">
        <f>HYPERLINK("https://mapwv.gov/flood/map/?wkid=102100&amp;x=-8980609.687173733&amp;y=4761278.93900877&amp;l=13&amp;v=2","FT")</f>
        <v>FT</v>
      </c>
      <c r="G21" s="46" t="s">
        <v>38</v>
      </c>
      <c r="H21" s="23" t="s">
        <v>25</v>
      </c>
      <c r="I21" s="2" t="s">
        <v>341</v>
      </c>
      <c r="J21" s="22" t="s">
        <v>39</v>
      </c>
      <c r="K21" s="47" t="s">
        <v>83</v>
      </c>
      <c r="L21" s="47" t="s">
        <v>45</v>
      </c>
      <c r="M21" s="45" t="s">
        <v>41</v>
      </c>
      <c r="N21" s="3" t="s">
        <v>42</v>
      </c>
      <c r="O21" s="47" t="s">
        <v>93</v>
      </c>
      <c r="P21" s="45" t="s">
        <v>421</v>
      </c>
      <c r="Q21" s="2" t="s">
        <v>52</v>
      </c>
      <c r="R21" s="23" t="s">
        <v>114</v>
      </c>
      <c r="S21" s="30">
        <v>179600</v>
      </c>
      <c r="T21" s="2" t="s">
        <v>44</v>
      </c>
      <c r="U21" s="31">
        <v>0</v>
      </c>
      <c r="V21" s="31">
        <v>-3</v>
      </c>
      <c r="W21" s="32">
        <v>0</v>
      </c>
      <c r="X21" s="33">
        <v>0</v>
      </c>
    </row>
    <row r="22" spans="1:24" x14ac:dyDescent="0.25">
      <c r="A22" s="22" t="s">
        <v>141</v>
      </c>
      <c r="B22" s="2" t="s">
        <v>186</v>
      </c>
      <c r="C22" s="2" t="s">
        <v>197</v>
      </c>
      <c r="D22" s="2" t="s">
        <v>224</v>
      </c>
      <c r="E22" s="45" t="s">
        <v>282</v>
      </c>
      <c r="F22" s="24" t="str">
        <f>HYPERLINK("https://mapwv.gov/flood/map/?wkid=102100&amp;x=-8976480.963811714&amp;y=4761307.543241203&amp;l=13&amp;v=2","FT")</f>
        <v>FT</v>
      </c>
      <c r="G22" s="46" t="s">
        <v>32</v>
      </c>
      <c r="H22" s="23" t="s">
        <v>25</v>
      </c>
      <c r="I22" s="2" t="s">
        <v>342</v>
      </c>
      <c r="J22" s="22" t="s">
        <v>26</v>
      </c>
      <c r="K22" s="47" t="s">
        <v>75</v>
      </c>
      <c r="L22" s="47" t="s">
        <v>27</v>
      </c>
      <c r="M22" s="45" t="s">
        <v>41</v>
      </c>
      <c r="N22" s="3" t="s">
        <v>42</v>
      </c>
      <c r="O22" s="47" t="s">
        <v>93</v>
      </c>
      <c r="P22" s="45" t="s">
        <v>422</v>
      </c>
      <c r="Q22" s="2" t="s">
        <v>52</v>
      </c>
      <c r="R22" s="23" t="s">
        <v>96</v>
      </c>
      <c r="S22" s="30">
        <v>172700</v>
      </c>
      <c r="T22" s="2" t="s">
        <v>44</v>
      </c>
      <c r="U22" s="31">
        <v>0</v>
      </c>
      <c r="V22" s="31">
        <v>-4</v>
      </c>
      <c r="W22" s="32">
        <v>0</v>
      </c>
      <c r="X22" s="33">
        <v>0</v>
      </c>
    </row>
    <row r="23" spans="1:24" x14ac:dyDescent="0.25">
      <c r="A23" s="22" t="s">
        <v>142</v>
      </c>
      <c r="B23" s="2" t="s">
        <v>186</v>
      </c>
      <c r="C23" s="2" t="s">
        <v>197</v>
      </c>
      <c r="D23" s="2" t="s">
        <v>225</v>
      </c>
      <c r="E23" s="45" t="s">
        <v>283</v>
      </c>
      <c r="F23" s="24" t="str">
        <f>HYPERLINK("https://mapwv.gov/flood/map/?wkid=102100&amp;x=-8976265.488573322&amp;y=4761396.119650857&amp;l=13&amp;v=2","FT")</f>
        <v>FT</v>
      </c>
      <c r="G23" s="46" t="s">
        <v>32</v>
      </c>
      <c r="H23" s="23" t="s">
        <v>25</v>
      </c>
      <c r="I23" s="2" t="s">
        <v>343</v>
      </c>
      <c r="J23" s="22" t="s">
        <v>39</v>
      </c>
      <c r="K23" s="47" t="s">
        <v>391</v>
      </c>
      <c r="L23" s="47" t="s">
        <v>27</v>
      </c>
      <c r="M23" s="45" t="s">
        <v>41</v>
      </c>
      <c r="N23" s="3" t="s">
        <v>42</v>
      </c>
      <c r="O23" s="47" t="s">
        <v>93</v>
      </c>
      <c r="P23" s="45" t="s">
        <v>423</v>
      </c>
      <c r="Q23" s="2" t="s">
        <v>43</v>
      </c>
      <c r="R23" s="23" t="s">
        <v>96</v>
      </c>
      <c r="S23" s="30">
        <v>170900</v>
      </c>
      <c r="T23" s="2" t="s">
        <v>44</v>
      </c>
      <c r="U23" s="31">
        <v>0</v>
      </c>
      <c r="V23" s="31">
        <v>-4</v>
      </c>
      <c r="W23" s="32">
        <v>0</v>
      </c>
      <c r="X23" s="33">
        <v>0</v>
      </c>
    </row>
    <row r="24" spans="1:24" x14ac:dyDescent="0.25">
      <c r="A24" s="22" t="s">
        <v>143</v>
      </c>
      <c r="B24" s="2" t="s">
        <v>186</v>
      </c>
      <c r="C24" s="2" t="s">
        <v>196</v>
      </c>
      <c r="D24" s="2" t="s">
        <v>226</v>
      </c>
      <c r="E24" s="45" t="s">
        <v>284</v>
      </c>
      <c r="F24" s="24" t="str">
        <f>HYPERLINK("https://mapwv.gov/flood/map/?wkid=102100&amp;x=-8971410.26304493&amp;y=4754700.418285137&amp;l=13&amp;v=2","FT")</f>
        <v>FT</v>
      </c>
      <c r="G24" s="46" t="s">
        <v>38</v>
      </c>
      <c r="H24" s="23" t="s">
        <v>25</v>
      </c>
      <c r="I24" s="2" t="s">
        <v>344</v>
      </c>
      <c r="J24" s="22" t="s">
        <v>26</v>
      </c>
      <c r="K24" s="47" t="s">
        <v>105</v>
      </c>
      <c r="L24" s="47" t="s">
        <v>45</v>
      </c>
      <c r="M24" s="45" t="s">
        <v>34</v>
      </c>
      <c r="N24" s="3" t="s">
        <v>92</v>
      </c>
      <c r="O24" s="47" t="s">
        <v>93</v>
      </c>
      <c r="P24" s="45" t="s">
        <v>424</v>
      </c>
      <c r="Q24" s="2" t="s">
        <v>30</v>
      </c>
      <c r="R24" s="23" t="s">
        <v>95</v>
      </c>
      <c r="S24" s="30">
        <v>168700</v>
      </c>
      <c r="T24" s="2" t="s">
        <v>44</v>
      </c>
      <c r="U24" s="31">
        <v>0</v>
      </c>
      <c r="V24" s="31">
        <v>-1</v>
      </c>
      <c r="W24" s="32">
        <v>0</v>
      </c>
      <c r="X24" s="33">
        <v>0</v>
      </c>
    </row>
    <row r="25" spans="1:24" x14ac:dyDescent="0.25">
      <c r="A25" s="22" t="s">
        <v>144</v>
      </c>
      <c r="B25" s="2" t="s">
        <v>186</v>
      </c>
      <c r="C25" s="2" t="s">
        <v>196</v>
      </c>
      <c r="D25" s="2" t="s">
        <v>227</v>
      </c>
      <c r="E25" s="45" t="s">
        <v>285</v>
      </c>
      <c r="F25" s="24" t="str">
        <f>HYPERLINK("https://mapwv.gov/flood/map/?wkid=102100&amp;x=-8972498.488991074&amp;y=4754349.364636691&amp;l=13&amp;v=2","FT")</f>
        <v>FT</v>
      </c>
      <c r="G25" s="46" t="s">
        <v>38</v>
      </c>
      <c r="H25" s="23" t="s">
        <v>25</v>
      </c>
      <c r="I25" s="2" t="s">
        <v>345</v>
      </c>
      <c r="J25" s="22" t="s">
        <v>26</v>
      </c>
      <c r="K25" s="47" t="s">
        <v>392</v>
      </c>
      <c r="L25" s="47" t="s">
        <v>407</v>
      </c>
      <c r="M25" s="45" t="s">
        <v>41</v>
      </c>
      <c r="N25" s="3" t="s">
        <v>42</v>
      </c>
      <c r="O25" s="47" t="s">
        <v>94</v>
      </c>
      <c r="P25" s="45" t="s">
        <v>425</v>
      </c>
      <c r="Q25" s="2" t="s">
        <v>30</v>
      </c>
      <c r="R25" s="23" t="s">
        <v>95</v>
      </c>
      <c r="S25" s="30">
        <v>167400</v>
      </c>
      <c r="T25" s="2" t="s">
        <v>31</v>
      </c>
      <c r="U25" s="31">
        <v>1.2077533</v>
      </c>
      <c r="V25" s="31">
        <v>0.207753300666809</v>
      </c>
      <c r="W25" s="32">
        <v>0.11207753300666801</v>
      </c>
      <c r="X25" s="33">
        <v>18761.779025316198</v>
      </c>
    </row>
    <row r="26" spans="1:24" x14ac:dyDescent="0.25">
      <c r="A26" s="22" t="s">
        <v>145</v>
      </c>
      <c r="B26" s="2" t="s">
        <v>186</v>
      </c>
      <c r="C26" s="2" t="s">
        <v>196</v>
      </c>
      <c r="D26" s="2" t="s">
        <v>228</v>
      </c>
      <c r="E26" s="45" t="s">
        <v>286</v>
      </c>
      <c r="F26" s="24" t="str">
        <f>HYPERLINK("https://mapwv.gov/flood/map/?wkid=102100&amp;x=-8970418.169605406&amp;y=4755110.903072459&amp;l=13&amp;v=2","FT")</f>
        <v>FT</v>
      </c>
      <c r="G26" s="46" t="s">
        <v>38</v>
      </c>
      <c r="H26" s="23" t="s">
        <v>25</v>
      </c>
      <c r="I26" s="2" t="s">
        <v>346</v>
      </c>
      <c r="J26" s="22" t="s">
        <v>39</v>
      </c>
      <c r="K26" s="47" t="s">
        <v>102</v>
      </c>
      <c r="L26" s="47" t="s">
        <v>27</v>
      </c>
      <c r="M26" s="45" t="s">
        <v>41</v>
      </c>
      <c r="N26" s="3" t="s">
        <v>42</v>
      </c>
      <c r="O26" s="47" t="s">
        <v>93</v>
      </c>
      <c r="P26" s="45" t="s">
        <v>124</v>
      </c>
      <c r="Q26" s="2" t="s">
        <v>43</v>
      </c>
      <c r="R26" s="23" t="s">
        <v>96</v>
      </c>
      <c r="S26" s="30">
        <v>166800</v>
      </c>
      <c r="T26" s="2" t="s">
        <v>44</v>
      </c>
      <c r="U26" s="31">
        <v>0</v>
      </c>
      <c r="V26" s="31">
        <v>-4</v>
      </c>
      <c r="W26" s="32">
        <v>0</v>
      </c>
      <c r="X26" s="33">
        <v>0</v>
      </c>
    </row>
    <row r="27" spans="1:24" x14ac:dyDescent="0.25">
      <c r="A27" s="22" t="s">
        <v>146</v>
      </c>
      <c r="B27" s="2" t="s">
        <v>186</v>
      </c>
      <c r="C27" s="2" t="s">
        <v>196</v>
      </c>
      <c r="D27" s="2" t="s">
        <v>229</v>
      </c>
      <c r="E27" s="45" t="s">
        <v>287</v>
      </c>
      <c r="F27" s="24" t="str">
        <f>HYPERLINK("https://mapwv.gov/flood/map/?wkid=102100&amp;x=-8970378.100043375&amp;y=4755122.251038062&amp;l=13&amp;v=2","FT")</f>
        <v>FT</v>
      </c>
      <c r="G27" s="46" t="s">
        <v>38</v>
      </c>
      <c r="H27" s="23" t="s">
        <v>25</v>
      </c>
      <c r="I27" s="2" t="s">
        <v>347</v>
      </c>
      <c r="J27" s="22" t="s">
        <v>26</v>
      </c>
      <c r="K27" s="47" t="s">
        <v>392</v>
      </c>
      <c r="L27" s="47" t="s">
        <v>57</v>
      </c>
      <c r="M27" s="45" t="s">
        <v>41</v>
      </c>
      <c r="N27" s="3" t="s">
        <v>42</v>
      </c>
      <c r="O27" s="47" t="s">
        <v>94</v>
      </c>
      <c r="P27" s="45" t="s">
        <v>426</v>
      </c>
      <c r="Q27" s="2" t="s">
        <v>43</v>
      </c>
      <c r="R27" s="23" t="s">
        <v>96</v>
      </c>
      <c r="S27" s="30">
        <v>166500</v>
      </c>
      <c r="T27" s="2" t="s">
        <v>44</v>
      </c>
      <c r="U27" s="31">
        <v>0.6167977</v>
      </c>
      <c r="V27" s="31">
        <v>-3.3832023143768302</v>
      </c>
      <c r="W27" s="32">
        <v>0.04</v>
      </c>
      <c r="X27" s="33">
        <v>6660</v>
      </c>
    </row>
    <row r="28" spans="1:24" x14ac:dyDescent="0.25">
      <c r="A28" s="22" t="s">
        <v>147</v>
      </c>
      <c r="B28" s="2" t="s">
        <v>186</v>
      </c>
      <c r="C28" s="2" t="s">
        <v>198</v>
      </c>
      <c r="D28" s="2" t="s">
        <v>230</v>
      </c>
      <c r="E28" s="45" t="s">
        <v>288</v>
      </c>
      <c r="F28" s="24" t="str">
        <f>HYPERLINK("https://mapwv.gov/flood/map/?wkid=102100&amp;x=-8967408.20745982&amp;y=4751273.231781747&amp;l=13&amp;v=2","FT")</f>
        <v>FT</v>
      </c>
      <c r="G28" s="46" t="s">
        <v>54</v>
      </c>
      <c r="H28" s="23" t="s">
        <v>25</v>
      </c>
      <c r="I28" s="2" t="s">
        <v>348</v>
      </c>
      <c r="J28" s="22" t="s">
        <v>116</v>
      </c>
      <c r="K28" s="47" t="s">
        <v>107</v>
      </c>
      <c r="L28" s="47" t="s">
        <v>57</v>
      </c>
      <c r="M28" s="45" t="s">
        <v>41</v>
      </c>
      <c r="N28" s="3" t="s">
        <v>42</v>
      </c>
      <c r="O28" s="47" t="s">
        <v>93</v>
      </c>
      <c r="P28" s="45" t="s">
        <v>427</v>
      </c>
      <c r="Q28" s="2" t="s">
        <v>52</v>
      </c>
      <c r="R28" s="23" t="s">
        <v>114</v>
      </c>
      <c r="S28" s="30">
        <v>162200</v>
      </c>
      <c r="T28" s="2" t="s">
        <v>44</v>
      </c>
      <c r="U28" s="31">
        <v>0.97039794999999995</v>
      </c>
      <c r="V28" s="31">
        <v>-2.02960205078125</v>
      </c>
      <c r="W28" s="32">
        <v>0</v>
      </c>
      <c r="X28" s="33">
        <v>0</v>
      </c>
    </row>
    <row r="29" spans="1:24" x14ac:dyDescent="0.25">
      <c r="A29" s="22" t="s">
        <v>148</v>
      </c>
      <c r="B29" s="2" t="s">
        <v>186</v>
      </c>
      <c r="C29" s="2" t="s">
        <v>190</v>
      </c>
      <c r="D29" s="2" t="s">
        <v>231</v>
      </c>
      <c r="E29" s="45" t="s">
        <v>289</v>
      </c>
      <c r="F29" s="24" t="str">
        <f>HYPERLINK("https://mapwv.gov/flood/map/?wkid=102100&amp;x=-8972914.195376799&amp;y=4749021.498059157&amp;l=13&amp;v=2","FT")</f>
        <v>FT</v>
      </c>
      <c r="G29" s="46" t="s">
        <v>32</v>
      </c>
      <c r="H29" s="23" t="s">
        <v>25</v>
      </c>
      <c r="I29" s="2" t="s">
        <v>349</v>
      </c>
      <c r="J29" s="22" t="s">
        <v>39</v>
      </c>
      <c r="K29" s="47" t="s">
        <v>393</v>
      </c>
      <c r="L29" s="47" t="s">
        <v>27</v>
      </c>
      <c r="M29" s="45" t="s">
        <v>41</v>
      </c>
      <c r="N29" s="3" t="s">
        <v>42</v>
      </c>
      <c r="O29" s="47" t="s">
        <v>93</v>
      </c>
      <c r="P29" s="45" t="s">
        <v>428</v>
      </c>
      <c r="Q29" s="2" t="s">
        <v>43</v>
      </c>
      <c r="R29" s="23" t="s">
        <v>96</v>
      </c>
      <c r="S29" s="30">
        <v>158000</v>
      </c>
      <c r="T29" s="2" t="s">
        <v>44</v>
      </c>
      <c r="U29" s="31">
        <v>0.53894039999999999</v>
      </c>
      <c r="V29" s="31">
        <v>-3.4610595703125</v>
      </c>
      <c r="W29" s="32">
        <v>0</v>
      </c>
      <c r="X29" s="33">
        <v>0</v>
      </c>
    </row>
    <row r="30" spans="1:24" x14ac:dyDescent="0.25">
      <c r="A30" s="22" t="s">
        <v>149</v>
      </c>
      <c r="B30" s="2" t="s">
        <v>186</v>
      </c>
      <c r="C30" s="2" t="s">
        <v>190</v>
      </c>
      <c r="D30" s="2" t="s">
        <v>232</v>
      </c>
      <c r="E30" s="45" t="s">
        <v>290</v>
      </c>
      <c r="F30" s="24" t="str">
        <f>HYPERLINK("https://mapwv.gov/flood/map/?wkid=102100&amp;x=-8972999.83691197&amp;y=4748780.578607763&amp;l=13&amp;v=2","FT")</f>
        <v>FT</v>
      </c>
      <c r="G30" s="46" t="s">
        <v>38</v>
      </c>
      <c r="H30" s="23" t="s">
        <v>25</v>
      </c>
      <c r="I30" s="2" t="s">
        <v>350</v>
      </c>
      <c r="J30" s="22" t="s">
        <v>26</v>
      </c>
      <c r="K30" s="47" t="s">
        <v>107</v>
      </c>
      <c r="L30" s="47" t="s">
        <v>57</v>
      </c>
      <c r="M30" s="45" t="s">
        <v>41</v>
      </c>
      <c r="N30" s="3" t="s">
        <v>42</v>
      </c>
      <c r="O30" s="47" t="s">
        <v>93</v>
      </c>
      <c r="P30" s="45" t="s">
        <v>429</v>
      </c>
      <c r="Q30" s="2" t="s">
        <v>52</v>
      </c>
      <c r="R30" s="23" t="s">
        <v>96</v>
      </c>
      <c r="S30" s="30">
        <v>155600</v>
      </c>
      <c r="T30" s="2" t="s">
        <v>44</v>
      </c>
      <c r="U30" s="31">
        <v>0</v>
      </c>
      <c r="V30" s="31">
        <v>-4</v>
      </c>
      <c r="W30" s="32">
        <v>0</v>
      </c>
      <c r="X30" s="33">
        <v>0</v>
      </c>
    </row>
    <row r="31" spans="1:24" x14ac:dyDescent="0.25">
      <c r="A31" s="61" t="s">
        <v>1750</v>
      </c>
      <c r="B31" s="2" t="s">
        <v>187</v>
      </c>
      <c r="C31" s="2" t="s">
        <v>188</v>
      </c>
      <c r="D31" s="2" t="s">
        <v>1751</v>
      </c>
      <c r="E31" s="45" t="s">
        <v>1752</v>
      </c>
      <c r="F31" s="24" t="str">
        <f>HYPERLINK("https://www.mapwv.gov/flood/map/?wkid=102100&amp;x=-8992114&amp;y=4764299&amp;l=13&amp;v=2","FT")</f>
        <v>FT</v>
      </c>
      <c r="G31" s="46" t="s">
        <v>54</v>
      </c>
      <c r="H31" s="23" t="s">
        <v>25</v>
      </c>
      <c r="I31" s="2" t="s">
        <v>1753</v>
      </c>
      <c r="J31" s="22" t="s">
        <v>26</v>
      </c>
      <c r="K31" s="47">
        <v>2020</v>
      </c>
      <c r="L31" s="47"/>
      <c r="M31" s="45" t="s">
        <v>58</v>
      </c>
      <c r="N31" s="3" t="s">
        <v>91</v>
      </c>
      <c r="O31" s="47" t="s">
        <v>93</v>
      </c>
      <c r="P31" s="48">
        <v>2400</v>
      </c>
      <c r="Q31" s="2"/>
      <c r="R31" s="23"/>
      <c r="S31" s="30">
        <v>155300</v>
      </c>
      <c r="T31" s="2" t="s">
        <v>44</v>
      </c>
      <c r="U31" s="31"/>
      <c r="V31" s="31"/>
      <c r="W31" s="32"/>
      <c r="X31" s="33"/>
    </row>
    <row r="32" spans="1:24" x14ac:dyDescent="0.25">
      <c r="A32" s="22" t="s">
        <v>150</v>
      </c>
      <c r="B32" s="2" t="s">
        <v>186</v>
      </c>
      <c r="C32" s="2" t="s">
        <v>199</v>
      </c>
      <c r="D32" s="2" t="s">
        <v>233</v>
      </c>
      <c r="E32" s="45" t="s">
        <v>291</v>
      </c>
      <c r="F32" s="24" t="str">
        <f>HYPERLINK("https://mapwv.gov/flood/map/?wkid=102100&amp;x=-8982237.651682239&amp;y=4779251.86795348&amp;l=13&amp;v=2","FT")</f>
        <v>FT</v>
      </c>
      <c r="G32" s="46" t="s">
        <v>38</v>
      </c>
      <c r="H32" s="23" t="s">
        <v>25</v>
      </c>
      <c r="I32" s="2" t="s">
        <v>351</v>
      </c>
      <c r="J32" s="22" t="s">
        <v>26</v>
      </c>
      <c r="K32" s="47" t="s">
        <v>394</v>
      </c>
      <c r="L32" s="47" t="s">
        <v>57</v>
      </c>
      <c r="M32" s="45" t="s">
        <v>41</v>
      </c>
      <c r="N32" s="3" t="s">
        <v>42</v>
      </c>
      <c r="O32" s="47" t="s">
        <v>94</v>
      </c>
      <c r="P32" s="45" t="s">
        <v>430</v>
      </c>
      <c r="Q32" s="2" t="s">
        <v>43</v>
      </c>
      <c r="R32" s="23" t="s">
        <v>96</v>
      </c>
      <c r="S32" s="30">
        <v>154100</v>
      </c>
      <c r="T32" s="2" t="s">
        <v>44</v>
      </c>
      <c r="U32" s="31">
        <v>2.2264292000000001</v>
      </c>
      <c r="V32" s="31">
        <v>-1.77357077598571</v>
      </c>
      <c r="W32" s="32">
        <v>9.35857534408569E-2</v>
      </c>
      <c r="X32" s="33">
        <v>14421.564605236001</v>
      </c>
    </row>
    <row r="33" spans="1:24" x14ac:dyDescent="0.25">
      <c r="A33" s="22" t="s">
        <v>151</v>
      </c>
      <c r="B33" s="2" t="s">
        <v>186</v>
      </c>
      <c r="C33" s="2" t="s">
        <v>199</v>
      </c>
      <c r="D33" s="2" t="s">
        <v>234</v>
      </c>
      <c r="E33" s="45" t="s">
        <v>292</v>
      </c>
      <c r="F33" s="24" t="str">
        <f>HYPERLINK("https://mapwv.gov/flood/map/?wkid=102100&amp;x=-8983441.28421429&amp;y=4778699.843677593&amp;l=13&amp;v=2","FT")</f>
        <v>FT</v>
      </c>
      <c r="G33" s="46" t="s">
        <v>38</v>
      </c>
      <c r="H33" s="23" t="s">
        <v>25</v>
      </c>
      <c r="I33" s="2" t="s">
        <v>352</v>
      </c>
      <c r="J33" s="22" t="s">
        <v>39</v>
      </c>
      <c r="K33" s="47" t="s">
        <v>393</v>
      </c>
      <c r="L33" s="47" t="s">
        <v>53</v>
      </c>
      <c r="M33" s="45" t="s">
        <v>58</v>
      </c>
      <c r="N33" s="3" t="s">
        <v>91</v>
      </c>
      <c r="O33" s="47" t="s">
        <v>93</v>
      </c>
      <c r="P33" s="45" t="s">
        <v>431</v>
      </c>
      <c r="Q33" s="2" t="s">
        <v>30</v>
      </c>
      <c r="R33" s="23" t="s">
        <v>95</v>
      </c>
      <c r="S33" s="30">
        <v>153700</v>
      </c>
      <c r="T33" s="2" t="s">
        <v>44</v>
      </c>
      <c r="U33" s="31">
        <v>0.433502</v>
      </c>
      <c r="V33" s="31">
        <v>-0.56649801135063105</v>
      </c>
      <c r="W33" s="32">
        <v>0</v>
      </c>
      <c r="X33" s="33">
        <v>0</v>
      </c>
    </row>
    <row r="34" spans="1:24" x14ac:dyDescent="0.25">
      <c r="A34" s="22" t="s">
        <v>152</v>
      </c>
      <c r="B34" s="2" t="s">
        <v>186</v>
      </c>
      <c r="C34" s="2" t="s">
        <v>200</v>
      </c>
      <c r="D34" s="2" t="s">
        <v>235</v>
      </c>
      <c r="E34" s="45" t="s">
        <v>293</v>
      </c>
      <c r="F34" s="24" t="str">
        <f>HYPERLINK("https://mapwv.gov/flood/map/?wkid=102100&amp;x=-8975400.783481764&amp;y=4779201.223843048&amp;l=13&amp;v=2","FT")</f>
        <v>FT</v>
      </c>
      <c r="G34" s="46" t="s">
        <v>38</v>
      </c>
      <c r="H34" s="23" t="s">
        <v>25</v>
      </c>
      <c r="I34" s="2" t="s">
        <v>353</v>
      </c>
      <c r="J34" s="22" t="s">
        <v>36</v>
      </c>
      <c r="K34" s="47" t="s">
        <v>77</v>
      </c>
      <c r="L34" s="47"/>
      <c r="M34" s="45" t="s">
        <v>64</v>
      </c>
      <c r="N34" s="3" t="s">
        <v>90</v>
      </c>
      <c r="O34" s="47" t="s">
        <v>93</v>
      </c>
      <c r="P34" s="45" t="s">
        <v>412</v>
      </c>
      <c r="Q34" s="2" t="s">
        <v>30</v>
      </c>
      <c r="R34" s="23" t="s">
        <v>95</v>
      </c>
      <c r="S34" s="30">
        <v>152905</v>
      </c>
      <c r="T34" s="2" t="s">
        <v>97</v>
      </c>
      <c r="U34" s="31">
        <v>4.1187569999999996</v>
      </c>
      <c r="V34" s="31">
        <v>3.1187567710876398</v>
      </c>
      <c r="W34" s="32">
        <v>0.111187567710876</v>
      </c>
      <c r="X34" s="33">
        <v>17001.135040831501</v>
      </c>
    </row>
    <row r="35" spans="1:24" x14ac:dyDescent="0.25">
      <c r="A35" s="22" t="s">
        <v>153</v>
      </c>
      <c r="B35" s="2" t="s">
        <v>186</v>
      </c>
      <c r="C35" s="2" t="s">
        <v>201</v>
      </c>
      <c r="D35" s="2" t="s">
        <v>236</v>
      </c>
      <c r="E35" s="45" t="s">
        <v>294</v>
      </c>
      <c r="F35" s="24" t="str">
        <f>HYPERLINK("https://mapwv.gov/flood/map/?wkid=102100&amp;x=-8970417.69360326&amp;y=4773426.185735292&amp;l=13&amp;v=2","FT")</f>
        <v>FT</v>
      </c>
      <c r="G35" s="46" t="s">
        <v>38</v>
      </c>
      <c r="H35" s="23" t="s">
        <v>25</v>
      </c>
      <c r="I35" s="2" t="s">
        <v>354</v>
      </c>
      <c r="J35" s="22" t="s">
        <v>26</v>
      </c>
      <c r="K35" s="47" t="s">
        <v>101</v>
      </c>
      <c r="L35" s="47" t="s">
        <v>46</v>
      </c>
      <c r="M35" s="45" t="s">
        <v>41</v>
      </c>
      <c r="N35" s="3" t="s">
        <v>42</v>
      </c>
      <c r="O35" s="47" t="s">
        <v>93</v>
      </c>
      <c r="P35" s="45" t="s">
        <v>432</v>
      </c>
      <c r="Q35" s="2" t="s">
        <v>43</v>
      </c>
      <c r="R35" s="23" t="s">
        <v>96</v>
      </c>
      <c r="S35" s="30">
        <v>152400</v>
      </c>
      <c r="T35" s="2" t="s">
        <v>44</v>
      </c>
      <c r="U35" s="31">
        <v>0</v>
      </c>
      <c r="V35" s="31">
        <v>-4</v>
      </c>
      <c r="W35" s="32">
        <v>0</v>
      </c>
      <c r="X35" s="33">
        <v>0</v>
      </c>
    </row>
    <row r="36" spans="1:24" x14ac:dyDescent="0.25">
      <c r="A36" s="22" t="s">
        <v>154</v>
      </c>
      <c r="B36" s="2" t="s">
        <v>186</v>
      </c>
      <c r="C36" s="2" t="s">
        <v>201</v>
      </c>
      <c r="D36" s="2" t="s">
        <v>237</v>
      </c>
      <c r="E36" s="45" t="s">
        <v>295</v>
      </c>
      <c r="F36" s="24" t="str">
        <f>HYPERLINK("https://mapwv.gov/flood/map/?wkid=102100&amp;x=-8970345.145021318&amp;y=4773638.277504468&amp;l=13&amp;v=2","FT")</f>
        <v>FT</v>
      </c>
      <c r="G36" s="46" t="s">
        <v>327</v>
      </c>
      <c r="H36" s="23" t="s">
        <v>25</v>
      </c>
      <c r="I36" s="2" t="s">
        <v>355</v>
      </c>
      <c r="J36" s="22" t="s">
        <v>39</v>
      </c>
      <c r="K36" s="47" t="s">
        <v>395</v>
      </c>
      <c r="L36" s="47" t="s">
        <v>27</v>
      </c>
      <c r="M36" s="45" t="s">
        <v>41</v>
      </c>
      <c r="N36" s="3" t="s">
        <v>42</v>
      </c>
      <c r="O36" s="47" t="s">
        <v>93</v>
      </c>
      <c r="P36" s="45" t="s">
        <v>433</v>
      </c>
      <c r="Q36" s="2" t="s">
        <v>43</v>
      </c>
      <c r="R36" s="23" t="s">
        <v>96</v>
      </c>
      <c r="S36" s="30">
        <v>141600</v>
      </c>
      <c r="T36" s="2" t="s">
        <v>44</v>
      </c>
      <c r="U36" s="31">
        <v>0.22015709</v>
      </c>
      <c r="V36" s="31">
        <v>-3.7798429131507798</v>
      </c>
      <c r="W36" s="32">
        <v>0</v>
      </c>
      <c r="X36" s="33">
        <v>0</v>
      </c>
    </row>
    <row r="37" spans="1:24" x14ac:dyDescent="0.25">
      <c r="A37" s="22" t="s">
        <v>155</v>
      </c>
      <c r="B37" s="2" t="s">
        <v>186</v>
      </c>
      <c r="C37" s="2" t="s">
        <v>202</v>
      </c>
      <c r="D37" s="2" t="s">
        <v>238</v>
      </c>
      <c r="E37" s="45" t="s">
        <v>296</v>
      </c>
      <c r="F37" s="24" t="str">
        <f>HYPERLINK("https://mapwv.gov/flood/map/?wkid=102100&amp;x=-8976456.648851937&amp;y=4776888.5963304015&amp;l=13&amp;v=2","FT")</f>
        <v>FT</v>
      </c>
      <c r="G37" s="46" t="s">
        <v>38</v>
      </c>
      <c r="H37" s="23" t="s">
        <v>25</v>
      </c>
      <c r="I37" s="2" t="s">
        <v>356</v>
      </c>
      <c r="J37" s="22" t="s">
        <v>26</v>
      </c>
      <c r="K37" s="47" t="s">
        <v>390</v>
      </c>
      <c r="L37" s="47" t="s">
        <v>27</v>
      </c>
      <c r="M37" s="45" t="s">
        <v>41</v>
      </c>
      <c r="N37" s="3" t="s">
        <v>42</v>
      </c>
      <c r="O37" s="47" t="s">
        <v>93</v>
      </c>
      <c r="P37" s="45" t="s">
        <v>434</v>
      </c>
      <c r="Q37" s="2" t="s">
        <v>52</v>
      </c>
      <c r="R37" s="23" t="s">
        <v>96</v>
      </c>
      <c r="S37" s="30">
        <v>140400</v>
      </c>
      <c r="T37" s="2" t="s">
        <v>31</v>
      </c>
      <c r="U37" s="31">
        <v>0</v>
      </c>
      <c r="V37" s="31">
        <v>-4</v>
      </c>
      <c r="W37" s="32">
        <v>0</v>
      </c>
      <c r="X37" s="33">
        <v>0</v>
      </c>
    </row>
    <row r="38" spans="1:24" x14ac:dyDescent="0.25">
      <c r="A38" s="22" t="s">
        <v>156</v>
      </c>
      <c r="B38" s="2" t="s">
        <v>186</v>
      </c>
      <c r="C38" s="2" t="s">
        <v>201</v>
      </c>
      <c r="D38" s="2" t="s">
        <v>239</v>
      </c>
      <c r="E38" s="45" t="s">
        <v>297</v>
      </c>
      <c r="F38" s="24" t="str">
        <f>HYPERLINK("https://mapwv.gov/flood/map/?wkid=102100&amp;x=-8973611.205670476&amp;y=4775716.09332118&amp;l=13&amp;v=2","FT")</f>
        <v>FT</v>
      </c>
      <c r="G38" s="46" t="s">
        <v>38</v>
      </c>
      <c r="H38" s="23" t="s">
        <v>25</v>
      </c>
      <c r="I38" s="2" t="s">
        <v>357</v>
      </c>
      <c r="J38" s="22" t="s">
        <v>26</v>
      </c>
      <c r="K38" s="47" t="s">
        <v>396</v>
      </c>
      <c r="L38" s="47" t="s">
        <v>37</v>
      </c>
      <c r="M38" s="45" t="s">
        <v>41</v>
      </c>
      <c r="N38" s="3" t="s">
        <v>42</v>
      </c>
      <c r="O38" s="47" t="s">
        <v>93</v>
      </c>
      <c r="P38" s="45" t="s">
        <v>435</v>
      </c>
      <c r="Q38" s="2" t="s">
        <v>52</v>
      </c>
      <c r="R38" s="23" t="s">
        <v>96</v>
      </c>
      <c r="S38" s="30">
        <v>136300</v>
      </c>
      <c r="T38" s="2" t="s">
        <v>44</v>
      </c>
      <c r="U38" s="31">
        <v>0</v>
      </c>
      <c r="V38" s="31">
        <v>-4</v>
      </c>
      <c r="W38" s="32">
        <v>0</v>
      </c>
      <c r="X38" s="33">
        <v>0</v>
      </c>
    </row>
    <row r="39" spans="1:24" x14ac:dyDescent="0.25">
      <c r="A39" s="22" t="s">
        <v>157</v>
      </c>
      <c r="B39" s="2" t="s">
        <v>186</v>
      </c>
      <c r="C39" s="2" t="s">
        <v>203</v>
      </c>
      <c r="D39" s="2" t="s">
        <v>240</v>
      </c>
      <c r="E39" s="45" t="s">
        <v>298</v>
      </c>
      <c r="F39" s="24" t="str">
        <f>HYPERLINK("https://mapwv.gov/flood/map/?wkid=102100&amp;x=-8984434.261975845&amp;y=4758510.068116815&amp;l=13&amp;v=2","FT")</f>
        <v>FT</v>
      </c>
      <c r="G39" s="46" t="s">
        <v>38</v>
      </c>
      <c r="H39" s="23" t="s">
        <v>25</v>
      </c>
      <c r="I39" s="2" t="s">
        <v>358</v>
      </c>
      <c r="J39" s="22" t="s">
        <v>39</v>
      </c>
      <c r="K39" s="47" t="s">
        <v>102</v>
      </c>
      <c r="L39" s="47" t="s">
        <v>27</v>
      </c>
      <c r="M39" s="45" t="s">
        <v>41</v>
      </c>
      <c r="N39" s="3" t="s">
        <v>42</v>
      </c>
      <c r="O39" s="47" t="s">
        <v>93</v>
      </c>
      <c r="P39" s="45" t="s">
        <v>436</v>
      </c>
      <c r="Q39" s="2" t="s">
        <v>52</v>
      </c>
      <c r="R39" s="23" t="s">
        <v>114</v>
      </c>
      <c r="S39" s="30">
        <v>134900</v>
      </c>
      <c r="T39" s="2" t="s">
        <v>44</v>
      </c>
      <c r="U39" s="31">
        <v>1.1089032999999999</v>
      </c>
      <c r="V39" s="31">
        <v>-1.89109671115875</v>
      </c>
      <c r="W39" s="32">
        <v>3.2670986652374202E-3</v>
      </c>
      <c r="X39" s="33">
        <v>440.73160994052802</v>
      </c>
    </row>
    <row r="40" spans="1:24" x14ac:dyDescent="0.25">
      <c r="A40" s="22" t="s">
        <v>158</v>
      </c>
      <c r="B40" s="2" t="s">
        <v>186</v>
      </c>
      <c r="C40" s="2" t="s">
        <v>190</v>
      </c>
      <c r="D40" s="2" t="s">
        <v>241</v>
      </c>
      <c r="E40" s="45" t="s">
        <v>299</v>
      </c>
      <c r="F40" s="24" t="str">
        <f>HYPERLINK("https://mapwv.gov/flood/map/?wkid=102100&amp;x=-8982924.232898107&amp;y=4756970.814413074&amp;l=13&amp;v=2","FT")</f>
        <v>FT</v>
      </c>
      <c r="G40" s="46" t="s">
        <v>38</v>
      </c>
      <c r="H40" s="23" t="s">
        <v>25</v>
      </c>
      <c r="I40" s="2" t="s">
        <v>359</v>
      </c>
      <c r="J40" s="22" t="s">
        <v>26</v>
      </c>
      <c r="K40" s="47" t="s">
        <v>389</v>
      </c>
      <c r="L40" s="47" t="s">
        <v>57</v>
      </c>
      <c r="M40" s="45" t="s">
        <v>41</v>
      </c>
      <c r="N40" s="3" t="s">
        <v>42</v>
      </c>
      <c r="O40" s="47" t="s">
        <v>93</v>
      </c>
      <c r="P40" s="45" t="s">
        <v>437</v>
      </c>
      <c r="Q40" s="2" t="s">
        <v>43</v>
      </c>
      <c r="R40" s="23" t="s">
        <v>96</v>
      </c>
      <c r="S40" s="30">
        <v>132900</v>
      </c>
      <c r="T40" s="2" t="s">
        <v>44</v>
      </c>
      <c r="U40" s="31">
        <v>0</v>
      </c>
      <c r="V40" s="31">
        <v>-4</v>
      </c>
      <c r="W40" s="32">
        <v>0</v>
      </c>
      <c r="X40" s="33">
        <v>0</v>
      </c>
    </row>
    <row r="41" spans="1:24" x14ac:dyDescent="0.25">
      <c r="A41" s="22" t="s">
        <v>159</v>
      </c>
      <c r="B41" s="2" t="s">
        <v>186</v>
      </c>
      <c r="C41" s="2" t="s">
        <v>190</v>
      </c>
      <c r="D41" s="2" t="s">
        <v>242</v>
      </c>
      <c r="E41" s="45" t="s">
        <v>300</v>
      </c>
      <c r="F41" s="24" t="str">
        <f>HYPERLINK("https://mapwv.gov/flood/map/?wkid=102100&amp;x=-8982834.650764277&amp;y=4756510.154472147&amp;l=13&amp;v=2","FT")</f>
        <v>FT</v>
      </c>
      <c r="G41" s="46" t="s">
        <v>38</v>
      </c>
      <c r="H41" s="23" t="s">
        <v>25</v>
      </c>
      <c r="I41" s="2" t="s">
        <v>360</v>
      </c>
      <c r="J41" s="22" t="s">
        <v>26</v>
      </c>
      <c r="K41" s="47" t="s">
        <v>107</v>
      </c>
      <c r="L41" s="47" t="s">
        <v>27</v>
      </c>
      <c r="M41" s="45" t="s">
        <v>41</v>
      </c>
      <c r="N41" s="3" t="s">
        <v>42</v>
      </c>
      <c r="O41" s="47" t="s">
        <v>93</v>
      </c>
      <c r="P41" s="45" t="s">
        <v>438</v>
      </c>
      <c r="Q41" s="2" t="s">
        <v>52</v>
      </c>
      <c r="R41" s="23" t="s">
        <v>96</v>
      </c>
      <c r="S41" s="30">
        <v>131200</v>
      </c>
      <c r="T41" s="2" t="s">
        <v>44</v>
      </c>
      <c r="U41" s="31">
        <v>5.5083140000000003E-2</v>
      </c>
      <c r="V41" s="31">
        <v>-3.9449168592691399</v>
      </c>
      <c r="W41" s="32">
        <v>0</v>
      </c>
      <c r="X41" s="33">
        <v>0</v>
      </c>
    </row>
    <row r="42" spans="1:24" x14ac:dyDescent="0.25">
      <c r="A42" s="22" t="s">
        <v>160</v>
      </c>
      <c r="B42" s="2" t="s">
        <v>186</v>
      </c>
      <c r="C42" s="2" t="s">
        <v>204</v>
      </c>
      <c r="D42" s="2" t="s">
        <v>243</v>
      </c>
      <c r="E42" s="45" t="s">
        <v>301</v>
      </c>
      <c r="F42" s="24" t="str">
        <f>HYPERLINK("https://mapwv.gov/flood/map/?wkid=102100&amp;x=-8982941.87792795&amp;y=4755554.873707406&amp;l=13&amp;v=2","FT")</f>
        <v>FT</v>
      </c>
      <c r="G42" s="46" t="s">
        <v>38</v>
      </c>
      <c r="H42" s="23" t="s">
        <v>25</v>
      </c>
      <c r="I42" s="2" t="s">
        <v>361</v>
      </c>
      <c r="J42" s="22" t="s">
        <v>26</v>
      </c>
      <c r="K42" s="47" t="s">
        <v>397</v>
      </c>
      <c r="L42" s="47" t="s">
        <v>49</v>
      </c>
      <c r="M42" s="45" t="s">
        <v>41</v>
      </c>
      <c r="N42" s="3" t="s">
        <v>42</v>
      </c>
      <c r="O42" s="47" t="s">
        <v>93</v>
      </c>
      <c r="P42" s="45" t="s">
        <v>439</v>
      </c>
      <c r="Q42" s="2" t="s">
        <v>43</v>
      </c>
      <c r="R42" s="23" t="s">
        <v>96</v>
      </c>
      <c r="S42" s="30">
        <v>129900</v>
      </c>
      <c r="T42" s="2" t="s">
        <v>44</v>
      </c>
      <c r="U42" s="31">
        <v>0</v>
      </c>
      <c r="V42" s="31">
        <v>-4</v>
      </c>
      <c r="W42" s="32">
        <v>0</v>
      </c>
      <c r="X42" s="33">
        <v>0</v>
      </c>
    </row>
    <row r="43" spans="1:24" x14ac:dyDescent="0.25">
      <c r="A43" s="22" t="s">
        <v>161</v>
      </c>
      <c r="B43" s="2" t="s">
        <v>186</v>
      </c>
      <c r="C43" s="2" t="s">
        <v>204</v>
      </c>
      <c r="D43" s="2" t="s">
        <v>244</v>
      </c>
      <c r="E43" s="45" t="s">
        <v>302</v>
      </c>
      <c r="F43" s="24" t="str">
        <f>HYPERLINK("https://mapwv.gov/flood/map/?wkid=102100&amp;x=-8983064.586627167&amp;y=4754800.328233461&amp;l=13&amp;v=2","FT")</f>
        <v>FT</v>
      </c>
      <c r="G43" s="46" t="s">
        <v>38</v>
      </c>
      <c r="H43" s="23" t="s">
        <v>25</v>
      </c>
      <c r="I43" s="2" t="s">
        <v>362</v>
      </c>
      <c r="J43" s="22" t="s">
        <v>39</v>
      </c>
      <c r="K43" s="47" t="s">
        <v>398</v>
      </c>
      <c r="L43" s="47" t="s">
        <v>27</v>
      </c>
      <c r="M43" s="45" t="s">
        <v>41</v>
      </c>
      <c r="N43" s="3" t="s">
        <v>42</v>
      </c>
      <c r="O43" s="47" t="s">
        <v>93</v>
      </c>
      <c r="P43" s="45" t="s">
        <v>440</v>
      </c>
      <c r="Q43" s="2" t="s">
        <v>43</v>
      </c>
      <c r="R43" s="23" t="s">
        <v>96</v>
      </c>
      <c r="S43" s="30">
        <v>127000</v>
      </c>
      <c r="T43" s="2" t="s">
        <v>44</v>
      </c>
      <c r="U43" s="31">
        <v>0</v>
      </c>
      <c r="V43" s="31">
        <v>-4</v>
      </c>
      <c r="W43" s="32">
        <v>0</v>
      </c>
      <c r="X43" s="33">
        <v>0</v>
      </c>
    </row>
    <row r="44" spans="1:24" x14ac:dyDescent="0.25">
      <c r="A44" s="22" t="s">
        <v>162</v>
      </c>
      <c r="B44" s="2" t="s">
        <v>186</v>
      </c>
      <c r="C44" s="2" t="s">
        <v>190</v>
      </c>
      <c r="D44" s="2" t="s">
        <v>245</v>
      </c>
      <c r="E44" s="45" t="s">
        <v>303</v>
      </c>
      <c r="F44" s="24" t="str">
        <f>HYPERLINK("https://mapwv.gov/flood/map/?wkid=102100&amp;x=-8981412.697111055&amp;y=4754094.495133608&amp;l=13&amp;v=2","FT")</f>
        <v>FT</v>
      </c>
      <c r="G44" s="46" t="s">
        <v>32</v>
      </c>
      <c r="H44" s="23" t="s">
        <v>25</v>
      </c>
      <c r="I44" s="2" t="s">
        <v>363</v>
      </c>
      <c r="J44" s="22" t="s">
        <v>26</v>
      </c>
      <c r="K44" s="47" t="s">
        <v>389</v>
      </c>
      <c r="L44" s="47" t="s">
        <v>57</v>
      </c>
      <c r="M44" s="45" t="s">
        <v>28</v>
      </c>
      <c r="N44" s="3" t="s">
        <v>90</v>
      </c>
      <c r="O44" s="47" t="s">
        <v>93</v>
      </c>
      <c r="P44" s="45" t="s">
        <v>441</v>
      </c>
      <c r="Q44" s="2" t="s">
        <v>30</v>
      </c>
      <c r="R44" s="23" t="s">
        <v>95</v>
      </c>
      <c r="S44" s="30">
        <v>126700</v>
      </c>
      <c r="T44" s="2" t="s">
        <v>31</v>
      </c>
      <c r="U44" s="31">
        <v>0</v>
      </c>
      <c r="V44" s="31">
        <v>-1</v>
      </c>
      <c r="W44" s="32">
        <v>0</v>
      </c>
      <c r="X44" s="33">
        <v>0</v>
      </c>
    </row>
    <row r="45" spans="1:24" x14ac:dyDescent="0.25">
      <c r="A45" s="22" t="s">
        <v>163</v>
      </c>
      <c r="B45" s="2" t="s">
        <v>186</v>
      </c>
      <c r="C45" s="2" t="s">
        <v>204</v>
      </c>
      <c r="D45" s="2" t="s">
        <v>246</v>
      </c>
      <c r="E45" s="45" t="s">
        <v>304</v>
      </c>
      <c r="F45" s="24" t="str">
        <f>HYPERLINK("https://mapwv.gov/flood/map/?wkid=102100&amp;x=-8983783.086703263&amp;y=4752549.262747282&amp;l=13&amp;v=2","FT")</f>
        <v>FT</v>
      </c>
      <c r="G45" s="46" t="s">
        <v>38</v>
      </c>
      <c r="H45" s="23" t="s">
        <v>25</v>
      </c>
      <c r="I45" s="2" t="s">
        <v>364</v>
      </c>
      <c r="J45" s="22" t="s">
        <v>39</v>
      </c>
      <c r="K45" s="47" t="s">
        <v>399</v>
      </c>
      <c r="L45" s="47" t="s">
        <v>57</v>
      </c>
      <c r="M45" s="45" t="s">
        <v>41</v>
      </c>
      <c r="N45" s="3" t="s">
        <v>42</v>
      </c>
      <c r="O45" s="47" t="s">
        <v>93</v>
      </c>
      <c r="P45" s="45" t="s">
        <v>442</v>
      </c>
      <c r="Q45" s="2" t="s">
        <v>43</v>
      </c>
      <c r="R45" s="23" t="s">
        <v>96</v>
      </c>
      <c r="S45" s="30">
        <v>126300</v>
      </c>
      <c r="T45" s="2" t="s">
        <v>44</v>
      </c>
      <c r="U45" s="31">
        <v>0</v>
      </c>
      <c r="V45" s="31">
        <v>-4</v>
      </c>
      <c r="W45" s="32">
        <v>0</v>
      </c>
      <c r="X45" s="33">
        <v>0</v>
      </c>
    </row>
    <row r="46" spans="1:24" x14ac:dyDescent="0.25">
      <c r="A46" s="22" t="s">
        <v>164</v>
      </c>
      <c r="B46" s="2" t="s">
        <v>186</v>
      </c>
      <c r="C46" s="2" t="s">
        <v>205</v>
      </c>
      <c r="D46" s="2" t="s">
        <v>247</v>
      </c>
      <c r="E46" s="45" t="s">
        <v>305</v>
      </c>
      <c r="F46" s="24" t="str">
        <f>HYPERLINK("https://mapwv.gov/flood/map/?wkid=102100&amp;x=-8980687.11600215&amp;y=4751063.968373871&amp;l=13&amp;v=2","FT")</f>
        <v>FT</v>
      </c>
      <c r="G46" s="46" t="s">
        <v>38</v>
      </c>
      <c r="H46" s="23" t="s">
        <v>25</v>
      </c>
      <c r="I46" s="2" t="s">
        <v>365</v>
      </c>
      <c r="J46" s="22" t="s">
        <v>26</v>
      </c>
      <c r="K46" s="47" t="s">
        <v>85</v>
      </c>
      <c r="L46" s="47" t="s">
        <v>27</v>
      </c>
      <c r="M46" s="45" t="s">
        <v>41</v>
      </c>
      <c r="N46" s="3" t="s">
        <v>42</v>
      </c>
      <c r="O46" s="47" t="s">
        <v>93</v>
      </c>
      <c r="P46" s="45" t="s">
        <v>443</v>
      </c>
      <c r="Q46" s="2" t="s">
        <v>43</v>
      </c>
      <c r="R46" s="23" t="s">
        <v>96</v>
      </c>
      <c r="S46" s="30">
        <v>126300</v>
      </c>
      <c r="T46" s="2" t="s">
        <v>44</v>
      </c>
      <c r="U46" s="31">
        <v>2.4026635000000001</v>
      </c>
      <c r="V46" s="31">
        <v>-1.5973365306854199</v>
      </c>
      <c r="W46" s="32">
        <v>0.160133173465728</v>
      </c>
      <c r="X46" s="33">
        <v>20224.819808721499</v>
      </c>
    </row>
    <row r="47" spans="1:24" x14ac:dyDescent="0.25">
      <c r="A47" s="22" t="s">
        <v>165</v>
      </c>
      <c r="B47" s="2" t="s">
        <v>186</v>
      </c>
      <c r="C47" s="2" t="s">
        <v>206</v>
      </c>
      <c r="D47" s="2" t="s">
        <v>248</v>
      </c>
      <c r="E47" s="45" t="s">
        <v>306</v>
      </c>
      <c r="F47" s="24" t="str">
        <f>HYPERLINK("https://mapwv.gov/flood/map/?wkid=102100&amp;x=-9001365.532843525&amp;y=4751214.078681782&amp;l=13&amp;v=2","FT")</f>
        <v>FT</v>
      </c>
      <c r="G47" s="46" t="s">
        <v>38</v>
      </c>
      <c r="H47" s="23" t="s">
        <v>25</v>
      </c>
      <c r="I47" s="2" t="s">
        <v>366</v>
      </c>
      <c r="J47" s="22" t="s">
        <v>39</v>
      </c>
      <c r="K47" s="47" t="s">
        <v>83</v>
      </c>
      <c r="L47" s="47" t="s">
        <v>57</v>
      </c>
      <c r="M47" s="45" t="s">
        <v>41</v>
      </c>
      <c r="N47" s="3" t="s">
        <v>42</v>
      </c>
      <c r="O47" s="47" t="s">
        <v>93</v>
      </c>
      <c r="P47" s="45" t="s">
        <v>444</v>
      </c>
      <c r="Q47" s="2" t="s">
        <v>52</v>
      </c>
      <c r="R47" s="23" t="s">
        <v>114</v>
      </c>
      <c r="S47" s="30">
        <v>122200</v>
      </c>
      <c r="T47" s="2" t="s">
        <v>44</v>
      </c>
      <c r="U47" s="31">
        <v>1.3712968999999999</v>
      </c>
      <c r="V47" s="31">
        <v>-1.6287031173705999</v>
      </c>
      <c r="W47" s="32">
        <v>1.1138906478881801E-2</v>
      </c>
      <c r="X47" s="33">
        <v>1361.1743717193599</v>
      </c>
    </row>
    <row r="48" spans="1:24" x14ac:dyDescent="0.25">
      <c r="A48" s="22" t="s">
        <v>166</v>
      </c>
      <c r="B48" s="2" t="s">
        <v>186</v>
      </c>
      <c r="C48" s="2" t="s">
        <v>207</v>
      </c>
      <c r="D48" s="2" t="s">
        <v>249</v>
      </c>
      <c r="E48" s="45" t="s">
        <v>307</v>
      </c>
      <c r="F48" s="24" t="str">
        <f>HYPERLINK("https://mapwv.gov/flood/map/?wkid=102100&amp;x=-8998948.128911527&amp;y=4744010.818732512&amp;l=13&amp;v=2","FT")</f>
        <v>FT</v>
      </c>
      <c r="G48" s="46" t="s">
        <v>38</v>
      </c>
      <c r="H48" s="23" t="s">
        <v>25</v>
      </c>
      <c r="I48" s="2" t="s">
        <v>367</v>
      </c>
      <c r="J48" s="22" t="s">
        <v>39</v>
      </c>
      <c r="K48" s="47" t="s">
        <v>79</v>
      </c>
      <c r="L48" s="47" t="s">
        <v>27</v>
      </c>
      <c r="M48" s="45" t="s">
        <v>41</v>
      </c>
      <c r="N48" s="3" t="s">
        <v>42</v>
      </c>
      <c r="O48" s="47" t="s">
        <v>93</v>
      </c>
      <c r="P48" s="45" t="s">
        <v>445</v>
      </c>
      <c r="Q48" s="2" t="s">
        <v>43</v>
      </c>
      <c r="R48" s="23" t="s">
        <v>96</v>
      </c>
      <c r="S48" s="30">
        <v>121500</v>
      </c>
      <c r="T48" s="2" t="s">
        <v>44</v>
      </c>
      <c r="U48" s="31">
        <v>0</v>
      </c>
      <c r="V48" s="31">
        <v>-4</v>
      </c>
      <c r="W48" s="32">
        <v>0</v>
      </c>
      <c r="X48" s="33">
        <v>0</v>
      </c>
    </row>
    <row r="49" spans="1:24" x14ac:dyDescent="0.25">
      <c r="A49" s="22" t="s">
        <v>167</v>
      </c>
      <c r="B49" s="2" t="s">
        <v>186</v>
      </c>
      <c r="C49" s="2" t="s">
        <v>188</v>
      </c>
      <c r="D49" s="2" t="s">
        <v>250</v>
      </c>
      <c r="E49" s="45" t="s">
        <v>308</v>
      </c>
      <c r="F49" s="24" t="str">
        <f>HYPERLINK("https://mapwv.gov/flood/map/?wkid=102100&amp;x=-8995291.690623026&amp;y=4767670.860638935&amp;l=13&amp;v=2","FT")</f>
        <v>FT</v>
      </c>
      <c r="G49" s="46" t="s">
        <v>54</v>
      </c>
      <c r="H49" s="23" t="s">
        <v>25</v>
      </c>
      <c r="I49" s="2" t="s">
        <v>368</v>
      </c>
      <c r="J49" s="22" t="s">
        <v>116</v>
      </c>
      <c r="K49" s="47" t="s">
        <v>106</v>
      </c>
      <c r="L49" s="47" t="s">
        <v>27</v>
      </c>
      <c r="M49" s="45" t="s">
        <v>41</v>
      </c>
      <c r="N49" s="3" t="s">
        <v>42</v>
      </c>
      <c r="O49" s="47" t="s">
        <v>93</v>
      </c>
      <c r="P49" s="45" t="s">
        <v>446</v>
      </c>
      <c r="Q49" s="2" t="s">
        <v>52</v>
      </c>
      <c r="R49" s="23" t="s">
        <v>114</v>
      </c>
      <c r="S49" s="30">
        <v>118800</v>
      </c>
      <c r="T49" s="2" t="s">
        <v>44</v>
      </c>
      <c r="U49" s="31">
        <v>0.59582520000000005</v>
      </c>
      <c r="V49" s="31">
        <v>-2.4041748046875</v>
      </c>
      <c r="W49" s="32">
        <v>0</v>
      </c>
      <c r="X49" s="33">
        <v>0</v>
      </c>
    </row>
    <row r="50" spans="1:24" x14ac:dyDescent="0.25">
      <c r="A50" s="22" t="s">
        <v>168</v>
      </c>
      <c r="B50" s="2" t="s">
        <v>186</v>
      </c>
      <c r="C50" s="2" t="s">
        <v>188</v>
      </c>
      <c r="D50" s="2" t="s">
        <v>251</v>
      </c>
      <c r="E50" s="45" t="s">
        <v>309</v>
      </c>
      <c r="F50" s="24" t="str">
        <f>HYPERLINK("https://mapwv.gov/flood/map/?wkid=102100&amp;x=-8995214.600985099&amp;y=4767709.453426145&amp;l=13&amp;v=2","FT")</f>
        <v>FT</v>
      </c>
      <c r="G50" s="46" t="s">
        <v>38</v>
      </c>
      <c r="H50" s="23" t="s">
        <v>25</v>
      </c>
      <c r="I50" s="2" t="s">
        <v>369</v>
      </c>
      <c r="J50" s="22" t="s">
        <v>26</v>
      </c>
      <c r="K50" s="47" t="s">
        <v>108</v>
      </c>
      <c r="L50" s="47" t="s">
        <v>27</v>
      </c>
      <c r="M50" s="45" t="s">
        <v>41</v>
      </c>
      <c r="N50" s="3" t="s">
        <v>42</v>
      </c>
      <c r="O50" s="47" t="s">
        <v>93</v>
      </c>
      <c r="P50" s="45" t="s">
        <v>434</v>
      </c>
      <c r="Q50" s="2" t="s">
        <v>43</v>
      </c>
      <c r="R50" s="23" t="s">
        <v>96</v>
      </c>
      <c r="S50" s="30">
        <v>118300</v>
      </c>
      <c r="T50" s="2" t="s">
        <v>44</v>
      </c>
      <c r="U50" s="31">
        <v>0.30285633000000001</v>
      </c>
      <c r="V50" s="31">
        <v>-3.6971436738967798</v>
      </c>
      <c r="W50" s="32">
        <v>0</v>
      </c>
      <c r="X50" s="33">
        <v>0</v>
      </c>
    </row>
    <row r="51" spans="1:24" x14ac:dyDescent="0.25">
      <c r="A51" s="22" t="s">
        <v>169</v>
      </c>
      <c r="B51" s="2" t="s">
        <v>186</v>
      </c>
      <c r="C51" s="2" t="s">
        <v>208</v>
      </c>
      <c r="D51" s="2" t="s">
        <v>252</v>
      </c>
      <c r="E51" s="45" t="s">
        <v>310</v>
      </c>
      <c r="F51" s="24" t="str">
        <f>HYPERLINK("https://mapwv.gov/flood/map/?wkid=102100&amp;x=-8990245.123142613&amp;y=4765121.377902547&amp;l=13&amp;v=2","FT")</f>
        <v>FT</v>
      </c>
      <c r="G51" s="46" t="s">
        <v>32</v>
      </c>
      <c r="H51" s="23" t="s">
        <v>25</v>
      </c>
      <c r="I51" s="2" t="s">
        <v>370</v>
      </c>
      <c r="J51" s="22" t="s">
        <v>26</v>
      </c>
      <c r="K51" s="47" t="s">
        <v>400</v>
      </c>
      <c r="L51" s="47" t="s">
        <v>49</v>
      </c>
      <c r="M51" s="45" t="s">
        <v>41</v>
      </c>
      <c r="N51" s="3" t="s">
        <v>42</v>
      </c>
      <c r="O51" s="47" t="s">
        <v>93</v>
      </c>
      <c r="P51" s="45" t="s">
        <v>447</v>
      </c>
      <c r="Q51" s="2" t="s">
        <v>52</v>
      </c>
      <c r="R51" s="23" t="s">
        <v>96</v>
      </c>
      <c r="S51" s="30">
        <v>118000</v>
      </c>
      <c r="T51" s="2" t="s">
        <v>44</v>
      </c>
      <c r="U51" s="31">
        <v>0</v>
      </c>
      <c r="V51" s="31">
        <v>-4</v>
      </c>
      <c r="W51" s="32">
        <v>0</v>
      </c>
      <c r="X51" s="33">
        <v>0</v>
      </c>
    </row>
    <row r="52" spans="1:24" x14ac:dyDescent="0.25">
      <c r="A52" s="22" t="s">
        <v>170</v>
      </c>
      <c r="B52" s="2" t="s">
        <v>186</v>
      </c>
      <c r="C52" s="2" t="s">
        <v>188</v>
      </c>
      <c r="D52" s="2" t="s">
        <v>253</v>
      </c>
      <c r="E52" s="45" t="s">
        <v>311</v>
      </c>
      <c r="F52" s="24" t="str">
        <f>HYPERLINK("https://mapwv.gov/flood/map/?wkid=102100&amp;x=-8990644.056130096&amp;y=4764130.828594569&amp;l=13&amp;v=2","FT")</f>
        <v>FT</v>
      </c>
      <c r="G52" s="46" t="s">
        <v>38</v>
      </c>
      <c r="H52" s="23" t="s">
        <v>25</v>
      </c>
      <c r="I52" s="2" t="s">
        <v>371</v>
      </c>
      <c r="J52" s="22" t="s">
        <v>26</v>
      </c>
      <c r="K52" s="47" t="s">
        <v>76</v>
      </c>
      <c r="L52" s="47" t="s">
        <v>27</v>
      </c>
      <c r="M52" s="45" t="s">
        <v>41</v>
      </c>
      <c r="N52" s="3" t="s">
        <v>42</v>
      </c>
      <c r="O52" s="47" t="s">
        <v>93</v>
      </c>
      <c r="P52" s="45" t="s">
        <v>448</v>
      </c>
      <c r="Q52" s="2" t="s">
        <v>43</v>
      </c>
      <c r="R52" s="23" t="s">
        <v>96</v>
      </c>
      <c r="S52" s="30">
        <v>115700</v>
      </c>
      <c r="T52" s="2" t="s">
        <v>31</v>
      </c>
      <c r="U52" s="31">
        <v>0</v>
      </c>
      <c r="V52" s="31">
        <v>-4</v>
      </c>
      <c r="W52" s="32">
        <v>0</v>
      </c>
      <c r="X52" s="33">
        <v>0</v>
      </c>
    </row>
    <row r="53" spans="1:24" x14ac:dyDescent="0.25">
      <c r="A53" s="22" t="s">
        <v>171</v>
      </c>
      <c r="B53" s="2" t="s">
        <v>186</v>
      </c>
      <c r="C53" s="2" t="s">
        <v>188</v>
      </c>
      <c r="D53" s="2" t="s">
        <v>254</v>
      </c>
      <c r="E53" s="45" t="s">
        <v>312</v>
      </c>
      <c r="F53" s="24" t="str">
        <f>HYPERLINK("https://mapwv.gov/flood/map/?wkid=102100&amp;x=-8990619.567511914&amp;y=4764170.757802429&amp;l=13&amp;v=2","FT")</f>
        <v>FT</v>
      </c>
      <c r="G53" s="46" t="s">
        <v>32</v>
      </c>
      <c r="H53" s="23" t="s">
        <v>25</v>
      </c>
      <c r="I53" s="2" t="s">
        <v>372</v>
      </c>
      <c r="J53" s="22" t="s">
        <v>39</v>
      </c>
      <c r="K53" s="47" t="s">
        <v>401</v>
      </c>
      <c r="L53" s="47" t="s">
        <v>53</v>
      </c>
      <c r="M53" s="45" t="s">
        <v>58</v>
      </c>
      <c r="N53" s="3" t="s">
        <v>91</v>
      </c>
      <c r="O53" s="47" t="s">
        <v>93</v>
      </c>
      <c r="P53" s="45" t="s">
        <v>449</v>
      </c>
      <c r="Q53" s="2" t="s">
        <v>30</v>
      </c>
      <c r="R53" s="23" t="s">
        <v>95</v>
      </c>
      <c r="S53" s="30">
        <v>115600</v>
      </c>
      <c r="T53" s="2" t="s">
        <v>44</v>
      </c>
      <c r="U53" s="31">
        <v>0</v>
      </c>
      <c r="V53" s="31">
        <v>-1</v>
      </c>
      <c r="W53" s="32">
        <v>0</v>
      </c>
      <c r="X53" s="33">
        <v>0</v>
      </c>
    </row>
    <row r="54" spans="1:24" x14ac:dyDescent="0.25">
      <c r="A54" s="22" t="s">
        <v>172</v>
      </c>
      <c r="B54" s="2" t="s">
        <v>186</v>
      </c>
      <c r="C54" s="2" t="s">
        <v>188</v>
      </c>
      <c r="D54" s="2" t="s">
        <v>255</v>
      </c>
      <c r="E54" s="45" t="s">
        <v>313</v>
      </c>
      <c r="F54" s="24" t="str">
        <f>HYPERLINK("https://mapwv.gov/flood/map/?wkid=102100&amp;x=-8990570.368638445&amp;y=4764226.425497246&amp;l=13&amp;v=2","FT")</f>
        <v>FT</v>
      </c>
      <c r="G54" s="46" t="s">
        <v>32</v>
      </c>
      <c r="H54" s="23" t="s">
        <v>25</v>
      </c>
      <c r="I54" s="2" t="s">
        <v>373</v>
      </c>
      <c r="J54" s="22" t="s">
        <v>26</v>
      </c>
      <c r="K54" s="47" t="s">
        <v>107</v>
      </c>
      <c r="L54" s="47"/>
      <c r="M54" s="45" t="s">
        <v>60</v>
      </c>
      <c r="N54" s="3" t="s">
        <v>89</v>
      </c>
      <c r="O54" s="47" t="s">
        <v>93</v>
      </c>
      <c r="P54" s="45" t="s">
        <v>402</v>
      </c>
      <c r="Q54" s="2" t="s">
        <v>30</v>
      </c>
      <c r="R54" s="23" t="s">
        <v>95</v>
      </c>
      <c r="S54" s="30">
        <v>113900</v>
      </c>
      <c r="T54" s="2" t="s">
        <v>44</v>
      </c>
      <c r="U54" s="31">
        <v>2.267395</v>
      </c>
      <c r="V54" s="31">
        <v>1.26739501953125</v>
      </c>
      <c r="W54" s="32">
        <v>5.5347900390625003E-2</v>
      </c>
      <c r="X54" s="33">
        <v>6304.1258544921802</v>
      </c>
    </row>
    <row r="55" spans="1:24" x14ac:dyDescent="0.25">
      <c r="A55" s="22" t="s">
        <v>173</v>
      </c>
      <c r="B55" s="2" t="s">
        <v>186</v>
      </c>
      <c r="C55" s="2" t="s">
        <v>188</v>
      </c>
      <c r="D55" s="2" t="s">
        <v>256</v>
      </c>
      <c r="E55" s="45" t="s">
        <v>314</v>
      </c>
      <c r="F55" s="24" t="str">
        <f>HYPERLINK("https://mapwv.gov/flood/map/?wkid=102100&amp;x=-8990559.820782736&amp;y=4764264.050517589&amp;l=13&amp;v=2","FT")</f>
        <v>FT</v>
      </c>
      <c r="G55" s="46" t="s">
        <v>32</v>
      </c>
      <c r="H55" s="23" t="s">
        <v>25</v>
      </c>
      <c r="I55" s="2" t="s">
        <v>374</v>
      </c>
      <c r="J55" s="22" t="s">
        <v>39</v>
      </c>
      <c r="K55" s="47" t="s">
        <v>402</v>
      </c>
      <c r="L55" s="47" t="s">
        <v>27</v>
      </c>
      <c r="M55" s="45" t="s">
        <v>41</v>
      </c>
      <c r="N55" s="3" t="s">
        <v>42</v>
      </c>
      <c r="O55" s="47" t="s">
        <v>93</v>
      </c>
      <c r="P55" s="45" t="s">
        <v>402</v>
      </c>
      <c r="Q55" s="2" t="s">
        <v>43</v>
      </c>
      <c r="R55" s="23" t="s">
        <v>96</v>
      </c>
      <c r="S55" s="30">
        <v>113700</v>
      </c>
      <c r="T55" s="2" t="s">
        <v>44</v>
      </c>
      <c r="U55" s="31">
        <v>5.4381104000000002</v>
      </c>
      <c r="V55" s="31">
        <v>1.4381103515625</v>
      </c>
      <c r="W55" s="32">
        <v>0.35066772460937501</v>
      </c>
      <c r="X55" s="33">
        <v>39870.920288085901</v>
      </c>
    </row>
    <row r="56" spans="1:24" x14ac:dyDescent="0.25">
      <c r="A56" s="22" t="s">
        <v>174</v>
      </c>
      <c r="B56" s="2" t="s">
        <v>186</v>
      </c>
      <c r="C56" s="2" t="s">
        <v>188</v>
      </c>
      <c r="D56" s="2" t="s">
        <v>257</v>
      </c>
      <c r="E56" s="45" t="s">
        <v>315</v>
      </c>
      <c r="F56" s="24" t="str">
        <f>HYPERLINK("https://mapwv.gov/flood/map/?wkid=102100&amp;x=-8990484.840092557&amp;y=4764327.267122703&amp;l=13&amp;v=2","FT")</f>
        <v>FT</v>
      </c>
      <c r="G56" s="46" t="s">
        <v>32</v>
      </c>
      <c r="H56" s="23" t="s">
        <v>25</v>
      </c>
      <c r="I56" s="2" t="s">
        <v>375</v>
      </c>
      <c r="J56" s="22" t="s">
        <v>39</v>
      </c>
      <c r="K56" s="47" t="s">
        <v>391</v>
      </c>
      <c r="L56" s="47" t="s">
        <v>49</v>
      </c>
      <c r="M56" s="45" t="s">
        <v>41</v>
      </c>
      <c r="N56" s="3" t="s">
        <v>42</v>
      </c>
      <c r="O56" s="47" t="s">
        <v>93</v>
      </c>
      <c r="P56" s="45" t="s">
        <v>450</v>
      </c>
      <c r="Q56" s="2" t="s">
        <v>52</v>
      </c>
      <c r="R56" s="23" t="s">
        <v>114</v>
      </c>
      <c r="S56" s="30">
        <v>113500</v>
      </c>
      <c r="T56" s="2" t="s">
        <v>44</v>
      </c>
      <c r="U56" s="31">
        <v>0</v>
      </c>
      <c r="V56" s="31">
        <v>-3</v>
      </c>
      <c r="W56" s="32">
        <v>0</v>
      </c>
      <c r="X56" s="33">
        <v>0</v>
      </c>
    </row>
    <row r="57" spans="1:24" x14ac:dyDescent="0.25">
      <c r="A57" s="22" t="s">
        <v>175</v>
      </c>
      <c r="B57" s="2" t="s">
        <v>186</v>
      </c>
      <c r="C57" s="2" t="s">
        <v>188</v>
      </c>
      <c r="D57" s="2" t="s">
        <v>257</v>
      </c>
      <c r="E57" s="45" t="s">
        <v>316</v>
      </c>
      <c r="F57" s="24" t="str">
        <f>HYPERLINK("https://mapwv.gov/flood/map/?wkid=102100&amp;x=-8990470.284735177&amp;y=4764370.9020609455&amp;l=13&amp;v=2","FT")</f>
        <v>FT</v>
      </c>
      <c r="G57" s="46" t="s">
        <v>38</v>
      </c>
      <c r="H57" s="23" t="s">
        <v>25</v>
      </c>
      <c r="I57" s="2" t="s">
        <v>376</v>
      </c>
      <c r="J57" s="22" t="s">
        <v>26</v>
      </c>
      <c r="K57" s="47" t="s">
        <v>85</v>
      </c>
      <c r="L57" s="47" t="s">
        <v>49</v>
      </c>
      <c r="M57" s="45" t="s">
        <v>41</v>
      </c>
      <c r="N57" s="3" t="s">
        <v>42</v>
      </c>
      <c r="O57" s="47" t="s">
        <v>93</v>
      </c>
      <c r="P57" s="45" t="s">
        <v>451</v>
      </c>
      <c r="Q57" s="2" t="s">
        <v>43</v>
      </c>
      <c r="R57" s="23" t="s">
        <v>96</v>
      </c>
      <c r="S57" s="30">
        <v>111300</v>
      </c>
      <c r="T57" s="2" t="s">
        <v>44</v>
      </c>
      <c r="U57" s="31">
        <v>0</v>
      </c>
      <c r="V57" s="31">
        <v>-4</v>
      </c>
      <c r="W57" s="32">
        <v>0</v>
      </c>
      <c r="X57" s="33">
        <v>0</v>
      </c>
    </row>
    <row r="58" spans="1:24" x14ac:dyDescent="0.25">
      <c r="A58" s="22" t="s">
        <v>176</v>
      </c>
      <c r="B58" s="2" t="s">
        <v>186</v>
      </c>
      <c r="C58" s="2" t="s">
        <v>188</v>
      </c>
      <c r="D58" s="2" t="s">
        <v>258</v>
      </c>
      <c r="E58" s="45" t="s">
        <v>317</v>
      </c>
      <c r="F58" s="24" t="str">
        <f>HYPERLINK("https://mapwv.gov/flood/map/?wkid=102100&amp;x=-8989416.168305524&amp;y=4764816.1426950395&amp;l=13&amp;v=2","FT")</f>
        <v>FT</v>
      </c>
      <c r="G58" s="46" t="s">
        <v>32</v>
      </c>
      <c r="H58" s="23" t="s">
        <v>25</v>
      </c>
      <c r="I58" s="2" t="s">
        <v>377</v>
      </c>
      <c r="J58" s="22" t="s">
        <v>39</v>
      </c>
      <c r="K58" s="47" t="s">
        <v>403</v>
      </c>
      <c r="L58" s="47" t="s">
        <v>49</v>
      </c>
      <c r="M58" s="45" t="s">
        <v>41</v>
      </c>
      <c r="N58" s="3" t="s">
        <v>42</v>
      </c>
      <c r="O58" s="47" t="s">
        <v>94</v>
      </c>
      <c r="P58" s="45" t="s">
        <v>452</v>
      </c>
      <c r="Q58" s="2" t="s">
        <v>52</v>
      </c>
      <c r="R58" s="23" t="s">
        <v>114</v>
      </c>
      <c r="S58" s="30">
        <v>110800</v>
      </c>
      <c r="T58" s="2" t="s">
        <v>44</v>
      </c>
      <c r="U58" s="31">
        <v>0</v>
      </c>
      <c r="V58" s="31">
        <v>-3</v>
      </c>
      <c r="W58" s="32">
        <v>0</v>
      </c>
      <c r="X58" s="33">
        <v>0</v>
      </c>
    </row>
    <row r="59" spans="1:24" x14ac:dyDescent="0.25">
      <c r="A59" s="22" t="s">
        <v>177</v>
      </c>
      <c r="B59" s="2" t="s">
        <v>186</v>
      </c>
      <c r="C59" s="2" t="s">
        <v>209</v>
      </c>
      <c r="D59" s="2" t="s">
        <v>259</v>
      </c>
      <c r="E59" s="45" t="s">
        <v>318</v>
      </c>
      <c r="F59" s="24" t="str">
        <f>HYPERLINK("https://mapwv.gov/flood/map/?wkid=102100&amp;x=-8991330.010728551&amp;y=4762257.998411431&amp;l=13&amp;v=2","FT")</f>
        <v>FT</v>
      </c>
      <c r="G59" s="46" t="s">
        <v>38</v>
      </c>
      <c r="H59" s="23" t="s">
        <v>25</v>
      </c>
      <c r="I59" s="2" t="s">
        <v>378</v>
      </c>
      <c r="J59" s="22" t="s">
        <v>39</v>
      </c>
      <c r="K59" s="47" t="s">
        <v>404</v>
      </c>
      <c r="L59" s="47"/>
      <c r="M59" s="45" t="s">
        <v>64</v>
      </c>
      <c r="N59" s="3" t="s">
        <v>90</v>
      </c>
      <c r="O59" s="47" t="s">
        <v>93</v>
      </c>
      <c r="P59" s="45" t="s">
        <v>453</v>
      </c>
      <c r="Q59" s="2" t="s">
        <v>30</v>
      </c>
      <c r="R59" s="23" t="s">
        <v>95</v>
      </c>
      <c r="S59" s="30">
        <v>110500</v>
      </c>
      <c r="T59" s="2" t="s">
        <v>44</v>
      </c>
      <c r="U59" s="31">
        <v>0.62596004999999999</v>
      </c>
      <c r="V59" s="31">
        <v>-0.37403994798660201</v>
      </c>
      <c r="W59" s="32">
        <v>0</v>
      </c>
      <c r="X59" s="33">
        <v>0</v>
      </c>
    </row>
    <row r="60" spans="1:24" x14ac:dyDescent="0.25">
      <c r="A60" s="22" t="s">
        <v>178</v>
      </c>
      <c r="B60" s="2" t="s">
        <v>186</v>
      </c>
      <c r="C60" s="2" t="s">
        <v>190</v>
      </c>
      <c r="D60" s="2" t="s">
        <v>260</v>
      </c>
      <c r="E60" s="45" t="s">
        <v>319</v>
      </c>
      <c r="F60" s="24" t="str">
        <f>HYPERLINK("https://mapwv.gov/flood/map/?wkid=102100&amp;x=-8986960.904948669&amp;y=4761076.745463101&amp;l=13&amp;v=2","FT")</f>
        <v>FT</v>
      </c>
      <c r="G60" s="46" t="s">
        <v>38</v>
      </c>
      <c r="H60" s="23" t="s">
        <v>25</v>
      </c>
      <c r="I60" s="2" t="s">
        <v>379</v>
      </c>
      <c r="J60" s="22" t="s">
        <v>26</v>
      </c>
      <c r="K60" s="47" t="s">
        <v>107</v>
      </c>
      <c r="L60" s="47" t="s">
        <v>27</v>
      </c>
      <c r="M60" s="45" t="s">
        <v>41</v>
      </c>
      <c r="N60" s="3" t="s">
        <v>42</v>
      </c>
      <c r="O60" s="47" t="s">
        <v>93</v>
      </c>
      <c r="P60" s="45" t="s">
        <v>454</v>
      </c>
      <c r="Q60" s="2" t="s">
        <v>52</v>
      </c>
      <c r="R60" s="23" t="s">
        <v>96</v>
      </c>
      <c r="S60" s="30">
        <v>110100</v>
      </c>
      <c r="T60" s="2" t="s">
        <v>44</v>
      </c>
      <c r="U60" s="31">
        <v>2.9087615000000002</v>
      </c>
      <c r="V60" s="31">
        <v>-1.0912384986877399</v>
      </c>
      <c r="W60" s="32">
        <v>2.72628450393676E-2</v>
      </c>
      <c r="X60" s="33">
        <v>3001.6392388343802</v>
      </c>
    </row>
    <row r="61" spans="1:24" x14ac:dyDescent="0.25">
      <c r="A61" s="22" t="s">
        <v>179</v>
      </c>
      <c r="B61" s="2" t="s">
        <v>187</v>
      </c>
      <c r="C61" s="2" t="s">
        <v>188</v>
      </c>
      <c r="D61" s="2" t="s">
        <v>261</v>
      </c>
      <c r="E61" s="45" t="s">
        <v>320</v>
      </c>
      <c r="F61" s="24" t="str">
        <f>HYPERLINK("https://mapwv.gov/flood/map/?wkid=102100&amp;x=-8992020.685941324&amp;y=4764315.295134152&amp;l=13&amp;v=2","FT")</f>
        <v>FT</v>
      </c>
      <c r="G61" s="46" t="s">
        <v>32</v>
      </c>
      <c r="H61" s="23" t="s">
        <v>25</v>
      </c>
      <c r="I61" s="2" t="s">
        <v>380</v>
      </c>
      <c r="J61" s="22" t="s">
        <v>26</v>
      </c>
      <c r="K61" s="47" t="s">
        <v>76</v>
      </c>
      <c r="L61" s="47" t="s">
        <v>27</v>
      </c>
      <c r="M61" s="45" t="s">
        <v>41</v>
      </c>
      <c r="N61" s="3" t="s">
        <v>42</v>
      </c>
      <c r="O61" s="47" t="s">
        <v>93</v>
      </c>
      <c r="P61" s="45" t="s">
        <v>455</v>
      </c>
      <c r="Q61" s="2" t="s">
        <v>30</v>
      </c>
      <c r="R61" s="23" t="s">
        <v>95</v>
      </c>
      <c r="S61" s="30">
        <v>108800</v>
      </c>
      <c r="T61" s="2" t="s">
        <v>44</v>
      </c>
      <c r="U61" s="31">
        <v>0.2952881</v>
      </c>
      <c r="V61" s="31">
        <v>-0.7047119140625</v>
      </c>
      <c r="W61" s="32">
        <v>5.9528808593750003E-2</v>
      </c>
      <c r="X61" s="33">
        <v>6476.734375</v>
      </c>
    </row>
    <row r="62" spans="1:24" x14ac:dyDescent="0.25">
      <c r="A62" s="22" t="s">
        <v>180</v>
      </c>
      <c r="B62" s="2" t="s">
        <v>187</v>
      </c>
      <c r="C62" s="2" t="s">
        <v>188</v>
      </c>
      <c r="D62" s="2" t="s">
        <v>262</v>
      </c>
      <c r="E62" s="45" t="s">
        <v>321</v>
      </c>
      <c r="F62" s="24" t="str">
        <f>HYPERLINK("https://mapwv.gov/flood/map/?wkid=102100&amp;x=-8991912.05414832&amp;y=4764270.739530296&amp;l=13&amp;v=2","FT")</f>
        <v>FT</v>
      </c>
      <c r="G62" s="46" t="s">
        <v>38</v>
      </c>
      <c r="H62" s="23" t="s">
        <v>25</v>
      </c>
      <c r="I62" s="2" t="s">
        <v>381</v>
      </c>
      <c r="J62" s="22" t="s">
        <v>39</v>
      </c>
      <c r="K62" s="47" t="s">
        <v>83</v>
      </c>
      <c r="L62" s="47" t="s">
        <v>27</v>
      </c>
      <c r="M62" s="45" t="s">
        <v>41</v>
      </c>
      <c r="N62" s="3" t="s">
        <v>42</v>
      </c>
      <c r="O62" s="47" t="s">
        <v>93</v>
      </c>
      <c r="P62" s="45" t="s">
        <v>456</v>
      </c>
      <c r="Q62" s="2" t="s">
        <v>52</v>
      </c>
      <c r="R62" s="23" t="s">
        <v>114</v>
      </c>
      <c r="S62" s="30">
        <v>107000</v>
      </c>
      <c r="T62" s="2" t="s">
        <v>44</v>
      </c>
      <c r="U62" s="31">
        <v>1.0739799999999999</v>
      </c>
      <c r="V62" s="31">
        <v>-1.92602002620697</v>
      </c>
      <c r="W62" s="32">
        <v>2.2193992137908899E-3</v>
      </c>
      <c r="X62" s="33">
        <v>237.47571587562501</v>
      </c>
    </row>
    <row r="63" spans="1:24" x14ac:dyDescent="0.25">
      <c r="A63" s="22" t="s">
        <v>181</v>
      </c>
      <c r="B63" s="2" t="s">
        <v>187</v>
      </c>
      <c r="C63" s="2" t="s">
        <v>188</v>
      </c>
      <c r="D63" s="2" t="s">
        <v>263</v>
      </c>
      <c r="E63" s="45" t="s">
        <v>322</v>
      </c>
      <c r="F63" s="24" t="str">
        <f>HYPERLINK("https://mapwv.gov/flood/map/?wkid=102100&amp;x=-8992288.616816215&amp;y=4764295.25966692&amp;l=13&amp;v=2","FT")</f>
        <v>FT</v>
      </c>
      <c r="G63" s="46" t="s">
        <v>38</v>
      </c>
      <c r="H63" s="23" t="s">
        <v>25</v>
      </c>
      <c r="I63" s="2" t="s">
        <v>382</v>
      </c>
      <c r="J63" s="22" t="s">
        <v>39</v>
      </c>
      <c r="K63" s="47" t="s">
        <v>405</v>
      </c>
      <c r="L63" s="47" t="s">
        <v>27</v>
      </c>
      <c r="M63" s="45" t="s">
        <v>41</v>
      </c>
      <c r="N63" s="3" t="s">
        <v>42</v>
      </c>
      <c r="O63" s="47" t="s">
        <v>93</v>
      </c>
      <c r="P63" s="45" t="s">
        <v>457</v>
      </c>
      <c r="Q63" s="2" t="s">
        <v>52</v>
      </c>
      <c r="R63" s="23" t="s">
        <v>114</v>
      </c>
      <c r="S63" s="30">
        <v>105500</v>
      </c>
      <c r="T63" s="2" t="s">
        <v>44</v>
      </c>
      <c r="U63" s="31">
        <v>0</v>
      </c>
      <c r="V63" s="31">
        <v>-3</v>
      </c>
      <c r="W63" s="32">
        <v>0</v>
      </c>
      <c r="X63" s="33">
        <v>0</v>
      </c>
    </row>
    <row r="64" spans="1:24" x14ac:dyDescent="0.25">
      <c r="A64" s="22" t="s">
        <v>182</v>
      </c>
      <c r="B64" s="2" t="s">
        <v>187</v>
      </c>
      <c r="C64" s="2" t="s">
        <v>188</v>
      </c>
      <c r="D64" s="2" t="s">
        <v>263</v>
      </c>
      <c r="E64" s="45" t="s">
        <v>323</v>
      </c>
      <c r="F64" s="24" t="str">
        <f>HYPERLINK("https://mapwv.gov/flood/map/?wkid=102100&amp;x=-8992267.1476279&amp;y=4764316.590047869&amp;l=13&amp;v=2","FT")</f>
        <v>FT</v>
      </c>
      <c r="G64" s="46" t="s">
        <v>32</v>
      </c>
      <c r="H64" s="23" t="s">
        <v>25</v>
      </c>
      <c r="I64" s="2" t="s">
        <v>383</v>
      </c>
      <c r="J64" s="22" t="s">
        <v>26</v>
      </c>
      <c r="K64" s="47" t="s">
        <v>103</v>
      </c>
      <c r="L64" s="47" t="s">
        <v>49</v>
      </c>
      <c r="M64" s="45" t="s">
        <v>41</v>
      </c>
      <c r="N64" s="3" t="s">
        <v>42</v>
      </c>
      <c r="O64" s="47" t="s">
        <v>93</v>
      </c>
      <c r="P64" s="45" t="s">
        <v>458</v>
      </c>
      <c r="Q64" s="2" t="s">
        <v>43</v>
      </c>
      <c r="R64" s="23" t="s">
        <v>96</v>
      </c>
      <c r="S64" s="30">
        <v>105100</v>
      </c>
      <c r="T64" s="2" t="s">
        <v>44</v>
      </c>
      <c r="U64" s="31">
        <v>0</v>
      </c>
      <c r="V64" s="31">
        <v>-4</v>
      </c>
      <c r="W64" s="32">
        <v>0</v>
      </c>
      <c r="X64" s="33">
        <v>0</v>
      </c>
    </row>
    <row r="65" spans="1:24" x14ac:dyDescent="0.25">
      <c r="A65" s="22" t="s">
        <v>183</v>
      </c>
      <c r="B65" s="2" t="s">
        <v>187</v>
      </c>
      <c r="C65" s="2" t="s">
        <v>188</v>
      </c>
      <c r="D65" s="2" t="s">
        <v>264</v>
      </c>
      <c r="E65" s="45" t="s">
        <v>324</v>
      </c>
      <c r="F65" s="24" t="str">
        <f>HYPERLINK("https://mapwv.gov/flood/map/?wkid=102100&amp;x=-8992217.35842717&amp;y=4764297.487426273&amp;l=13&amp;v=2","FT")</f>
        <v>FT</v>
      </c>
      <c r="G65" s="46" t="s">
        <v>38</v>
      </c>
      <c r="H65" s="23" t="s">
        <v>25</v>
      </c>
      <c r="I65" s="2" t="s">
        <v>384</v>
      </c>
      <c r="J65" s="22" t="s">
        <v>39</v>
      </c>
      <c r="K65" s="47" t="s">
        <v>406</v>
      </c>
      <c r="L65" s="47" t="s">
        <v>49</v>
      </c>
      <c r="M65" s="45" t="s">
        <v>41</v>
      </c>
      <c r="N65" s="3" t="s">
        <v>42</v>
      </c>
      <c r="O65" s="47" t="s">
        <v>94</v>
      </c>
      <c r="P65" s="45" t="s">
        <v>459</v>
      </c>
      <c r="Q65" s="2" t="s">
        <v>52</v>
      </c>
      <c r="R65" s="23" t="s">
        <v>114</v>
      </c>
      <c r="S65" s="30">
        <v>104700</v>
      </c>
      <c r="T65" s="2" t="s">
        <v>44</v>
      </c>
      <c r="U65" s="31">
        <v>0.1884797</v>
      </c>
      <c r="V65" s="31">
        <v>-2.8115202933549801</v>
      </c>
      <c r="W65" s="32">
        <v>0</v>
      </c>
      <c r="X65" s="33">
        <v>0</v>
      </c>
    </row>
    <row r="66" spans="1:24" x14ac:dyDescent="0.25">
      <c r="A66" s="22" t="s">
        <v>184</v>
      </c>
      <c r="B66" s="2" t="s">
        <v>187</v>
      </c>
      <c r="C66" s="2" t="s">
        <v>188</v>
      </c>
      <c r="D66" s="2" t="s">
        <v>265</v>
      </c>
      <c r="E66" s="45" t="s">
        <v>325</v>
      </c>
      <c r="F66" s="24" t="str">
        <f>HYPERLINK("https://mapwv.gov/flood/map/?wkid=102100&amp;x=-8992324.532380125&amp;y=4764271.300100862&amp;l=13&amp;v=2","FT")</f>
        <v>FT</v>
      </c>
      <c r="G66" s="46" t="s">
        <v>38</v>
      </c>
      <c r="H66" s="23" t="s">
        <v>25</v>
      </c>
      <c r="I66" s="2" t="s">
        <v>385</v>
      </c>
      <c r="J66" s="22" t="s">
        <v>26</v>
      </c>
      <c r="K66" s="47" t="s">
        <v>74</v>
      </c>
      <c r="L66" s="47" t="s">
        <v>37</v>
      </c>
      <c r="M66" s="45" t="s">
        <v>41</v>
      </c>
      <c r="N66" s="3" t="s">
        <v>42</v>
      </c>
      <c r="O66" s="47" t="s">
        <v>93</v>
      </c>
      <c r="P66" s="45" t="s">
        <v>460</v>
      </c>
      <c r="Q66" s="2" t="s">
        <v>52</v>
      </c>
      <c r="R66" s="23" t="s">
        <v>96</v>
      </c>
      <c r="S66" s="30">
        <v>104600</v>
      </c>
      <c r="T66" s="2" t="s">
        <v>44</v>
      </c>
      <c r="U66" s="31">
        <v>0</v>
      </c>
      <c r="V66" s="31">
        <v>-4</v>
      </c>
      <c r="W66" s="32">
        <v>0</v>
      </c>
      <c r="X66" s="33">
        <v>0</v>
      </c>
    </row>
    <row r="67" spans="1:24" x14ac:dyDescent="0.25">
      <c r="A67" s="22" t="s">
        <v>185</v>
      </c>
      <c r="B67" s="2" t="s">
        <v>187</v>
      </c>
      <c r="C67" s="2" t="s">
        <v>188</v>
      </c>
      <c r="D67" s="2" t="s">
        <v>266</v>
      </c>
      <c r="E67" s="45" t="s">
        <v>326</v>
      </c>
      <c r="F67" s="24" t="str">
        <f>HYPERLINK("https://mapwv.gov/flood/map/?wkid=102100&amp;x=-8992314.207719993&amp;y=4764244.373905006&amp;l=13&amp;v=2","FT")</f>
        <v>FT</v>
      </c>
      <c r="G67" s="46" t="s">
        <v>327</v>
      </c>
      <c r="H67" s="23" t="s">
        <v>25</v>
      </c>
      <c r="I67" s="2" t="s">
        <v>386</v>
      </c>
      <c r="J67" s="22" t="s">
        <v>39</v>
      </c>
      <c r="K67" s="47" t="s">
        <v>395</v>
      </c>
      <c r="L67" s="47" t="s">
        <v>49</v>
      </c>
      <c r="M67" s="45" t="s">
        <v>41</v>
      </c>
      <c r="N67" s="3" t="s">
        <v>42</v>
      </c>
      <c r="O67" s="47" t="s">
        <v>93</v>
      </c>
      <c r="P67" s="45" t="s">
        <v>458</v>
      </c>
      <c r="Q67" s="2" t="s">
        <v>52</v>
      </c>
      <c r="R67" s="23" t="s">
        <v>114</v>
      </c>
      <c r="S67" s="30">
        <v>100100</v>
      </c>
      <c r="T67" s="2" t="s">
        <v>44</v>
      </c>
      <c r="U67" s="31">
        <v>0.5252348</v>
      </c>
      <c r="V67" s="31">
        <v>-2.4747651815414402</v>
      </c>
      <c r="W67" s="32">
        <v>0</v>
      </c>
      <c r="X67" s="33">
        <v>0</v>
      </c>
    </row>
  </sheetData>
  <conditionalFormatting sqref="A7:A67">
    <cfRule type="duplicateValues" dxfId="1" priority="1"/>
  </conditionalFormatting>
  <hyperlinks>
    <hyperlink ref="J3" r:id="rId1" xr:uid="{F0DC3CBB-5BE1-47D5-9D20-E2CBAF6563FC}"/>
    <hyperlink ref="M3" r:id="rId2" xr:uid="{89AB836B-EA3B-458B-9684-3793A77CDACB}"/>
    <hyperlink ref="Q3" r:id="rId3" xr:uid="{A9365D6D-4BF7-4F70-B2CC-035E9A66C1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78F5E-1D52-400A-A38A-D7AACD48254C}">
  <dimension ref="A1:Z83"/>
  <sheetViews>
    <sheetView workbookViewId="0">
      <pane ySplit="6" topLeftCell="A7" activePane="bottomLeft" state="frozen"/>
      <selection pane="bottomLeft" activeCell="A9" sqref="A9:XFD9"/>
    </sheetView>
  </sheetViews>
  <sheetFormatPr defaultRowHeight="15" x14ac:dyDescent="0.25"/>
  <cols>
    <col min="1" max="1" width="33.85546875" bestFit="1" customWidth="1"/>
    <col min="2" max="2" width="31.42578125" bestFit="1" customWidth="1"/>
    <col min="4" max="4" width="19.85546875" bestFit="1" customWidth="1"/>
    <col min="7" max="7" width="12.42578125" customWidth="1"/>
    <col min="13" max="13" width="10.5703125" customWidth="1"/>
    <col min="14" max="14" width="14.28515625" bestFit="1" customWidth="1"/>
    <col min="17" max="17" width="11" customWidth="1"/>
    <col min="19" max="19" width="21.7109375" bestFit="1" customWidth="1"/>
    <col min="24" max="24" width="11.5703125" bestFit="1" customWidth="1"/>
    <col min="26" max="26" width="13.7109375" bestFit="1" customWidth="1"/>
  </cols>
  <sheetData>
    <row r="1" spans="1:26" ht="14.25" customHeight="1" x14ac:dyDescent="0.25">
      <c r="A1" s="4" t="s">
        <v>66</v>
      </c>
      <c r="B1" s="4"/>
      <c r="C1" s="4"/>
      <c r="D1" s="4"/>
      <c r="F1" s="17" t="s">
        <v>67</v>
      </c>
      <c r="G1" s="6"/>
      <c r="H1" s="6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6" x14ac:dyDescent="0.25">
      <c r="A2" s="60">
        <v>44630</v>
      </c>
      <c r="B2" s="12" t="s">
        <v>70</v>
      </c>
      <c r="F2" s="6"/>
      <c r="G2" s="6"/>
      <c r="H2" s="6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6" x14ac:dyDescent="0.25">
      <c r="A3" t="s">
        <v>72</v>
      </c>
      <c r="B3" s="41" t="s">
        <v>125</v>
      </c>
      <c r="F3" s="6"/>
      <c r="G3" s="6"/>
      <c r="H3" s="6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6" x14ac:dyDescent="0.25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6" x14ac:dyDescent="0.25">
      <c r="A5" s="1" t="s">
        <v>462</v>
      </c>
      <c r="F5" s="6"/>
      <c r="G5" s="6"/>
      <c r="H5" s="6"/>
      <c r="J5" s="6"/>
      <c r="K5" s="6"/>
      <c r="L5" s="6"/>
      <c r="O5" s="6"/>
      <c r="P5" s="6"/>
      <c r="R5" s="6"/>
      <c r="S5" s="34" t="s">
        <v>538</v>
      </c>
      <c r="U5" s="6"/>
      <c r="V5" s="6"/>
      <c r="W5" s="9"/>
      <c r="X5" s="10"/>
    </row>
    <row r="6" spans="1:26" ht="45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6" x14ac:dyDescent="0.25">
      <c r="A7" s="49" t="s">
        <v>463</v>
      </c>
      <c r="B7" s="2" t="s">
        <v>539</v>
      </c>
      <c r="C7" s="2" t="s">
        <v>549</v>
      </c>
      <c r="D7" s="45" t="s">
        <v>572</v>
      </c>
      <c r="E7" s="45" t="s">
        <v>644</v>
      </c>
      <c r="F7" s="24" t="str">
        <f>HYPERLINK("https://mapwv.gov/flood/map/?wkid=102100&amp;x=-8934884.5832752&amp;y=4763251.851604895&amp;l=13&amp;v=2","FT")</f>
        <v>FT</v>
      </c>
      <c r="G7" s="47" t="s">
        <v>32</v>
      </c>
      <c r="H7" s="23" t="s">
        <v>25</v>
      </c>
      <c r="I7" s="2" t="s">
        <v>59</v>
      </c>
      <c r="J7" s="22" t="s">
        <v>39</v>
      </c>
      <c r="K7" s="47" t="s">
        <v>783</v>
      </c>
      <c r="L7" s="47" t="s">
        <v>38</v>
      </c>
      <c r="M7" s="48" t="s">
        <v>60</v>
      </c>
      <c r="N7" s="3" t="s">
        <v>89</v>
      </c>
      <c r="O7" s="47" t="s">
        <v>94</v>
      </c>
      <c r="P7" s="45" t="s">
        <v>802</v>
      </c>
      <c r="Q7" s="2" t="s">
        <v>30</v>
      </c>
      <c r="R7" s="23" t="s">
        <v>95</v>
      </c>
      <c r="S7" s="30">
        <v>21815000</v>
      </c>
      <c r="T7" s="2" t="s">
        <v>61</v>
      </c>
      <c r="U7" s="31">
        <v>3.5073853000000002</v>
      </c>
      <c r="V7" s="31">
        <v>2.50738525390625</v>
      </c>
      <c r="W7" s="32">
        <v>8.0147705078125006E-2</v>
      </c>
      <c r="X7" s="33">
        <v>1748422.1862792999</v>
      </c>
      <c r="Z7" s="59"/>
    </row>
    <row r="8" spans="1:26" x14ac:dyDescent="0.25">
      <c r="A8" s="49" t="s">
        <v>496</v>
      </c>
      <c r="B8" s="2" t="s">
        <v>546</v>
      </c>
      <c r="C8" s="2" t="s">
        <v>553</v>
      </c>
      <c r="D8" s="45" t="s">
        <v>604</v>
      </c>
      <c r="E8" s="45" t="s">
        <v>677</v>
      </c>
      <c r="F8" s="24" t="str">
        <f>HYPERLINK("https://mapwv.gov/flood/map/?wkid=102100&amp;x=-8938281.379092822&amp;y=4779295.695461199&amp;l=13&amp;v=2","FT")</f>
        <v>FT</v>
      </c>
      <c r="G8" s="47" t="s">
        <v>32</v>
      </c>
      <c r="H8" s="23" t="s">
        <v>719</v>
      </c>
      <c r="I8" s="2" t="s">
        <v>746</v>
      </c>
      <c r="J8" s="22" t="s">
        <v>26</v>
      </c>
      <c r="K8" s="47" t="s">
        <v>389</v>
      </c>
      <c r="L8" s="47" t="s">
        <v>27</v>
      </c>
      <c r="M8" s="48" t="s">
        <v>56</v>
      </c>
      <c r="N8" s="3" t="s">
        <v>35</v>
      </c>
      <c r="O8" s="47" t="s">
        <v>93</v>
      </c>
      <c r="P8" s="48">
        <v>14000</v>
      </c>
      <c r="Q8" s="2" t="s">
        <v>30</v>
      </c>
      <c r="R8" s="23" t="s">
        <v>95</v>
      </c>
      <c r="S8" s="30">
        <v>11700000</v>
      </c>
      <c r="T8" s="2" t="s">
        <v>29</v>
      </c>
      <c r="U8" s="31">
        <v>0.87731934</v>
      </c>
      <c r="V8" s="31">
        <v>-0.1226806640625</v>
      </c>
      <c r="W8" s="32">
        <v>1.7546386718750001E-2</v>
      </c>
      <c r="X8" s="33">
        <v>205292.724609375</v>
      </c>
    </row>
    <row r="9" spans="1:26" x14ac:dyDescent="0.25">
      <c r="A9" s="61" t="s">
        <v>1747</v>
      </c>
      <c r="B9" s="2" t="s">
        <v>539</v>
      </c>
      <c r="C9" s="2" t="s">
        <v>549</v>
      </c>
      <c r="D9" s="45" t="s">
        <v>1748</v>
      </c>
      <c r="E9" s="45" t="s">
        <v>1749</v>
      </c>
      <c r="F9" s="24" t="str">
        <f>HYPERLINK("https://mapwv.gov/flood/map/?wkid=102100&amp;x=-8936784.359256051&amp;y=4764544.899805465&amp;l=13&amp;v=2","FT")</f>
        <v>FT</v>
      </c>
      <c r="G9" s="47" t="s">
        <v>32</v>
      </c>
      <c r="H9" s="23" t="s">
        <v>25</v>
      </c>
      <c r="I9" s="2" t="s">
        <v>728</v>
      </c>
      <c r="J9" s="22" t="s">
        <v>26</v>
      </c>
      <c r="K9" s="47" t="s">
        <v>74</v>
      </c>
      <c r="L9" s="47" t="s">
        <v>27</v>
      </c>
      <c r="M9" s="48" t="s">
        <v>56</v>
      </c>
      <c r="N9" s="3" t="s">
        <v>35</v>
      </c>
      <c r="O9" s="47" t="s">
        <v>93</v>
      </c>
      <c r="P9" s="48">
        <v>46000</v>
      </c>
      <c r="Q9" s="2" t="s">
        <v>30</v>
      </c>
      <c r="R9" s="23" t="s">
        <v>95</v>
      </c>
      <c r="S9" s="30">
        <v>9000000</v>
      </c>
      <c r="T9" s="2" t="s">
        <v>29</v>
      </c>
      <c r="U9" s="31">
        <v>0</v>
      </c>
      <c r="V9" s="31">
        <v>-1</v>
      </c>
      <c r="W9" s="32">
        <v>0</v>
      </c>
      <c r="X9" s="33">
        <v>0</v>
      </c>
    </row>
    <row r="10" spans="1:26" x14ac:dyDescent="0.25">
      <c r="A10" s="49" t="s">
        <v>490</v>
      </c>
      <c r="B10" s="2" t="s">
        <v>541</v>
      </c>
      <c r="C10" s="2" t="s">
        <v>553</v>
      </c>
      <c r="D10" s="45" t="s">
        <v>599</v>
      </c>
      <c r="E10" s="45" t="s">
        <v>671</v>
      </c>
      <c r="F10" s="24" t="str">
        <f>HYPERLINK("https://mapwv.gov/flood/map/?wkid=102100&amp;x=-8944761.64254031&amp;y=4765065.076888292&amp;l=13&amp;v=2","FT")</f>
        <v>FT</v>
      </c>
      <c r="G10" s="47" t="s">
        <v>32</v>
      </c>
      <c r="H10" s="23" t="s">
        <v>25</v>
      </c>
      <c r="I10" s="2" t="s">
        <v>741</v>
      </c>
      <c r="J10" s="22" t="s">
        <v>26</v>
      </c>
      <c r="K10" s="47">
        <v>9999</v>
      </c>
      <c r="L10" s="47"/>
      <c r="M10" s="48" t="s">
        <v>28</v>
      </c>
      <c r="N10" s="3" t="s">
        <v>90</v>
      </c>
      <c r="O10" s="47" t="s">
        <v>93</v>
      </c>
      <c r="P10" s="48">
        <v>38000</v>
      </c>
      <c r="Q10" s="2" t="s">
        <v>30</v>
      </c>
      <c r="R10" s="23" t="s">
        <v>95</v>
      </c>
      <c r="S10" s="30">
        <v>7500000</v>
      </c>
      <c r="T10" s="2" t="s">
        <v>29</v>
      </c>
      <c r="U10" s="31">
        <v>3.3142089999999999E-2</v>
      </c>
      <c r="V10" s="31">
        <v>-0.96685791015625</v>
      </c>
      <c r="W10" s="32">
        <v>0</v>
      </c>
      <c r="X10" s="33">
        <v>0</v>
      </c>
    </row>
    <row r="11" spans="1:26" x14ac:dyDescent="0.25">
      <c r="A11" s="49" t="s">
        <v>464</v>
      </c>
      <c r="B11" s="2" t="s">
        <v>539</v>
      </c>
      <c r="C11" s="2" t="s">
        <v>549</v>
      </c>
      <c r="D11" s="45" t="s">
        <v>573</v>
      </c>
      <c r="E11" s="45" t="s">
        <v>645</v>
      </c>
      <c r="F11" s="24" t="str">
        <f>HYPERLINK("https://mapwv.gov/flood/map/?wkid=102100&amp;x=-8934846.828490663&amp;y=4763077.329645387&amp;l=13&amp;v=2","FT")</f>
        <v>FT</v>
      </c>
      <c r="G11" s="47" t="s">
        <v>32</v>
      </c>
      <c r="H11" s="23" t="s">
        <v>25</v>
      </c>
      <c r="I11" s="2" t="s">
        <v>59</v>
      </c>
      <c r="J11" s="22" t="s">
        <v>26</v>
      </c>
      <c r="K11" s="47" t="s">
        <v>99</v>
      </c>
      <c r="L11" s="47" t="s">
        <v>38</v>
      </c>
      <c r="M11" s="48" t="s">
        <v>60</v>
      </c>
      <c r="N11" s="3" t="s">
        <v>89</v>
      </c>
      <c r="O11" s="47" t="s">
        <v>93</v>
      </c>
      <c r="P11" s="45" t="s">
        <v>803</v>
      </c>
      <c r="Q11" s="2" t="s">
        <v>30</v>
      </c>
      <c r="R11" s="23" t="s">
        <v>95</v>
      </c>
      <c r="S11" s="30">
        <v>7024700</v>
      </c>
      <c r="T11" s="2" t="s">
        <v>44</v>
      </c>
      <c r="U11" s="31">
        <v>0</v>
      </c>
      <c r="V11" s="31">
        <v>-1</v>
      </c>
      <c r="W11" s="32">
        <v>0</v>
      </c>
      <c r="X11" s="33">
        <v>0</v>
      </c>
    </row>
    <row r="12" spans="1:26" x14ac:dyDescent="0.25">
      <c r="A12" s="49" t="s">
        <v>465</v>
      </c>
      <c r="B12" s="2" t="s">
        <v>539</v>
      </c>
      <c r="C12" s="2" t="s">
        <v>550</v>
      </c>
      <c r="D12" s="45" t="s">
        <v>574</v>
      </c>
      <c r="E12" s="45" t="s">
        <v>646</v>
      </c>
      <c r="F12" s="24" t="str">
        <f>HYPERLINK("https://mapwv.gov/flood/map/?wkid=102100&amp;x=-8932211.462220214&amp;y=4764427.746683229&amp;l=13&amp;v=2","FT")</f>
        <v>FT</v>
      </c>
      <c r="G12" s="47" t="s">
        <v>38</v>
      </c>
      <c r="H12" s="23" t="s">
        <v>25</v>
      </c>
      <c r="I12" s="2" t="s">
        <v>720</v>
      </c>
      <c r="J12" s="22" t="s">
        <v>26</v>
      </c>
      <c r="K12" s="47" t="s">
        <v>437</v>
      </c>
      <c r="L12" s="47" t="s">
        <v>48</v>
      </c>
      <c r="M12" s="48" t="s">
        <v>792</v>
      </c>
      <c r="N12" s="3" t="s">
        <v>42</v>
      </c>
      <c r="O12" s="47" t="s">
        <v>799</v>
      </c>
      <c r="P12" s="45" t="s">
        <v>804</v>
      </c>
      <c r="Q12" s="2" t="s">
        <v>30</v>
      </c>
      <c r="R12" s="23" t="s">
        <v>95</v>
      </c>
      <c r="S12" s="30">
        <v>2810500</v>
      </c>
      <c r="T12" s="2" t="s">
        <v>44</v>
      </c>
      <c r="U12" s="31">
        <v>1.1139433000000001</v>
      </c>
      <c r="V12" s="31">
        <v>0.113943338394165</v>
      </c>
      <c r="W12" s="32">
        <v>0.15113943338394098</v>
      </c>
      <c r="X12" s="33">
        <v>424777.37752556801</v>
      </c>
    </row>
    <row r="13" spans="1:26" x14ac:dyDescent="0.25">
      <c r="A13" s="49" t="s">
        <v>466</v>
      </c>
      <c r="B13" s="2" t="s">
        <v>540</v>
      </c>
      <c r="C13" s="2" t="s">
        <v>551</v>
      </c>
      <c r="D13" s="45" t="s">
        <v>575</v>
      </c>
      <c r="E13" s="45" t="s">
        <v>647</v>
      </c>
      <c r="F13" s="24" t="str">
        <f>HYPERLINK("https://mapwv.gov/flood/map/?wkid=102100&amp;x=-8948165.12854801&amp;y=4760142.395357756&amp;l=13&amp;v=2","FT")</f>
        <v>FT</v>
      </c>
      <c r="G13" s="47" t="s">
        <v>38</v>
      </c>
      <c r="H13" s="23" t="s">
        <v>25</v>
      </c>
      <c r="I13" s="2" t="s">
        <v>721</v>
      </c>
      <c r="J13" s="22" t="s">
        <v>39</v>
      </c>
      <c r="K13" s="47" t="s">
        <v>784</v>
      </c>
      <c r="L13" s="47" t="s">
        <v>57</v>
      </c>
      <c r="M13" s="48" t="s">
        <v>793</v>
      </c>
      <c r="N13" s="3" t="s">
        <v>42</v>
      </c>
      <c r="O13" s="47" t="s">
        <v>94</v>
      </c>
      <c r="P13" s="45" t="s">
        <v>805</v>
      </c>
      <c r="Q13" s="2" t="s">
        <v>30</v>
      </c>
      <c r="R13" s="23" t="s">
        <v>95</v>
      </c>
      <c r="S13" s="30">
        <v>2640300</v>
      </c>
      <c r="T13" s="2" t="s">
        <v>44</v>
      </c>
      <c r="U13" s="31">
        <v>2.5677636000000001</v>
      </c>
      <c r="V13" s="31">
        <v>1.5677635669708201</v>
      </c>
      <c r="W13" s="32">
        <v>8.7032907009124708E-2</v>
      </c>
      <c r="X13" s="33">
        <v>229792.98437619201</v>
      </c>
    </row>
    <row r="14" spans="1:26" x14ac:dyDescent="0.25">
      <c r="A14" s="49" t="s">
        <v>467</v>
      </c>
      <c r="B14" s="2" t="s">
        <v>541</v>
      </c>
      <c r="C14" s="2" t="s">
        <v>552</v>
      </c>
      <c r="D14" s="45" t="s">
        <v>576</v>
      </c>
      <c r="E14" s="45" t="s">
        <v>648</v>
      </c>
      <c r="F14" s="24" t="str">
        <f>HYPERLINK("https://mapwv.gov/flood/map/?wkid=102100&amp;x=-8942937.87929264&amp;y=4761383.5641316725&amp;l=13&amp;v=2","FT")</f>
        <v>FT</v>
      </c>
      <c r="G14" s="47" t="s">
        <v>54</v>
      </c>
      <c r="H14" s="23" t="s">
        <v>25</v>
      </c>
      <c r="I14" s="2"/>
      <c r="J14" s="22" t="s">
        <v>39</v>
      </c>
      <c r="K14" s="47" t="s">
        <v>434</v>
      </c>
      <c r="L14" s="47" t="s">
        <v>38</v>
      </c>
      <c r="M14" s="48" t="s">
        <v>60</v>
      </c>
      <c r="N14" s="3" t="s">
        <v>89</v>
      </c>
      <c r="O14" s="47" t="s">
        <v>800</v>
      </c>
      <c r="P14" s="45" t="s">
        <v>806</v>
      </c>
      <c r="Q14" s="2" t="s">
        <v>30</v>
      </c>
      <c r="R14" s="23" t="s">
        <v>95</v>
      </c>
      <c r="S14" s="30">
        <v>2139900</v>
      </c>
      <c r="T14" s="2" t="s">
        <v>44</v>
      </c>
      <c r="U14" s="31">
        <v>0.49749756000000001</v>
      </c>
      <c r="V14" s="31">
        <v>-0.50250244140625</v>
      </c>
      <c r="W14" s="32">
        <v>0</v>
      </c>
      <c r="X14" s="33">
        <v>0</v>
      </c>
    </row>
    <row r="15" spans="1:26" x14ac:dyDescent="0.25">
      <c r="A15" s="49" t="s">
        <v>468</v>
      </c>
      <c r="B15" s="2" t="s">
        <v>541</v>
      </c>
      <c r="C15" s="2" t="s">
        <v>553</v>
      </c>
      <c r="D15" s="45" t="s">
        <v>577</v>
      </c>
      <c r="E15" s="45" t="s">
        <v>649</v>
      </c>
      <c r="F15" s="24" t="str">
        <f>HYPERLINK("https://mapwv.gov/flood/map/?wkid=102100&amp;x=-8945068.259053322&amp;y=4764522.141370635&amp;l=13&amp;v=2","FT")</f>
        <v>FT</v>
      </c>
      <c r="G15" s="47" t="s">
        <v>32</v>
      </c>
      <c r="H15" s="23" t="s">
        <v>25</v>
      </c>
      <c r="I15" s="2" t="s">
        <v>722</v>
      </c>
      <c r="J15" s="22" t="s">
        <v>39</v>
      </c>
      <c r="K15" s="47" t="s">
        <v>83</v>
      </c>
      <c r="L15" s="47" t="s">
        <v>27</v>
      </c>
      <c r="M15" s="48" t="s">
        <v>63</v>
      </c>
      <c r="N15" s="3" t="s">
        <v>35</v>
      </c>
      <c r="O15" s="47" t="s">
        <v>93</v>
      </c>
      <c r="P15" s="45" t="s">
        <v>807</v>
      </c>
      <c r="Q15" s="2" t="s">
        <v>30</v>
      </c>
      <c r="R15" s="23" t="s">
        <v>95</v>
      </c>
      <c r="S15" s="30">
        <v>1829700</v>
      </c>
      <c r="T15" s="2" t="s">
        <v>44</v>
      </c>
      <c r="U15" s="31">
        <v>1.8438721</v>
      </c>
      <c r="V15" s="31">
        <v>0.8438720703125</v>
      </c>
      <c r="W15" s="32">
        <v>4.2193603515624997E-2</v>
      </c>
      <c r="X15" s="33">
        <v>77201.636352539004</v>
      </c>
    </row>
    <row r="16" spans="1:26" x14ac:dyDescent="0.25">
      <c r="A16" s="49" t="s">
        <v>469</v>
      </c>
      <c r="B16" s="2" t="s">
        <v>539</v>
      </c>
      <c r="C16" s="2" t="s">
        <v>549</v>
      </c>
      <c r="D16" s="45" t="s">
        <v>578</v>
      </c>
      <c r="E16" s="45" t="s">
        <v>650</v>
      </c>
      <c r="F16" s="24" t="str">
        <f>HYPERLINK("https://mapwv.gov/flood/map/?wkid=102100&amp;x=-8935142.629869867&amp;y=4763466.1035040505&amp;l=13&amp;v=2","FT")</f>
        <v>FT</v>
      </c>
      <c r="G16" s="47" t="s">
        <v>32</v>
      </c>
      <c r="H16" s="23" t="s">
        <v>719</v>
      </c>
      <c r="I16" s="2" t="s">
        <v>59</v>
      </c>
      <c r="J16" s="22" t="s">
        <v>26</v>
      </c>
      <c r="K16" s="47" t="s">
        <v>85</v>
      </c>
      <c r="L16" s="47" t="s">
        <v>27</v>
      </c>
      <c r="M16" s="48" t="s">
        <v>60</v>
      </c>
      <c r="N16" s="3" t="s">
        <v>89</v>
      </c>
      <c r="O16" s="47" t="s">
        <v>93</v>
      </c>
      <c r="P16" s="45" t="s">
        <v>808</v>
      </c>
      <c r="Q16" s="2" t="s">
        <v>30</v>
      </c>
      <c r="R16" s="23" t="s">
        <v>95</v>
      </c>
      <c r="S16" s="30">
        <v>1677600</v>
      </c>
      <c r="T16" s="2" t="s">
        <v>44</v>
      </c>
      <c r="U16" s="31">
        <v>5.2756959999999999</v>
      </c>
      <c r="V16" s="31">
        <v>4.27569580078125</v>
      </c>
      <c r="W16" s="32">
        <v>9.2756958007812501E-2</v>
      </c>
      <c r="X16" s="33">
        <v>155609.07275390599</v>
      </c>
    </row>
    <row r="17" spans="1:24" x14ac:dyDescent="0.25">
      <c r="A17" s="49" t="s">
        <v>470</v>
      </c>
      <c r="B17" s="2" t="s">
        <v>541</v>
      </c>
      <c r="C17" s="2" t="s">
        <v>554</v>
      </c>
      <c r="D17" s="45" t="s">
        <v>579</v>
      </c>
      <c r="E17" s="45" t="s">
        <v>651</v>
      </c>
      <c r="F17" s="24" t="str">
        <f>HYPERLINK("https://mapwv.gov/flood/map/?wkid=102100&amp;x=-8941924.498115571&amp;y=4760099.397447704&amp;l=13&amp;v=2","FT")</f>
        <v>FT</v>
      </c>
      <c r="G17" s="47" t="s">
        <v>54</v>
      </c>
      <c r="H17" s="23" t="s">
        <v>25</v>
      </c>
      <c r="I17" s="2" t="s">
        <v>723</v>
      </c>
      <c r="J17" s="22" t="s">
        <v>26</v>
      </c>
      <c r="K17" s="47" t="s">
        <v>391</v>
      </c>
      <c r="L17" s="47" t="s">
        <v>27</v>
      </c>
      <c r="M17" s="48" t="s">
        <v>793</v>
      </c>
      <c r="N17" s="3" t="s">
        <v>42</v>
      </c>
      <c r="O17" s="47" t="s">
        <v>93</v>
      </c>
      <c r="P17" s="45" t="s">
        <v>809</v>
      </c>
      <c r="Q17" s="2" t="s">
        <v>30</v>
      </c>
      <c r="R17" s="23" t="s">
        <v>95</v>
      </c>
      <c r="S17" s="30">
        <v>1670900</v>
      </c>
      <c r="T17" s="2" t="s">
        <v>44</v>
      </c>
      <c r="U17" s="31">
        <v>0.73773193000000004</v>
      </c>
      <c r="V17" s="31">
        <v>-0.26226806640625</v>
      </c>
      <c r="W17" s="32">
        <v>0</v>
      </c>
      <c r="X17" s="33">
        <v>0</v>
      </c>
    </row>
    <row r="18" spans="1:24" x14ac:dyDescent="0.25">
      <c r="A18" s="49" t="s">
        <v>471</v>
      </c>
      <c r="B18" s="2" t="s">
        <v>540</v>
      </c>
      <c r="C18" s="2" t="s">
        <v>555</v>
      </c>
      <c r="D18" s="45" t="s">
        <v>580</v>
      </c>
      <c r="E18" s="45" t="s">
        <v>652</v>
      </c>
      <c r="F18" s="24" t="str">
        <f>HYPERLINK("https://mapwv.gov/flood/map/?wkid=102100&amp;x=-8929369.047151543&amp;y=4772840.86696965&amp;l=13&amp;v=2","FT")</f>
        <v>FT</v>
      </c>
      <c r="G18" s="47" t="s">
        <v>32</v>
      </c>
      <c r="H18" s="23" t="s">
        <v>719</v>
      </c>
      <c r="I18" s="2" t="s">
        <v>724</v>
      </c>
      <c r="J18" s="22" t="s">
        <v>39</v>
      </c>
      <c r="K18" s="47" t="s">
        <v>78</v>
      </c>
      <c r="L18" s="47" t="s">
        <v>37</v>
      </c>
      <c r="M18" s="48" t="s">
        <v>63</v>
      </c>
      <c r="N18" s="3" t="s">
        <v>35</v>
      </c>
      <c r="O18" s="47" t="s">
        <v>93</v>
      </c>
      <c r="P18" s="45" t="s">
        <v>810</v>
      </c>
      <c r="Q18" s="2" t="s">
        <v>30</v>
      </c>
      <c r="R18" s="23" t="s">
        <v>95</v>
      </c>
      <c r="S18" s="30">
        <v>1487000</v>
      </c>
      <c r="T18" s="2" t="s">
        <v>31</v>
      </c>
      <c r="U18" s="31">
        <v>3.2736816000000002</v>
      </c>
      <c r="V18" s="31">
        <v>2.273681640625</v>
      </c>
      <c r="W18" s="32">
        <v>8.8210449218750001E-2</v>
      </c>
      <c r="X18" s="33">
        <v>131168.93798828099</v>
      </c>
    </row>
    <row r="19" spans="1:24" x14ac:dyDescent="0.25">
      <c r="A19" s="49" t="s">
        <v>472</v>
      </c>
      <c r="B19" s="2" t="s">
        <v>539</v>
      </c>
      <c r="C19" s="2" t="s">
        <v>551</v>
      </c>
      <c r="D19" s="45" t="s">
        <v>581</v>
      </c>
      <c r="E19" s="45" t="s">
        <v>653</v>
      </c>
      <c r="F19" s="24" t="str">
        <f>HYPERLINK("https://mapwv.gov/flood/map/?wkid=102100&amp;x=-8934216.15158912&amp;y=4762102.47344514&amp;l=13&amp;v=2","FT")</f>
        <v>FT</v>
      </c>
      <c r="G19" s="47" t="s">
        <v>32</v>
      </c>
      <c r="H19" s="23" t="s">
        <v>25</v>
      </c>
      <c r="I19" s="2" t="s">
        <v>725</v>
      </c>
      <c r="J19" s="22" t="s">
        <v>26</v>
      </c>
      <c r="K19" s="47" t="s">
        <v>437</v>
      </c>
      <c r="L19" s="47" t="s">
        <v>38</v>
      </c>
      <c r="M19" s="48" t="s">
        <v>55</v>
      </c>
      <c r="N19" s="3" t="s">
        <v>35</v>
      </c>
      <c r="O19" s="47" t="s">
        <v>94</v>
      </c>
      <c r="P19" s="45" t="s">
        <v>811</v>
      </c>
      <c r="Q19" s="2" t="s">
        <v>30</v>
      </c>
      <c r="R19" s="23" t="s">
        <v>95</v>
      </c>
      <c r="S19" s="30">
        <v>1442100</v>
      </c>
      <c r="T19" s="2" t="s">
        <v>44</v>
      </c>
      <c r="U19" s="31">
        <v>0</v>
      </c>
      <c r="V19" s="31">
        <v>-1</v>
      </c>
      <c r="W19" s="32">
        <v>0</v>
      </c>
      <c r="X19" s="33">
        <v>0</v>
      </c>
    </row>
    <row r="20" spans="1:24" x14ac:dyDescent="0.25">
      <c r="A20" s="49" t="s">
        <v>473</v>
      </c>
      <c r="B20" s="2" t="s">
        <v>542</v>
      </c>
      <c r="C20" s="2" t="s">
        <v>556</v>
      </c>
      <c r="D20" s="45" t="s">
        <v>582</v>
      </c>
      <c r="E20" s="45" t="s">
        <v>654</v>
      </c>
      <c r="F20" s="24" t="str">
        <f>HYPERLINK("https://mapwv.gov/flood/map/?wkid=102100&amp;x=-8966556.03371466&amp;y=4762582.343450661&amp;l=13&amp;v=2","FT")</f>
        <v>FT</v>
      </c>
      <c r="G20" s="47" t="s">
        <v>38</v>
      </c>
      <c r="H20" s="23" t="s">
        <v>25</v>
      </c>
      <c r="I20" s="2" t="s">
        <v>726</v>
      </c>
      <c r="J20" s="22" t="s">
        <v>26</v>
      </c>
      <c r="K20" s="47" t="s">
        <v>100</v>
      </c>
      <c r="L20" s="47" t="s">
        <v>27</v>
      </c>
      <c r="M20" s="48" t="s">
        <v>58</v>
      </c>
      <c r="N20" s="3" t="s">
        <v>91</v>
      </c>
      <c r="O20" s="47" t="s">
        <v>800</v>
      </c>
      <c r="P20" s="45" t="s">
        <v>812</v>
      </c>
      <c r="Q20" s="2" t="s">
        <v>30</v>
      </c>
      <c r="R20" s="23" t="s">
        <v>95</v>
      </c>
      <c r="S20" s="30">
        <v>1259300</v>
      </c>
      <c r="T20" s="2" t="s">
        <v>44</v>
      </c>
      <c r="U20" s="31">
        <v>1.7434122999999999</v>
      </c>
      <c r="V20" s="31">
        <v>0.74341225624084395</v>
      </c>
      <c r="W20" s="32">
        <v>7.4341225624084406E-2</v>
      </c>
      <c r="X20" s="33">
        <v>93617.905428409504</v>
      </c>
    </row>
    <row r="21" spans="1:24" x14ac:dyDescent="0.25">
      <c r="A21" s="49" t="s">
        <v>474</v>
      </c>
      <c r="B21" s="2" t="s">
        <v>543</v>
      </c>
      <c r="C21" s="2" t="s">
        <v>557</v>
      </c>
      <c r="D21" s="45" t="s">
        <v>583</v>
      </c>
      <c r="E21" s="45" t="s">
        <v>655</v>
      </c>
      <c r="F21" s="24" t="str">
        <f>HYPERLINK("https://mapwv.gov/flood/map/?wkid=102100&amp;x=-8938201.468507675&amp;y=4758553.01410431&amp;l=13&amp;v=2","FT")</f>
        <v>FT</v>
      </c>
      <c r="G21" s="47" t="s">
        <v>32</v>
      </c>
      <c r="H21" s="23" t="s">
        <v>25</v>
      </c>
      <c r="I21" s="2" t="s">
        <v>727</v>
      </c>
      <c r="J21" s="22" t="s">
        <v>26</v>
      </c>
      <c r="K21" s="47" t="s">
        <v>85</v>
      </c>
      <c r="L21" s="47" t="s">
        <v>37</v>
      </c>
      <c r="M21" s="48" t="s">
        <v>88</v>
      </c>
      <c r="N21" s="3" t="s">
        <v>92</v>
      </c>
      <c r="O21" s="47" t="s">
        <v>801</v>
      </c>
      <c r="P21" s="45" t="s">
        <v>813</v>
      </c>
      <c r="Q21" s="2" t="s">
        <v>30</v>
      </c>
      <c r="R21" s="23" t="s">
        <v>95</v>
      </c>
      <c r="S21" s="30">
        <v>1207000</v>
      </c>
      <c r="T21" s="2" t="s">
        <v>31</v>
      </c>
      <c r="U21" s="31">
        <v>1</v>
      </c>
      <c r="V21" s="31">
        <v>0</v>
      </c>
      <c r="W21" s="32">
        <v>0.01</v>
      </c>
      <c r="X21" s="33">
        <v>12070</v>
      </c>
    </row>
    <row r="22" spans="1:24" x14ac:dyDescent="0.25">
      <c r="A22" s="49" t="s">
        <v>475</v>
      </c>
      <c r="B22" s="2" t="s">
        <v>541</v>
      </c>
      <c r="C22" s="2" t="s">
        <v>552</v>
      </c>
      <c r="D22" s="45" t="s">
        <v>584</v>
      </c>
      <c r="E22" s="45" t="s">
        <v>656</v>
      </c>
      <c r="F22" s="24" t="str">
        <f>HYPERLINK("https://mapwv.gov/flood/map/?wkid=102100&amp;x=-8941053.58484733&amp;y=4760784.358238583&amp;l=13&amp;v=2","FT")</f>
        <v>FT</v>
      </c>
      <c r="G22" s="47" t="s">
        <v>32</v>
      </c>
      <c r="H22" s="23" t="s">
        <v>25</v>
      </c>
      <c r="I22" s="2"/>
      <c r="J22" s="22" t="s">
        <v>26</v>
      </c>
      <c r="K22" s="47" t="s">
        <v>85</v>
      </c>
      <c r="L22" s="47" t="s">
        <v>33</v>
      </c>
      <c r="M22" s="48" t="s">
        <v>88</v>
      </c>
      <c r="N22" s="3" t="s">
        <v>92</v>
      </c>
      <c r="O22" s="47" t="s">
        <v>94</v>
      </c>
      <c r="P22" s="45" t="s">
        <v>814</v>
      </c>
      <c r="Q22" s="2" t="s">
        <v>30</v>
      </c>
      <c r="R22" s="23" t="s">
        <v>95</v>
      </c>
      <c r="S22" s="30">
        <v>1117100</v>
      </c>
      <c r="T22" s="2" t="s">
        <v>44</v>
      </c>
      <c r="U22" s="31">
        <v>2.8608397999999999</v>
      </c>
      <c r="V22" s="31">
        <v>1.86083984375</v>
      </c>
      <c r="W22" s="32">
        <v>0.117216796875</v>
      </c>
      <c r="X22" s="33">
        <v>130942.88378906201</v>
      </c>
    </row>
    <row r="23" spans="1:24" x14ac:dyDescent="0.25">
      <c r="A23" s="49" t="s">
        <v>476</v>
      </c>
      <c r="B23" s="2" t="s">
        <v>539</v>
      </c>
      <c r="C23" s="2" t="s">
        <v>549</v>
      </c>
      <c r="D23" s="45" t="s">
        <v>585</v>
      </c>
      <c r="E23" s="45" t="s">
        <v>657</v>
      </c>
      <c r="F23" s="24" t="str">
        <f>HYPERLINK("https://mapwv.gov/flood/map/?wkid=102100&amp;x=-8933805.977225488&amp;y=4762488.535179202&amp;l=13&amp;v=2","FT")</f>
        <v>FT</v>
      </c>
      <c r="G23" s="47" t="s">
        <v>32</v>
      </c>
      <c r="H23" s="23" t="s">
        <v>25</v>
      </c>
      <c r="I23" s="2" t="s">
        <v>728</v>
      </c>
      <c r="J23" s="22" t="s">
        <v>39</v>
      </c>
      <c r="K23" s="47" t="s">
        <v>785</v>
      </c>
      <c r="L23" s="47" t="s">
        <v>40</v>
      </c>
      <c r="M23" s="48" t="s">
        <v>51</v>
      </c>
      <c r="N23" s="3" t="s">
        <v>35</v>
      </c>
      <c r="O23" s="47" t="s">
        <v>94</v>
      </c>
      <c r="P23" s="45" t="s">
        <v>815</v>
      </c>
      <c r="Q23" s="2" t="s">
        <v>30</v>
      </c>
      <c r="R23" s="23" t="s">
        <v>95</v>
      </c>
      <c r="S23" s="30">
        <v>1077300</v>
      </c>
      <c r="T23" s="2" t="s">
        <v>44</v>
      </c>
      <c r="U23" s="31">
        <v>0</v>
      </c>
      <c r="V23" s="31">
        <v>-1</v>
      </c>
      <c r="W23" s="32">
        <v>0</v>
      </c>
      <c r="X23" s="33">
        <v>0</v>
      </c>
    </row>
    <row r="24" spans="1:24" x14ac:dyDescent="0.25">
      <c r="A24" s="49" t="s">
        <v>477</v>
      </c>
      <c r="B24" s="2" t="s">
        <v>544</v>
      </c>
      <c r="C24" s="2" t="s">
        <v>552</v>
      </c>
      <c r="D24" s="45" t="s">
        <v>586</v>
      </c>
      <c r="E24" s="45" t="s">
        <v>658</v>
      </c>
      <c r="F24" s="24" t="str">
        <f>HYPERLINK("https://mapwv.gov/flood/map/?wkid=102100&amp;x=-8941189.913374929&amp;y=4758531.2985565225&amp;l=13&amp;v=2","FT")</f>
        <v>FT</v>
      </c>
      <c r="G24" s="47" t="s">
        <v>32</v>
      </c>
      <c r="H24" s="23" t="s">
        <v>25</v>
      </c>
      <c r="I24" s="2" t="s">
        <v>729</v>
      </c>
      <c r="J24" s="22" t="s">
        <v>26</v>
      </c>
      <c r="K24" s="47" t="s">
        <v>405</v>
      </c>
      <c r="L24" s="47" t="s">
        <v>27</v>
      </c>
      <c r="M24" s="48" t="s">
        <v>51</v>
      </c>
      <c r="N24" s="3" t="s">
        <v>35</v>
      </c>
      <c r="O24" s="47" t="s">
        <v>93</v>
      </c>
      <c r="P24" s="45" t="s">
        <v>816</v>
      </c>
      <c r="Q24" s="2" t="s">
        <v>30</v>
      </c>
      <c r="R24" s="23" t="s">
        <v>95</v>
      </c>
      <c r="S24" s="30">
        <v>1056500</v>
      </c>
      <c r="T24" s="2" t="s">
        <v>44</v>
      </c>
      <c r="U24" s="31">
        <v>8.2120359999999994</v>
      </c>
      <c r="V24" s="31">
        <v>7.2120361328125</v>
      </c>
      <c r="W24" s="32">
        <v>0.20424072265625001</v>
      </c>
      <c r="X24" s="33">
        <v>215780.32348632801</v>
      </c>
    </row>
    <row r="25" spans="1:24" x14ac:dyDescent="0.25">
      <c r="A25" s="49" t="s">
        <v>478</v>
      </c>
      <c r="B25" s="2" t="s">
        <v>540</v>
      </c>
      <c r="C25" s="2" t="s">
        <v>550</v>
      </c>
      <c r="D25" s="45" t="s">
        <v>587</v>
      </c>
      <c r="E25" s="45" t="s">
        <v>659</v>
      </c>
      <c r="F25" s="24" t="str">
        <f>HYPERLINK("https://mapwv.gov/flood/map/?wkid=102100&amp;x=-8932602.832718097&amp;y=4764185.4787934385&amp;l=13&amp;v=2","FT")</f>
        <v>FT</v>
      </c>
      <c r="G25" s="47" t="s">
        <v>38</v>
      </c>
      <c r="H25" s="23" t="s">
        <v>25</v>
      </c>
      <c r="I25" s="2" t="s">
        <v>730</v>
      </c>
      <c r="J25" s="22" t="s">
        <v>26</v>
      </c>
      <c r="K25" s="47" t="s">
        <v>107</v>
      </c>
      <c r="L25" s="47" t="s">
        <v>57</v>
      </c>
      <c r="M25" s="48" t="s">
        <v>794</v>
      </c>
      <c r="N25" s="3" t="s">
        <v>42</v>
      </c>
      <c r="O25" s="47" t="s">
        <v>800</v>
      </c>
      <c r="P25" s="45" t="s">
        <v>817</v>
      </c>
      <c r="Q25" s="2" t="s">
        <v>43</v>
      </c>
      <c r="R25" s="23" t="s">
        <v>96</v>
      </c>
      <c r="S25" s="30">
        <v>948600</v>
      </c>
      <c r="T25" s="2" t="s">
        <v>31</v>
      </c>
      <c r="U25" s="31">
        <v>0.13952112</v>
      </c>
      <c r="V25" s="31">
        <v>-3.8604788780212398</v>
      </c>
      <c r="W25" s="32">
        <v>0</v>
      </c>
      <c r="X25" s="33">
        <v>0</v>
      </c>
    </row>
    <row r="26" spans="1:24" x14ac:dyDescent="0.25">
      <c r="A26" s="49" t="s">
        <v>479</v>
      </c>
      <c r="B26" s="2" t="s">
        <v>540</v>
      </c>
      <c r="C26" s="2" t="s">
        <v>558</v>
      </c>
      <c r="D26" s="45" t="s">
        <v>588</v>
      </c>
      <c r="E26" s="45" t="s">
        <v>660</v>
      </c>
      <c r="F26" s="24" t="str">
        <f>HYPERLINK("https://mapwv.gov/flood/map/?wkid=102100&amp;x=-8949048.78411308&amp;y=4762756.269596311&amp;l=13&amp;v=2","FT")</f>
        <v>FT</v>
      </c>
      <c r="G26" s="47" t="s">
        <v>327</v>
      </c>
      <c r="H26" s="23" t="s">
        <v>25</v>
      </c>
      <c r="I26" s="2" t="s">
        <v>731</v>
      </c>
      <c r="J26" s="22" t="s">
        <v>39</v>
      </c>
      <c r="K26" s="47" t="s">
        <v>401</v>
      </c>
      <c r="L26" s="47" t="s">
        <v>27</v>
      </c>
      <c r="M26" s="48" t="s">
        <v>795</v>
      </c>
      <c r="N26" s="3" t="s">
        <v>92</v>
      </c>
      <c r="O26" s="47" t="s">
        <v>94</v>
      </c>
      <c r="P26" s="45" t="s">
        <v>818</v>
      </c>
      <c r="Q26" s="2" t="s">
        <v>30</v>
      </c>
      <c r="R26" s="23" t="s">
        <v>95</v>
      </c>
      <c r="S26" s="30">
        <v>928100</v>
      </c>
      <c r="T26" s="2" t="s">
        <v>44</v>
      </c>
      <c r="U26" s="31">
        <v>0.48396384999999997</v>
      </c>
      <c r="V26" s="31">
        <v>-0.51603615283965998</v>
      </c>
      <c r="W26" s="32">
        <v>0</v>
      </c>
      <c r="X26" s="33">
        <v>0</v>
      </c>
    </row>
    <row r="27" spans="1:24" x14ac:dyDescent="0.25">
      <c r="A27" s="49" t="s">
        <v>480</v>
      </c>
      <c r="B27" s="2" t="s">
        <v>540</v>
      </c>
      <c r="C27" s="2" t="s">
        <v>558</v>
      </c>
      <c r="D27" s="45" t="s">
        <v>589</v>
      </c>
      <c r="E27" s="45" t="s">
        <v>661</v>
      </c>
      <c r="F27" s="24" t="str">
        <f>HYPERLINK("https://mapwv.gov/flood/map/?wkid=102100&amp;x=-8949269.710778259&amp;y=4762679.925673103&amp;l=13&amp;v=2","FT")</f>
        <v>FT</v>
      </c>
      <c r="G27" s="47" t="s">
        <v>327</v>
      </c>
      <c r="H27" s="23" t="s">
        <v>25</v>
      </c>
      <c r="I27" s="2" t="s">
        <v>732</v>
      </c>
      <c r="J27" s="22" t="s">
        <v>39</v>
      </c>
      <c r="K27" s="47" t="s">
        <v>401</v>
      </c>
      <c r="L27" s="47" t="s">
        <v>27</v>
      </c>
      <c r="M27" s="48" t="s">
        <v>63</v>
      </c>
      <c r="N27" s="3" t="s">
        <v>35</v>
      </c>
      <c r="O27" s="47" t="s">
        <v>93</v>
      </c>
      <c r="P27" s="45" t="s">
        <v>819</v>
      </c>
      <c r="Q27" s="2" t="s">
        <v>30</v>
      </c>
      <c r="R27" s="23" t="s">
        <v>95</v>
      </c>
      <c r="S27" s="30">
        <v>919600</v>
      </c>
      <c r="T27" s="2" t="s">
        <v>31</v>
      </c>
      <c r="U27" s="31">
        <v>1.6814207000000001</v>
      </c>
      <c r="V27" s="31">
        <v>0.68142068386077803</v>
      </c>
      <c r="W27" s="32">
        <v>3.4071034193038897E-2</v>
      </c>
      <c r="X27" s="33">
        <v>31331.723043918599</v>
      </c>
    </row>
    <row r="28" spans="1:24" x14ac:dyDescent="0.25">
      <c r="A28" s="49" t="s">
        <v>481</v>
      </c>
      <c r="B28" s="2" t="s">
        <v>540</v>
      </c>
      <c r="C28" s="2" t="s">
        <v>559</v>
      </c>
      <c r="D28" s="45" t="s">
        <v>590</v>
      </c>
      <c r="E28" s="45" t="s">
        <v>662</v>
      </c>
      <c r="F28" s="24" t="str">
        <f>HYPERLINK("https://mapwv.gov/flood/map/?wkid=102100&amp;x=-8928614.538114479&amp;y=4763594.0729104215&amp;l=13&amp;v=2","FT")</f>
        <v>FT</v>
      </c>
      <c r="G28" s="47" t="s">
        <v>38</v>
      </c>
      <c r="H28" s="23" t="s">
        <v>25</v>
      </c>
      <c r="I28" s="2"/>
      <c r="J28" s="22" t="s">
        <v>39</v>
      </c>
      <c r="K28" s="47" t="s">
        <v>388</v>
      </c>
      <c r="L28" s="47"/>
      <c r="M28" s="48" t="s">
        <v>51</v>
      </c>
      <c r="N28" s="3" t="s">
        <v>35</v>
      </c>
      <c r="O28" s="47" t="s">
        <v>94</v>
      </c>
      <c r="P28" s="45" t="s">
        <v>820</v>
      </c>
      <c r="Q28" s="2" t="s">
        <v>30</v>
      </c>
      <c r="R28" s="23" t="s">
        <v>95</v>
      </c>
      <c r="S28" s="30">
        <v>896223</v>
      </c>
      <c r="T28" s="2" t="s">
        <v>97</v>
      </c>
      <c r="U28" s="31">
        <v>0.52563393000000003</v>
      </c>
      <c r="V28" s="31">
        <v>-0.47436606884002602</v>
      </c>
      <c r="W28" s="32">
        <v>5.25633931159973E-3</v>
      </c>
      <c r="X28" s="33">
        <v>4710.85218685984</v>
      </c>
    </row>
    <row r="29" spans="1:24" x14ac:dyDescent="0.25">
      <c r="A29" s="49" t="s">
        <v>482</v>
      </c>
      <c r="B29" s="2" t="s">
        <v>540</v>
      </c>
      <c r="C29" s="2" t="s">
        <v>555</v>
      </c>
      <c r="D29" s="45" t="s">
        <v>591</v>
      </c>
      <c r="E29" s="45" t="s">
        <v>663</v>
      </c>
      <c r="F29" s="24" t="str">
        <f>HYPERLINK("https://mapwv.gov/flood/map/?wkid=102100&amp;x=-8930259.9013028&amp;y=4771557.005949147&amp;l=13&amp;v=2","FT")</f>
        <v>FT</v>
      </c>
      <c r="G29" s="47" t="s">
        <v>32</v>
      </c>
      <c r="H29" s="23" t="s">
        <v>25</v>
      </c>
      <c r="I29" s="2" t="s">
        <v>733</v>
      </c>
      <c r="J29" s="22" t="s">
        <v>39</v>
      </c>
      <c r="K29" s="47" t="s">
        <v>786</v>
      </c>
      <c r="L29" s="47" t="s">
        <v>53</v>
      </c>
      <c r="M29" s="48" t="s">
        <v>63</v>
      </c>
      <c r="N29" s="3" t="s">
        <v>35</v>
      </c>
      <c r="O29" s="47" t="s">
        <v>93</v>
      </c>
      <c r="P29" s="45" t="s">
        <v>821</v>
      </c>
      <c r="Q29" s="2" t="s">
        <v>30</v>
      </c>
      <c r="R29" s="23" t="s">
        <v>95</v>
      </c>
      <c r="S29" s="30">
        <v>866600</v>
      </c>
      <c r="T29" s="2" t="s">
        <v>31</v>
      </c>
      <c r="U29" s="31">
        <v>0.19055175999999999</v>
      </c>
      <c r="V29" s="31">
        <v>-0.8094482421875</v>
      </c>
      <c r="W29" s="32">
        <v>0</v>
      </c>
      <c r="X29" s="33">
        <v>0</v>
      </c>
    </row>
    <row r="30" spans="1:24" x14ac:dyDescent="0.25">
      <c r="A30" s="49" t="s">
        <v>483</v>
      </c>
      <c r="B30" s="2" t="s">
        <v>545</v>
      </c>
      <c r="C30" s="2" t="s">
        <v>560</v>
      </c>
      <c r="D30" s="45" t="s">
        <v>592</v>
      </c>
      <c r="E30" s="45" t="s">
        <v>664</v>
      </c>
      <c r="F30" s="24" t="str">
        <f>HYPERLINK("https://mapwv.gov/flood/map/?wkid=102100&amp;x=-8944175.402264418&amp;y=4775241.643663567&amp;l=13&amp;v=2","FT")</f>
        <v>FT</v>
      </c>
      <c r="G30" s="47" t="s">
        <v>32</v>
      </c>
      <c r="H30" s="23" t="s">
        <v>25</v>
      </c>
      <c r="I30" s="2" t="s">
        <v>734</v>
      </c>
      <c r="J30" s="22" t="s">
        <v>39</v>
      </c>
      <c r="K30" s="47" t="s">
        <v>402</v>
      </c>
      <c r="L30" s="47" t="s">
        <v>27</v>
      </c>
      <c r="M30" s="48" t="s">
        <v>58</v>
      </c>
      <c r="N30" s="3" t="s">
        <v>91</v>
      </c>
      <c r="O30" s="47" t="s">
        <v>93</v>
      </c>
      <c r="P30" s="45" t="s">
        <v>822</v>
      </c>
      <c r="Q30" s="2" t="s">
        <v>30</v>
      </c>
      <c r="R30" s="23" t="s">
        <v>95</v>
      </c>
      <c r="S30" s="30">
        <v>846900</v>
      </c>
      <c r="T30" s="2" t="s">
        <v>44</v>
      </c>
      <c r="U30" s="31">
        <v>3.1210327000000002</v>
      </c>
      <c r="V30" s="31">
        <v>2.12103271484375</v>
      </c>
      <c r="W30" s="32">
        <v>0.11</v>
      </c>
      <c r="X30" s="33">
        <v>93159</v>
      </c>
    </row>
    <row r="31" spans="1:24" x14ac:dyDescent="0.25">
      <c r="A31" s="49" t="s">
        <v>484</v>
      </c>
      <c r="B31" s="2" t="s">
        <v>540</v>
      </c>
      <c r="C31" s="2" t="s">
        <v>552</v>
      </c>
      <c r="D31" s="45" t="s">
        <v>593</v>
      </c>
      <c r="E31" s="45" t="s">
        <v>665</v>
      </c>
      <c r="F31" s="24" t="str">
        <f>HYPERLINK("https://mapwv.gov/flood/map/?wkid=102100&amp;x=-8935734.687479706&amp;y=4747648.846743906&amp;l=13&amp;v=2","FT")</f>
        <v>FT</v>
      </c>
      <c r="G31" s="47" t="s">
        <v>32</v>
      </c>
      <c r="H31" s="23" t="s">
        <v>719</v>
      </c>
      <c r="I31" s="2" t="s">
        <v>735</v>
      </c>
      <c r="J31" s="22" t="s">
        <v>39</v>
      </c>
      <c r="K31" s="47" t="s">
        <v>787</v>
      </c>
      <c r="L31" s="47" t="s">
        <v>27</v>
      </c>
      <c r="M31" s="48" t="s">
        <v>51</v>
      </c>
      <c r="N31" s="3" t="s">
        <v>35</v>
      </c>
      <c r="O31" s="47" t="s">
        <v>94</v>
      </c>
      <c r="P31" s="45" t="s">
        <v>823</v>
      </c>
      <c r="Q31" s="2" t="s">
        <v>30</v>
      </c>
      <c r="R31" s="23" t="s">
        <v>95</v>
      </c>
      <c r="S31" s="30">
        <v>826100</v>
      </c>
      <c r="T31" s="2" t="s">
        <v>44</v>
      </c>
      <c r="U31" s="31">
        <v>1</v>
      </c>
      <c r="V31" s="31">
        <v>0</v>
      </c>
      <c r="W31" s="32">
        <v>0.01</v>
      </c>
      <c r="X31" s="33">
        <v>8261</v>
      </c>
    </row>
    <row r="32" spans="1:24" x14ac:dyDescent="0.25">
      <c r="A32" s="49" t="s">
        <v>874</v>
      </c>
      <c r="B32" s="2" t="s">
        <v>540</v>
      </c>
      <c r="C32" s="2" t="s">
        <v>875</v>
      </c>
      <c r="D32" s="45" t="s">
        <v>876</v>
      </c>
      <c r="E32" s="45" t="s">
        <v>877</v>
      </c>
      <c r="F32" s="24" t="str">
        <f>HYPERLINK("https://www.mapwv.gov/flood/map/?wkid=102100&amp;x=-8945656&amp;y=4775974&amp;l=13&amp;v=2","FT")</f>
        <v>FT</v>
      </c>
      <c r="G32" s="47" t="s">
        <v>38</v>
      </c>
      <c r="H32" s="23" t="s">
        <v>25</v>
      </c>
      <c r="I32" s="2" t="s">
        <v>878</v>
      </c>
      <c r="J32" s="22" t="s">
        <v>36</v>
      </c>
      <c r="K32" s="47" t="s">
        <v>77</v>
      </c>
      <c r="L32" s="47"/>
      <c r="M32" s="48" t="s">
        <v>28</v>
      </c>
      <c r="N32" s="3" t="s">
        <v>90</v>
      </c>
      <c r="O32" s="47" t="s">
        <v>93</v>
      </c>
      <c r="P32" s="48">
        <v>2700</v>
      </c>
      <c r="Q32" s="2" t="s">
        <v>30</v>
      </c>
      <c r="R32" s="23" t="s">
        <v>95</v>
      </c>
      <c r="S32" s="30">
        <v>810000</v>
      </c>
      <c r="T32" s="2" t="s">
        <v>29</v>
      </c>
      <c r="U32" s="31">
        <v>0</v>
      </c>
      <c r="V32" s="31"/>
      <c r="W32" s="32">
        <v>0</v>
      </c>
      <c r="X32" s="33">
        <v>0</v>
      </c>
    </row>
    <row r="33" spans="1:24" x14ac:dyDescent="0.25">
      <c r="A33" s="49" t="s">
        <v>485</v>
      </c>
      <c r="B33" s="2" t="s">
        <v>539</v>
      </c>
      <c r="C33" s="2" t="s">
        <v>561</v>
      </c>
      <c r="D33" s="45" t="s">
        <v>594</v>
      </c>
      <c r="E33" s="45" t="s">
        <v>666</v>
      </c>
      <c r="F33" s="24" t="str">
        <f>HYPERLINK("https://mapwv.gov/flood/map/?wkid=102100&amp;x=-8936025.120253824&amp;y=4766037.700866348&amp;l=13&amp;v=2","FT")</f>
        <v>FT</v>
      </c>
      <c r="G33" s="47" t="s">
        <v>54</v>
      </c>
      <c r="H33" s="23" t="s">
        <v>25</v>
      </c>
      <c r="I33" s="2" t="s">
        <v>736</v>
      </c>
      <c r="J33" s="22" t="s">
        <v>39</v>
      </c>
      <c r="K33" s="47" t="s">
        <v>784</v>
      </c>
      <c r="L33" s="47" t="s">
        <v>27</v>
      </c>
      <c r="M33" s="48" t="s">
        <v>62</v>
      </c>
      <c r="N33" s="3" t="s">
        <v>42</v>
      </c>
      <c r="O33" s="47" t="s">
        <v>94</v>
      </c>
      <c r="P33" s="45" t="s">
        <v>824</v>
      </c>
      <c r="Q33" s="2" t="s">
        <v>30</v>
      </c>
      <c r="R33" s="23" t="s">
        <v>95</v>
      </c>
      <c r="S33" s="30">
        <v>768000</v>
      </c>
      <c r="T33" s="2" t="s">
        <v>44</v>
      </c>
      <c r="U33" s="31">
        <v>3.5483349999999998</v>
      </c>
      <c r="V33" s="31">
        <v>2.54833507537841</v>
      </c>
      <c r="W33" s="32">
        <v>5.5483350753784098E-2</v>
      </c>
      <c r="X33" s="33">
        <v>42611.213378906199</v>
      </c>
    </row>
    <row r="34" spans="1:24" x14ac:dyDescent="0.25">
      <c r="A34" s="49" t="s">
        <v>486</v>
      </c>
      <c r="B34" s="2" t="s">
        <v>539</v>
      </c>
      <c r="C34" s="2" t="s">
        <v>551</v>
      </c>
      <c r="D34" s="45" t="s">
        <v>595</v>
      </c>
      <c r="E34" s="45" t="s">
        <v>667</v>
      </c>
      <c r="F34" s="24" t="str">
        <f>HYPERLINK("https://mapwv.gov/flood/map/?wkid=102100&amp;x=-8934031.747846993&amp;y=4761628.761473272&amp;l=13&amp;v=2","FT")</f>
        <v>FT</v>
      </c>
      <c r="G34" s="47" t="s">
        <v>38</v>
      </c>
      <c r="H34" s="23" t="s">
        <v>25</v>
      </c>
      <c r="I34" s="2" t="s">
        <v>737</v>
      </c>
      <c r="J34" s="22" t="s">
        <v>26</v>
      </c>
      <c r="K34" s="47" t="s">
        <v>85</v>
      </c>
      <c r="L34" s="47" t="s">
        <v>38</v>
      </c>
      <c r="M34" s="48" t="s">
        <v>796</v>
      </c>
      <c r="N34" s="3" t="s">
        <v>35</v>
      </c>
      <c r="O34" s="47" t="s">
        <v>93</v>
      </c>
      <c r="P34" s="45" t="s">
        <v>825</v>
      </c>
      <c r="Q34" s="2" t="s">
        <v>30</v>
      </c>
      <c r="R34" s="23" t="s">
        <v>95</v>
      </c>
      <c r="S34" s="30">
        <v>767900</v>
      </c>
      <c r="T34" s="2" t="s">
        <v>44</v>
      </c>
      <c r="U34" s="31">
        <v>2.0534949999999998</v>
      </c>
      <c r="V34" s="31">
        <v>1.05349493026733</v>
      </c>
      <c r="W34" s="32">
        <v>0.11</v>
      </c>
      <c r="X34" s="33">
        <v>84469</v>
      </c>
    </row>
    <row r="35" spans="1:24" x14ac:dyDescent="0.25">
      <c r="A35" s="49" t="s">
        <v>487</v>
      </c>
      <c r="B35" s="2" t="s">
        <v>546</v>
      </c>
      <c r="C35" s="2" t="s">
        <v>553</v>
      </c>
      <c r="D35" s="45" t="s">
        <v>596</v>
      </c>
      <c r="E35" s="45" t="s">
        <v>668</v>
      </c>
      <c r="F35" s="24" t="str">
        <f>HYPERLINK("https://mapwv.gov/flood/map/?wkid=102100&amp;x=-8939603.15388725&amp;y=4778208.182104409&amp;l=13&amp;v=2","FT")</f>
        <v>FT</v>
      </c>
      <c r="G35" s="47" t="s">
        <v>54</v>
      </c>
      <c r="H35" s="23" t="s">
        <v>25</v>
      </c>
      <c r="I35" s="2" t="s">
        <v>738</v>
      </c>
      <c r="J35" s="22" t="s">
        <v>116</v>
      </c>
      <c r="K35" s="47" t="s">
        <v>76</v>
      </c>
      <c r="L35" s="47" t="s">
        <v>50</v>
      </c>
      <c r="M35" s="48" t="s">
        <v>47</v>
      </c>
      <c r="N35" s="3" t="s">
        <v>35</v>
      </c>
      <c r="O35" s="47" t="s">
        <v>93</v>
      </c>
      <c r="P35" s="45" t="s">
        <v>826</v>
      </c>
      <c r="Q35" s="2" t="s">
        <v>30</v>
      </c>
      <c r="R35" s="23" t="s">
        <v>95</v>
      </c>
      <c r="S35" s="30">
        <v>754600</v>
      </c>
      <c r="T35" s="2" t="s">
        <v>44</v>
      </c>
      <c r="U35" s="31">
        <v>1</v>
      </c>
      <c r="V35" s="31">
        <v>0</v>
      </c>
      <c r="W35" s="32">
        <v>0.01</v>
      </c>
      <c r="X35" s="33">
        <v>7546</v>
      </c>
    </row>
    <row r="36" spans="1:24" x14ac:dyDescent="0.25">
      <c r="A36" s="49" t="s">
        <v>488</v>
      </c>
      <c r="B36" s="2" t="s">
        <v>540</v>
      </c>
      <c r="C36" s="2" t="s">
        <v>553</v>
      </c>
      <c r="D36" s="45" t="s">
        <v>597</v>
      </c>
      <c r="E36" s="45" t="s">
        <v>669</v>
      </c>
      <c r="F36" s="24" t="str">
        <f>HYPERLINK("https://mapwv.gov/flood/map/?wkid=102100&amp;x=-8946574.522971923&amp;y=4760688.265259311&amp;l=13&amp;v=2","FT")</f>
        <v>FT</v>
      </c>
      <c r="G36" s="47" t="s">
        <v>32</v>
      </c>
      <c r="H36" s="23" t="s">
        <v>25</v>
      </c>
      <c r="I36" s="2" t="s">
        <v>739</v>
      </c>
      <c r="J36" s="22" t="s">
        <v>39</v>
      </c>
      <c r="K36" s="47" t="s">
        <v>123</v>
      </c>
      <c r="L36" s="47" t="s">
        <v>27</v>
      </c>
      <c r="M36" s="48" t="s">
        <v>47</v>
      </c>
      <c r="N36" s="3" t="s">
        <v>35</v>
      </c>
      <c r="O36" s="47" t="s">
        <v>93</v>
      </c>
      <c r="P36" s="45" t="s">
        <v>827</v>
      </c>
      <c r="Q36" s="2" t="s">
        <v>30</v>
      </c>
      <c r="R36" s="23" t="s">
        <v>95</v>
      </c>
      <c r="S36" s="30">
        <v>717600</v>
      </c>
      <c r="T36" s="2" t="s">
        <v>44</v>
      </c>
      <c r="U36" s="31">
        <v>0</v>
      </c>
      <c r="V36" s="31">
        <v>-1</v>
      </c>
      <c r="W36" s="32">
        <v>0</v>
      </c>
      <c r="X36" s="33">
        <v>0</v>
      </c>
    </row>
    <row r="37" spans="1:24" x14ac:dyDescent="0.25">
      <c r="A37" s="49" t="s">
        <v>489</v>
      </c>
      <c r="B37" s="2" t="s">
        <v>540</v>
      </c>
      <c r="C37" s="2" t="s">
        <v>549</v>
      </c>
      <c r="D37" s="45" t="s">
        <v>598</v>
      </c>
      <c r="E37" s="45" t="s">
        <v>670</v>
      </c>
      <c r="F37" s="24" t="str">
        <f>HYPERLINK("https://mapwv.gov/flood/map/?wkid=102100&amp;x=-8930811.505075734&amp;y=4761616.352349126&amp;l=13&amp;v=2","FT")</f>
        <v>FT</v>
      </c>
      <c r="G37" s="47" t="s">
        <v>32</v>
      </c>
      <c r="H37" s="23" t="s">
        <v>25</v>
      </c>
      <c r="I37" s="2" t="s">
        <v>740</v>
      </c>
      <c r="J37" s="22" t="s">
        <v>26</v>
      </c>
      <c r="K37" s="47" t="s">
        <v>74</v>
      </c>
      <c r="L37" s="47" t="s">
        <v>27</v>
      </c>
      <c r="M37" s="48" t="s">
        <v>58</v>
      </c>
      <c r="N37" s="3" t="s">
        <v>91</v>
      </c>
      <c r="O37" s="47" t="s">
        <v>93</v>
      </c>
      <c r="P37" s="45" t="s">
        <v>828</v>
      </c>
      <c r="Q37" s="2" t="s">
        <v>30</v>
      </c>
      <c r="R37" s="23" t="s">
        <v>95</v>
      </c>
      <c r="S37" s="30">
        <v>700900</v>
      </c>
      <c r="T37" s="2" t="s">
        <v>44</v>
      </c>
      <c r="U37" s="31">
        <v>0</v>
      </c>
      <c r="V37" s="31">
        <v>-1</v>
      </c>
      <c r="W37" s="32">
        <v>0</v>
      </c>
      <c r="X37" s="33">
        <v>0</v>
      </c>
    </row>
    <row r="38" spans="1:24" x14ac:dyDescent="0.25">
      <c r="A38" s="49" t="s">
        <v>491</v>
      </c>
      <c r="B38" s="2" t="s">
        <v>540</v>
      </c>
      <c r="C38" s="2" t="s">
        <v>550</v>
      </c>
      <c r="D38" s="45" t="s">
        <v>587</v>
      </c>
      <c r="E38" s="45" t="s">
        <v>672</v>
      </c>
      <c r="F38" s="24" t="str">
        <f>HYPERLINK("https://mapwv.gov/flood/map/?wkid=102100&amp;x=-8932559.591218496&amp;y=4764219.50722351&amp;l=13&amp;v=2","FT")</f>
        <v>FT</v>
      </c>
      <c r="G38" s="47" t="s">
        <v>38</v>
      </c>
      <c r="H38" s="23" t="s">
        <v>25</v>
      </c>
      <c r="I38" s="2" t="s">
        <v>730</v>
      </c>
      <c r="J38" s="22" t="s">
        <v>26</v>
      </c>
      <c r="K38" s="47" t="s">
        <v>107</v>
      </c>
      <c r="L38" s="47" t="s">
        <v>57</v>
      </c>
      <c r="M38" s="48" t="s">
        <v>794</v>
      </c>
      <c r="N38" s="3" t="s">
        <v>42</v>
      </c>
      <c r="O38" s="47" t="s">
        <v>800</v>
      </c>
      <c r="P38" s="45" t="s">
        <v>829</v>
      </c>
      <c r="Q38" s="2" t="s">
        <v>43</v>
      </c>
      <c r="R38" s="23" t="s">
        <v>96</v>
      </c>
      <c r="S38" s="30">
        <v>620000</v>
      </c>
      <c r="T38" s="2" t="s">
        <v>873</v>
      </c>
      <c r="U38" s="31">
        <v>0.46687066999999999</v>
      </c>
      <c r="V38" s="31">
        <v>-3.5331293344497601</v>
      </c>
      <c r="W38" s="32">
        <v>0</v>
      </c>
      <c r="X38" s="33">
        <v>0</v>
      </c>
    </row>
    <row r="39" spans="1:24" x14ac:dyDescent="0.25">
      <c r="A39" s="49" t="s">
        <v>492</v>
      </c>
      <c r="B39" s="2" t="s">
        <v>541</v>
      </c>
      <c r="C39" s="2" t="s">
        <v>552</v>
      </c>
      <c r="D39" s="45" t="s">
        <v>600</v>
      </c>
      <c r="E39" s="45" t="s">
        <v>673</v>
      </c>
      <c r="F39" s="24" t="str">
        <f>HYPERLINK("https://mapwv.gov/flood/map/?wkid=102100&amp;x=-8944466.062575573&amp;y=4762250.717486637&amp;l=13&amp;v=2","FT")</f>
        <v>FT</v>
      </c>
      <c r="G39" s="47" t="s">
        <v>32</v>
      </c>
      <c r="H39" s="23" t="s">
        <v>25</v>
      </c>
      <c r="I39" s="2" t="s">
        <v>742</v>
      </c>
      <c r="J39" s="22" t="s">
        <v>39</v>
      </c>
      <c r="K39" s="47" t="s">
        <v>83</v>
      </c>
      <c r="L39" s="47" t="s">
        <v>27</v>
      </c>
      <c r="M39" s="48" t="s">
        <v>47</v>
      </c>
      <c r="N39" s="3" t="s">
        <v>35</v>
      </c>
      <c r="O39" s="47" t="s">
        <v>93</v>
      </c>
      <c r="P39" s="45" t="s">
        <v>830</v>
      </c>
      <c r="Q39" s="2" t="s">
        <v>30</v>
      </c>
      <c r="R39" s="23" t="s">
        <v>95</v>
      </c>
      <c r="S39" s="30">
        <v>596300</v>
      </c>
      <c r="T39" s="2" t="s">
        <v>44</v>
      </c>
      <c r="U39" s="31">
        <v>0</v>
      </c>
      <c r="V39" s="31">
        <v>-1</v>
      </c>
      <c r="W39" s="32">
        <v>0</v>
      </c>
      <c r="X39" s="33">
        <v>0</v>
      </c>
    </row>
    <row r="40" spans="1:24" x14ac:dyDescent="0.25">
      <c r="A40" s="49" t="s">
        <v>493</v>
      </c>
      <c r="B40" s="2" t="s">
        <v>540</v>
      </c>
      <c r="C40" s="2" t="s">
        <v>553</v>
      </c>
      <c r="D40" s="45" t="s">
        <v>601</v>
      </c>
      <c r="E40" s="45" t="s">
        <v>674</v>
      </c>
      <c r="F40" s="24" t="str">
        <f>HYPERLINK("https://mapwv.gov/flood/map/?wkid=102100&amp;x=-8944965.537991311&amp;y=4760115.4297263995&amp;l=13&amp;v=2","FT")</f>
        <v>FT</v>
      </c>
      <c r="G40" s="47" t="s">
        <v>32</v>
      </c>
      <c r="H40" s="23" t="s">
        <v>25</v>
      </c>
      <c r="I40" s="2" t="s">
        <v>743</v>
      </c>
      <c r="J40" s="22" t="s">
        <v>39</v>
      </c>
      <c r="K40" s="47" t="s">
        <v>82</v>
      </c>
      <c r="L40" s="47" t="s">
        <v>27</v>
      </c>
      <c r="M40" s="48" t="s">
        <v>47</v>
      </c>
      <c r="N40" s="3" t="s">
        <v>35</v>
      </c>
      <c r="O40" s="47" t="s">
        <v>93</v>
      </c>
      <c r="P40" s="45" t="s">
        <v>831</v>
      </c>
      <c r="Q40" s="2" t="s">
        <v>30</v>
      </c>
      <c r="R40" s="23" t="s">
        <v>95</v>
      </c>
      <c r="S40" s="30">
        <v>592400</v>
      </c>
      <c r="T40" s="2" t="s">
        <v>44</v>
      </c>
      <c r="U40" s="31">
        <v>0</v>
      </c>
      <c r="V40" s="31">
        <v>-1</v>
      </c>
      <c r="W40" s="32">
        <v>0</v>
      </c>
      <c r="X40" s="33">
        <v>0</v>
      </c>
    </row>
    <row r="41" spans="1:24" x14ac:dyDescent="0.25">
      <c r="A41" s="49" t="s">
        <v>494</v>
      </c>
      <c r="B41" s="2" t="s">
        <v>547</v>
      </c>
      <c r="C41" s="2" t="s">
        <v>562</v>
      </c>
      <c r="D41" s="45" t="s">
        <v>602</v>
      </c>
      <c r="E41" s="45" t="s">
        <v>675</v>
      </c>
      <c r="F41" s="24" t="str">
        <f>HYPERLINK("https://mapwv.gov/flood/map/?wkid=102100&amp;x=-8944659.246976497&amp;y=4744646.582741164&amp;l=13&amp;v=2","FT")</f>
        <v>FT</v>
      </c>
      <c r="G41" s="47" t="s">
        <v>32</v>
      </c>
      <c r="H41" s="23" t="s">
        <v>25</v>
      </c>
      <c r="I41" s="2" t="s">
        <v>744</v>
      </c>
      <c r="J41" s="22" t="s">
        <v>39</v>
      </c>
      <c r="K41" s="47" t="s">
        <v>405</v>
      </c>
      <c r="L41" s="47" t="s">
        <v>57</v>
      </c>
      <c r="M41" s="48" t="s">
        <v>796</v>
      </c>
      <c r="N41" s="3" t="s">
        <v>35</v>
      </c>
      <c r="O41" s="47" t="s">
        <v>93</v>
      </c>
      <c r="P41" s="45" t="s">
        <v>832</v>
      </c>
      <c r="Q41" s="2" t="s">
        <v>30</v>
      </c>
      <c r="R41" s="23" t="s">
        <v>95</v>
      </c>
      <c r="S41" s="30">
        <v>579200</v>
      </c>
      <c r="T41" s="2" t="s">
        <v>44</v>
      </c>
      <c r="U41" s="31">
        <v>0</v>
      </c>
      <c r="V41" s="31">
        <v>-1</v>
      </c>
      <c r="W41" s="32">
        <v>0</v>
      </c>
      <c r="X41" s="33">
        <v>0</v>
      </c>
    </row>
    <row r="42" spans="1:24" x14ac:dyDescent="0.25">
      <c r="A42" s="49" t="s">
        <v>495</v>
      </c>
      <c r="B42" s="2" t="s">
        <v>539</v>
      </c>
      <c r="C42" s="2" t="s">
        <v>550</v>
      </c>
      <c r="D42" s="45" t="s">
        <v>603</v>
      </c>
      <c r="E42" s="45" t="s">
        <v>676</v>
      </c>
      <c r="F42" s="24" t="str">
        <f>HYPERLINK("https://mapwv.gov/flood/map/?wkid=102100&amp;x=-8932848.218835749&amp;y=4763524.087666623&amp;l=13&amp;v=2","FT")</f>
        <v>FT</v>
      </c>
      <c r="G42" s="47" t="s">
        <v>32</v>
      </c>
      <c r="H42" s="23" t="s">
        <v>25</v>
      </c>
      <c r="I42" s="2" t="s">
        <v>745</v>
      </c>
      <c r="J42" s="22" t="s">
        <v>26</v>
      </c>
      <c r="K42" s="47" t="s">
        <v>100</v>
      </c>
      <c r="L42" s="47" t="s">
        <v>57</v>
      </c>
      <c r="M42" s="48" t="s">
        <v>794</v>
      </c>
      <c r="N42" s="3" t="s">
        <v>42</v>
      </c>
      <c r="O42" s="47" t="s">
        <v>94</v>
      </c>
      <c r="P42" s="45" t="s">
        <v>833</v>
      </c>
      <c r="Q42" s="2" t="s">
        <v>30</v>
      </c>
      <c r="R42" s="23" t="s">
        <v>95</v>
      </c>
      <c r="S42" s="30">
        <v>575300</v>
      </c>
      <c r="T42" s="2" t="s">
        <v>31</v>
      </c>
      <c r="U42" s="31">
        <v>0</v>
      </c>
      <c r="V42" s="31">
        <v>-1</v>
      </c>
      <c r="W42" s="32">
        <v>0</v>
      </c>
      <c r="X42" s="33">
        <v>0</v>
      </c>
    </row>
    <row r="43" spans="1:24" x14ac:dyDescent="0.25">
      <c r="A43" s="49" t="s">
        <v>497</v>
      </c>
      <c r="B43" s="2" t="s">
        <v>546</v>
      </c>
      <c r="C43" s="2" t="s">
        <v>563</v>
      </c>
      <c r="D43" s="45" t="s">
        <v>605</v>
      </c>
      <c r="E43" s="45" t="s">
        <v>678</v>
      </c>
      <c r="F43" s="24" t="str">
        <f>HYPERLINK("https://mapwv.gov/flood/map/?wkid=102100&amp;x=-8939695.024415847&amp;y=4778013.5303010205&amp;l=13&amp;v=2","FT")</f>
        <v>FT</v>
      </c>
      <c r="G43" s="47" t="s">
        <v>54</v>
      </c>
      <c r="H43" s="23" t="s">
        <v>25</v>
      </c>
      <c r="I43" s="2" t="s">
        <v>747</v>
      </c>
      <c r="J43" s="22" t="s">
        <v>39</v>
      </c>
      <c r="K43" s="47" t="s">
        <v>398</v>
      </c>
      <c r="L43" s="47" t="s">
        <v>37</v>
      </c>
      <c r="M43" s="48" t="s">
        <v>88</v>
      </c>
      <c r="N43" s="3" t="s">
        <v>92</v>
      </c>
      <c r="O43" s="47" t="s">
        <v>93</v>
      </c>
      <c r="P43" s="45" t="s">
        <v>834</v>
      </c>
      <c r="Q43" s="2" t="s">
        <v>30</v>
      </c>
      <c r="R43" s="23" t="s">
        <v>95</v>
      </c>
      <c r="S43" s="30">
        <v>562000</v>
      </c>
      <c r="T43" s="2" t="s">
        <v>44</v>
      </c>
      <c r="U43" s="31">
        <v>0.61700440000000001</v>
      </c>
      <c r="V43" s="31">
        <v>-0.38299560546875</v>
      </c>
      <c r="W43" s="32">
        <v>6.1700439453125002E-3</v>
      </c>
      <c r="X43" s="33">
        <v>3467.56469726562</v>
      </c>
    </row>
    <row r="44" spans="1:24" x14ac:dyDescent="0.25">
      <c r="A44" s="49" t="s">
        <v>498</v>
      </c>
      <c r="B44" s="2" t="s">
        <v>541</v>
      </c>
      <c r="C44" s="2" t="s">
        <v>552</v>
      </c>
      <c r="D44" s="45" t="s">
        <v>606</v>
      </c>
      <c r="E44" s="45" t="s">
        <v>679</v>
      </c>
      <c r="F44" s="24" t="str">
        <f>HYPERLINK("https://mapwv.gov/flood/map/?wkid=102100&amp;x=-8942908.36125986&amp;y=4761610.071502275&amp;l=13&amp;v=2","FT")</f>
        <v>FT</v>
      </c>
      <c r="G44" s="47" t="s">
        <v>54</v>
      </c>
      <c r="H44" s="23" t="s">
        <v>25</v>
      </c>
      <c r="I44" s="2" t="s">
        <v>748</v>
      </c>
      <c r="J44" s="22" t="s">
        <v>116</v>
      </c>
      <c r="K44" s="47" t="s">
        <v>85</v>
      </c>
      <c r="L44" s="47" t="s">
        <v>38</v>
      </c>
      <c r="M44" s="48" t="s">
        <v>796</v>
      </c>
      <c r="N44" s="3" t="s">
        <v>35</v>
      </c>
      <c r="O44" s="47" t="s">
        <v>93</v>
      </c>
      <c r="P44" s="45" t="s">
        <v>835</v>
      </c>
      <c r="Q44" s="2" t="s">
        <v>30</v>
      </c>
      <c r="R44" s="23" t="s">
        <v>95</v>
      </c>
      <c r="S44" s="30">
        <v>516600</v>
      </c>
      <c r="T44" s="2" t="s">
        <v>44</v>
      </c>
      <c r="U44" s="31">
        <v>1.3398437999999999</v>
      </c>
      <c r="V44" s="31">
        <v>0.33984375</v>
      </c>
      <c r="W44" s="32">
        <v>3.7382812500000001E-2</v>
      </c>
      <c r="X44" s="33">
        <v>19311.9609375</v>
      </c>
    </row>
    <row r="45" spans="1:24" x14ac:dyDescent="0.25">
      <c r="A45" s="49" t="s">
        <v>499</v>
      </c>
      <c r="B45" s="2" t="s">
        <v>540</v>
      </c>
      <c r="C45" s="2" t="s">
        <v>552</v>
      </c>
      <c r="D45" s="45" t="s">
        <v>607</v>
      </c>
      <c r="E45" s="45" t="s">
        <v>680</v>
      </c>
      <c r="F45" s="24" t="str">
        <f>HYPERLINK("https://mapwv.gov/flood/map/?wkid=102100&amp;x=-8940231.79675906&amp;y=4756133.439080785&amp;l=13&amp;v=2","FT")</f>
        <v>FT</v>
      </c>
      <c r="G45" s="47" t="s">
        <v>32</v>
      </c>
      <c r="H45" s="23" t="s">
        <v>719</v>
      </c>
      <c r="I45" s="2" t="s">
        <v>749</v>
      </c>
      <c r="J45" s="22" t="s">
        <v>26</v>
      </c>
      <c r="K45" s="47" t="s">
        <v>98</v>
      </c>
      <c r="L45" s="47" t="s">
        <v>57</v>
      </c>
      <c r="M45" s="48" t="s">
        <v>47</v>
      </c>
      <c r="N45" s="3" t="s">
        <v>35</v>
      </c>
      <c r="O45" s="47" t="s">
        <v>93</v>
      </c>
      <c r="P45" s="45" t="s">
        <v>836</v>
      </c>
      <c r="Q45" s="2" t="s">
        <v>30</v>
      </c>
      <c r="R45" s="23" t="s">
        <v>95</v>
      </c>
      <c r="S45" s="30">
        <v>507720</v>
      </c>
      <c r="T45" s="2" t="s">
        <v>31</v>
      </c>
      <c r="U45" s="31">
        <v>2.6702880000000002</v>
      </c>
      <c r="V45" s="31">
        <v>1.6702880859375</v>
      </c>
      <c r="W45" s="32">
        <v>0.123514404296875</v>
      </c>
      <c r="X45" s="33">
        <v>62710.733349609298</v>
      </c>
    </row>
    <row r="46" spans="1:24" x14ac:dyDescent="0.25">
      <c r="A46" s="49" t="s">
        <v>500</v>
      </c>
      <c r="B46" s="2" t="s">
        <v>540</v>
      </c>
      <c r="C46" s="2" t="s">
        <v>555</v>
      </c>
      <c r="D46" s="45" t="s">
        <v>608</v>
      </c>
      <c r="E46" s="45" t="s">
        <v>681</v>
      </c>
      <c r="F46" s="24" t="str">
        <f>HYPERLINK("https://mapwv.gov/flood/map/?wkid=102100&amp;x=-8929372.032406326&amp;y=4772933.637428087&amp;l=13&amp;v=2","FT")</f>
        <v>FT</v>
      </c>
      <c r="G46" s="47" t="s">
        <v>32</v>
      </c>
      <c r="H46" s="23" t="s">
        <v>25</v>
      </c>
      <c r="I46" s="2" t="s">
        <v>750</v>
      </c>
      <c r="J46" s="22" t="s">
        <v>39</v>
      </c>
      <c r="K46" s="47" t="s">
        <v>784</v>
      </c>
      <c r="L46" s="47" t="s">
        <v>53</v>
      </c>
      <c r="M46" s="48" t="s">
        <v>111</v>
      </c>
      <c r="N46" s="3" t="s">
        <v>35</v>
      </c>
      <c r="O46" s="47" t="s">
        <v>94</v>
      </c>
      <c r="P46" s="45" t="s">
        <v>837</v>
      </c>
      <c r="Q46" s="2" t="s">
        <v>30</v>
      </c>
      <c r="R46" s="23" t="s">
        <v>95</v>
      </c>
      <c r="S46" s="30">
        <v>497100</v>
      </c>
      <c r="T46" s="2" t="s">
        <v>44</v>
      </c>
      <c r="U46" s="31">
        <v>2.0063477000000001</v>
      </c>
      <c r="V46" s="31">
        <v>1.00634765625</v>
      </c>
      <c r="W46" s="32">
        <v>9.0190429687500004E-2</v>
      </c>
      <c r="X46" s="33">
        <v>44833.662597656199</v>
      </c>
    </row>
    <row r="47" spans="1:24" x14ac:dyDescent="0.25">
      <c r="A47" s="49" t="s">
        <v>501</v>
      </c>
      <c r="B47" s="2" t="s">
        <v>540</v>
      </c>
      <c r="C47" s="2" t="s">
        <v>209</v>
      </c>
      <c r="D47" s="45" t="s">
        <v>609</v>
      </c>
      <c r="E47" s="45" t="s">
        <v>682</v>
      </c>
      <c r="F47" s="24" t="str">
        <f>HYPERLINK("https://mapwv.gov/flood/map/?wkid=102100&amp;x=-8934861.4943883&amp;y=4755720.025526151&amp;l=13&amp;v=2","FT")</f>
        <v>FT</v>
      </c>
      <c r="G47" s="47" t="s">
        <v>327</v>
      </c>
      <c r="H47" s="23" t="s">
        <v>25</v>
      </c>
      <c r="I47" s="2" t="s">
        <v>751</v>
      </c>
      <c r="J47" s="22" t="s">
        <v>36</v>
      </c>
      <c r="K47" s="47" t="s">
        <v>77</v>
      </c>
      <c r="L47" s="47"/>
      <c r="M47" s="48" t="s">
        <v>797</v>
      </c>
      <c r="N47" s="3" t="s">
        <v>798</v>
      </c>
      <c r="O47" s="47" t="s">
        <v>93</v>
      </c>
      <c r="P47" s="45" t="s">
        <v>838</v>
      </c>
      <c r="Q47" s="2" t="s">
        <v>30</v>
      </c>
      <c r="R47" s="23" t="s">
        <v>95</v>
      </c>
      <c r="S47" s="30">
        <v>494520</v>
      </c>
      <c r="T47" s="2" t="s">
        <v>31</v>
      </c>
      <c r="U47" s="31">
        <v>0.92884487000000004</v>
      </c>
      <c r="V47" s="31">
        <v>-7.1155130863189697E-2</v>
      </c>
      <c r="W47" s="32">
        <v>0</v>
      </c>
      <c r="X47" s="33">
        <v>0</v>
      </c>
    </row>
    <row r="48" spans="1:24" x14ac:dyDescent="0.25">
      <c r="A48" s="49" t="s">
        <v>502</v>
      </c>
      <c r="B48" s="2" t="s">
        <v>539</v>
      </c>
      <c r="C48" s="2" t="s">
        <v>549</v>
      </c>
      <c r="D48" s="45" t="s">
        <v>610</v>
      </c>
      <c r="E48" s="45" t="s">
        <v>683</v>
      </c>
      <c r="F48" s="24" t="str">
        <f>HYPERLINK("https://mapwv.gov/flood/map/?wkid=102100&amp;x=-8933581.407296015&amp;y=4762537.997438266&amp;l=13&amp;v=2","FT")</f>
        <v>FT</v>
      </c>
      <c r="G48" s="47" t="s">
        <v>32</v>
      </c>
      <c r="H48" s="23" t="s">
        <v>719</v>
      </c>
      <c r="I48" s="2" t="s">
        <v>728</v>
      </c>
      <c r="J48" s="22" t="s">
        <v>26</v>
      </c>
      <c r="K48" s="47" t="s">
        <v>100</v>
      </c>
      <c r="L48" s="47" t="s">
        <v>27</v>
      </c>
      <c r="M48" s="48" t="s">
        <v>64</v>
      </c>
      <c r="N48" s="3" t="s">
        <v>90</v>
      </c>
      <c r="O48" s="47" t="s">
        <v>94</v>
      </c>
      <c r="P48" s="45" t="s">
        <v>839</v>
      </c>
      <c r="Q48" s="2" t="s">
        <v>30</v>
      </c>
      <c r="R48" s="23" t="s">
        <v>95</v>
      </c>
      <c r="S48" s="30">
        <v>491200</v>
      </c>
      <c r="T48" s="2" t="s">
        <v>44</v>
      </c>
      <c r="U48" s="31">
        <v>1.9002686</v>
      </c>
      <c r="V48" s="31">
        <v>0.9002685546875</v>
      </c>
      <c r="W48" s="32">
        <v>6.3018798828125E-2</v>
      </c>
      <c r="X48" s="33">
        <v>30954.833984375</v>
      </c>
    </row>
    <row r="49" spans="1:24" x14ac:dyDescent="0.25">
      <c r="A49" s="49" t="s">
        <v>503</v>
      </c>
      <c r="B49" s="2" t="s">
        <v>540</v>
      </c>
      <c r="C49" s="2" t="s">
        <v>564</v>
      </c>
      <c r="D49" s="45" t="s">
        <v>611</v>
      </c>
      <c r="E49" s="45" t="s">
        <v>684</v>
      </c>
      <c r="F49" s="24" t="str">
        <f>HYPERLINK("https://mapwv.gov/flood/map/?wkid=102100&amp;x=-8937659.506672442&amp;y=4769437.7165960185&amp;l=13&amp;v=2","FT")</f>
        <v>FT</v>
      </c>
      <c r="G49" s="47" t="s">
        <v>327</v>
      </c>
      <c r="H49" s="23" t="s">
        <v>25</v>
      </c>
      <c r="I49" s="2" t="s">
        <v>752</v>
      </c>
      <c r="J49" s="22" t="s">
        <v>116</v>
      </c>
      <c r="K49" s="47" t="s">
        <v>75</v>
      </c>
      <c r="L49" s="47" t="s">
        <v>57</v>
      </c>
      <c r="M49" s="48" t="s">
        <v>63</v>
      </c>
      <c r="N49" s="3" t="s">
        <v>35</v>
      </c>
      <c r="O49" s="47" t="s">
        <v>93</v>
      </c>
      <c r="P49" s="45" t="s">
        <v>840</v>
      </c>
      <c r="Q49" s="2" t="s">
        <v>30</v>
      </c>
      <c r="R49" s="23" t="s">
        <v>95</v>
      </c>
      <c r="S49" s="30">
        <v>487900</v>
      </c>
      <c r="T49" s="2" t="s">
        <v>44</v>
      </c>
      <c r="U49" s="31">
        <v>0.69086033000000002</v>
      </c>
      <c r="V49" s="31">
        <v>-0.30913966894149703</v>
      </c>
      <c r="W49" s="32">
        <v>0</v>
      </c>
      <c r="X49" s="33">
        <v>0</v>
      </c>
    </row>
    <row r="50" spans="1:24" x14ac:dyDescent="0.25">
      <c r="A50" s="49" t="s">
        <v>504</v>
      </c>
      <c r="B50" s="2" t="s">
        <v>540</v>
      </c>
      <c r="C50" s="2" t="s">
        <v>565</v>
      </c>
      <c r="D50" s="45" t="s">
        <v>612</v>
      </c>
      <c r="E50" s="45" t="s">
        <v>685</v>
      </c>
      <c r="F50" s="24" t="str">
        <f>HYPERLINK("https://mapwv.gov/flood/map/?wkid=102100&amp;x=-8966527.845393201&amp;y=4762767.126236945&amp;l=13&amp;v=2","FT")</f>
        <v>FT</v>
      </c>
      <c r="G50" s="47" t="s">
        <v>38</v>
      </c>
      <c r="H50" s="23" t="s">
        <v>25</v>
      </c>
      <c r="I50" s="2" t="s">
        <v>753</v>
      </c>
      <c r="J50" s="22" t="s">
        <v>36</v>
      </c>
      <c r="K50" s="47" t="s">
        <v>77</v>
      </c>
      <c r="L50" s="47"/>
      <c r="M50" s="48" t="s">
        <v>41</v>
      </c>
      <c r="N50" s="3" t="s">
        <v>42</v>
      </c>
      <c r="O50" s="47" t="s">
        <v>93</v>
      </c>
      <c r="P50" s="45" t="s">
        <v>841</v>
      </c>
      <c r="Q50" s="2" t="s">
        <v>30</v>
      </c>
      <c r="R50" s="23" t="s">
        <v>95</v>
      </c>
      <c r="S50" s="30">
        <v>477525</v>
      </c>
      <c r="T50" s="2" t="s">
        <v>873</v>
      </c>
      <c r="U50" s="31">
        <v>2.636952</v>
      </c>
      <c r="V50" s="31">
        <v>1.63695192337036</v>
      </c>
      <c r="W50" s="32">
        <v>0.28732567310333201</v>
      </c>
      <c r="X50" s="33">
        <v>137205.19204866799</v>
      </c>
    </row>
    <row r="51" spans="1:24" x14ac:dyDescent="0.25">
      <c r="A51" s="49" t="s">
        <v>505</v>
      </c>
      <c r="B51" s="2" t="s">
        <v>539</v>
      </c>
      <c r="C51" s="2" t="s">
        <v>555</v>
      </c>
      <c r="D51" s="45" t="s">
        <v>613</v>
      </c>
      <c r="E51" s="45" t="s">
        <v>686</v>
      </c>
      <c r="F51" s="24" t="str">
        <f>HYPERLINK("https://mapwv.gov/flood/map/?wkid=102100&amp;x=-8930436.008514598&amp;y=4770508.275250098&amp;l=13&amp;v=2","FT")</f>
        <v>FT</v>
      </c>
      <c r="G51" s="47" t="s">
        <v>54</v>
      </c>
      <c r="H51" s="23" t="s">
        <v>25</v>
      </c>
      <c r="I51" s="2" t="s">
        <v>754</v>
      </c>
      <c r="J51" s="22" t="s">
        <v>116</v>
      </c>
      <c r="K51" s="47" t="s">
        <v>396</v>
      </c>
      <c r="L51" s="47" t="s">
        <v>45</v>
      </c>
      <c r="M51" s="48" t="s">
        <v>47</v>
      </c>
      <c r="N51" s="3" t="s">
        <v>35</v>
      </c>
      <c r="O51" s="47" t="s">
        <v>93</v>
      </c>
      <c r="P51" s="45" t="s">
        <v>842</v>
      </c>
      <c r="Q51" s="2" t="s">
        <v>30</v>
      </c>
      <c r="R51" s="23" t="s">
        <v>95</v>
      </c>
      <c r="S51" s="30">
        <v>475000</v>
      </c>
      <c r="T51" s="2" t="s">
        <v>44</v>
      </c>
      <c r="U51" s="31">
        <v>1.9448242</v>
      </c>
      <c r="V51" s="31">
        <v>0.94482421875</v>
      </c>
      <c r="W51" s="32">
        <v>8.5585937500000001E-2</v>
      </c>
      <c r="X51" s="33">
        <v>40653.3203125</v>
      </c>
    </row>
    <row r="52" spans="1:24" x14ac:dyDescent="0.25">
      <c r="A52" s="49" t="s">
        <v>506</v>
      </c>
      <c r="B52" s="2" t="s">
        <v>541</v>
      </c>
      <c r="C52" s="2" t="s">
        <v>553</v>
      </c>
      <c r="D52" s="45" t="s">
        <v>614</v>
      </c>
      <c r="E52" s="45" t="s">
        <v>687</v>
      </c>
      <c r="F52" s="24" t="str">
        <f>HYPERLINK("https://mapwv.gov/flood/map/?wkid=102100&amp;x=-8945043.055207407&amp;y=4760275.715093064&amp;l=13&amp;v=2","FT")</f>
        <v>FT</v>
      </c>
      <c r="G52" s="47" t="s">
        <v>32</v>
      </c>
      <c r="H52" s="23" t="s">
        <v>25</v>
      </c>
      <c r="I52" s="2" t="s">
        <v>755</v>
      </c>
      <c r="J52" s="22" t="s">
        <v>26</v>
      </c>
      <c r="K52" s="47" t="s">
        <v>85</v>
      </c>
      <c r="L52" s="47" t="s">
        <v>53</v>
      </c>
      <c r="M52" s="48" t="s">
        <v>58</v>
      </c>
      <c r="N52" s="3" t="s">
        <v>91</v>
      </c>
      <c r="O52" s="47" t="s">
        <v>93</v>
      </c>
      <c r="P52" s="45" t="s">
        <v>843</v>
      </c>
      <c r="Q52" s="2" t="s">
        <v>30</v>
      </c>
      <c r="R52" s="23" t="s">
        <v>95</v>
      </c>
      <c r="S52" s="30">
        <v>470100</v>
      </c>
      <c r="T52" s="2" t="s">
        <v>44</v>
      </c>
      <c r="U52" s="31">
        <v>4.0420530000000001</v>
      </c>
      <c r="V52" s="31">
        <v>3.04205322265625</v>
      </c>
      <c r="W52" s="32">
        <v>0.11042053222656201</v>
      </c>
      <c r="X52" s="33">
        <v>51908.692199707002</v>
      </c>
    </row>
    <row r="53" spans="1:24" x14ac:dyDescent="0.25">
      <c r="A53" s="49" t="s">
        <v>507</v>
      </c>
      <c r="B53" s="2" t="s">
        <v>540</v>
      </c>
      <c r="C53" s="2" t="s">
        <v>550</v>
      </c>
      <c r="D53" s="45" t="s">
        <v>587</v>
      </c>
      <c r="E53" s="45" t="s">
        <v>688</v>
      </c>
      <c r="F53" s="24" t="str">
        <f>HYPERLINK("https://mapwv.gov/flood/map/?wkid=102100&amp;x=-8932652.405513735&amp;y=4764198.322763838&amp;l=13&amp;v=2","FT")</f>
        <v>FT</v>
      </c>
      <c r="G53" s="47" t="s">
        <v>38</v>
      </c>
      <c r="H53" s="23" t="s">
        <v>25</v>
      </c>
      <c r="I53" s="2" t="s">
        <v>730</v>
      </c>
      <c r="J53" s="22" t="s">
        <v>26</v>
      </c>
      <c r="K53" s="47" t="s">
        <v>107</v>
      </c>
      <c r="L53" s="47" t="s">
        <v>57</v>
      </c>
      <c r="M53" s="48" t="s">
        <v>794</v>
      </c>
      <c r="N53" s="3" t="s">
        <v>42</v>
      </c>
      <c r="O53" s="47" t="s">
        <v>800</v>
      </c>
      <c r="P53" s="45" t="s">
        <v>810</v>
      </c>
      <c r="Q53" s="2" t="s">
        <v>43</v>
      </c>
      <c r="R53" s="23" t="s">
        <v>96</v>
      </c>
      <c r="S53" s="30">
        <v>462600</v>
      </c>
      <c r="T53" s="2" t="s">
        <v>31</v>
      </c>
      <c r="U53" s="31">
        <v>3.8741367000000002</v>
      </c>
      <c r="V53" s="31">
        <v>-0.12586331367492601</v>
      </c>
      <c r="W53" s="32">
        <v>0.11496546745300201</v>
      </c>
      <c r="X53" s="33">
        <v>53183.025243759097</v>
      </c>
    </row>
    <row r="54" spans="1:24" x14ac:dyDescent="0.25">
      <c r="A54" s="49" t="s">
        <v>508</v>
      </c>
      <c r="B54" s="2" t="s">
        <v>539</v>
      </c>
      <c r="C54" s="2" t="s">
        <v>549</v>
      </c>
      <c r="D54" s="45" t="s">
        <v>615</v>
      </c>
      <c r="E54" s="45" t="s">
        <v>689</v>
      </c>
      <c r="F54" s="24" t="str">
        <f>HYPERLINK("https://mapwv.gov/flood/map/?wkid=102100&amp;x=-8933917.332449844&amp;y=4762483.502012382&amp;l=13&amp;v=2","FT")</f>
        <v>FT</v>
      </c>
      <c r="G54" s="47" t="s">
        <v>32</v>
      </c>
      <c r="H54" s="23" t="s">
        <v>719</v>
      </c>
      <c r="I54" s="2" t="s">
        <v>728</v>
      </c>
      <c r="J54" s="22" t="s">
        <v>36</v>
      </c>
      <c r="K54" s="47" t="s">
        <v>77</v>
      </c>
      <c r="L54" s="47"/>
      <c r="M54" s="48" t="s">
        <v>51</v>
      </c>
      <c r="N54" s="3" t="s">
        <v>35</v>
      </c>
      <c r="O54" s="47" t="s">
        <v>93</v>
      </c>
      <c r="P54" s="45" t="s">
        <v>844</v>
      </c>
      <c r="Q54" s="2" t="s">
        <v>30</v>
      </c>
      <c r="R54" s="23" t="s">
        <v>95</v>
      </c>
      <c r="S54" s="30">
        <v>460290</v>
      </c>
      <c r="T54" s="2" t="s">
        <v>31</v>
      </c>
      <c r="U54" s="31">
        <v>1</v>
      </c>
      <c r="V54" s="31">
        <v>0</v>
      </c>
      <c r="W54" s="32">
        <v>0.01</v>
      </c>
      <c r="X54" s="33">
        <v>4602.8999999999996</v>
      </c>
    </row>
    <row r="55" spans="1:24" x14ac:dyDescent="0.25">
      <c r="A55" s="49" t="s">
        <v>509</v>
      </c>
      <c r="B55" s="2" t="s">
        <v>540</v>
      </c>
      <c r="C55" s="2" t="s">
        <v>566</v>
      </c>
      <c r="D55" s="45" t="s">
        <v>616</v>
      </c>
      <c r="E55" s="45" t="s">
        <v>690</v>
      </c>
      <c r="F55" s="24" t="str">
        <f>HYPERLINK("https://mapwv.gov/flood/map/?wkid=102100&amp;x=-8927401.802097114&amp;y=4758136.015158964&amp;l=13&amp;v=2","FT")</f>
        <v>FT</v>
      </c>
      <c r="G55" s="47" t="s">
        <v>38</v>
      </c>
      <c r="H55" s="23" t="s">
        <v>25</v>
      </c>
      <c r="I55" s="2" t="s">
        <v>756</v>
      </c>
      <c r="J55" s="22" t="s">
        <v>26</v>
      </c>
      <c r="K55" s="47" t="s">
        <v>75</v>
      </c>
      <c r="L55" s="47" t="s">
        <v>48</v>
      </c>
      <c r="M55" s="48" t="s">
        <v>41</v>
      </c>
      <c r="N55" s="3" t="s">
        <v>42</v>
      </c>
      <c r="O55" s="47" t="s">
        <v>93</v>
      </c>
      <c r="P55" s="45" t="s">
        <v>845</v>
      </c>
      <c r="Q55" s="2" t="s">
        <v>52</v>
      </c>
      <c r="R55" s="23" t="s">
        <v>96</v>
      </c>
      <c r="S55" s="30">
        <v>457600</v>
      </c>
      <c r="T55" s="2" t="s">
        <v>44</v>
      </c>
      <c r="U55" s="31">
        <v>0.55064075999999995</v>
      </c>
      <c r="V55" s="31">
        <v>-3.4493592381477298</v>
      </c>
      <c r="W55" s="32">
        <v>0</v>
      </c>
      <c r="X55" s="33">
        <v>0</v>
      </c>
    </row>
    <row r="56" spans="1:24" x14ac:dyDescent="0.25">
      <c r="A56" s="49" t="s">
        <v>510</v>
      </c>
      <c r="B56" s="2" t="s">
        <v>547</v>
      </c>
      <c r="C56" s="2" t="s">
        <v>567</v>
      </c>
      <c r="D56" s="45" t="s">
        <v>617</v>
      </c>
      <c r="E56" s="45" t="s">
        <v>691</v>
      </c>
      <c r="F56" s="24" t="str">
        <f>HYPERLINK("https://mapwv.gov/flood/map/?wkid=102100&amp;x=-8944797.205666712&amp;y=4744591.156818009&amp;l=13&amp;v=2","FT")</f>
        <v>FT</v>
      </c>
      <c r="G56" s="47" t="s">
        <v>32</v>
      </c>
      <c r="H56" s="23" t="s">
        <v>25</v>
      </c>
      <c r="I56" s="2" t="s">
        <v>757</v>
      </c>
      <c r="J56" s="22" t="s">
        <v>39</v>
      </c>
      <c r="K56" s="47" t="s">
        <v>405</v>
      </c>
      <c r="L56" s="47" t="s">
        <v>27</v>
      </c>
      <c r="M56" s="48" t="s">
        <v>64</v>
      </c>
      <c r="N56" s="3" t="s">
        <v>90</v>
      </c>
      <c r="O56" s="47" t="s">
        <v>93</v>
      </c>
      <c r="P56" s="45" t="s">
        <v>846</v>
      </c>
      <c r="Q56" s="2" t="s">
        <v>30</v>
      </c>
      <c r="R56" s="23" t="s">
        <v>95</v>
      </c>
      <c r="S56" s="30">
        <v>452800</v>
      </c>
      <c r="T56" s="2" t="s">
        <v>44</v>
      </c>
      <c r="U56" s="31">
        <v>0</v>
      </c>
      <c r="V56" s="31">
        <v>-1</v>
      </c>
      <c r="W56" s="32">
        <v>0</v>
      </c>
      <c r="X56" s="33">
        <v>0</v>
      </c>
    </row>
    <row r="57" spans="1:24" x14ac:dyDescent="0.25">
      <c r="A57" s="49" t="s">
        <v>511</v>
      </c>
      <c r="B57" s="2" t="s">
        <v>548</v>
      </c>
      <c r="C57" s="2" t="s">
        <v>552</v>
      </c>
      <c r="D57" s="45" t="s">
        <v>618</v>
      </c>
      <c r="E57" s="45" t="s">
        <v>692</v>
      </c>
      <c r="F57" s="24" t="str">
        <f>HYPERLINK("https://mapwv.gov/flood/map/?wkid=102100&amp;x=-8940847.117025534&amp;y=4758323.270352912&amp;l=13&amp;v=2","FT")</f>
        <v>FT</v>
      </c>
      <c r="G57" s="47" t="s">
        <v>32</v>
      </c>
      <c r="H57" s="23" t="s">
        <v>25</v>
      </c>
      <c r="I57" s="2" t="s">
        <v>758</v>
      </c>
      <c r="J57" s="22" t="s">
        <v>26</v>
      </c>
      <c r="K57" s="47" t="s">
        <v>784</v>
      </c>
      <c r="L57" s="47" t="s">
        <v>57</v>
      </c>
      <c r="M57" s="48" t="s">
        <v>56</v>
      </c>
      <c r="N57" s="3" t="s">
        <v>35</v>
      </c>
      <c r="O57" s="47" t="s">
        <v>93</v>
      </c>
      <c r="P57" s="45" t="s">
        <v>847</v>
      </c>
      <c r="Q57" s="2" t="s">
        <v>30</v>
      </c>
      <c r="R57" s="23" t="s">
        <v>95</v>
      </c>
      <c r="S57" s="30">
        <v>450100</v>
      </c>
      <c r="T57" s="2" t="s">
        <v>44</v>
      </c>
      <c r="U57" s="31">
        <v>1.0196533000000001</v>
      </c>
      <c r="V57" s="31">
        <v>1.96533203125E-2</v>
      </c>
      <c r="W57" s="32">
        <v>2.1768798828125002E-2</v>
      </c>
      <c r="X57" s="33">
        <v>9798.1363525390607</v>
      </c>
    </row>
    <row r="58" spans="1:24" x14ac:dyDescent="0.25">
      <c r="A58" s="49" t="s">
        <v>512</v>
      </c>
      <c r="B58" s="2" t="s">
        <v>540</v>
      </c>
      <c r="C58" s="2" t="s">
        <v>550</v>
      </c>
      <c r="D58" s="45" t="s">
        <v>587</v>
      </c>
      <c r="E58" s="45" t="s">
        <v>693</v>
      </c>
      <c r="F58" s="24" t="str">
        <f>HYPERLINK("https://mapwv.gov/flood/map/?wkid=102100&amp;x=-8932636.13617015&amp;y=4764230.320705378&amp;l=13&amp;v=2","FT")</f>
        <v>FT</v>
      </c>
      <c r="G58" s="47" t="s">
        <v>38</v>
      </c>
      <c r="H58" s="23" t="s">
        <v>25</v>
      </c>
      <c r="I58" s="2" t="s">
        <v>730</v>
      </c>
      <c r="J58" s="22" t="s">
        <v>26</v>
      </c>
      <c r="K58" s="47" t="s">
        <v>107</v>
      </c>
      <c r="L58" s="47" t="s">
        <v>57</v>
      </c>
      <c r="M58" s="48" t="s">
        <v>794</v>
      </c>
      <c r="N58" s="3" t="s">
        <v>42</v>
      </c>
      <c r="O58" s="47" t="s">
        <v>800</v>
      </c>
      <c r="P58" s="45" t="s">
        <v>848</v>
      </c>
      <c r="Q58" s="2" t="s">
        <v>43</v>
      </c>
      <c r="R58" s="23" t="s">
        <v>96</v>
      </c>
      <c r="S58" s="30">
        <v>448800</v>
      </c>
      <c r="T58" s="2" t="s">
        <v>31</v>
      </c>
      <c r="U58" s="31">
        <v>2.9358911999999999</v>
      </c>
      <c r="V58" s="31">
        <v>-1.06410884857177</v>
      </c>
      <c r="W58" s="32">
        <v>7.7435646057128896E-2</v>
      </c>
      <c r="X58" s="33">
        <v>34753.117950439402</v>
      </c>
    </row>
    <row r="59" spans="1:24" x14ac:dyDescent="0.25">
      <c r="A59" s="49" t="s">
        <v>513</v>
      </c>
      <c r="B59" s="2" t="s">
        <v>539</v>
      </c>
      <c r="C59" s="2" t="s">
        <v>555</v>
      </c>
      <c r="D59" s="45" t="s">
        <v>619</v>
      </c>
      <c r="E59" s="45" t="s">
        <v>694</v>
      </c>
      <c r="F59" s="24" t="str">
        <f>HYPERLINK("https://mapwv.gov/flood/map/?wkid=102100&amp;x=-8930363.693814905&amp;y=4770907.362736364&amp;l=13&amp;v=2","FT")</f>
        <v>FT</v>
      </c>
      <c r="G59" s="47" t="s">
        <v>54</v>
      </c>
      <c r="H59" s="23" t="s">
        <v>25</v>
      </c>
      <c r="I59" s="2" t="s">
        <v>759</v>
      </c>
      <c r="J59" s="22" t="s">
        <v>116</v>
      </c>
      <c r="K59" s="47" t="s">
        <v>120</v>
      </c>
      <c r="L59" s="47" t="s">
        <v>57</v>
      </c>
      <c r="M59" s="48" t="s">
        <v>47</v>
      </c>
      <c r="N59" s="3" t="s">
        <v>35</v>
      </c>
      <c r="O59" s="47" t="s">
        <v>93</v>
      </c>
      <c r="P59" s="45" t="s">
        <v>849</v>
      </c>
      <c r="Q59" s="2" t="s">
        <v>30</v>
      </c>
      <c r="R59" s="23" t="s">
        <v>95</v>
      </c>
      <c r="S59" s="30">
        <v>445300</v>
      </c>
      <c r="T59" s="2" t="s">
        <v>44</v>
      </c>
      <c r="U59" s="31">
        <v>1.6928711000000001</v>
      </c>
      <c r="V59" s="31">
        <v>0.69287109375</v>
      </c>
      <c r="W59" s="32">
        <v>6.54296875E-2</v>
      </c>
      <c r="X59" s="33">
        <v>29135.83984375</v>
      </c>
    </row>
    <row r="60" spans="1:24" x14ac:dyDescent="0.25">
      <c r="A60" s="49" t="s">
        <v>514</v>
      </c>
      <c r="B60" s="2" t="s">
        <v>539</v>
      </c>
      <c r="C60" s="2" t="s">
        <v>561</v>
      </c>
      <c r="D60" s="45" t="s">
        <v>620</v>
      </c>
      <c r="E60" s="45" t="s">
        <v>695</v>
      </c>
      <c r="F60" s="24" t="str">
        <f>HYPERLINK("https://mapwv.gov/flood/map/?wkid=102100&amp;x=-8935920.473253308&amp;y=4766158.373167271&amp;l=13&amp;v=2","FT")</f>
        <v>FT</v>
      </c>
      <c r="G60" s="47" t="s">
        <v>32</v>
      </c>
      <c r="H60" s="23" t="s">
        <v>25</v>
      </c>
      <c r="I60" s="2" t="s">
        <v>760</v>
      </c>
      <c r="J60" s="22" t="s">
        <v>26</v>
      </c>
      <c r="K60" s="47" t="s">
        <v>121</v>
      </c>
      <c r="L60" s="47" t="s">
        <v>45</v>
      </c>
      <c r="M60" s="48" t="s">
        <v>56</v>
      </c>
      <c r="N60" s="3" t="s">
        <v>35</v>
      </c>
      <c r="O60" s="47" t="s">
        <v>93</v>
      </c>
      <c r="P60" s="45" t="s">
        <v>850</v>
      </c>
      <c r="Q60" s="2" t="s">
        <v>30</v>
      </c>
      <c r="R60" s="23" t="s">
        <v>95</v>
      </c>
      <c r="S60" s="30">
        <v>436000</v>
      </c>
      <c r="T60" s="2" t="s">
        <v>44</v>
      </c>
      <c r="U60" s="31">
        <v>0</v>
      </c>
      <c r="V60" s="31">
        <v>-1</v>
      </c>
      <c r="W60" s="32">
        <v>0</v>
      </c>
      <c r="X60" s="33">
        <v>0</v>
      </c>
    </row>
    <row r="61" spans="1:24" x14ac:dyDescent="0.25">
      <c r="A61" s="49" t="s">
        <v>515</v>
      </c>
      <c r="B61" s="2" t="s">
        <v>543</v>
      </c>
      <c r="C61" s="2" t="s">
        <v>568</v>
      </c>
      <c r="D61" s="45" t="s">
        <v>621</v>
      </c>
      <c r="E61" s="45" t="s">
        <v>696</v>
      </c>
      <c r="F61" s="24" t="str">
        <f>HYPERLINK("https://mapwv.gov/flood/map/?wkid=102100&amp;x=-8937984.911243826&amp;y=4758564.237418858&amp;l=13&amp;v=2","FT")</f>
        <v>FT</v>
      </c>
      <c r="G61" s="47" t="s">
        <v>32</v>
      </c>
      <c r="H61" s="23" t="s">
        <v>25</v>
      </c>
      <c r="I61" s="2" t="s">
        <v>761</v>
      </c>
      <c r="J61" s="22" t="s">
        <v>36</v>
      </c>
      <c r="K61" s="47" t="s">
        <v>77</v>
      </c>
      <c r="L61" s="47"/>
      <c r="M61" s="48" t="s">
        <v>64</v>
      </c>
      <c r="N61" s="3" t="s">
        <v>90</v>
      </c>
      <c r="O61" s="47" t="s">
        <v>93</v>
      </c>
      <c r="P61" s="45" t="s">
        <v>851</v>
      </c>
      <c r="Q61" s="2" t="s">
        <v>30</v>
      </c>
      <c r="R61" s="23" t="s">
        <v>95</v>
      </c>
      <c r="S61" s="30">
        <v>432000</v>
      </c>
      <c r="T61" s="2" t="s">
        <v>44</v>
      </c>
      <c r="U61" s="31">
        <v>0.21337890000000001</v>
      </c>
      <c r="V61" s="31">
        <v>-0.78662109375</v>
      </c>
      <c r="W61" s="32">
        <v>0</v>
      </c>
      <c r="X61" s="33">
        <v>0</v>
      </c>
    </row>
    <row r="62" spans="1:24" x14ac:dyDescent="0.25">
      <c r="A62" s="49" t="s">
        <v>516</v>
      </c>
      <c r="B62" s="2" t="s">
        <v>541</v>
      </c>
      <c r="C62" s="2" t="s">
        <v>553</v>
      </c>
      <c r="D62" s="45" t="s">
        <v>622</v>
      </c>
      <c r="E62" s="45" t="s">
        <v>697</v>
      </c>
      <c r="F62" s="24" t="str">
        <f>HYPERLINK("https://mapwv.gov/flood/map/?wkid=102100&amp;x=-8944714.533245003&amp;y=4761982.400396502&amp;l=13&amp;v=2","FT")</f>
        <v>FT</v>
      </c>
      <c r="G62" s="47" t="s">
        <v>32</v>
      </c>
      <c r="H62" s="23" t="s">
        <v>25</v>
      </c>
      <c r="I62" s="2" t="s">
        <v>762</v>
      </c>
      <c r="J62" s="22" t="s">
        <v>26</v>
      </c>
      <c r="K62" s="47" t="s">
        <v>84</v>
      </c>
      <c r="L62" s="47" t="s">
        <v>27</v>
      </c>
      <c r="M62" s="48" t="s">
        <v>47</v>
      </c>
      <c r="N62" s="3" t="s">
        <v>35</v>
      </c>
      <c r="O62" s="47" t="s">
        <v>93</v>
      </c>
      <c r="P62" s="45" t="s">
        <v>852</v>
      </c>
      <c r="Q62" s="2" t="s">
        <v>30</v>
      </c>
      <c r="R62" s="23" t="s">
        <v>95</v>
      </c>
      <c r="S62" s="30">
        <v>427900</v>
      </c>
      <c r="T62" s="2" t="s">
        <v>44</v>
      </c>
      <c r="U62" s="31">
        <v>1.1900634999999999</v>
      </c>
      <c r="V62" s="31">
        <v>0.1900634765625</v>
      </c>
      <c r="W62" s="32">
        <v>2.5205078124999999E-2</v>
      </c>
      <c r="X62" s="33">
        <v>10785.2529296875</v>
      </c>
    </row>
    <row r="63" spans="1:24" x14ac:dyDescent="0.25">
      <c r="A63" s="49" t="s">
        <v>517</v>
      </c>
      <c r="B63" s="2" t="s">
        <v>540</v>
      </c>
      <c r="C63" s="2" t="s">
        <v>569</v>
      </c>
      <c r="D63" s="45" t="s">
        <v>623</v>
      </c>
      <c r="E63" s="45" t="s">
        <v>698</v>
      </c>
      <c r="F63" s="24" t="str">
        <f>HYPERLINK("https://mapwv.gov/flood/map/?wkid=102100&amp;x=-8930350.332581704&amp;y=4772829.05545277&amp;l=13&amp;v=2","FT")</f>
        <v>FT</v>
      </c>
      <c r="G63" s="47" t="s">
        <v>327</v>
      </c>
      <c r="H63" s="23" t="s">
        <v>25</v>
      </c>
      <c r="I63" s="2" t="s">
        <v>763</v>
      </c>
      <c r="J63" s="22" t="s">
        <v>116</v>
      </c>
      <c r="K63" s="47" t="s">
        <v>98</v>
      </c>
      <c r="L63" s="47" t="s">
        <v>27</v>
      </c>
      <c r="M63" s="48" t="s">
        <v>58</v>
      </c>
      <c r="N63" s="3" t="s">
        <v>91</v>
      </c>
      <c r="O63" s="47" t="s">
        <v>94</v>
      </c>
      <c r="P63" s="45" t="s">
        <v>853</v>
      </c>
      <c r="Q63" s="2" t="s">
        <v>30</v>
      </c>
      <c r="R63" s="23" t="s">
        <v>95</v>
      </c>
      <c r="S63" s="30">
        <v>424800</v>
      </c>
      <c r="T63" s="2" t="s">
        <v>44</v>
      </c>
      <c r="U63" s="31">
        <v>0.29847306000000001</v>
      </c>
      <c r="V63" s="31">
        <v>-0.701526939868927</v>
      </c>
      <c r="W63" s="32">
        <v>0</v>
      </c>
      <c r="X63" s="33">
        <v>0</v>
      </c>
    </row>
    <row r="64" spans="1:24" x14ac:dyDescent="0.25">
      <c r="A64" s="49" t="s">
        <v>518</v>
      </c>
      <c r="B64" s="2" t="s">
        <v>547</v>
      </c>
      <c r="C64" s="2" t="s">
        <v>567</v>
      </c>
      <c r="D64" s="45" t="s">
        <v>624</v>
      </c>
      <c r="E64" s="45" t="s">
        <v>699</v>
      </c>
      <c r="F64" s="24" t="str">
        <f>HYPERLINK("https://mapwv.gov/flood/map/?wkid=102100&amp;x=-8944605.207931565&amp;y=4744539.975426448&amp;l=13&amp;v=2","FT")</f>
        <v>FT</v>
      </c>
      <c r="G64" s="47" t="s">
        <v>32</v>
      </c>
      <c r="H64" s="23" t="s">
        <v>25</v>
      </c>
      <c r="I64" s="2" t="s">
        <v>764</v>
      </c>
      <c r="J64" s="22" t="s">
        <v>36</v>
      </c>
      <c r="K64" s="47" t="s">
        <v>77</v>
      </c>
      <c r="L64" s="47"/>
      <c r="M64" s="48" t="s">
        <v>58</v>
      </c>
      <c r="N64" s="3" t="s">
        <v>91</v>
      </c>
      <c r="O64" s="47" t="s">
        <v>93</v>
      </c>
      <c r="P64" s="45" t="s">
        <v>854</v>
      </c>
      <c r="Q64" s="2" t="s">
        <v>30</v>
      </c>
      <c r="R64" s="23" t="s">
        <v>95</v>
      </c>
      <c r="S64" s="30">
        <v>420520</v>
      </c>
      <c r="T64" s="2" t="s">
        <v>31</v>
      </c>
      <c r="U64" s="31">
        <v>0</v>
      </c>
      <c r="V64" s="31">
        <v>-1</v>
      </c>
      <c r="W64" s="32">
        <v>0</v>
      </c>
      <c r="X64" s="33">
        <v>0</v>
      </c>
    </row>
    <row r="65" spans="1:24" x14ac:dyDescent="0.25">
      <c r="A65" s="49" t="s">
        <v>519</v>
      </c>
      <c r="B65" s="2" t="s">
        <v>539</v>
      </c>
      <c r="C65" s="2" t="s">
        <v>549</v>
      </c>
      <c r="D65" s="45" t="s">
        <v>625</v>
      </c>
      <c r="E65" s="45" t="s">
        <v>700</v>
      </c>
      <c r="F65" s="24" t="str">
        <f>HYPERLINK("https://mapwv.gov/flood/map/?wkid=102100&amp;x=-8932791.943048289&amp;y=4762419.6460479805&amp;l=13&amp;v=2","FT")</f>
        <v>FT</v>
      </c>
      <c r="G65" s="47" t="s">
        <v>32</v>
      </c>
      <c r="H65" s="23" t="s">
        <v>25</v>
      </c>
      <c r="I65" s="2" t="s">
        <v>765</v>
      </c>
      <c r="J65" s="22" t="s">
        <v>26</v>
      </c>
      <c r="K65" s="47" t="s">
        <v>105</v>
      </c>
      <c r="L65" s="47" t="s">
        <v>46</v>
      </c>
      <c r="M65" s="48" t="s">
        <v>41</v>
      </c>
      <c r="N65" s="3" t="s">
        <v>42</v>
      </c>
      <c r="O65" s="47" t="s">
        <v>94</v>
      </c>
      <c r="P65" s="45" t="s">
        <v>855</v>
      </c>
      <c r="Q65" s="2" t="s">
        <v>43</v>
      </c>
      <c r="R65" s="23" t="s">
        <v>96</v>
      </c>
      <c r="S65" s="30">
        <v>400900</v>
      </c>
      <c r="T65" s="2" t="s">
        <v>44</v>
      </c>
      <c r="U65" s="31">
        <v>0</v>
      </c>
      <c r="V65" s="31">
        <v>-4</v>
      </c>
      <c r="W65" s="32">
        <v>0</v>
      </c>
      <c r="X65" s="33">
        <v>0</v>
      </c>
    </row>
    <row r="66" spans="1:24" x14ac:dyDescent="0.25">
      <c r="A66" s="49" t="s">
        <v>520</v>
      </c>
      <c r="B66" s="2" t="s">
        <v>540</v>
      </c>
      <c r="C66" s="2" t="s">
        <v>549</v>
      </c>
      <c r="D66" s="45" t="s">
        <v>626</v>
      </c>
      <c r="E66" s="45" t="s">
        <v>701</v>
      </c>
      <c r="F66" s="24" t="str">
        <f>HYPERLINK("https://mapwv.gov/flood/map/?wkid=102100&amp;x=-8930801.606991885&amp;y=4761636.838507032&amp;l=13&amp;v=2","FT")</f>
        <v>FT</v>
      </c>
      <c r="G66" s="47" t="s">
        <v>32</v>
      </c>
      <c r="H66" s="23" t="s">
        <v>25</v>
      </c>
      <c r="I66" s="2" t="s">
        <v>740</v>
      </c>
      <c r="J66" s="22" t="s">
        <v>39</v>
      </c>
      <c r="K66" s="47" t="s">
        <v>395</v>
      </c>
      <c r="L66" s="47" t="s">
        <v>27</v>
      </c>
      <c r="M66" s="48" t="s">
        <v>58</v>
      </c>
      <c r="N66" s="3" t="s">
        <v>91</v>
      </c>
      <c r="O66" s="47" t="s">
        <v>93</v>
      </c>
      <c r="P66" s="45" t="s">
        <v>856</v>
      </c>
      <c r="Q66" s="2" t="s">
        <v>30</v>
      </c>
      <c r="R66" s="23" t="s">
        <v>95</v>
      </c>
      <c r="S66" s="30">
        <v>389500</v>
      </c>
      <c r="T66" s="2" t="s">
        <v>44</v>
      </c>
      <c r="U66" s="31">
        <v>0.24389648</v>
      </c>
      <c r="V66" s="31">
        <v>-0.756103515625</v>
      </c>
      <c r="W66" s="32">
        <v>0</v>
      </c>
      <c r="X66" s="33">
        <v>0</v>
      </c>
    </row>
    <row r="67" spans="1:24" x14ac:dyDescent="0.25">
      <c r="A67" s="49" t="s">
        <v>521</v>
      </c>
      <c r="B67" s="2" t="s">
        <v>539</v>
      </c>
      <c r="C67" s="2" t="s">
        <v>551</v>
      </c>
      <c r="D67" s="45" t="s">
        <v>627</v>
      </c>
      <c r="E67" s="45" t="s">
        <v>702</v>
      </c>
      <c r="F67" s="24" t="str">
        <f>HYPERLINK("https://mapwv.gov/flood/map/?wkid=102100&amp;x=-8934309.261994205&amp;y=4762191.854165705&amp;l=13&amp;v=2","FT")</f>
        <v>FT</v>
      </c>
      <c r="G67" s="47" t="s">
        <v>32</v>
      </c>
      <c r="H67" s="23" t="s">
        <v>25</v>
      </c>
      <c r="I67" s="2" t="s">
        <v>766</v>
      </c>
      <c r="J67" s="22" t="s">
        <v>26</v>
      </c>
      <c r="K67" s="47" t="s">
        <v>103</v>
      </c>
      <c r="L67" s="47" t="s">
        <v>65</v>
      </c>
      <c r="M67" s="48" t="s">
        <v>47</v>
      </c>
      <c r="N67" s="3" t="s">
        <v>35</v>
      </c>
      <c r="O67" s="47" t="s">
        <v>94</v>
      </c>
      <c r="P67" s="45" t="s">
        <v>857</v>
      </c>
      <c r="Q67" s="2" t="s">
        <v>30</v>
      </c>
      <c r="R67" s="23" t="s">
        <v>95</v>
      </c>
      <c r="S67" s="30">
        <v>388800</v>
      </c>
      <c r="T67" s="2" t="s">
        <v>44</v>
      </c>
      <c r="U67" s="31">
        <v>6.1909789999999996</v>
      </c>
      <c r="V67" s="31">
        <v>5.19097900390625</v>
      </c>
      <c r="W67" s="32">
        <v>0.205729370117187</v>
      </c>
      <c r="X67" s="33">
        <v>79987.5791015625</v>
      </c>
    </row>
    <row r="68" spans="1:24" x14ac:dyDescent="0.25">
      <c r="A68" s="49" t="s">
        <v>522</v>
      </c>
      <c r="B68" s="2" t="s">
        <v>548</v>
      </c>
      <c r="C68" s="2" t="s">
        <v>552</v>
      </c>
      <c r="D68" s="45" t="s">
        <v>628</v>
      </c>
      <c r="E68" s="45" t="s">
        <v>703</v>
      </c>
      <c r="F68" s="24" t="str">
        <f>HYPERLINK("https://mapwv.gov/flood/map/?wkid=102100&amp;x=-8940808.856516546&amp;y=4758575.005153365&amp;l=13&amp;v=2","FT")</f>
        <v>FT</v>
      </c>
      <c r="G68" s="47" t="s">
        <v>32</v>
      </c>
      <c r="H68" s="23" t="s">
        <v>25</v>
      </c>
      <c r="I68" s="2" t="s">
        <v>767</v>
      </c>
      <c r="J68" s="22" t="s">
        <v>39</v>
      </c>
      <c r="K68" s="47" t="s">
        <v>113</v>
      </c>
      <c r="L68" s="47" t="s">
        <v>53</v>
      </c>
      <c r="M68" s="48" t="s">
        <v>88</v>
      </c>
      <c r="N68" s="3" t="s">
        <v>92</v>
      </c>
      <c r="O68" s="47" t="s">
        <v>93</v>
      </c>
      <c r="P68" s="45" t="s">
        <v>858</v>
      </c>
      <c r="Q68" s="2" t="s">
        <v>30</v>
      </c>
      <c r="R68" s="23" t="s">
        <v>95</v>
      </c>
      <c r="S68" s="30">
        <v>380600</v>
      </c>
      <c r="T68" s="2" t="s">
        <v>44</v>
      </c>
      <c r="U68" s="31">
        <v>0</v>
      </c>
      <c r="V68" s="31">
        <v>-1</v>
      </c>
      <c r="W68" s="32">
        <v>0</v>
      </c>
      <c r="X68" s="33">
        <v>0</v>
      </c>
    </row>
    <row r="69" spans="1:24" x14ac:dyDescent="0.25">
      <c r="A69" s="49" t="s">
        <v>523</v>
      </c>
      <c r="B69" s="2" t="s">
        <v>540</v>
      </c>
      <c r="C69" s="2" t="s">
        <v>552</v>
      </c>
      <c r="D69" s="45" t="s">
        <v>629</v>
      </c>
      <c r="E69" s="45" t="s">
        <v>704</v>
      </c>
      <c r="F69" s="24" t="str">
        <f>HYPERLINK("https://mapwv.gov/flood/map/?wkid=102100&amp;x=-8940907.654011779&amp;y=4757438.484774294&amp;l=13&amp;v=2","FT")</f>
        <v>FT</v>
      </c>
      <c r="G69" s="47" t="s">
        <v>32</v>
      </c>
      <c r="H69" s="23" t="s">
        <v>25</v>
      </c>
      <c r="I69" s="2" t="s">
        <v>768</v>
      </c>
      <c r="J69" s="22" t="s">
        <v>39</v>
      </c>
      <c r="K69" s="47" t="s">
        <v>788</v>
      </c>
      <c r="L69" s="47" t="s">
        <v>53</v>
      </c>
      <c r="M69" s="48" t="s">
        <v>47</v>
      </c>
      <c r="N69" s="3" t="s">
        <v>35</v>
      </c>
      <c r="O69" s="47" t="s">
        <v>93</v>
      </c>
      <c r="P69" s="45" t="s">
        <v>859</v>
      </c>
      <c r="Q69" s="2" t="s">
        <v>30</v>
      </c>
      <c r="R69" s="23" t="s">
        <v>95</v>
      </c>
      <c r="S69" s="30">
        <v>373220</v>
      </c>
      <c r="T69" s="2" t="s">
        <v>31</v>
      </c>
      <c r="U69" s="31">
        <v>0.35992432000000002</v>
      </c>
      <c r="V69" s="31">
        <v>-0.64007568359375</v>
      </c>
      <c r="W69" s="32">
        <v>3.5992431640624999E-3</v>
      </c>
      <c r="X69" s="33">
        <v>1343.3095336914</v>
      </c>
    </row>
    <row r="70" spans="1:24" x14ac:dyDescent="0.25">
      <c r="A70" s="49" t="s">
        <v>524</v>
      </c>
      <c r="B70" s="2" t="s">
        <v>539</v>
      </c>
      <c r="C70" s="2" t="s">
        <v>549</v>
      </c>
      <c r="D70" s="45" t="s">
        <v>630</v>
      </c>
      <c r="E70" s="45" t="s">
        <v>705</v>
      </c>
      <c r="F70" s="24" t="str">
        <f>HYPERLINK("https://mapwv.gov/flood/map/?wkid=102100&amp;x=-8933656.219448484&amp;y=4762522.784827307&amp;l=13&amp;v=2","FT")</f>
        <v>FT</v>
      </c>
      <c r="G70" s="47" t="s">
        <v>32</v>
      </c>
      <c r="H70" s="23" t="s">
        <v>25</v>
      </c>
      <c r="I70" s="2" t="s">
        <v>769</v>
      </c>
      <c r="J70" s="22" t="s">
        <v>39</v>
      </c>
      <c r="K70" s="47" t="s">
        <v>789</v>
      </c>
      <c r="L70" s="47" t="s">
        <v>45</v>
      </c>
      <c r="M70" s="48" t="s">
        <v>796</v>
      </c>
      <c r="N70" s="3" t="s">
        <v>35</v>
      </c>
      <c r="O70" s="47" t="s">
        <v>94</v>
      </c>
      <c r="P70" s="45" t="s">
        <v>860</v>
      </c>
      <c r="Q70" s="2" t="s">
        <v>30</v>
      </c>
      <c r="R70" s="23" t="s">
        <v>95</v>
      </c>
      <c r="S70" s="30">
        <v>367300</v>
      </c>
      <c r="T70" s="2" t="s">
        <v>44</v>
      </c>
      <c r="U70" s="31">
        <v>0</v>
      </c>
      <c r="V70" s="31">
        <v>-1</v>
      </c>
      <c r="W70" s="32">
        <v>0</v>
      </c>
      <c r="X70" s="33">
        <v>0</v>
      </c>
    </row>
    <row r="71" spans="1:24" x14ac:dyDescent="0.25">
      <c r="A71" s="49" t="s">
        <v>525</v>
      </c>
      <c r="B71" s="2" t="s">
        <v>539</v>
      </c>
      <c r="C71" s="2" t="s">
        <v>550</v>
      </c>
      <c r="D71" s="45" t="s">
        <v>631</v>
      </c>
      <c r="E71" s="45" t="s">
        <v>706</v>
      </c>
      <c r="F71" s="24" t="str">
        <f>HYPERLINK("https://mapwv.gov/flood/map/?wkid=102100&amp;x=-8933547.286090977&amp;y=4762635.91620919&amp;l=13&amp;v=2","FT")</f>
        <v>FT</v>
      </c>
      <c r="G71" s="47" t="s">
        <v>32</v>
      </c>
      <c r="H71" s="23" t="s">
        <v>25</v>
      </c>
      <c r="I71" s="2" t="s">
        <v>770</v>
      </c>
      <c r="J71" s="22" t="s">
        <v>39</v>
      </c>
      <c r="K71" s="47" t="s">
        <v>790</v>
      </c>
      <c r="L71" s="47" t="s">
        <v>27</v>
      </c>
      <c r="M71" s="48" t="s">
        <v>56</v>
      </c>
      <c r="N71" s="3" t="s">
        <v>35</v>
      </c>
      <c r="O71" s="47" t="s">
        <v>800</v>
      </c>
      <c r="P71" s="45" t="s">
        <v>861</v>
      </c>
      <c r="Q71" s="2" t="s">
        <v>30</v>
      </c>
      <c r="R71" s="23" t="s">
        <v>95</v>
      </c>
      <c r="S71" s="30">
        <v>354300</v>
      </c>
      <c r="T71" s="2" t="s">
        <v>44</v>
      </c>
      <c r="U71" s="31">
        <v>0</v>
      </c>
      <c r="V71" s="31">
        <v>-1</v>
      </c>
      <c r="W71" s="32">
        <v>0</v>
      </c>
      <c r="X71" s="33">
        <v>0</v>
      </c>
    </row>
    <row r="72" spans="1:24" x14ac:dyDescent="0.25">
      <c r="A72" s="49" t="s">
        <v>526</v>
      </c>
      <c r="B72" s="2" t="s">
        <v>541</v>
      </c>
      <c r="C72" s="2" t="s">
        <v>551</v>
      </c>
      <c r="D72" s="45" t="s">
        <v>632</v>
      </c>
      <c r="E72" s="45" t="s">
        <v>707</v>
      </c>
      <c r="F72" s="24" t="str">
        <f>HYPERLINK("https://mapwv.gov/flood/map/?wkid=102100&amp;x=-8946682.012515636&amp;y=4760388.053112238&amp;l=13&amp;v=2","FT")</f>
        <v>FT</v>
      </c>
      <c r="G72" s="47" t="s">
        <v>54</v>
      </c>
      <c r="H72" s="23" t="s">
        <v>25</v>
      </c>
      <c r="I72" s="2" t="s">
        <v>771</v>
      </c>
      <c r="J72" s="22" t="s">
        <v>39</v>
      </c>
      <c r="K72" s="47" t="s">
        <v>104</v>
      </c>
      <c r="L72" s="47" t="s">
        <v>45</v>
      </c>
      <c r="M72" s="48" t="s">
        <v>28</v>
      </c>
      <c r="N72" s="3" t="s">
        <v>90</v>
      </c>
      <c r="O72" s="47" t="s">
        <v>93</v>
      </c>
      <c r="P72" s="45" t="s">
        <v>862</v>
      </c>
      <c r="Q72" s="2" t="s">
        <v>30</v>
      </c>
      <c r="R72" s="23" t="s">
        <v>95</v>
      </c>
      <c r="S72" s="30">
        <v>351900</v>
      </c>
      <c r="T72" s="2" t="s">
        <v>31</v>
      </c>
      <c r="U72" s="31">
        <v>0.21282959000000001</v>
      </c>
      <c r="V72" s="31">
        <v>-0.78717041015625</v>
      </c>
      <c r="W72" s="32">
        <v>0</v>
      </c>
      <c r="X72" s="33">
        <v>0</v>
      </c>
    </row>
    <row r="73" spans="1:24" x14ac:dyDescent="0.25">
      <c r="A73" s="49" t="s">
        <v>527</v>
      </c>
      <c r="B73" s="2" t="s">
        <v>540</v>
      </c>
      <c r="C73" s="2" t="s">
        <v>555</v>
      </c>
      <c r="D73" s="45" t="s">
        <v>633</v>
      </c>
      <c r="E73" s="45" t="s">
        <v>708</v>
      </c>
      <c r="F73" s="24" t="str">
        <f>HYPERLINK("https://mapwv.gov/flood/map/?wkid=102100&amp;x=-8929627.42414245&amp;y=4772693.295845131&amp;l=13&amp;v=2","FT")</f>
        <v>FT</v>
      </c>
      <c r="G73" s="47" t="s">
        <v>32</v>
      </c>
      <c r="H73" s="23" t="s">
        <v>25</v>
      </c>
      <c r="I73" s="2" t="s">
        <v>772</v>
      </c>
      <c r="J73" s="22" t="s">
        <v>26</v>
      </c>
      <c r="K73" s="47" t="s">
        <v>115</v>
      </c>
      <c r="L73" s="47" t="s">
        <v>57</v>
      </c>
      <c r="M73" s="48" t="s">
        <v>63</v>
      </c>
      <c r="N73" s="3" t="s">
        <v>35</v>
      </c>
      <c r="O73" s="47" t="s">
        <v>93</v>
      </c>
      <c r="P73" s="45" t="s">
        <v>863</v>
      </c>
      <c r="Q73" s="2" t="s">
        <v>30</v>
      </c>
      <c r="R73" s="23" t="s">
        <v>95</v>
      </c>
      <c r="S73" s="30">
        <v>341800</v>
      </c>
      <c r="T73" s="2" t="s">
        <v>44</v>
      </c>
      <c r="U73" s="31">
        <v>0</v>
      </c>
      <c r="V73" s="31">
        <v>-1</v>
      </c>
      <c r="W73" s="32">
        <v>0</v>
      </c>
      <c r="X73" s="33">
        <v>0</v>
      </c>
    </row>
    <row r="74" spans="1:24" x14ac:dyDescent="0.25">
      <c r="A74" s="49" t="s">
        <v>528</v>
      </c>
      <c r="B74" s="2" t="s">
        <v>544</v>
      </c>
      <c r="C74" s="2" t="s">
        <v>570</v>
      </c>
      <c r="D74" s="45" t="s">
        <v>634</v>
      </c>
      <c r="E74" s="45" t="s">
        <v>709</v>
      </c>
      <c r="F74" s="24" t="str">
        <f>HYPERLINK("https://mapwv.gov/flood/map/?wkid=102100&amp;x=-8941298.680532433&amp;y=4758983.290169152&amp;l=13&amp;v=2","FT")</f>
        <v>FT</v>
      </c>
      <c r="G74" s="47" t="s">
        <v>54</v>
      </c>
      <c r="H74" s="23" t="s">
        <v>25</v>
      </c>
      <c r="I74" s="2" t="s">
        <v>773</v>
      </c>
      <c r="J74" s="22" t="s">
        <v>116</v>
      </c>
      <c r="K74" s="47" t="s">
        <v>405</v>
      </c>
      <c r="L74" s="47" t="s">
        <v>27</v>
      </c>
      <c r="M74" s="48" t="s">
        <v>58</v>
      </c>
      <c r="N74" s="3" t="s">
        <v>91</v>
      </c>
      <c r="O74" s="47" t="s">
        <v>93</v>
      </c>
      <c r="P74" s="45" t="s">
        <v>864</v>
      </c>
      <c r="Q74" s="2" t="s">
        <v>30</v>
      </c>
      <c r="R74" s="23" t="s">
        <v>95</v>
      </c>
      <c r="S74" s="30">
        <v>336400</v>
      </c>
      <c r="T74" s="2" t="s">
        <v>44</v>
      </c>
      <c r="U74" s="31">
        <v>0.76818850000000005</v>
      </c>
      <c r="V74" s="31">
        <v>-0.2318115234375</v>
      </c>
      <c r="W74" s="32">
        <v>0</v>
      </c>
      <c r="X74" s="33">
        <v>0</v>
      </c>
    </row>
    <row r="75" spans="1:24" x14ac:dyDescent="0.25">
      <c r="A75" s="49" t="s">
        <v>529</v>
      </c>
      <c r="B75" s="2" t="s">
        <v>541</v>
      </c>
      <c r="C75" s="2" t="s">
        <v>553</v>
      </c>
      <c r="D75" s="45" t="s">
        <v>635</v>
      </c>
      <c r="E75" s="45" t="s">
        <v>710</v>
      </c>
      <c r="F75" s="24" t="str">
        <f>HYPERLINK("https://mapwv.gov/flood/map/?wkid=102100&amp;x=-8945283.357252602&amp;y=4762526.596247641&amp;l=13&amp;v=2","FT")</f>
        <v>FT</v>
      </c>
      <c r="G75" s="47" t="s">
        <v>32</v>
      </c>
      <c r="H75" s="23" t="s">
        <v>719</v>
      </c>
      <c r="I75" s="2" t="s">
        <v>774</v>
      </c>
      <c r="J75" s="22" t="s">
        <v>26</v>
      </c>
      <c r="K75" s="47" t="s">
        <v>395</v>
      </c>
      <c r="L75" s="47" t="s">
        <v>27</v>
      </c>
      <c r="M75" s="48" t="s">
        <v>41</v>
      </c>
      <c r="N75" s="3" t="s">
        <v>42</v>
      </c>
      <c r="O75" s="47" t="s">
        <v>93</v>
      </c>
      <c r="P75" s="45" t="s">
        <v>865</v>
      </c>
      <c r="Q75" s="2" t="s">
        <v>43</v>
      </c>
      <c r="R75" s="23" t="s">
        <v>96</v>
      </c>
      <c r="S75" s="30">
        <v>334700</v>
      </c>
      <c r="T75" s="2" t="s">
        <v>44</v>
      </c>
      <c r="U75" s="31">
        <v>11.050476</v>
      </c>
      <c r="V75" s="31">
        <v>7.05047607421875</v>
      </c>
      <c r="W75" s="32">
        <v>0.70201904296874995</v>
      </c>
      <c r="X75" s="33">
        <v>234965.77368164001</v>
      </c>
    </row>
    <row r="76" spans="1:24" x14ac:dyDescent="0.25">
      <c r="A76" s="49" t="s">
        <v>530</v>
      </c>
      <c r="B76" s="2" t="s">
        <v>540</v>
      </c>
      <c r="C76" s="2" t="s">
        <v>557</v>
      </c>
      <c r="D76" s="45" t="s">
        <v>636</v>
      </c>
      <c r="E76" s="45" t="s">
        <v>711</v>
      </c>
      <c r="F76" s="24" t="str">
        <f>HYPERLINK("https://mapwv.gov/flood/map/?wkid=102100&amp;x=-8939310.208632225&amp;y=4759488.208921351&amp;l=13&amp;v=2","FT")</f>
        <v>FT</v>
      </c>
      <c r="G76" s="47" t="s">
        <v>38</v>
      </c>
      <c r="H76" s="23" t="s">
        <v>25</v>
      </c>
      <c r="I76" s="2" t="s">
        <v>775</v>
      </c>
      <c r="J76" s="22" t="s">
        <v>26</v>
      </c>
      <c r="K76" s="47" t="s">
        <v>76</v>
      </c>
      <c r="L76" s="47" t="s">
        <v>57</v>
      </c>
      <c r="M76" s="48" t="s">
        <v>51</v>
      </c>
      <c r="N76" s="3" t="s">
        <v>35</v>
      </c>
      <c r="O76" s="47" t="s">
        <v>94</v>
      </c>
      <c r="P76" s="45" t="s">
        <v>866</v>
      </c>
      <c r="Q76" s="2" t="s">
        <v>30</v>
      </c>
      <c r="R76" s="23" t="s">
        <v>95</v>
      </c>
      <c r="S76" s="30">
        <v>328200</v>
      </c>
      <c r="T76" s="2" t="s">
        <v>44</v>
      </c>
      <c r="U76" s="31">
        <v>0.83554910000000004</v>
      </c>
      <c r="V76" s="31">
        <v>-0.164450883865356</v>
      </c>
      <c r="W76" s="32">
        <v>8.3554911613464306E-3</v>
      </c>
      <c r="X76" s="33">
        <v>2742.2721991539001</v>
      </c>
    </row>
    <row r="77" spans="1:24" x14ac:dyDescent="0.25">
      <c r="A77" s="49" t="s">
        <v>531</v>
      </c>
      <c r="B77" s="2" t="s">
        <v>546</v>
      </c>
      <c r="C77" s="2" t="s">
        <v>563</v>
      </c>
      <c r="D77" s="45" t="s">
        <v>637</v>
      </c>
      <c r="E77" s="45" t="s">
        <v>712</v>
      </c>
      <c r="F77" s="24" t="str">
        <f>HYPERLINK("https://mapwv.gov/flood/map/?wkid=102100&amp;x=-8939570.032219918&amp;y=4778173.246661599&amp;l=13&amp;v=2","FT")</f>
        <v>FT</v>
      </c>
      <c r="G77" s="47" t="s">
        <v>54</v>
      </c>
      <c r="H77" s="23" t="s">
        <v>25</v>
      </c>
      <c r="I77" s="2" t="s">
        <v>776</v>
      </c>
      <c r="J77" s="22" t="s">
        <v>39</v>
      </c>
      <c r="K77" s="47" t="s">
        <v>791</v>
      </c>
      <c r="L77" s="47" t="s">
        <v>27</v>
      </c>
      <c r="M77" s="48" t="s">
        <v>47</v>
      </c>
      <c r="N77" s="3" t="s">
        <v>35</v>
      </c>
      <c r="O77" s="47" t="s">
        <v>93</v>
      </c>
      <c r="P77" s="45" t="s">
        <v>867</v>
      </c>
      <c r="Q77" s="2" t="s">
        <v>30</v>
      </c>
      <c r="R77" s="23" t="s">
        <v>95</v>
      </c>
      <c r="S77" s="30">
        <v>326400</v>
      </c>
      <c r="T77" s="2" t="s">
        <v>44</v>
      </c>
      <c r="U77" s="31">
        <v>1</v>
      </c>
      <c r="V77" s="31">
        <v>0</v>
      </c>
      <c r="W77" s="32">
        <v>0.01</v>
      </c>
      <c r="X77" s="33">
        <v>3264</v>
      </c>
    </row>
    <row r="78" spans="1:24" x14ac:dyDescent="0.25">
      <c r="A78" s="49" t="s">
        <v>532</v>
      </c>
      <c r="B78" s="2" t="s">
        <v>540</v>
      </c>
      <c r="C78" s="2" t="s">
        <v>571</v>
      </c>
      <c r="D78" s="45" t="s">
        <v>638</v>
      </c>
      <c r="E78" s="45" t="s">
        <v>713</v>
      </c>
      <c r="F78" s="24" t="str">
        <f>HYPERLINK("https://mapwv.gov/flood/map/?wkid=102100&amp;x=-8958579.85338392&amp;y=4748896.223219642&amp;l=13&amp;v=2","FT")</f>
        <v>FT</v>
      </c>
      <c r="G78" s="47" t="s">
        <v>38</v>
      </c>
      <c r="H78" s="23" t="s">
        <v>25</v>
      </c>
      <c r="I78" s="2" t="s">
        <v>777</v>
      </c>
      <c r="J78" s="22" t="s">
        <v>36</v>
      </c>
      <c r="K78" s="47" t="s">
        <v>77</v>
      </c>
      <c r="L78" s="47"/>
      <c r="M78" s="48" t="s">
        <v>58</v>
      </c>
      <c r="N78" s="3" t="s">
        <v>91</v>
      </c>
      <c r="O78" s="47" t="s">
        <v>93</v>
      </c>
      <c r="P78" s="45" t="s">
        <v>868</v>
      </c>
      <c r="Q78" s="2" t="s">
        <v>30</v>
      </c>
      <c r="R78" s="23" t="s">
        <v>95</v>
      </c>
      <c r="S78" s="30">
        <v>323932</v>
      </c>
      <c r="T78" s="2" t="s">
        <v>97</v>
      </c>
      <c r="U78" s="31">
        <v>4.3531242999999997E-2</v>
      </c>
      <c r="V78" s="31">
        <v>-0.95646875724196401</v>
      </c>
      <c r="W78" s="32">
        <v>0</v>
      </c>
      <c r="X78" s="33">
        <v>0</v>
      </c>
    </row>
    <row r="79" spans="1:24" x14ac:dyDescent="0.25">
      <c r="A79" s="49" t="s">
        <v>533</v>
      </c>
      <c r="B79" s="2" t="s">
        <v>540</v>
      </c>
      <c r="C79" s="2" t="s">
        <v>567</v>
      </c>
      <c r="D79" s="45" t="s">
        <v>639</v>
      </c>
      <c r="E79" s="45" t="s">
        <v>714</v>
      </c>
      <c r="F79" s="24" t="str">
        <f>HYPERLINK("https://mapwv.gov/flood/map/?wkid=102100&amp;x=-8945775.14394243&amp;y=4745652.664842549&amp;l=13&amp;v=2","FT")</f>
        <v>FT</v>
      </c>
      <c r="G79" s="47" t="s">
        <v>38</v>
      </c>
      <c r="H79" s="23" t="s">
        <v>25</v>
      </c>
      <c r="I79" s="2" t="s">
        <v>778</v>
      </c>
      <c r="J79" s="22" t="s">
        <v>26</v>
      </c>
      <c r="K79" s="47" t="s">
        <v>437</v>
      </c>
      <c r="L79" s="47" t="s">
        <v>53</v>
      </c>
      <c r="M79" s="48" t="s">
        <v>58</v>
      </c>
      <c r="N79" s="3" t="s">
        <v>91</v>
      </c>
      <c r="O79" s="47" t="s">
        <v>93</v>
      </c>
      <c r="P79" s="45" t="s">
        <v>869</v>
      </c>
      <c r="Q79" s="2" t="s">
        <v>30</v>
      </c>
      <c r="R79" s="23" t="s">
        <v>95</v>
      </c>
      <c r="S79" s="30">
        <v>322700</v>
      </c>
      <c r="T79" s="2" t="s">
        <v>44</v>
      </c>
      <c r="U79" s="31">
        <v>9.3865090000000002</v>
      </c>
      <c r="V79" s="31">
        <v>8.3865089416503906</v>
      </c>
      <c r="W79" s="32">
        <v>0.143865089416503</v>
      </c>
      <c r="X79" s="33">
        <v>46425.264354705803</v>
      </c>
    </row>
    <row r="80" spans="1:24" x14ac:dyDescent="0.25">
      <c r="A80" s="49" t="s">
        <v>534</v>
      </c>
      <c r="B80" s="2" t="s">
        <v>541</v>
      </c>
      <c r="C80" s="2" t="s">
        <v>553</v>
      </c>
      <c r="D80" s="45" t="s">
        <v>640</v>
      </c>
      <c r="E80" s="45" t="s">
        <v>715</v>
      </c>
      <c r="F80" s="24" t="str">
        <f>HYPERLINK("https://mapwv.gov/flood/map/?wkid=102100&amp;x=-8945376.551369945&amp;y=4760349.91054032&amp;l=13&amp;v=2","FT")</f>
        <v>FT</v>
      </c>
      <c r="G80" s="47" t="s">
        <v>32</v>
      </c>
      <c r="H80" s="23" t="s">
        <v>25</v>
      </c>
      <c r="I80" s="2" t="s">
        <v>779</v>
      </c>
      <c r="J80" s="22" t="s">
        <v>26</v>
      </c>
      <c r="K80" s="47" t="s">
        <v>391</v>
      </c>
      <c r="L80" s="47" t="s">
        <v>53</v>
      </c>
      <c r="M80" s="48" t="s">
        <v>63</v>
      </c>
      <c r="N80" s="3" t="s">
        <v>35</v>
      </c>
      <c r="O80" s="47" t="s">
        <v>93</v>
      </c>
      <c r="P80" s="45" t="s">
        <v>870</v>
      </c>
      <c r="Q80" s="2" t="s">
        <v>30</v>
      </c>
      <c r="R80" s="23" t="s">
        <v>95</v>
      </c>
      <c r="S80" s="30">
        <v>318200</v>
      </c>
      <c r="T80" s="2" t="s">
        <v>44</v>
      </c>
      <c r="U80" s="31">
        <v>2.8178709999999998</v>
      </c>
      <c r="V80" s="31">
        <v>1.81787109375</v>
      </c>
      <c r="W80" s="32">
        <v>7.4536132812500003E-2</v>
      </c>
      <c r="X80" s="33">
        <v>23717.3974609375</v>
      </c>
    </row>
    <row r="81" spans="1:24" x14ac:dyDescent="0.25">
      <c r="A81" s="49" t="s">
        <v>535</v>
      </c>
      <c r="B81" s="2" t="s">
        <v>541</v>
      </c>
      <c r="C81" s="2" t="s">
        <v>557</v>
      </c>
      <c r="D81" s="45" t="s">
        <v>641</v>
      </c>
      <c r="E81" s="45" t="s">
        <v>716</v>
      </c>
      <c r="F81" s="24" t="str">
        <f>HYPERLINK("https://mapwv.gov/flood/map/?wkid=102100&amp;x=-8940883.657203106&amp;y=4760687.543837107&amp;l=13&amp;v=2","FT")</f>
        <v>FT</v>
      </c>
      <c r="G81" s="47" t="s">
        <v>32</v>
      </c>
      <c r="H81" s="23" t="s">
        <v>25</v>
      </c>
      <c r="I81" s="2" t="s">
        <v>780</v>
      </c>
      <c r="J81" s="22" t="s">
        <v>39</v>
      </c>
      <c r="K81" s="47" t="s">
        <v>112</v>
      </c>
      <c r="L81" s="47" t="s">
        <v>53</v>
      </c>
      <c r="M81" s="48" t="s">
        <v>63</v>
      </c>
      <c r="N81" s="3" t="s">
        <v>35</v>
      </c>
      <c r="O81" s="47" t="s">
        <v>93</v>
      </c>
      <c r="P81" s="45" t="s">
        <v>871</v>
      </c>
      <c r="Q81" s="2" t="s">
        <v>30</v>
      </c>
      <c r="R81" s="23" t="s">
        <v>95</v>
      </c>
      <c r="S81" s="30">
        <v>316300</v>
      </c>
      <c r="T81" s="2" t="s">
        <v>44</v>
      </c>
      <c r="U81" s="31">
        <v>0.29730224999999999</v>
      </c>
      <c r="V81" s="31">
        <v>-0.70269775390625</v>
      </c>
      <c r="W81" s="32">
        <v>0</v>
      </c>
      <c r="X81" s="33">
        <v>0</v>
      </c>
    </row>
    <row r="82" spans="1:24" x14ac:dyDescent="0.25">
      <c r="A82" s="49" t="s">
        <v>536</v>
      </c>
      <c r="B82" s="2" t="s">
        <v>540</v>
      </c>
      <c r="C82" s="2" t="s">
        <v>571</v>
      </c>
      <c r="D82" s="45" t="s">
        <v>642</v>
      </c>
      <c r="E82" s="45" t="s">
        <v>717</v>
      </c>
      <c r="F82" s="24" t="str">
        <f>HYPERLINK("https://mapwv.gov/flood/map/?wkid=102100&amp;x=-8957859.47957815&amp;y=4748535.578705554&amp;l=13&amp;v=2","FT")</f>
        <v>FT</v>
      </c>
      <c r="G82" s="47" t="s">
        <v>38</v>
      </c>
      <c r="H82" s="23" t="s">
        <v>25</v>
      </c>
      <c r="I82" s="2" t="s">
        <v>781</v>
      </c>
      <c r="J82" s="22" t="s">
        <v>26</v>
      </c>
      <c r="K82" s="47" t="s">
        <v>80</v>
      </c>
      <c r="L82" s="47" t="s">
        <v>45</v>
      </c>
      <c r="M82" s="48" t="s">
        <v>41</v>
      </c>
      <c r="N82" s="3" t="s">
        <v>42</v>
      </c>
      <c r="O82" s="47" t="s">
        <v>94</v>
      </c>
      <c r="P82" s="45" t="s">
        <v>452</v>
      </c>
      <c r="Q82" s="2" t="s">
        <v>52</v>
      </c>
      <c r="R82" s="23" t="s">
        <v>96</v>
      </c>
      <c r="S82" s="30">
        <v>306900</v>
      </c>
      <c r="T82" s="2" t="s">
        <v>44</v>
      </c>
      <c r="U82" s="31">
        <v>4.2013544999999999</v>
      </c>
      <c r="V82" s="31">
        <v>0.20135450363159099</v>
      </c>
      <c r="W82" s="32">
        <v>0.112013545036315</v>
      </c>
      <c r="X82" s="33">
        <v>34376.956971645297</v>
      </c>
    </row>
    <row r="83" spans="1:24" x14ac:dyDescent="0.25">
      <c r="A83" s="49" t="s">
        <v>537</v>
      </c>
      <c r="B83" s="2" t="s">
        <v>543</v>
      </c>
      <c r="C83" s="2" t="s">
        <v>568</v>
      </c>
      <c r="D83" s="45" t="s">
        <v>643</v>
      </c>
      <c r="E83" s="45" t="s">
        <v>718</v>
      </c>
      <c r="F83" s="24" t="str">
        <f>HYPERLINK("https://mapwv.gov/flood/map/?wkid=102100&amp;x=-8937938.193347849&amp;y=4758554.413226136&amp;l=13&amp;v=2","FT")</f>
        <v>FT</v>
      </c>
      <c r="G83" s="47" t="s">
        <v>54</v>
      </c>
      <c r="H83" s="23" t="s">
        <v>25</v>
      </c>
      <c r="I83" s="2" t="s">
        <v>782</v>
      </c>
      <c r="J83" s="22" t="s">
        <v>39</v>
      </c>
      <c r="K83" s="47" t="s">
        <v>79</v>
      </c>
      <c r="L83" s="47" t="s">
        <v>27</v>
      </c>
      <c r="M83" s="48" t="s">
        <v>47</v>
      </c>
      <c r="N83" s="3" t="s">
        <v>35</v>
      </c>
      <c r="O83" s="47" t="s">
        <v>94</v>
      </c>
      <c r="P83" s="45" t="s">
        <v>872</v>
      </c>
      <c r="Q83" s="2" t="s">
        <v>30</v>
      </c>
      <c r="R83" s="23" t="s">
        <v>95</v>
      </c>
      <c r="S83" s="30">
        <v>302600</v>
      </c>
      <c r="T83" s="2" t="s">
        <v>44</v>
      </c>
      <c r="U83" s="31">
        <v>0</v>
      </c>
      <c r="V83" s="31">
        <v>-1</v>
      </c>
      <c r="W83" s="32">
        <v>0</v>
      </c>
      <c r="X83" s="33">
        <v>0</v>
      </c>
    </row>
  </sheetData>
  <hyperlinks>
    <hyperlink ref="J3" r:id="rId1" xr:uid="{4A7C1B47-6E4C-44BF-8BDB-F04C9C5E3C5D}"/>
    <hyperlink ref="M3" r:id="rId2" xr:uid="{20A3CEB0-4420-4B57-9944-75679EE33FF4}"/>
    <hyperlink ref="Q3" r:id="rId3" xr:uid="{896834FE-DC1E-4B0E-8301-20B611E9102D}"/>
  </hyperlinks>
  <pageMargins left="0.7" right="0.7" top="0.75" bottom="0.75" header="0.3" footer="0.3"/>
  <pageSetup orientation="portrait" horizontalDpi="4294967295" verticalDpi="4294967295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BCDDD-3DFB-48C3-A37B-07581BF66D4B}">
  <dimension ref="A1:X48"/>
  <sheetViews>
    <sheetView workbookViewId="0">
      <pane ySplit="6" topLeftCell="A7" activePane="bottomLeft" state="frozen"/>
      <selection pane="bottomLeft" activeCell="T6" sqref="T6"/>
    </sheetView>
  </sheetViews>
  <sheetFormatPr defaultRowHeight="15" x14ac:dyDescent="0.25"/>
  <cols>
    <col min="1" max="1" width="33.85546875" bestFit="1" customWidth="1"/>
    <col min="2" max="2" width="10.7109375" customWidth="1"/>
    <col min="7" max="7" width="12" customWidth="1"/>
    <col min="8" max="8" width="8.85546875" style="52"/>
    <col min="13" max="13" width="10.85546875" customWidth="1"/>
    <col min="14" max="14" width="10.7109375" customWidth="1"/>
    <col min="17" max="17" width="10.7109375" customWidth="1"/>
    <col min="19" max="19" width="21.7109375" bestFit="1" customWidth="1"/>
    <col min="24" max="24" width="9.5703125" bestFit="1" customWidth="1"/>
  </cols>
  <sheetData>
    <row r="1" spans="1:24" ht="14.25" customHeight="1" x14ac:dyDescent="0.25">
      <c r="A1" s="4" t="s">
        <v>66</v>
      </c>
      <c r="B1" s="4"/>
      <c r="C1" s="4"/>
      <c r="D1" s="4"/>
      <c r="F1" s="17" t="s">
        <v>67</v>
      </c>
      <c r="G1" s="6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4" x14ac:dyDescent="0.25">
      <c r="A2" s="11">
        <v>44207</v>
      </c>
      <c r="B2" s="12" t="s">
        <v>70</v>
      </c>
      <c r="F2" s="6"/>
      <c r="G2" s="6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4" x14ac:dyDescent="0.25">
      <c r="A3" t="s">
        <v>72</v>
      </c>
      <c r="B3" s="41"/>
      <c r="F3" s="6"/>
      <c r="G3" s="6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4" x14ac:dyDescent="0.25">
      <c r="F4" s="6"/>
      <c r="G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25">
      <c r="A5" s="1" t="s">
        <v>879</v>
      </c>
      <c r="F5" s="6"/>
      <c r="G5" s="6"/>
      <c r="J5" s="6"/>
      <c r="K5" s="6"/>
      <c r="L5" s="6"/>
      <c r="O5" s="6"/>
      <c r="P5" s="6"/>
      <c r="R5" s="6"/>
      <c r="S5" s="34" t="s">
        <v>538</v>
      </c>
      <c r="U5" s="6"/>
      <c r="V5" s="6"/>
      <c r="W5" s="9"/>
      <c r="X5" s="10"/>
    </row>
    <row r="6" spans="1:24" ht="45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25">
      <c r="A7" s="22" t="s">
        <v>880</v>
      </c>
      <c r="B7" s="2" t="s">
        <v>922</v>
      </c>
      <c r="C7" s="2" t="s">
        <v>928</v>
      </c>
      <c r="D7" s="50" t="s">
        <v>942</v>
      </c>
      <c r="E7" s="50" t="s">
        <v>982</v>
      </c>
      <c r="F7" s="24" t="str">
        <f>HYPERLINK("https://mapwv.gov/flood/map/?wkid=102100&amp;x=-8943818.77936635&amp;y=4797709.094630128&amp;l=13&amp;v=2","FT")</f>
        <v>FT</v>
      </c>
      <c r="G7" s="51" t="s">
        <v>32</v>
      </c>
      <c r="H7" s="23" t="s">
        <v>25</v>
      </c>
      <c r="I7" s="2" t="s">
        <v>59</v>
      </c>
      <c r="J7" s="53" t="s">
        <v>39</v>
      </c>
      <c r="K7" s="51" t="s">
        <v>1056</v>
      </c>
      <c r="L7" s="46"/>
      <c r="M7" s="50" t="s">
        <v>60</v>
      </c>
      <c r="N7" s="3" t="s">
        <v>89</v>
      </c>
      <c r="O7" s="51" t="s">
        <v>93</v>
      </c>
      <c r="P7" s="50" t="s">
        <v>1068</v>
      </c>
      <c r="Q7" s="2" t="s">
        <v>30</v>
      </c>
      <c r="R7" s="23" t="s">
        <v>95</v>
      </c>
      <c r="S7" s="30">
        <v>2861000</v>
      </c>
      <c r="T7" s="2" t="s">
        <v>44</v>
      </c>
      <c r="U7" s="31">
        <v>0.6</v>
      </c>
      <c r="V7" s="31">
        <v>-0.39999997615814198</v>
      </c>
      <c r="W7" s="32">
        <v>0</v>
      </c>
      <c r="X7" s="33">
        <v>0</v>
      </c>
    </row>
    <row r="8" spans="1:24" x14ac:dyDescent="0.25">
      <c r="A8" s="22" t="s">
        <v>881</v>
      </c>
      <c r="B8" s="2" t="s">
        <v>923</v>
      </c>
      <c r="C8" s="2" t="s">
        <v>929</v>
      </c>
      <c r="D8" s="50" t="s">
        <v>943</v>
      </c>
      <c r="E8" s="50" t="s">
        <v>983</v>
      </c>
      <c r="F8" s="24" t="str">
        <f>HYPERLINK("https://mapwv.gov/flood/map/?wkid=102100&amp;x=-8949663.544108553&amp;y=4800329.5409608&amp;l=13&amp;v=2","FT")</f>
        <v>FT</v>
      </c>
      <c r="G8" s="51" t="s">
        <v>38</v>
      </c>
      <c r="H8" s="23" t="s">
        <v>25</v>
      </c>
      <c r="I8" s="2" t="s">
        <v>1024</v>
      </c>
      <c r="J8" s="53" t="s">
        <v>26</v>
      </c>
      <c r="K8" s="51" t="s">
        <v>1057</v>
      </c>
      <c r="L8" s="46" t="s">
        <v>53</v>
      </c>
      <c r="M8" s="50" t="s">
        <v>34</v>
      </c>
      <c r="N8" s="3" t="s">
        <v>92</v>
      </c>
      <c r="O8" s="51" t="s">
        <v>94</v>
      </c>
      <c r="P8" s="50" t="s">
        <v>1069</v>
      </c>
      <c r="Q8" s="2" t="s">
        <v>30</v>
      </c>
      <c r="R8" s="23" t="s">
        <v>95</v>
      </c>
      <c r="S8" s="30">
        <v>2478800</v>
      </c>
      <c r="T8" s="2" t="s">
        <v>44</v>
      </c>
      <c r="U8" s="31">
        <v>1.8</v>
      </c>
      <c r="V8" s="31">
        <v>0.79999995231628396</v>
      </c>
      <c r="W8" s="32">
        <v>7.3999996185302702E-2</v>
      </c>
      <c r="X8" s="33">
        <v>183431.19054412801</v>
      </c>
    </row>
    <row r="9" spans="1:24" x14ac:dyDescent="0.25">
      <c r="A9" s="22" t="s">
        <v>882</v>
      </c>
      <c r="B9" s="2" t="s">
        <v>924</v>
      </c>
      <c r="C9" s="2" t="s">
        <v>930</v>
      </c>
      <c r="D9" s="50" t="s">
        <v>944</v>
      </c>
      <c r="E9" s="50" t="s">
        <v>984</v>
      </c>
      <c r="F9" s="24" t="str">
        <f>HYPERLINK("https://mapwv.gov/flood/map/?wkid=102100&amp;x=-8933639.1339104&amp;y=4806855.173274924&amp;l=13&amp;v=2","FT")</f>
        <v>FT</v>
      </c>
      <c r="G9" s="51" t="s">
        <v>38</v>
      </c>
      <c r="H9" s="23" t="s">
        <v>25</v>
      </c>
      <c r="I9" s="2" t="s">
        <v>59</v>
      </c>
      <c r="J9" s="53" t="s">
        <v>39</v>
      </c>
      <c r="K9" s="51" t="s">
        <v>1058</v>
      </c>
      <c r="L9" s="46"/>
      <c r="M9" s="50" t="s">
        <v>60</v>
      </c>
      <c r="N9" s="3" t="s">
        <v>89</v>
      </c>
      <c r="O9" s="51" t="s">
        <v>93</v>
      </c>
      <c r="P9" s="50" t="s">
        <v>1070</v>
      </c>
      <c r="Q9" s="2" t="s">
        <v>30</v>
      </c>
      <c r="R9" s="23" t="s">
        <v>95</v>
      </c>
      <c r="S9" s="30">
        <v>1546600</v>
      </c>
      <c r="T9" s="2" t="s">
        <v>44</v>
      </c>
      <c r="U9" s="31">
        <v>4.3</v>
      </c>
      <c r="V9" s="31">
        <v>3.3000001907348602</v>
      </c>
      <c r="W9" s="32">
        <v>0.09</v>
      </c>
      <c r="X9" s="33">
        <v>139194</v>
      </c>
    </row>
    <row r="10" spans="1:24" x14ac:dyDescent="0.25">
      <c r="A10" s="22" t="s">
        <v>883</v>
      </c>
      <c r="B10" s="2" t="s">
        <v>923</v>
      </c>
      <c r="C10" s="2" t="s">
        <v>931</v>
      </c>
      <c r="D10" s="50" t="s">
        <v>945</v>
      </c>
      <c r="E10" s="50" t="s">
        <v>985</v>
      </c>
      <c r="F10" s="24" t="str">
        <f>HYPERLINK("https://mapwv.gov/flood/map/?wkid=102100&amp;x=-8928700.74582058&amp;y=4781732.127240783&amp;l=13&amp;v=2","FT")</f>
        <v>FT</v>
      </c>
      <c r="G10" s="51" t="s">
        <v>327</v>
      </c>
      <c r="H10" s="23" t="s">
        <v>25</v>
      </c>
      <c r="I10" s="2" t="s">
        <v>1025</v>
      </c>
      <c r="J10" s="53" t="s">
        <v>116</v>
      </c>
      <c r="K10" s="51" t="s">
        <v>115</v>
      </c>
      <c r="L10" s="46" t="s">
        <v>49</v>
      </c>
      <c r="M10" s="50" t="s">
        <v>34</v>
      </c>
      <c r="N10" s="3" t="s">
        <v>92</v>
      </c>
      <c r="O10" s="51" t="s">
        <v>93</v>
      </c>
      <c r="P10" s="50" t="s">
        <v>1071</v>
      </c>
      <c r="Q10" s="2" t="s">
        <v>30</v>
      </c>
      <c r="R10" s="23" t="s">
        <v>95</v>
      </c>
      <c r="S10" s="30">
        <v>1321400</v>
      </c>
      <c r="T10" s="2" t="s">
        <v>44</v>
      </c>
      <c r="U10" s="31">
        <v>1.003225</v>
      </c>
      <c r="V10" s="31">
        <v>3.22496891021728E-3</v>
      </c>
      <c r="W10" s="32">
        <v>1.02579975128173E-2</v>
      </c>
      <c r="X10" s="33">
        <v>13554.917913436801</v>
      </c>
    </row>
    <row r="11" spans="1:24" x14ac:dyDescent="0.25">
      <c r="A11" s="22" t="s">
        <v>884</v>
      </c>
      <c r="B11" s="2" t="s">
        <v>925</v>
      </c>
      <c r="C11" s="2" t="s">
        <v>928</v>
      </c>
      <c r="D11" s="50" t="s">
        <v>946</v>
      </c>
      <c r="E11" s="50" t="s">
        <v>986</v>
      </c>
      <c r="F11" s="24" t="str">
        <f>HYPERLINK("https://mapwv.gov/flood/map/?wkid=102100&amp;x=-8933815.750408866&amp;y=4795218.482983273&amp;l=13&amp;v=2","FT")</f>
        <v>FT</v>
      </c>
      <c r="G11" s="51" t="s">
        <v>32</v>
      </c>
      <c r="H11" s="23" t="s">
        <v>25</v>
      </c>
      <c r="I11" s="2" t="s">
        <v>1026</v>
      </c>
      <c r="J11" s="53" t="s">
        <v>26</v>
      </c>
      <c r="K11" s="51" t="s">
        <v>105</v>
      </c>
      <c r="L11" s="46" t="s">
        <v>38</v>
      </c>
      <c r="M11" s="50" t="s">
        <v>793</v>
      </c>
      <c r="N11" s="3" t="s">
        <v>42</v>
      </c>
      <c r="O11" s="51" t="s">
        <v>93</v>
      </c>
      <c r="P11" s="50" t="s">
        <v>1072</v>
      </c>
      <c r="Q11" s="2" t="s">
        <v>30</v>
      </c>
      <c r="R11" s="23" t="s">
        <v>95</v>
      </c>
      <c r="S11" s="30">
        <v>1319100</v>
      </c>
      <c r="T11" s="2" t="s">
        <v>44</v>
      </c>
      <c r="U11" s="31">
        <v>0.1</v>
      </c>
      <c r="V11" s="31">
        <v>-0.89999999850988299</v>
      </c>
      <c r="W11" s="32">
        <v>0</v>
      </c>
      <c r="X11" s="33">
        <v>0</v>
      </c>
    </row>
    <row r="12" spans="1:24" x14ac:dyDescent="0.25">
      <c r="A12" s="22" t="s">
        <v>885</v>
      </c>
      <c r="B12" s="2" t="s">
        <v>926</v>
      </c>
      <c r="C12" s="2" t="s">
        <v>932</v>
      </c>
      <c r="D12" s="50" t="s">
        <v>947</v>
      </c>
      <c r="E12" s="50" t="s">
        <v>987</v>
      </c>
      <c r="F12" s="24" t="str">
        <f>HYPERLINK("https://mapwv.gov/flood/map/?wkid=102100&amp;x=-8919045.664187966&amp;y=4790324.91635852&amp;l=13&amp;v=2","FT")</f>
        <v>FT</v>
      </c>
      <c r="G12" s="51" t="s">
        <v>32</v>
      </c>
      <c r="H12" s="23" t="s">
        <v>25</v>
      </c>
      <c r="I12" s="2" t="s">
        <v>1027</v>
      </c>
      <c r="J12" s="53" t="s">
        <v>26</v>
      </c>
      <c r="K12" s="51" t="s">
        <v>107</v>
      </c>
      <c r="L12" s="46" t="s">
        <v>50</v>
      </c>
      <c r="M12" s="50" t="s">
        <v>796</v>
      </c>
      <c r="N12" s="3" t="s">
        <v>35</v>
      </c>
      <c r="O12" s="51" t="s">
        <v>94</v>
      </c>
      <c r="P12" s="50" t="s">
        <v>1073</v>
      </c>
      <c r="Q12" s="2" t="s">
        <v>30</v>
      </c>
      <c r="R12" s="23" t="s">
        <v>95</v>
      </c>
      <c r="S12" s="30">
        <v>1314900</v>
      </c>
      <c r="T12" s="2" t="s">
        <v>44</v>
      </c>
      <c r="U12" s="31">
        <v>0.2</v>
      </c>
      <c r="V12" s="31">
        <v>-0.79999999701976698</v>
      </c>
      <c r="W12" s="32">
        <v>0</v>
      </c>
      <c r="X12" s="33">
        <v>0</v>
      </c>
    </row>
    <row r="13" spans="1:24" x14ac:dyDescent="0.25">
      <c r="A13" s="22" t="s">
        <v>886</v>
      </c>
      <c r="B13" s="2" t="s">
        <v>926</v>
      </c>
      <c r="C13" s="2" t="s">
        <v>932</v>
      </c>
      <c r="D13" s="50" t="s">
        <v>948</v>
      </c>
      <c r="E13" s="50" t="s">
        <v>988</v>
      </c>
      <c r="F13" s="24" t="str">
        <f>HYPERLINK("https://mapwv.gov/flood/map/?wkid=102100&amp;x=-8918492.219969891&amp;y=4790607.48677144&amp;l=13&amp;v=2","FT")</f>
        <v>FT</v>
      </c>
      <c r="G13" s="51" t="s">
        <v>32</v>
      </c>
      <c r="H13" s="23" t="s">
        <v>719</v>
      </c>
      <c r="I13" s="2" t="s">
        <v>1028</v>
      </c>
      <c r="J13" s="53" t="s">
        <v>26</v>
      </c>
      <c r="K13" s="51" t="s">
        <v>120</v>
      </c>
      <c r="L13" s="46" t="s">
        <v>57</v>
      </c>
      <c r="M13" s="50" t="s">
        <v>63</v>
      </c>
      <c r="N13" s="3" t="s">
        <v>35</v>
      </c>
      <c r="O13" s="51" t="s">
        <v>93</v>
      </c>
      <c r="P13" s="50" t="s">
        <v>1074</v>
      </c>
      <c r="Q13" s="2" t="s">
        <v>30</v>
      </c>
      <c r="R13" s="23" t="s">
        <v>95</v>
      </c>
      <c r="S13" s="30">
        <v>1255600</v>
      </c>
      <c r="T13" s="2" t="s">
        <v>44</v>
      </c>
      <c r="U13" s="31">
        <v>2.2000000000000002</v>
      </c>
      <c r="V13" s="31">
        <v>1.20000004768371</v>
      </c>
      <c r="W13" s="32">
        <v>5.6000001430511405E-2</v>
      </c>
      <c r="X13" s="33">
        <v>70313.601796150193</v>
      </c>
    </row>
    <row r="14" spans="1:24" x14ac:dyDescent="0.25">
      <c r="A14" s="22" t="s">
        <v>887</v>
      </c>
      <c r="B14" s="2" t="s">
        <v>927</v>
      </c>
      <c r="C14" s="2" t="s">
        <v>553</v>
      </c>
      <c r="D14" s="50" t="s">
        <v>949</v>
      </c>
      <c r="E14" s="50" t="s">
        <v>989</v>
      </c>
      <c r="F14" s="24" t="str">
        <f>HYPERLINK("https://mapwv.gov/flood/map/?wkid=102100&amp;x=-8929349.117066504&amp;y=4788318.771133685&amp;l=13&amp;v=2","FT")</f>
        <v>FT</v>
      </c>
      <c r="G14" s="51" t="s">
        <v>32</v>
      </c>
      <c r="H14" s="23" t="s">
        <v>25</v>
      </c>
      <c r="I14" s="2" t="s">
        <v>1024</v>
      </c>
      <c r="J14" s="53" t="s">
        <v>26</v>
      </c>
      <c r="K14" s="51" t="s">
        <v>105</v>
      </c>
      <c r="L14" s="46" t="s">
        <v>53</v>
      </c>
      <c r="M14" s="50" t="s">
        <v>34</v>
      </c>
      <c r="N14" s="3" t="s">
        <v>92</v>
      </c>
      <c r="O14" s="51" t="s">
        <v>94</v>
      </c>
      <c r="P14" s="50" t="s">
        <v>1075</v>
      </c>
      <c r="Q14" s="2" t="s">
        <v>30</v>
      </c>
      <c r="R14" s="23" t="s">
        <v>95</v>
      </c>
      <c r="S14" s="30">
        <v>848300</v>
      </c>
      <c r="T14" s="2" t="s">
        <v>44</v>
      </c>
      <c r="U14" s="31">
        <v>0</v>
      </c>
      <c r="V14" s="31">
        <v>-1</v>
      </c>
      <c r="W14" s="32">
        <v>0</v>
      </c>
      <c r="X14" s="33">
        <v>0</v>
      </c>
    </row>
    <row r="15" spans="1:24" x14ac:dyDescent="0.25">
      <c r="A15" s="22" t="s">
        <v>888</v>
      </c>
      <c r="B15" s="2" t="s">
        <v>926</v>
      </c>
      <c r="C15" s="2" t="s">
        <v>932</v>
      </c>
      <c r="D15" s="50" t="s">
        <v>950</v>
      </c>
      <c r="E15" s="50" t="s">
        <v>990</v>
      </c>
      <c r="F15" s="24" t="str">
        <f>HYPERLINK("https://mapwv.gov/flood/map/?wkid=102100&amp;x=-8918681.55438622&amp;y=4790519.186673593&amp;l=13&amp;v=2","FT")</f>
        <v>FT</v>
      </c>
      <c r="G15" s="51" t="s">
        <v>32</v>
      </c>
      <c r="H15" s="23" t="s">
        <v>25</v>
      </c>
      <c r="I15" s="2" t="s">
        <v>1028</v>
      </c>
      <c r="J15" s="53" t="s">
        <v>39</v>
      </c>
      <c r="K15" s="51" t="s">
        <v>1059</v>
      </c>
      <c r="L15" s="46" t="s">
        <v>49</v>
      </c>
      <c r="M15" s="50" t="s">
        <v>63</v>
      </c>
      <c r="N15" s="3" t="s">
        <v>35</v>
      </c>
      <c r="O15" s="51" t="s">
        <v>93</v>
      </c>
      <c r="P15" s="50" t="s">
        <v>1076</v>
      </c>
      <c r="Q15" s="2" t="s">
        <v>30</v>
      </c>
      <c r="R15" s="23" t="s">
        <v>95</v>
      </c>
      <c r="S15" s="30">
        <v>839200</v>
      </c>
      <c r="T15" s="2" t="s">
        <v>44</v>
      </c>
      <c r="U15" s="31">
        <v>6.2</v>
      </c>
      <c r="V15" s="31">
        <v>5.1999998092651296</v>
      </c>
      <c r="W15" s="32">
        <v>0.165999994277954</v>
      </c>
      <c r="X15" s="33">
        <v>139307.19519805899</v>
      </c>
    </row>
    <row r="16" spans="1:24" x14ac:dyDescent="0.25">
      <c r="A16" s="22" t="s">
        <v>889</v>
      </c>
      <c r="B16" s="2" t="s">
        <v>923</v>
      </c>
      <c r="C16" s="2" t="s">
        <v>930</v>
      </c>
      <c r="D16" s="50" t="s">
        <v>951</v>
      </c>
      <c r="E16" s="50" t="s">
        <v>991</v>
      </c>
      <c r="F16" s="24" t="str">
        <f>HYPERLINK("https://mapwv.gov/flood/map/?wkid=102100&amp;x=-8921837.022460863&amp;y=4799900.651926913&amp;l=13&amp;v=2","FT")</f>
        <v>FT</v>
      </c>
      <c r="G16" s="51" t="s">
        <v>32</v>
      </c>
      <c r="H16" s="23" t="s">
        <v>25</v>
      </c>
      <c r="I16" s="2" t="s">
        <v>1029</v>
      </c>
      <c r="J16" s="53" t="s">
        <v>26</v>
      </c>
      <c r="K16" s="51" t="s">
        <v>75</v>
      </c>
      <c r="L16" s="46" t="s">
        <v>27</v>
      </c>
      <c r="M16" s="50" t="s">
        <v>64</v>
      </c>
      <c r="N16" s="3" t="s">
        <v>90</v>
      </c>
      <c r="O16" s="51" t="s">
        <v>94</v>
      </c>
      <c r="P16" s="50" t="s">
        <v>1077</v>
      </c>
      <c r="Q16" s="2" t="s">
        <v>30</v>
      </c>
      <c r="R16" s="23" t="s">
        <v>95</v>
      </c>
      <c r="S16" s="30">
        <v>817700</v>
      </c>
      <c r="T16" s="2" t="s">
        <v>44</v>
      </c>
      <c r="U16" s="31">
        <v>2.7</v>
      </c>
      <c r="V16" s="31">
        <v>1.70000004768371</v>
      </c>
      <c r="W16" s="32">
        <v>9.1000001430511401E-2</v>
      </c>
      <c r="X16" s="33">
        <v>74410.701169729204</v>
      </c>
    </row>
    <row r="17" spans="1:24" x14ac:dyDescent="0.25">
      <c r="A17" s="22" t="s">
        <v>890</v>
      </c>
      <c r="B17" s="2" t="s">
        <v>923</v>
      </c>
      <c r="C17" s="2" t="s">
        <v>933</v>
      </c>
      <c r="D17" s="50" t="s">
        <v>952</v>
      </c>
      <c r="E17" s="50" t="s">
        <v>992</v>
      </c>
      <c r="F17" s="24" t="str">
        <f>HYPERLINK("https://mapwv.gov/flood/map/?wkid=102100&amp;x=-8923501.248068988&amp;y=4783342.230930697&amp;l=13&amp;v=2","FT")</f>
        <v>FT</v>
      </c>
      <c r="G17" s="51" t="s">
        <v>38</v>
      </c>
      <c r="H17" s="23" t="s">
        <v>25</v>
      </c>
      <c r="I17" s="2" t="s">
        <v>1030</v>
      </c>
      <c r="J17" s="53" t="s">
        <v>26</v>
      </c>
      <c r="K17" s="51" t="s">
        <v>81</v>
      </c>
      <c r="L17" s="46" t="s">
        <v>1065</v>
      </c>
      <c r="M17" s="50" t="s">
        <v>41</v>
      </c>
      <c r="N17" s="3" t="s">
        <v>42</v>
      </c>
      <c r="O17" s="51" t="s">
        <v>93</v>
      </c>
      <c r="P17" s="50" t="s">
        <v>417</v>
      </c>
      <c r="Q17" s="2" t="s">
        <v>43</v>
      </c>
      <c r="R17" s="23" t="s">
        <v>96</v>
      </c>
      <c r="S17" s="30">
        <v>776300</v>
      </c>
      <c r="T17" s="2" t="s">
        <v>44</v>
      </c>
      <c r="U17" s="31">
        <v>1.311868</v>
      </c>
      <c r="V17" s="31">
        <v>-2.6881320476531898</v>
      </c>
      <c r="W17" s="32">
        <v>4.3661513328552198E-2</v>
      </c>
      <c r="X17" s="33">
        <v>33894.432796955101</v>
      </c>
    </row>
    <row r="18" spans="1:24" x14ac:dyDescent="0.25">
      <c r="A18" s="22" t="s">
        <v>891</v>
      </c>
      <c r="B18" s="2" t="s">
        <v>927</v>
      </c>
      <c r="C18" s="2" t="s">
        <v>931</v>
      </c>
      <c r="D18" s="50" t="s">
        <v>953</v>
      </c>
      <c r="E18" s="50" t="s">
        <v>993</v>
      </c>
      <c r="F18" s="24" t="str">
        <f>HYPERLINK("https://mapwv.gov/flood/map/?wkid=102100&amp;x=-8929417.376397151&amp;y=4787821.324947763&amp;l=13&amp;v=2","FT")</f>
        <v>FT</v>
      </c>
      <c r="G18" s="51" t="s">
        <v>32</v>
      </c>
      <c r="H18" s="23" t="s">
        <v>25</v>
      </c>
      <c r="I18" s="2"/>
      <c r="J18" s="53" t="s">
        <v>26</v>
      </c>
      <c r="K18" s="51" t="s">
        <v>387</v>
      </c>
      <c r="L18" s="46"/>
      <c r="M18" s="50" t="s">
        <v>1067</v>
      </c>
      <c r="N18" s="3" t="s">
        <v>42</v>
      </c>
      <c r="O18" s="51" t="s">
        <v>94</v>
      </c>
      <c r="P18" s="50" t="s">
        <v>1078</v>
      </c>
      <c r="Q18" s="2" t="s">
        <v>30</v>
      </c>
      <c r="R18" s="23" t="s">
        <v>95</v>
      </c>
      <c r="S18" s="30">
        <v>719183</v>
      </c>
      <c r="T18" s="2" t="s">
        <v>97</v>
      </c>
      <c r="U18" s="31">
        <v>1.0673218</v>
      </c>
      <c r="V18" s="31">
        <v>6.732177734375E-2</v>
      </c>
      <c r="W18" s="32">
        <v>0.15067321777343701</v>
      </c>
      <c r="X18" s="33">
        <v>108361.616777954</v>
      </c>
    </row>
    <row r="19" spans="1:24" x14ac:dyDescent="0.25">
      <c r="A19" s="22" t="s">
        <v>892</v>
      </c>
      <c r="B19" s="2" t="s">
        <v>925</v>
      </c>
      <c r="C19" s="2" t="s">
        <v>928</v>
      </c>
      <c r="D19" s="50" t="s">
        <v>954</v>
      </c>
      <c r="E19" s="50" t="s">
        <v>994</v>
      </c>
      <c r="F19" s="24" t="str">
        <f>HYPERLINK("https://mapwv.gov/flood/map/?wkid=102100&amp;x=-8933453.753785023&amp;y=4795266.476116453&amp;l=13&amp;v=2","FT")</f>
        <v>FT</v>
      </c>
      <c r="G19" s="51" t="s">
        <v>32</v>
      </c>
      <c r="H19" s="23" t="s">
        <v>25</v>
      </c>
      <c r="I19" s="2" t="s">
        <v>1031</v>
      </c>
      <c r="J19" s="53" t="s">
        <v>26</v>
      </c>
      <c r="K19" s="51" t="s">
        <v>101</v>
      </c>
      <c r="L19" s="46" t="s">
        <v>57</v>
      </c>
      <c r="M19" s="50" t="s">
        <v>56</v>
      </c>
      <c r="N19" s="3" t="s">
        <v>35</v>
      </c>
      <c r="O19" s="51" t="s">
        <v>93</v>
      </c>
      <c r="P19" s="50" t="s">
        <v>1079</v>
      </c>
      <c r="Q19" s="2" t="s">
        <v>30</v>
      </c>
      <c r="R19" s="23" t="s">
        <v>95</v>
      </c>
      <c r="S19" s="30">
        <v>709400</v>
      </c>
      <c r="T19" s="2" t="s">
        <v>44</v>
      </c>
      <c r="U19" s="31">
        <v>0.1</v>
      </c>
      <c r="V19" s="31">
        <v>-0.89999999850988299</v>
      </c>
      <c r="W19" s="32">
        <v>2.0000000298023199E-3</v>
      </c>
      <c r="X19" s="33">
        <v>1418.80002114176</v>
      </c>
    </row>
    <row r="20" spans="1:24" x14ac:dyDescent="0.25">
      <c r="A20" s="22" t="s">
        <v>893</v>
      </c>
      <c r="B20" s="2" t="s">
        <v>923</v>
      </c>
      <c r="C20" s="2" t="s">
        <v>931</v>
      </c>
      <c r="D20" s="50" t="s">
        <v>955</v>
      </c>
      <c r="E20" s="50" t="s">
        <v>995</v>
      </c>
      <c r="F20" s="24" t="str">
        <f>HYPERLINK("https://mapwv.gov/flood/map/?wkid=102100&amp;x=-8928602.040720522&amp;y=4781845.246191937&amp;l=13&amp;v=2","FT")</f>
        <v>FT</v>
      </c>
      <c r="G20" s="51" t="s">
        <v>32</v>
      </c>
      <c r="H20" s="23" t="s">
        <v>25</v>
      </c>
      <c r="I20" s="2" t="s">
        <v>1025</v>
      </c>
      <c r="J20" s="53" t="s">
        <v>26</v>
      </c>
      <c r="K20" s="51" t="s">
        <v>101</v>
      </c>
      <c r="L20" s="46" t="s">
        <v>49</v>
      </c>
      <c r="M20" s="50" t="s">
        <v>63</v>
      </c>
      <c r="N20" s="3" t="s">
        <v>35</v>
      </c>
      <c r="O20" s="51" t="s">
        <v>93</v>
      </c>
      <c r="P20" s="50" t="s">
        <v>1080</v>
      </c>
      <c r="Q20" s="2" t="s">
        <v>30</v>
      </c>
      <c r="R20" s="23" t="s">
        <v>95</v>
      </c>
      <c r="S20" s="30">
        <v>602300</v>
      </c>
      <c r="T20" s="2" t="s">
        <v>44</v>
      </c>
      <c r="U20" s="31">
        <v>2.2767333999999999</v>
      </c>
      <c r="V20" s="31">
        <v>1.2767333984375</v>
      </c>
      <c r="W20" s="32">
        <v>5.8302001953125002E-2</v>
      </c>
      <c r="X20" s="33">
        <v>35115.2957763671</v>
      </c>
    </row>
    <row r="21" spans="1:24" x14ac:dyDescent="0.25">
      <c r="A21" s="22" t="s">
        <v>894</v>
      </c>
      <c r="B21" s="2" t="s">
        <v>922</v>
      </c>
      <c r="C21" s="2" t="s">
        <v>928</v>
      </c>
      <c r="D21" s="50" t="s">
        <v>956</v>
      </c>
      <c r="E21" s="50" t="s">
        <v>996</v>
      </c>
      <c r="F21" s="24" t="str">
        <f>HYPERLINK("https://mapwv.gov/flood/map/?wkid=102100&amp;x=-8943345.346477566&amp;y=4797097.082230822&amp;l=13&amp;v=2","FT")</f>
        <v>FT</v>
      </c>
      <c r="G21" s="51" t="s">
        <v>32</v>
      </c>
      <c r="H21" s="23" t="s">
        <v>25</v>
      </c>
      <c r="I21" s="2" t="s">
        <v>1032</v>
      </c>
      <c r="J21" s="53" t="s">
        <v>39</v>
      </c>
      <c r="K21" s="51" t="s">
        <v>791</v>
      </c>
      <c r="L21" s="46" t="s">
        <v>49</v>
      </c>
      <c r="M21" s="50" t="s">
        <v>63</v>
      </c>
      <c r="N21" s="3" t="s">
        <v>35</v>
      </c>
      <c r="O21" s="51" t="s">
        <v>93</v>
      </c>
      <c r="P21" s="50" t="s">
        <v>1081</v>
      </c>
      <c r="Q21" s="2" t="s">
        <v>30</v>
      </c>
      <c r="R21" s="23" t="s">
        <v>95</v>
      </c>
      <c r="S21" s="30">
        <v>593600</v>
      </c>
      <c r="T21" s="2" t="s">
        <v>44</v>
      </c>
      <c r="U21" s="31">
        <v>0</v>
      </c>
      <c r="V21" s="31">
        <v>-1</v>
      </c>
      <c r="W21" s="32">
        <v>0</v>
      </c>
      <c r="X21" s="33">
        <v>0</v>
      </c>
    </row>
    <row r="22" spans="1:24" x14ac:dyDescent="0.25">
      <c r="A22" s="22" t="s">
        <v>895</v>
      </c>
      <c r="B22" s="2" t="s">
        <v>923</v>
      </c>
      <c r="C22" s="2" t="s">
        <v>933</v>
      </c>
      <c r="D22" s="50" t="s">
        <v>957</v>
      </c>
      <c r="E22" s="50" t="s">
        <v>997</v>
      </c>
      <c r="F22" s="24" t="str">
        <f>HYPERLINK("https://mapwv.gov/flood/map/?wkid=102100&amp;x=-8921133.222791443&amp;y=4784749.297510096&amp;l=13&amp;v=2","FT")</f>
        <v>FT</v>
      </c>
      <c r="G22" s="51" t="s">
        <v>38</v>
      </c>
      <c r="H22" s="23" t="s">
        <v>25</v>
      </c>
      <c r="I22" s="2" t="s">
        <v>1033</v>
      </c>
      <c r="J22" s="53" t="s">
        <v>26</v>
      </c>
      <c r="K22" s="51" t="s">
        <v>108</v>
      </c>
      <c r="L22" s="46" t="s">
        <v>73</v>
      </c>
      <c r="M22" s="50" t="s">
        <v>41</v>
      </c>
      <c r="N22" s="3" t="s">
        <v>42</v>
      </c>
      <c r="O22" s="51" t="s">
        <v>93</v>
      </c>
      <c r="P22" s="50" t="s">
        <v>1082</v>
      </c>
      <c r="Q22" s="2" t="s">
        <v>43</v>
      </c>
      <c r="R22" s="23" t="s">
        <v>96</v>
      </c>
      <c r="S22" s="30">
        <v>591800</v>
      </c>
      <c r="T22" s="2" t="s">
        <v>44</v>
      </c>
      <c r="U22" s="31">
        <v>0.83696645000000003</v>
      </c>
      <c r="V22" s="31">
        <v>-3.1630335450172402</v>
      </c>
      <c r="W22" s="32">
        <v>0</v>
      </c>
      <c r="X22" s="33">
        <v>0</v>
      </c>
    </row>
    <row r="23" spans="1:24" x14ac:dyDescent="0.25">
      <c r="A23" s="22" t="s">
        <v>896</v>
      </c>
      <c r="B23" s="2" t="s">
        <v>926</v>
      </c>
      <c r="C23" s="2" t="s">
        <v>932</v>
      </c>
      <c r="D23" s="50" t="s">
        <v>958</v>
      </c>
      <c r="E23" s="50" t="s">
        <v>998</v>
      </c>
      <c r="F23" s="24" t="str">
        <f>HYPERLINK("https://mapwv.gov/flood/map/?wkid=102100&amp;x=-8918968.566423712&amp;y=4790312.47796453&amp;l=13&amp;v=2","FT")</f>
        <v>FT</v>
      </c>
      <c r="G23" s="51" t="s">
        <v>32</v>
      </c>
      <c r="H23" s="23" t="s">
        <v>25</v>
      </c>
      <c r="I23" s="2" t="s">
        <v>1034</v>
      </c>
      <c r="J23" s="53" t="s">
        <v>39</v>
      </c>
      <c r="K23" s="51" t="s">
        <v>1060</v>
      </c>
      <c r="L23" s="46" t="s">
        <v>27</v>
      </c>
      <c r="M23" s="50" t="s">
        <v>47</v>
      </c>
      <c r="N23" s="3" t="s">
        <v>35</v>
      </c>
      <c r="O23" s="51" t="s">
        <v>93</v>
      </c>
      <c r="P23" s="50" t="s">
        <v>1083</v>
      </c>
      <c r="Q23" s="2" t="s">
        <v>30</v>
      </c>
      <c r="R23" s="23" t="s">
        <v>95</v>
      </c>
      <c r="S23" s="30">
        <v>563500</v>
      </c>
      <c r="T23" s="2" t="s">
        <v>44</v>
      </c>
      <c r="U23" s="31">
        <v>0.6</v>
      </c>
      <c r="V23" s="31">
        <v>-0.39999997615814198</v>
      </c>
      <c r="W23" s="32">
        <v>6.0000002384185706E-3</v>
      </c>
      <c r="X23" s="33">
        <v>3381.0001343488598</v>
      </c>
    </row>
    <row r="24" spans="1:24" x14ac:dyDescent="0.25">
      <c r="A24" s="22" t="s">
        <v>897</v>
      </c>
      <c r="B24" s="2" t="s">
        <v>925</v>
      </c>
      <c r="C24" s="2" t="s">
        <v>928</v>
      </c>
      <c r="D24" s="50" t="s">
        <v>959</v>
      </c>
      <c r="E24" s="50" t="s">
        <v>999</v>
      </c>
      <c r="F24" s="24" t="str">
        <f>HYPERLINK("https://mapwv.gov/flood/map/?wkid=102100&amp;x=-8934589.132552398&amp;y=4795418.62447005&amp;l=13&amp;v=2","FT")</f>
        <v>FT</v>
      </c>
      <c r="G24" s="51" t="s">
        <v>32</v>
      </c>
      <c r="H24" s="23" t="s">
        <v>25</v>
      </c>
      <c r="I24" s="2" t="s">
        <v>1035</v>
      </c>
      <c r="J24" s="53" t="s">
        <v>26</v>
      </c>
      <c r="K24" s="51" t="s">
        <v>101</v>
      </c>
      <c r="L24" s="46" t="s">
        <v>37</v>
      </c>
      <c r="M24" s="50" t="s">
        <v>47</v>
      </c>
      <c r="N24" s="3" t="s">
        <v>35</v>
      </c>
      <c r="O24" s="51" t="s">
        <v>93</v>
      </c>
      <c r="P24" s="50" t="s">
        <v>1084</v>
      </c>
      <c r="Q24" s="2" t="s">
        <v>30</v>
      </c>
      <c r="R24" s="23" t="s">
        <v>95</v>
      </c>
      <c r="S24" s="30">
        <v>543700</v>
      </c>
      <c r="T24" s="2" t="s">
        <v>44</v>
      </c>
      <c r="U24" s="31">
        <v>0.1</v>
      </c>
      <c r="V24" s="31">
        <v>-0.89999999850988299</v>
      </c>
      <c r="W24" s="32">
        <v>1.00000001490116E-3</v>
      </c>
      <c r="X24" s="33">
        <v>543.700008101761</v>
      </c>
    </row>
    <row r="25" spans="1:24" x14ac:dyDescent="0.25">
      <c r="A25" s="22" t="s">
        <v>898</v>
      </c>
      <c r="B25" s="2" t="s">
        <v>923</v>
      </c>
      <c r="C25" s="2" t="s">
        <v>934</v>
      </c>
      <c r="D25" s="50" t="s">
        <v>960</v>
      </c>
      <c r="E25" s="50" t="s">
        <v>1000</v>
      </c>
      <c r="F25" s="24" t="str">
        <f>HYPERLINK("https://mapwv.gov/flood/map/?wkid=102100&amp;x=-8913074.492935708&amp;y=4778735.698716979&amp;l=13&amp;v=2","FT")</f>
        <v>FT</v>
      </c>
      <c r="G25" s="51" t="s">
        <v>38</v>
      </c>
      <c r="H25" s="23" t="s">
        <v>25</v>
      </c>
      <c r="I25" s="2" t="s">
        <v>1036</v>
      </c>
      <c r="J25" s="53" t="s">
        <v>26</v>
      </c>
      <c r="K25" s="51" t="s">
        <v>396</v>
      </c>
      <c r="L25" s="46" t="s">
        <v>38</v>
      </c>
      <c r="M25" s="50" t="s">
        <v>41</v>
      </c>
      <c r="N25" s="3" t="s">
        <v>42</v>
      </c>
      <c r="O25" s="51" t="s">
        <v>93</v>
      </c>
      <c r="P25" s="50" t="s">
        <v>1085</v>
      </c>
      <c r="Q25" s="2" t="s">
        <v>52</v>
      </c>
      <c r="R25" s="23" t="s">
        <v>96</v>
      </c>
      <c r="S25" s="30">
        <v>543300</v>
      </c>
      <c r="T25" s="2" t="s">
        <v>44</v>
      </c>
      <c r="U25" s="31">
        <v>0.30980324999999997</v>
      </c>
      <c r="V25" s="31">
        <v>-3.6901967525482098</v>
      </c>
      <c r="W25" s="32">
        <v>0</v>
      </c>
      <c r="X25" s="33">
        <v>0</v>
      </c>
    </row>
    <row r="26" spans="1:24" x14ac:dyDescent="0.25">
      <c r="A26" s="22" t="s">
        <v>899</v>
      </c>
      <c r="B26" s="2" t="s">
        <v>925</v>
      </c>
      <c r="C26" s="2" t="s">
        <v>928</v>
      </c>
      <c r="D26" s="50" t="s">
        <v>961</v>
      </c>
      <c r="E26" s="50" t="s">
        <v>1001</v>
      </c>
      <c r="F26" s="24" t="str">
        <f>HYPERLINK("https://mapwv.gov/flood/map/?wkid=102100&amp;x=-8934646.313923914&amp;y=4795354.847027954&amp;l=13&amp;v=2","FT")</f>
        <v>FT</v>
      </c>
      <c r="G26" s="51" t="s">
        <v>32</v>
      </c>
      <c r="H26" s="23" t="s">
        <v>25</v>
      </c>
      <c r="I26" s="2" t="s">
        <v>1035</v>
      </c>
      <c r="J26" s="53" t="s">
        <v>26</v>
      </c>
      <c r="K26" s="51" t="s">
        <v>1061</v>
      </c>
      <c r="L26" s="46" t="s">
        <v>37</v>
      </c>
      <c r="M26" s="50" t="s">
        <v>47</v>
      </c>
      <c r="N26" s="3" t="s">
        <v>35</v>
      </c>
      <c r="O26" s="51" t="s">
        <v>94</v>
      </c>
      <c r="P26" s="50" t="s">
        <v>1086</v>
      </c>
      <c r="Q26" s="2" t="s">
        <v>30</v>
      </c>
      <c r="R26" s="23" t="s">
        <v>95</v>
      </c>
      <c r="S26" s="30">
        <v>517900</v>
      </c>
      <c r="T26" s="2" t="s">
        <v>44</v>
      </c>
      <c r="U26" s="31">
        <v>0.1</v>
      </c>
      <c r="V26" s="31">
        <v>-0.89999999850988299</v>
      </c>
      <c r="W26" s="32">
        <v>1.00000001490116E-3</v>
      </c>
      <c r="X26" s="33">
        <v>517.90000771731104</v>
      </c>
    </row>
    <row r="27" spans="1:24" x14ac:dyDescent="0.25">
      <c r="A27" s="22" t="s">
        <v>900</v>
      </c>
      <c r="B27" s="2" t="s">
        <v>923</v>
      </c>
      <c r="C27" s="2" t="s">
        <v>935</v>
      </c>
      <c r="D27" s="50" t="s">
        <v>962</v>
      </c>
      <c r="E27" s="50" t="s">
        <v>1002</v>
      </c>
      <c r="F27" s="24" t="str">
        <f>HYPERLINK("https://mapwv.gov/flood/map/?wkid=102100&amp;x=-8916246.480377495&amp;y=4793401.1229858585&amp;l=13&amp;v=2","FT")</f>
        <v>FT</v>
      </c>
      <c r="G27" s="51" t="s">
        <v>32</v>
      </c>
      <c r="H27" s="23" t="s">
        <v>25</v>
      </c>
      <c r="I27" s="2" t="s">
        <v>1037</v>
      </c>
      <c r="J27" s="53" t="s">
        <v>39</v>
      </c>
      <c r="K27" s="51" t="s">
        <v>388</v>
      </c>
      <c r="L27" s="46"/>
      <c r="M27" s="50" t="s">
        <v>60</v>
      </c>
      <c r="N27" s="3" t="s">
        <v>89</v>
      </c>
      <c r="O27" s="51" t="s">
        <v>93</v>
      </c>
      <c r="P27" s="50" t="s">
        <v>1087</v>
      </c>
      <c r="Q27" s="2" t="s">
        <v>30</v>
      </c>
      <c r="R27" s="23" t="s">
        <v>95</v>
      </c>
      <c r="S27" s="30">
        <v>500020</v>
      </c>
      <c r="T27" s="2" t="s">
        <v>31</v>
      </c>
      <c r="U27" s="31">
        <v>4.8</v>
      </c>
      <c r="V27" s="31">
        <v>3.8000001907348602</v>
      </c>
      <c r="W27" s="32">
        <v>0.09</v>
      </c>
      <c r="X27" s="33">
        <v>45001.799999999901</v>
      </c>
    </row>
    <row r="28" spans="1:24" x14ac:dyDescent="0.25">
      <c r="A28" s="22" t="s">
        <v>901</v>
      </c>
      <c r="B28" s="2" t="s">
        <v>926</v>
      </c>
      <c r="C28" s="2" t="s">
        <v>936</v>
      </c>
      <c r="D28" s="50" t="s">
        <v>963</v>
      </c>
      <c r="E28" s="50" t="s">
        <v>1003</v>
      </c>
      <c r="F28" s="24" t="str">
        <f>HYPERLINK("https://mapwv.gov/flood/map/?wkid=102100&amp;x=-8921923.886395365&amp;y=4791138.303351501&amp;l=13&amp;v=2","FT")</f>
        <v>FT</v>
      </c>
      <c r="G28" s="51" t="s">
        <v>38</v>
      </c>
      <c r="H28" s="23" t="s">
        <v>25</v>
      </c>
      <c r="I28" s="2" t="s">
        <v>1038</v>
      </c>
      <c r="J28" s="53" t="s">
        <v>39</v>
      </c>
      <c r="K28" s="51" t="s">
        <v>1062</v>
      </c>
      <c r="L28" s="46" t="s">
        <v>37</v>
      </c>
      <c r="M28" s="50" t="s">
        <v>47</v>
      </c>
      <c r="N28" s="3" t="s">
        <v>35</v>
      </c>
      <c r="O28" s="51" t="s">
        <v>93</v>
      </c>
      <c r="P28" s="50" t="s">
        <v>1088</v>
      </c>
      <c r="Q28" s="2" t="s">
        <v>30</v>
      </c>
      <c r="R28" s="23" t="s">
        <v>95</v>
      </c>
      <c r="S28" s="30">
        <v>489900</v>
      </c>
      <c r="T28" s="2" t="s">
        <v>44</v>
      </c>
      <c r="U28" s="31">
        <v>0.1</v>
      </c>
      <c r="V28" s="31">
        <v>-0.89999999850988299</v>
      </c>
      <c r="W28" s="32">
        <v>1.00000001490116E-3</v>
      </c>
      <c r="X28" s="33">
        <v>489.90000730007802</v>
      </c>
    </row>
    <row r="29" spans="1:24" x14ac:dyDescent="0.25">
      <c r="A29" s="22" t="s">
        <v>902</v>
      </c>
      <c r="B29" s="2" t="s">
        <v>923</v>
      </c>
      <c r="C29" s="2" t="s">
        <v>935</v>
      </c>
      <c r="D29" s="50" t="s">
        <v>964</v>
      </c>
      <c r="E29" s="50" t="s">
        <v>1004</v>
      </c>
      <c r="F29" s="24" t="str">
        <f>HYPERLINK("https://mapwv.gov/flood/map/?wkid=102100&amp;x=-8916046.037277862&amp;y=4792963.993274396&amp;l=13&amp;v=2","FT")</f>
        <v>FT</v>
      </c>
      <c r="G29" s="51" t="s">
        <v>32</v>
      </c>
      <c r="H29" s="23" t="s">
        <v>25</v>
      </c>
      <c r="I29" s="2" t="s">
        <v>1039</v>
      </c>
      <c r="J29" s="53" t="s">
        <v>39</v>
      </c>
      <c r="K29" s="51" t="s">
        <v>405</v>
      </c>
      <c r="L29" s="46" t="s">
        <v>49</v>
      </c>
      <c r="M29" s="50" t="s">
        <v>47</v>
      </c>
      <c r="N29" s="3" t="s">
        <v>35</v>
      </c>
      <c r="O29" s="51" t="s">
        <v>93</v>
      </c>
      <c r="P29" s="50" t="s">
        <v>1089</v>
      </c>
      <c r="Q29" s="2" t="s">
        <v>30</v>
      </c>
      <c r="R29" s="23" t="s">
        <v>95</v>
      </c>
      <c r="S29" s="30">
        <v>468000</v>
      </c>
      <c r="T29" s="2" t="s">
        <v>44</v>
      </c>
      <c r="U29" s="31">
        <v>0.1</v>
      </c>
      <c r="V29" s="31">
        <v>-0.89999999850988299</v>
      </c>
      <c r="W29" s="32">
        <v>1.00000001490116E-3</v>
      </c>
      <c r="X29" s="33">
        <v>468.00000697374298</v>
      </c>
    </row>
    <row r="30" spans="1:24" x14ac:dyDescent="0.25">
      <c r="A30" s="22" t="s">
        <v>903</v>
      </c>
      <c r="B30" s="2" t="s">
        <v>926</v>
      </c>
      <c r="C30" s="2" t="s">
        <v>933</v>
      </c>
      <c r="D30" s="50" t="s">
        <v>965</v>
      </c>
      <c r="E30" s="50" t="s">
        <v>1005</v>
      </c>
      <c r="F30" s="24" t="str">
        <f>HYPERLINK("https://mapwv.gov/flood/map/?wkid=102100&amp;x=-8924693.683752688&amp;y=4786502.220910497&amp;l=13&amp;v=2","FT")</f>
        <v>FT</v>
      </c>
      <c r="G30" s="51" t="s">
        <v>32</v>
      </c>
      <c r="H30" s="23" t="s">
        <v>719</v>
      </c>
      <c r="I30" s="2" t="s">
        <v>1040</v>
      </c>
      <c r="J30" s="53" t="s">
        <v>26</v>
      </c>
      <c r="K30" s="51" t="s">
        <v>84</v>
      </c>
      <c r="L30" s="46" t="s">
        <v>1066</v>
      </c>
      <c r="M30" s="50" t="s">
        <v>41</v>
      </c>
      <c r="N30" s="3" t="s">
        <v>42</v>
      </c>
      <c r="O30" s="51" t="s">
        <v>93</v>
      </c>
      <c r="P30" s="50" t="s">
        <v>1090</v>
      </c>
      <c r="Q30" s="2" t="s">
        <v>52</v>
      </c>
      <c r="R30" s="23" t="s">
        <v>96</v>
      </c>
      <c r="S30" s="30">
        <v>429500</v>
      </c>
      <c r="T30" s="2" t="s">
        <v>44</v>
      </c>
      <c r="U30" s="31">
        <v>1</v>
      </c>
      <c r="V30" s="31">
        <v>-3</v>
      </c>
      <c r="W30" s="32">
        <v>0</v>
      </c>
      <c r="X30" s="33">
        <v>0</v>
      </c>
    </row>
    <row r="31" spans="1:24" x14ac:dyDescent="0.25">
      <c r="A31" s="22" t="s">
        <v>904</v>
      </c>
      <c r="B31" s="2" t="s">
        <v>923</v>
      </c>
      <c r="C31" s="2" t="s">
        <v>553</v>
      </c>
      <c r="D31" s="50" t="s">
        <v>966</v>
      </c>
      <c r="E31" s="50" t="s">
        <v>1006</v>
      </c>
      <c r="F31" s="24" t="str">
        <f>HYPERLINK("https://mapwv.gov/flood/map/?wkid=102100&amp;x=-8935897.021798825&amp;y=4786232.296270602&amp;l=13&amp;v=2","FT")</f>
        <v>FT</v>
      </c>
      <c r="G31" s="51" t="s">
        <v>32</v>
      </c>
      <c r="H31" s="23" t="s">
        <v>25</v>
      </c>
      <c r="I31" s="2" t="s">
        <v>1041</v>
      </c>
      <c r="J31" s="53" t="s">
        <v>26</v>
      </c>
      <c r="K31" s="51" t="s">
        <v>105</v>
      </c>
      <c r="L31" s="46" t="s">
        <v>27</v>
      </c>
      <c r="M31" s="50" t="s">
        <v>47</v>
      </c>
      <c r="N31" s="3" t="s">
        <v>35</v>
      </c>
      <c r="O31" s="51" t="s">
        <v>93</v>
      </c>
      <c r="P31" s="50" t="s">
        <v>1091</v>
      </c>
      <c r="Q31" s="2" t="s">
        <v>30</v>
      </c>
      <c r="R31" s="23" t="s">
        <v>95</v>
      </c>
      <c r="S31" s="30">
        <v>423000</v>
      </c>
      <c r="T31" s="2" t="s">
        <v>44</v>
      </c>
      <c r="U31" s="31">
        <v>8.3126829999999998</v>
      </c>
      <c r="V31" s="31">
        <v>7.31268310546875</v>
      </c>
      <c r="W31" s="32">
        <v>0.27250732421875001</v>
      </c>
      <c r="X31" s="33">
        <v>115270.598144531</v>
      </c>
    </row>
    <row r="32" spans="1:24" x14ac:dyDescent="0.25">
      <c r="A32" s="22" t="s">
        <v>905</v>
      </c>
      <c r="B32" s="2" t="s">
        <v>923</v>
      </c>
      <c r="C32" s="2" t="s">
        <v>935</v>
      </c>
      <c r="D32" s="50" t="s">
        <v>967</v>
      </c>
      <c r="E32" s="50" t="s">
        <v>1007</v>
      </c>
      <c r="F32" s="24" t="str">
        <f>HYPERLINK("https://mapwv.gov/flood/map/?wkid=102100&amp;x=-8915319.515741894&amp;y=4791417.491559865&amp;l=13&amp;v=2","FT")</f>
        <v>FT</v>
      </c>
      <c r="G32" s="51" t="s">
        <v>32</v>
      </c>
      <c r="H32" s="23" t="s">
        <v>25</v>
      </c>
      <c r="I32" s="2" t="s">
        <v>1042</v>
      </c>
      <c r="J32" s="53" t="s">
        <v>39</v>
      </c>
      <c r="K32" s="51" t="s">
        <v>395</v>
      </c>
      <c r="L32" s="46" t="s">
        <v>53</v>
      </c>
      <c r="M32" s="50" t="s">
        <v>47</v>
      </c>
      <c r="N32" s="3" t="s">
        <v>35</v>
      </c>
      <c r="O32" s="51" t="s">
        <v>94</v>
      </c>
      <c r="P32" s="50" t="s">
        <v>1092</v>
      </c>
      <c r="Q32" s="2" t="s">
        <v>30</v>
      </c>
      <c r="R32" s="23" t="s">
        <v>95</v>
      </c>
      <c r="S32" s="30">
        <v>419100</v>
      </c>
      <c r="T32" s="2" t="s">
        <v>31</v>
      </c>
      <c r="U32" s="31">
        <v>1.7</v>
      </c>
      <c r="V32" s="31">
        <v>0.70000004768371504</v>
      </c>
      <c r="W32" s="32">
        <v>6.60000038146972E-2</v>
      </c>
      <c r="X32" s="33">
        <v>27660.601598739599</v>
      </c>
    </row>
    <row r="33" spans="1:24" x14ac:dyDescent="0.25">
      <c r="A33" s="22" t="s">
        <v>906</v>
      </c>
      <c r="B33" s="2" t="s">
        <v>926</v>
      </c>
      <c r="C33" s="2" t="s">
        <v>932</v>
      </c>
      <c r="D33" s="50" t="s">
        <v>968</v>
      </c>
      <c r="E33" s="50" t="s">
        <v>1008</v>
      </c>
      <c r="F33" s="24" t="str">
        <f>HYPERLINK("https://mapwv.gov/flood/map/?wkid=102100&amp;x=-8918710.925588595&amp;y=4790422.577886721&amp;l=13&amp;v=2","FT")</f>
        <v>FT</v>
      </c>
      <c r="G33" s="51" t="s">
        <v>32</v>
      </c>
      <c r="H33" s="23" t="s">
        <v>25</v>
      </c>
      <c r="I33" s="2" t="s">
        <v>1028</v>
      </c>
      <c r="J33" s="53" t="s">
        <v>39</v>
      </c>
      <c r="K33" s="51" t="s">
        <v>113</v>
      </c>
      <c r="L33" s="46" t="s">
        <v>27</v>
      </c>
      <c r="M33" s="50" t="s">
        <v>63</v>
      </c>
      <c r="N33" s="3" t="s">
        <v>35</v>
      </c>
      <c r="O33" s="51" t="s">
        <v>94</v>
      </c>
      <c r="P33" s="50" t="s">
        <v>1093</v>
      </c>
      <c r="Q33" s="2" t="s">
        <v>30</v>
      </c>
      <c r="R33" s="23" t="s">
        <v>95</v>
      </c>
      <c r="S33" s="30">
        <v>416900</v>
      </c>
      <c r="T33" s="2" t="s">
        <v>44</v>
      </c>
      <c r="U33" s="31">
        <v>0.1</v>
      </c>
      <c r="V33" s="31">
        <v>-0.89999999850988299</v>
      </c>
      <c r="W33" s="32">
        <v>0</v>
      </c>
      <c r="X33" s="33">
        <v>0</v>
      </c>
    </row>
    <row r="34" spans="1:24" x14ac:dyDescent="0.25">
      <c r="A34" s="22" t="s">
        <v>907</v>
      </c>
      <c r="B34" s="2" t="s">
        <v>922</v>
      </c>
      <c r="C34" s="2" t="s">
        <v>928</v>
      </c>
      <c r="D34" s="50" t="s">
        <v>969</v>
      </c>
      <c r="E34" s="50" t="s">
        <v>1009</v>
      </c>
      <c r="F34" s="24" t="str">
        <f>HYPERLINK("https://mapwv.gov/flood/map/?wkid=102100&amp;x=-8943885.989510791&amp;y=4797627.186041222&amp;l=13&amp;v=2","FT")</f>
        <v>FT</v>
      </c>
      <c r="G34" s="51" t="s">
        <v>32</v>
      </c>
      <c r="H34" s="23" t="s">
        <v>25</v>
      </c>
      <c r="I34" s="2" t="s">
        <v>1043</v>
      </c>
      <c r="J34" s="53" t="s">
        <v>39</v>
      </c>
      <c r="K34" s="51" t="s">
        <v>1063</v>
      </c>
      <c r="L34" s="46" t="s">
        <v>45</v>
      </c>
      <c r="M34" s="50" t="s">
        <v>58</v>
      </c>
      <c r="N34" s="3" t="s">
        <v>91</v>
      </c>
      <c r="O34" s="51" t="s">
        <v>93</v>
      </c>
      <c r="P34" s="50" t="s">
        <v>1094</v>
      </c>
      <c r="Q34" s="2" t="s">
        <v>30</v>
      </c>
      <c r="R34" s="23" t="s">
        <v>95</v>
      </c>
      <c r="S34" s="30">
        <v>409700</v>
      </c>
      <c r="T34" s="2" t="s">
        <v>44</v>
      </c>
      <c r="U34" s="31">
        <v>1.2</v>
      </c>
      <c r="V34" s="31">
        <v>0.20000004768371499</v>
      </c>
      <c r="W34" s="32">
        <v>2.0000004768371504E-2</v>
      </c>
      <c r="X34" s="33">
        <v>8194.0019536018299</v>
      </c>
    </row>
    <row r="35" spans="1:24" x14ac:dyDescent="0.25">
      <c r="A35" s="22" t="s">
        <v>908</v>
      </c>
      <c r="B35" s="2" t="s">
        <v>923</v>
      </c>
      <c r="C35" s="2" t="s">
        <v>937</v>
      </c>
      <c r="D35" s="50" t="s">
        <v>970</v>
      </c>
      <c r="E35" s="50" t="s">
        <v>1010</v>
      </c>
      <c r="F35" s="24" t="str">
        <f>HYPERLINK("https://mapwv.gov/flood/map/?wkid=102100&amp;x=-8926511.429625288&amp;y=4781393.508287529&amp;l=13&amp;v=2","FT")</f>
        <v>FT</v>
      </c>
      <c r="G35" s="51" t="s">
        <v>38</v>
      </c>
      <c r="H35" s="23" t="s">
        <v>25</v>
      </c>
      <c r="I35" s="2" t="s">
        <v>1044</v>
      </c>
      <c r="J35" s="53" t="s">
        <v>26</v>
      </c>
      <c r="K35" s="51" t="s">
        <v>394</v>
      </c>
      <c r="L35" s="46" t="s">
        <v>40</v>
      </c>
      <c r="M35" s="50" t="s">
        <v>41</v>
      </c>
      <c r="N35" s="3" t="s">
        <v>42</v>
      </c>
      <c r="O35" s="51" t="s">
        <v>93</v>
      </c>
      <c r="P35" s="50" t="s">
        <v>1095</v>
      </c>
      <c r="Q35" s="2" t="s">
        <v>52</v>
      </c>
      <c r="R35" s="23" t="s">
        <v>96</v>
      </c>
      <c r="S35" s="30">
        <v>403800</v>
      </c>
      <c r="T35" s="2" t="s">
        <v>44</v>
      </c>
      <c r="U35" s="31">
        <v>0.71577656000000001</v>
      </c>
      <c r="V35" s="31">
        <v>-3.2842234373092598</v>
      </c>
      <c r="W35" s="32">
        <v>0</v>
      </c>
      <c r="X35" s="33">
        <v>0</v>
      </c>
    </row>
    <row r="36" spans="1:24" x14ac:dyDescent="0.25">
      <c r="A36" s="22" t="s">
        <v>909</v>
      </c>
      <c r="B36" s="2" t="s">
        <v>923</v>
      </c>
      <c r="C36" s="2" t="s">
        <v>938</v>
      </c>
      <c r="D36" s="50" t="s">
        <v>971</v>
      </c>
      <c r="E36" s="50" t="s">
        <v>1011</v>
      </c>
      <c r="F36" s="24" t="str">
        <f>HYPERLINK("https://mapwv.gov/flood/map/?wkid=102100&amp;x=-8956888.507342214&amp;y=4799259.185379552&amp;l=13&amp;v=2","FT")</f>
        <v>FT</v>
      </c>
      <c r="G36" s="51" t="s">
        <v>327</v>
      </c>
      <c r="H36" s="23" t="s">
        <v>25</v>
      </c>
      <c r="I36" s="2" t="s">
        <v>1045</v>
      </c>
      <c r="J36" s="53" t="s">
        <v>116</v>
      </c>
      <c r="K36" s="51" t="s">
        <v>81</v>
      </c>
      <c r="L36" s="46" t="s">
        <v>48</v>
      </c>
      <c r="M36" s="50" t="s">
        <v>41</v>
      </c>
      <c r="N36" s="3" t="s">
        <v>42</v>
      </c>
      <c r="O36" s="51" t="s">
        <v>93</v>
      </c>
      <c r="P36" s="50" t="s">
        <v>1096</v>
      </c>
      <c r="Q36" s="2" t="s">
        <v>52</v>
      </c>
      <c r="R36" s="23" t="s">
        <v>114</v>
      </c>
      <c r="S36" s="30">
        <v>398500</v>
      </c>
      <c r="T36" s="2" t="s">
        <v>44</v>
      </c>
      <c r="U36" s="31">
        <v>0.44902052999999997</v>
      </c>
      <c r="V36" s="31">
        <v>-2.5509794652462001</v>
      </c>
      <c r="W36" s="32">
        <v>0</v>
      </c>
      <c r="X36" s="33">
        <v>0</v>
      </c>
    </row>
    <row r="37" spans="1:24" x14ac:dyDescent="0.25">
      <c r="A37" s="22" t="s">
        <v>910</v>
      </c>
      <c r="B37" s="2" t="s">
        <v>923</v>
      </c>
      <c r="C37" s="2" t="s">
        <v>939</v>
      </c>
      <c r="D37" s="50" t="s">
        <v>972</v>
      </c>
      <c r="E37" s="50" t="s">
        <v>1012</v>
      </c>
      <c r="F37" s="24" t="str">
        <f>HYPERLINK("https://mapwv.gov/flood/map/?wkid=102100&amp;x=-8917218.716089657&amp;y=4786029.152799847&amp;l=13&amp;v=2","FT")</f>
        <v>FT</v>
      </c>
      <c r="G37" s="51" t="s">
        <v>327</v>
      </c>
      <c r="H37" s="23" t="s">
        <v>25</v>
      </c>
      <c r="I37" s="2" t="s">
        <v>1046</v>
      </c>
      <c r="J37" s="53" t="s">
        <v>116</v>
      </c>
      <c r="K37" s="51" t="s">
        <v>108</v>
      </c>
      <c r="L37" s="46" t="s">
        <v>38</v>
      </c>
      <c r="M37" s="50" t="s">
        <v>41</v>
      </c>
      <c r="N37" s="3" t="s">
        <v>42</v>
      </c>
      <c r="O37" s="51" t="s">
        <v>93</v>
      </c>
      <c r="P37" s="50" t="s">
        <v>1097</v>
      </c>
      <c r="Q37" s="2" t="s">
        <v>43</v>
      </c>
      <c r="R37" s="23" t="s">
        <v>96</v>
      </c>
      <c r="S37" s="30">
        <v>390500</v>
      </c>
      <c r="T37" s="2" t="s">
        <v>44</v>
      </c>
      <c r="U37" s="31">
        <v>0.32400765999999998</v>
      </c>
      <c r="V37" s="31">
        <v>-3.6759923398494698</v>
      </c>
      <c r="W37" s="32">
        <v>0</v>
      </c>
      <c r="X37" s="33">
        <v>0</v>
      </c>
    </row>
    <row r="38" spans="1:24" x14ac:dyDescent="0.25">
      <c r="A38" s="22" t="s">
        <v>911</v>
      </c>
      <c r="B38" s="2" t="s">
        <v>925</v>
      </c>
      <c r="C38" s="2" t="s">
        <v>928</v>
      </c>
      <c r="D38" s="50" t="s">
        <v>973</v>
      </c>
      <c r="E38" s="50" t="s">
        <v>1013</v>
      </c>
      <c r="F38" s="24" t="str">
        <f>HYPERLINK("https://mapwv.gov/flood/map/?wkid=102100&amp;x=-8933879.695218686&amp;y=4795146.897291761&amp;l=13&amp;v=2","FT")</f>
        <v>FT</v>
      </c>
      <c r="G38" s="51" t="s">
        <v>32</v>
      </c>
      <c r="H38" s="23" t="s">
        <v>25</v>
      </c>
      <c r="I38" s="2" t="s">
        <v>1047</v>
      </c>
      <c r="J38" s="53" t="s">
        <v>39</v>
      </c>
      <c r="K38" s="51" t="s">
        <v>1064</v>
      </c>
      <c r="L38" s="46" t="s">
        <v>45</v>
      </c>
      <c r="M38" s="50" t="s">
        <v>41</v>
      </c>
      <c r="N38" s="3" t="s">
        <v>42</v>
      </c>
      <c r="O38" s="51" t="s">
        <v>94</v>
      </c>
      <c r="P38" s="50" t="s">
        <v>1098</v>
      </c>
      <c r="Q38" s="2" t="s">
        <v>43</v>
      </c>
      <c r="R38" s="23" t="s">
        <v>96</v>
      </c>
      <c r="S38" s="30">
        <v>376100</v>
      </c>
      <c r="T38" s="2" t="s">
        <v>44</v>
      </c>
      <c r="U38" s="31">
        <v>0.1</v>
      </c>
      <c r="V38" s="31">
        <v>-3.8999999985098799</v>
      </c>
      <c r="W38" s="32">
        <v>0.04</v>
      </c>
      <c r="X38" s="33">
        <v>15044</v>
      </c>
    </row>
    <row r="39" spans="1:24" x14ac:dyDescent="0.25">
      <c r="A39" s="22" t="s">
        <v>912</v>
      </c>
      <c r="B39" s="2" t="s">
        <v>926</v>
      </c>
      <c r="C39" s="2" t="s">
        <v>932</v>
      </c>
      <c r="D39" s="50" t="s">
        <v>948</v>
      </c>
      <c r="E39" s="50" t="s">
        <v>1014</v>
      </c>
      <c r="F39" s="24" t="str">
        <f>HYPERLINK("https://mapwv.gov/flood/map/?wkid=102100&amp;x=-8918431.222343592&amp;y=4790653.923867429&amp;l=13&amp;v=2","FT")</f>
        <v>FT</v>
      </c>
      <c r="G39" s="51" t="s">
        <v>32</v>
      </c>
      <c r="H39" s="23" t="s">
        <v>719</v>
      </c>
      <c r="I39" s="2" t="s">
        <v>1028</v>
      </c>
      <c r="J39" s="53" t="s">
        <v>26</v>
      </c>
      <c r="K39" s="51" t="s">
        <v>120</v>
      </c>
      <c r="L39" s="46" t="s">
        <v>57</v>
      </c>
      <c r="M39" s="50" t="s">
        <v>63</v>
      </c>
      <c r="N39" s="3" t="s">
        <v>35</v>
      </c>
      <c r="O39" s="51" t="s">
        <v>93</v>
      </c>
      <c r="P39" s="50" t="s">
        <v>1099</v>
      </c>
      <c r="Q39" s="2" t="s">
        <v>30</v>
      </c>
      <c r="R39" s="23" t="s">
        <v>95</v>
      </c>
      <c r="S39" s="30">
        <v>367000</v>
      </c>
      <c r="T39" s="2" t="s">
        <v>873</v>
      </c>
      <c r="U39" s="31">
        <v>3.5</v>
      </c>
      <c r="V39" s="31">
        <v>2.5</v>
      </c>
      <c r="W39" s="32">
        <v>9.5000000000000001E-2</v>
      </c>
      <c r="X39" s="33">
        <v>34865</v>
      </c>
    </row>
    <row r="40" spans="1:24" x14ac:dyDescent="0.25">
      <c r="A40" s="22" t="s">
        <v>913</v>
      </c>
      <c r="B40" s="2" t="s">
        <v>923</v>
      </c>
      <c r="C40" s="2" t="s">
        <v>940</v>
      </c>
      <c r="D40" s="50" t="s">
        <v>974</v>
      </c>
      <c r="E40" s="50" t="s">
        <v>1015</v>
      </c>
      <c r="F40" s="24" t="str">
        <f>HYPERLINK("https://mapwv.gov/flood/map/?wkid=102100&amp;x=-8913301.135300137&amp;y=4795180.61691629&amp;l=13&amp;v=2","FT")</f>
        <v>FT</v>
      </c>
      <c r="G40" s="51" t="s">
        <v>38</v>
      </c>
      <c r="H40" s="23" t="s">
        <v>25</v>
      </c>
      <c r="I40" s="2" t="s">
        <v>1048</v>
      </c>
      <c r="J40" s="53" t="s">
        <v>39</v>
      </c>
      <c r="K40" s="51" t="s">
        <v>110</v>
      </c>
      <c r="L40" s="46" t="s">
        <v>27</v>
      </c>
      <c r="M40" s="50" t="s">
        <v>88</v>
      </c>
      <c r="N40" s="3" t="s">
        <v>92</v>
      </c>
      <c r="O40" s="51" t="s">
        <v>93</v>
      </c>
      <c r="P40" s="50" t="s">
        <v>1100</v>
      </c>
      <c r="Q40" s="2" t="s">
        <v>30</v>
      </c>
      <c r="R40" s="23" t="s">
        <v>95</v>
      </c>
      <c r="S40" s="30">
        <v>365000</v>
      </c>
      <c r="T40" s="2" t="s">
        <v>44</v>
      </c>
      <c r="U40" s="31">
        <v>0.9</v>
      </c>
      <c r="V40" s="31">
        <v>-0.10000002384185699</v>
      </c>
      <c r="W40" s="32">
        <v>8.9999997615814193E-3</v>
      </c>
      <c r="X40" s="33">
        <v>3284.99991297721</v>
      </c>
    </row>
    <row r="41" spans="1:24" x14ac:dyDescent="0.25">
      <c r="A41" s="22" t="s">
        <v>914</v>
      </c>
      <c r="B41" s="2" t="s">
        <v>926</v>
      </c>
      <c r="C41" s="2" t="s">
        <v>941</v>
      </c>
      <c r="D41" s="50" t="s">
        <v>975</v>
      </c>
      <c r="E41" s="50" t="s">
        <v>1016</v>
      </c>
      <c r="F41" s="24" t="str">
        <f>HYPERLINK("https://mapwv.gov/flood/map/?wkid=102100&amp;x=-8920397.100839952&amp;y=4791264.4085470345&amp;l=13&amp;v=2","FT")</f>
        <v>FT</v>
      </c>
      <c r="G41" s="51" t="s">
        <v>32</v>
      </c>
      <c r="H41" s="23" t="s">
        <v>25</v>
      </c>
      <c r="I41" s="2" t="s">
        <v>1049</v>
      </c>
      <c r="J41" s="53" t="s">
        <v>39</v>
      </c>
      <c r="K41" s="51" t="s">
        <v>109</v>
      </c>
      <c r="L41" s="46" t="s">
        <v>27</v>
      </c>
      <c r="M41" s="50" t="s">
        <v>63</v>
      </c>
      <c r="N41" s="3" t="s">
        <v>35</v>
      </c>
      <c r="O41" s="51" t="s">
        <v>93</v>
      </c>
      <c r="P41" s="50" t="s">
        <v>1101</v>
      </c>
      <c r="Q41" s="2" t="s">
        <v>30</v>
      </c>
      <c r="R41" s="23" t="s">
        <v>95</v>
      </c>
      <c r="S41" s="30">
        <v>353600</v>
      </c>
      <c r="T41" s="2" t="s">
        <v>44</v>
      </c>
      <c r="U41" s="31">
        <v>0.1</v>
      </c>
      <c r="V41" s="31">
        <v>-0.89999999850988299</v>
      </c>
      <c r="W41" s="32">
        <v>0</v>
      </c>
      <c r="X41" s="33">
        <v>0</v>
      </c>
    </row>
    <row r="42" spans="1:24" x14ac:dyDescent="0.25">
      <c r="A42" s="22" t="s">
        <v>915</v>
      </c>
      <c r="B42" s="2" t="s">
        <v>926</v>
      </c>
      <c r="C42" s="2" t="s">
        <v>932</v>
      </c>
      <c r="D42" s="50" t="s">
        <v>976</v>
      </c>
      <c r="E42" s="50" t="s">
        <v>1017</v>
      </c>
      <c r="F42" s="24" t="str">
        <f>HYPERLINK("https://mapwv.gov/flood/map/?wkid=102100&amp;x=-8919102.303544879&amp;y=4790187.073087847&amp;l=13&amp;v=2","FT")</f>
        <v>FT</v>
      </c>
      <c r="G42" s="51" t="s">
        <v>32</v>
      </c>
      <c r="H42" s="23" t="s">
        <v>25</v>
      </c>
      <c r="I42" s="2" t="s">
        <v>1050</v>
      </c>
      <c r="J42" s="53" t="s">
        <v>39</v>
      </c>
      <c r="K42" s="51" t="s">
        <v>395</v>
      </c>
      <c r="L42" s="46" t="s">
        <v>48</v>
      </c>
      <c r="M42" s="50" t="s">
        <v>51</v>
      </c>
      <c r="N42" s="3" t="s">
        <v>35</v>
      </c>
      <c r="O42" s="51" t="s">
        <v>93</v>
      </c>
      <c r="P42" s="50" t="s">
        <v>1102</v>
      </c>
      <c r="Q42" s="2" t="s">
        <v>30</v>
      </c>
      <c r="R42" s="23" t="s">
        <v>95</v>
      </c>
      <c r="S42" s="30">
        <v>333800</v>
      </c>
      <c r="T42" s="2" t="s">
        <v>44</v>
      </c>
      <c r="U42" s="31">
        <v>0.1</v>
      </c>
      <c r="V42" s="31">
        <v>-0.89999999850988299</v>
      </c>
      <c r="W42" s="32">
        <v>1.00000001490116E-3</v>
      </c>
      <c r="X42" s="33">
        <v>333.80000497400698</v>
      </c>
    </row>
    <row r="43" spans="1:24" x14ac:dyDescent="0.25">
      <c r="A43" s="22" t="s">
        <v>916</v>
      </c>
      <c r="B43" s="2" t="s">
        <v>923</v>
      </c>
      <c r="C43" s="2" t="s">
        <v>933</v>
      </c>
      <c r="D43" s="50" t="s">
        <v>977</v>
      </c>
      <c r="E43" s="50" t="s">
        <v>1018</v>
      </c>
      <c r="F43" s="24" t="str">
        <f>HYPERLINK("https://mapwv.gov/flood/map/?wkid=102100&amp;x=-8920906.469552793&amp;y=4783465.637535449&amp;l=13&amp;v=2","FT")</f>
        <v>FT</v>
      </c>
      <c r="G43" s="51" t="s">
        <v>38</v>
      </c>
      <c r="H43" s="23" t="s">
        <v>25</v>
      </c>
      <c r="I43" s="2" t="s">
        <v>1051</v>
      </c>
      <c r="J43" s="53" t="s">
        <v>26</v>
      </c>
      <c r="K43" s="51" t="s">
        <v>390</v>
      </c>
      <c r="L43" s="46" t="s">
        <v>40</v>
      </c>
      <c r="M43" s="50" t="s">
        <v>41</v>
      </c>
      <c r="N43" s="3" t="s">
        <v>42</v>
      </c>
      <c r="O43" s="51" t="s">
        <v>93</v>
      </c>
      <c r="P43" s="50" t="s">
        <v>1103</v>
      </c>
      <c r="Q43" s="2" t="s">
        <v>43</v>
      </c>
      <c r="R43" s="23" t="s">
        <v>96</v>
      </c>
      <c r="S43" s="30">
        <v>326800</v>
      </c>
      <c r="T43" s="2" t="s">
        <v>44</v>
      </c>
      <c r="U43" s="31">
        <v>8.5680879999999995</v>
      </c>
      <c r="V43" s="31">
        <v>4.5680875778198198</v>
      </c>
      <c r="W43" s="32">
        <v>0.55976613044738699</v>
      </c>
      <c r="X43" s="33">
        <v>182931.57143020601</v>
      </c>
    </row>
    <row r="44" spans="1:24" x14ac:dyDescent="0.25">
      <c r="A44" s="22" t="s">
        <v>917</v>
      </c>
      <c r="B44" s="2" t="s">
        <v>923</v>
      </c>
      <c r="C44" s="2" t="s">
        <v>935</v>
      </c>
      <c r="D44" s="50" t="s">
        <v>978</v>
      </c>
      <c r="E44" s="50" t="s">
        <v>1019</v>
      </c>
      <c r="F44" s="24" t="str">
        <f>HYPERLINK("https://mapwv.gov/flood/map/?wkid=102100&amp;x=-8914573.376483388&amp;y=4789419.122851293&amp;l=13&amp;v=2","FT")</f>
        <v>FT</v>
      </c>
      <c r="G44" s="51" t="s">
        <v>32</v>
      </c>
      <c r="H44" s="23" t="s">
        <v>25</v>
      </c>
      <c r="I44" s="2" t="s">
        <v>1052</v>
      </c>
      <c r="J44" s="53" t="s">
        <v>26</v>
      </c>
      <c r="K44" s="51" t="s">
        <v>392</v>
      </c>
      <c r="L44" s="46" t="s">
        <v>38</v>
      </c>
      <c r="M44" s="50" t="s">
        <v>41</v>
      </c>
      <c r="N44" s="3" t="s">
        <v>42</v>
      </c>
      <c r="O44" s="51" t="s">
        <v>93</v>
      </c>
      <c r="P44" s="50" t="s">
        <v>1104</v>
      </c>
      <c r="Q44" s="2" t="s">
        <v>30</v>
      </c>
      <c r="R44" s="23" t="s">
        <v>95</v>
      </c>
      <c r="S44" s="30">
        <v>326500</v>
      </c>
      <c r="T44" s="2" t="s">
        <v>44</v>
      </c>
      <c r="U44" s="31">
        <v>0.1</v>
      </c>
      <c r="V44" s="31">
        <v>-0.89999999850988299</v>
      </c>
      <c r="W44" s="32">
        <v>4.0000000149011603E-2</v>
      </c>
      <c r="X44" s="33">
        <v>13060.0000486522</v>
      </c>
    </row>
    <row r="45" spans="1:24" x14ac:dyDescent="0.25">
      <c r="A45" s="22" t="s">
        <v>918</v>
      </c>
      <c r="B45" s="2" t="s">
        <v>922</v>
      </c>
      <c r="C45" s="2" t="s">
        <v>928</v>
      </c>
      <c r="D45" s="50" t="s">
        <v>979</v>
      </c>
      <c r="E45" s="50" t="s">
        <v>1020</v>
      </c>
      <c r="F45" s="24" t="str">
        <f>HYPERLINK("https://mapwv.gov/flood/map/?wkid=102100&amp;x=-8944065.889266323&amp;y=4798081.697922805&amp;l=13&amp;v=2","FT")</f>
        <v>FT</v>
      </c>
      <c r="G45" s="51" t="s">
        <v>32</v>
      </c>
      <c r="H45" s="23" t="s">
        <v>25</v>
      </c>
      <c r="I45" s="2" t="s">
        <v>1053</v>
      </c>
      <c r="J45" s="53" t="s">
        <v>36</v>
      </c>
      <c r="K45" s="51" t="s">
        <v>77</v>
      </c>
      <c r="L45" s="46"/>
      <c r="M45" s="50" t="s">
        <v>64</v>
      </c>
      <c r="N45" s="3" t="s">
        <v>90</v>
      </c>
      <c r="O45" s="51" t="s">
        <v>93</v>
      </c>
      <c r="P45" s="50" t="s">
        <v>1105</v>
      </c>
      <c r="Q45" s="2" t="s">
        <v>30</v>
      </c>
      <c r="R45" s="23" t="s">
        <v>95</v>
      </c>
      <c r="S45" s="30">
        <v>322200</v>
      </c>
      <c r="T45" s="2" t="s">
        <v>31</v>
      </c>
      <c r="U45" s="31">
        <v>2.2000000000000002</v>
      </c>
      <c r="V45" s="31">
        <v>1.20000004768371</v>
      </c>
      <c r="W45" s="32">
        <v>7.6000001430511402E-2</v>
      </c>
      <c r="X45" s="33">
        <v>24487.200460910699</v>
      </c>
    </row>
    <row r="46" spans="1:24" x14ac:dyDescent="0.25">
      <c r="A46" s="22" t="s">
        <v>919</v>
      </c>
      <c r="B46" s="2" t="s">
        <v>923</v>
      </c>
      <c r="C46" s="2" t="s">
        <v>935</v>
      </c>
      <c r="D46" s="50" t="s">
        <v>967</v>
      </c>
      <c r="E46" s="50" t="s">
        <v>1021</v>
      </c>
      <c r="F46" s="24" t="str">
        <f>HYPERLINK("https://mapwv.gov/flood/map/?wkid=102100&amp;x=-8915286.452739934&amp;y=4791360.352008913&amp;l=13&amp;v=2","FT")</f>
        <v>FT</v>
      </c>
      <c r="G46" s="51" t="s">
        <v>32</v>
      </c>
      <c r="H46" s="23" t="s">
        <v>25</v>
      </c>
      <c r="I46" s="2" t="s">
        <v>1042</v>
      </c>
      <c r="J46" s="53" t="s">
        <v>39</v>
      </c>
      <c r="K46" s="51" t="s">
        <v>83</v>
      </c>
      <c r="L46" s="46" t="s">
        <v>53</v>
      </c>
      <c r="M46" s="50" t="s">
        <v>47</v>
      </c>
      <c r="N46" s="3" t="s">
        <v>35</v>
      </c>
      <c r="O46" s="51" t="s">
        <v>94</v>
      </c>
      <c r="P46" s="50" t="s">
        <v>1106</v>
      </c>
      <c r="Q46" s="2" t="s">
        <v>30</v>
      </c>
      <c r="R46" s="23" t="s">
        <v>95</v>
      </c>
      <c r="S46" s="30">
        <v>315100</v>
      </c>
      <c r="T46" s="2" t="s">
        <v>31</v>
      </c>
      <c r="U46" s="31">
        <v>3.9</v>
      </c>
      <c r="V46" s="31">
        <v>2.9000000953674299</v>
      </c>
      <c r="W46" s="32">
        <v>0.158000001907348</v>
      </c>
      <c r="X46" s="33">
        <v>49785.800601005503</v>
      </c>
    </row>
    <row r="47" spans="1:24" x14ac:dyDescent="0.25">
      <c r="A47" s="22" t="s">
        <v>920</v>
      </c>
      <c r="B47" s="2" t="s">
        <v>923</v>
      </c>
      <c r="C47" s="2" t="s">
        <v>935</v>
      </c>
      <c r="D47" s="50" t="s">
        <v>980</v>
      </c>
      <c r="E47" s="50" t="s">
        <v>1022</v>
      </c>
      <c r="F47" s="24" t="str">
        <f>HYPERLINK("https://mapwv.gov/flood/map/?wkid=102100&amp;x=-8914838.73175922&amp;y=4790687.1316760285&amp;l=13&amp;v=2","FT")</f>
        <v>FT</v>
      </c>
      <c r="G47" s="51" t="s">
        <v>32</v>
      </c>
      <c r="H47" s="23" t="s">
        <v>25</v>
      </c>
      <c r="I47" s="2" t="s">
        <v>1054</v>
      </c>
      <c r="J47" s="53" t="s">
        <v>26</v>
      </c>
      <c r="K47" s="51" t="s">
        <v>392</v>
      </c>
      <c r="L47" s="46" t="s">
        <v>53</v>
      </c>
      <c r="M47" s="50" t="s">
        <v>63</v>
      </c>
      <c r="N47" s="3" t="s">
        <v>35</v>
      </c>
      <c r="O47" s="51" t="s">
        <v>93</v>
      </c>
      <c r="P47" s="50" t="s">
        <v>1107</v>
      </c>
      <c r="Q47" s="2" t="s">
        <v>30</v>
      </c>
      <c r="R47" s="23" t="s">
        <v>95</v>
      </c>
      <c r="S47" s="30">
        <v>314140</v>
      </c>
      <c r="T47" s="2" t="s">
        <v>31</v>
      </c>
      <c r="U47" s="31">
        <v>0.1</v>
      </c>
      <c r="V47" s="31">
        <v>-0.89999999850988299</v>
      </c>
      <c r="W47" s="32">
        <v>0</v>
      </c>
      <c r="X47" s="33">
        <v>0</v>
      </c>
    </row>
    <row r="48" spans="1:24" x14ac:dyDescent="0.25">
      <c r="A48" s="22" t="s">
        <v>921</v>
      </c>
      <c r="B48" s="2" t="s">
        <v>922</v>
      </c>
      <c r="C48" s="2" t="s">
        <v>928</v>
      </c>
      <c r="D48" s="50" t="s">
        <v>981</v>
      </c>
      <c r="E48" s="50" t="s">
        <v>1023</v>
      </c>
      <c r="F48" s="24" t="str">
        <f>HYPERLINK("https://mapwv.gov/flood/map/?wkid=102100&amp;x=-8943837.311612543&amp;y=4798107.799182738&amp;l=13&amp;v=2","FT")</f>
        <v>FT</v>
      </c>
      <c r="G48" s="51" t="s">
        <v>32</v>
      </c>
      <c r="H48" s="23" t="s">
        <v>25</v>
      </c>
      <c r="I48" s="2" t="s">
        <v>1055</v>
      </c>
      <c r="J48" s="53" t="s">
        <v>26</v>
      </c>
      <c r="K48" s="51" t="s">
        <v>397</v>
      </c>
      <c r="L48" s="46" t="s">
        <v>37</v>
      </c>
      <c r="M48" s="50" t="s">
        <v>58</v>
      </c>
      <c r="N48" s="3" t="s">
        <v>91</v>
      </c>
      <c r="O48" s="51" t="s">
        <v>93</v>
      </c>
      <c r="P48" s="50" t="s">
        <v>1108</v>
      </c>
      <c r="Q48" s="2" t="s">
        <v>30</v>
      </c>
      <c r="R48" s="23" t="s">
        <v>95</v>
      </c>
      <c r="S48" s="30">
        <v>310300</v>
      </c>
      <c r="T48" s="2" t="s">
        <v>44</v>
      </c>
      <c r="U48" s="31">
        <v>2.5</v>
      </c>
      <c r="V48" s="31">
        <v>1.5</v>
      </c>
      <c r="W48" s="32">
        <v>0.105</v>
      </c>
      <c r="X48" s="33">
        <v>32581.5</v>
      </c>
    </row>
  </sheetData>
  <hyperlinks>
    <hyperlink ref="J3" r:id="rId1" xr:uid="{54B27CC5-0467-4A45-9796-DF2992325B23}"/>
    <hyperlink ref="M3" r:id="rId2" xr:uid="{7F6AD574-1AF2-4A3A-B965-AB9EABCAF7DD}"/>
    <hyperlink ref="Q3" r:id="rId3" xr:uid="{2856BC76-6599-4462-8FB3-B69AB045C4F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A83D9-7C47-44C6-BC25-F41471983F0C}">
  <dimension ref="A1:Z74"/>
  <sheetViews>
    <sheetView workbookViewId="0">
      <pane ySplit="6" topLeftCell="A7" activePane="bottomLeft" state="frozen"/>
      <selection pane="bottomLeft" activeCell="Z7" sqref="Z7"/>
    </sheetView>
  </sheetViews>
  <sheetFormatPr defaultRowHeight="15" x14ac:dyDescent="0.25"/>
  <cols>
    <col min="1" max="1" width="33.85546875" bestFit="1" customWidth="1"/>
    <col min="2" max="2" width="11" customWidth="1"/>
    <col min="3" max="3" width="16.85546875" bestFit="1" customWidth="1"/>
    <col min="7" max="7" width="11.28515625" customWidth="1"/>
    <col min="13" max="13" width="11.140625" customWidth="1"/>
    <col min="14" max="14" width="10.5703125" customWidth="1"/>
    <col min="17" max="17" width="10.28515625" customWidth="1"/>
    <col min="19" max="19" width="21.7109375" bestFit="1" customWidth="1"/>
    <col min="24" max="24" width="13.140625" bestFit="1" customWidth="1"/>
    <col min="26" max="26" width="15.7109375" bestFit="1" customWidth="1"/>
  </cols>
  <sheetData>
    <row r="1" spans="1:26" ht="14.25" customHeight="1" x14ac:dyDescent="0.25">
      <c r="A1" s="4" t="s">
        <v>66</v>
      </c>
      <c r="B1" s="4"/>
      <c r="C1" s="4"/>
      <c r="D1" s="4"/>
      <c r="F1" s="17" t="s">
        <v>67</v>
      </c>
      <c r="G1" s="6"/>
      <c r="H1" s="52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6" x14ac:dyDescent="0.25">
      <c r="A2" s="11">
        <v>44207</v>
      </c>
      <c r="B2" s="12" t="s">
        <v>70</v>
      </c>
      <c r="F2" s="6"/>
      <c r="G2" s="6"/>
      <c r="H2" s="52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6" x14ac:dyDescent="0.25">
      <c r="A3" t="s">
        <v>72</v>
      </c>
      <c r="B3" s="41" t="s">
        <v>125</v>
      </c>
      <c r="F3" s="6"/>
      <c r="G3" s="6"/>
      <c r="H3" s="52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6" x14ac:dyDescent="0.25">
      <c r="F4" s="6"/>
      <c r="G4" s="6"/>
      <c r="H4" s="52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6" x14ac:dyDescent="0.25">
      <c r="A5" s="1" t="s">
        <v>1109</v>
      </c>
      <c r="F5" s="6"/>
      <c r="G5" s="6"/>
      <c r="H5" s="52"/>
      <c r="J5" s="6"/>
      <c r="K5" s="6"/>
      <c r="L5" s="6"/>
      <c r="O5" s="6"/>
      <c r="P5" s="6"/>
      <c r="R5" s="6"/>
      <c r="S5" s="34" t="s">
        <v>1110</v>
      </c>
      <c r="U5" s="6"/>
      <c r="V5" s="6"/>
      <c r="W5" s="9"/>
      <c r="X5" s="10"/>
    </row>
    <row r="6" spans="1:26" ht="45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6" x14ac:dyDescent="0.25">
      <c r="A7" s="22" t="s">
        <v>1111</v>
      </c>
      <c r="B7" s="2" t="s">
        <v>1177</v>
      </c>
      <c r="C7" s="2" t="s">
        <v>941</v>
      </c>
      <c r="D7" s="50" t="s">
        <v>1200</v>
      </c>
      <c r="E7" s="50" t="s">
        <v>1257</v>
      </c>
      <c r="F7" s="24" t="str">
        <f>HYPERLINK("https://mapwv.gov/flood/map/?wkid=102100&amp;x=-8897436.752769934&amp;y=4823861.216481323&amp;l=13&amp;v=2","FT")</f>
        <v>FT</v>
      </c>
      <c r="G7" s="51" t="s">
        <v>32</v>
      </c>
      <c r="H7" s="23" t="s">
        <v>719</v>
      </c>
      <c r="I7" s="2" t="s">
        <v>1323</v>
      </c>
      <c r="J7" s="22" t="s">
        <v>36</v>
      </c>
      <c r="K7" s="51" t="s">
        <v>77</v>
      </c>
      <c r="L7" s="46"/>
      <c r="M7" s="50" t="s">
        <v>56</v>
      </c>
      <c r="N7" s="3" t="s">
        <v>35</v>
      </c>
      <c r="O7" s="51" t="s">
        <v>93</v>
      </c>
      <c r="P7" s="54">
        <v>415000</v>
      </c>
      <c r="Q7" s="2" t="s">
        <v>30</v>
      </c>
      <c r="R7" s="23" t="s">
        <v>95</v>
      </c>
      <c r="S7" s="30">
        <v>800000000</v>
      </c>
      <c r="T7" s="2" t="s">
        <v>29</v>
      </c>
      <c r="U7" s="31">
        <v>3.8</v>
      </c>
      <c r="V7" s="31">
        <v>3.3000001907348602</v>
      </c>
      <c r="W7" s="32">
        <v>0.23800001144409103</v>
      </c>
      <c r="X7" s="33">
        <v>190400009.15527299</v>
      </c>
      <c r="Z7" s="59"/>
    </row>
    <row r="8" spans="1:26" x14ac:dyDescent="0.25">
      <c r="A8" s="22" t="s">
        <v>1114</v>
      </c>
      <c r="B8" s="2" t="s">
        <v>1179</v>
      </c>
      <c r="C8" s="2" t="s">
        <v>941</v>
      </c>
      <c r="D8" s="50" t="s">
        <v>1203</v>
      </c>
      <c r="E8" s="50" t="s">
        <v>1260</v>
      </c>
      <c r="F8" s="24" t="str">
        <f>HYPERLINK("https://mapwv.gov/flood/map/?wkid=102100&amp;x=-8904684.18951636&amp;y=4816022.451864885&amp;l=13&amp;v=2","FT")</f>
        <v>FT</v>
      </c>
      <c r="G8" s="51" t="s">
        <v>32</v>
      </c>
      <c r="H8" s="23" t="s">
        <v>25</v>
      </c>
      <c r="I8" s="2" t="s">
        <v>1326</v>
      </c>
      <c r="J8" s="22" t="s">
        <v>26</v>
      </c>
      <c r="K8" s="51">
        <v>9999</v>
      </c>
      <c r="L8" s="46"/>
      <c r="M8" s="50" t="s">
        <v>28</v>
      </c>
      <c r="N8" s="3" t="s">
        <v>90</v>
      </c>
      <c r="O8" s="51" t="s">
        <v>93</v>
      </c>
      <c r="P8" s="54">
        <v>100000</v>
      </c>
      <c r="Q8" s="2" t="s">
        <v>30</v>
      </c>
      <c r="R8" s="23" t="s">
        <v>95</v>
      </c>
      <c r="S8" s="30">
        <v>102000000</v>
      </c>
      <c r="T8" s="2" t="s">
        <v>29</v>
      </c>
      <c r="U8" s="31">
        <v>5.7</v>
      </c>
      <c r="V8" s="31">
        <v>4.6999998092651296</v>
      </c>
      <c r="W8" s="32">
        <v>0.14000000000000001</v>
      </c>
      <c r="X8" s="33">
        <v>14280000</v>
      </c>
    </row>
    <row r="9" spans="1:26" x14ac:dyDescent="0.25">
      <c r="A9" s="22" t="s">
        <v>1449</v>
      </c>
      <c r="B9" s="2" t="s">
        <v>1178</v>
      </c>
      <c r="C9" s="2" t="s">
        <v>941</v>
      </c>
      <c r="D9" s="50" t="s">
        <v>1450</v>
      </c>
      <c r="E9" s="50" t="s">
        <v>1451</v>
      </c>
      <c r="F9" s="24" t="str">
        <f>HYPERLINK("https://mapwv.gov/flood/map/?wkid=102100&amp;x=-8902352.475209555&amp;y=4809338.300427538&amp;l=13&amp;v=2","FT")</f>
        <v>FT</v>
      </c>
      <c r="G9" s="51" t="s">
        <v>32</v>
      </c>
      <c r="H9" s="23" t="s">
        <v>25</v>
      </c>
      <c r="I9" s="2" t="s">
        <v>1452</v>
      </c>
      <c r="J9" s="22" t="s">
        <v>26</v>
      </c>
      <c r="K9" s="51">
        <v>9999</v>
      </c>
      <c r="L9" s="46"/>
      <c r="M9" s="50" t="s">
        <v>28</v>
      </c>
      <c r="N9" s="3" t="s">
        <v>90</v>
      </c>
      <c r="O9" s="51" t="s">
        <v>93</v>
      </c>
      <c r="P9" s="54">
        <v>70000</v>
      </c>
      <c r="Q9" s="2" t="s">
        <v>30</v>
      </c>
      <c r="R9" s="23" t="s">
        <v>95</v>
      </c>
      <c r="S9" s="30">
        <v>64000000</v>
      </c>
      <c r="T9" s="2" t="s">
        <v>29</v>
      </c>
      <c r="U9" s="31">
        <v>0.1</v>
      </c>
      <c r="V9" s="31">
        <v>-0.89999999850988299</v>
      </c>
      <c r="W9" s="32">
        <v>0</v>
      </c>
      <c r="X9" s="33">
        <v>0</v>
      </c>
    </row>
    <row r="10" spans="1:26" x14ac:dyDescent="0.25">
      <c r="A10" s="22" t="s">
        <v>1112</v>
      </c>
      <c r="B10" s="2" t="s">
        <v>1177</v>
      </c>
      <c r="C10" s="2" t="s">
        <v>1182</v>
      </c>
      <c r="D10" s="50" t="s">
        <v>1201</v>
      </c>
      <c r="E10" s="50" t="s">
        <v>1258</v>
      </c>
      <c r="F10" s="24" t="str">
        <f>HYPERLINK("https://mapwv.gov/flood/map/?wkid=102100&amp;x=-8900099.496065397&amp;y=4808275.098122984&amp;l=13&amp;v=2","FT")</f>
        <v>FT</v>
      </c>
      <c r="G10" s="51" t="s">
        <v>38</v>
      </c>
      <c r="H10" s="23" t="s">
        <v>25</v>
      </c>
      <c r="I10" s="2" t="s">
        <v>1324</v>
      </c>
      <c r="J10" s="22" t="s">
        <v>36</v>
      </c>
      <c r="K10" s="51" t="s">
        <v>77</v>
      </c>
      <c r="L10" s="46"/>
      <c r="M10" s="50" t="s">
        <v>28</v>
      </c>
      <c r="N10" s="3" t="s">
        <v>90</v>
      </c>
      <c r="O10" s="51" t="s">
        <v>93</v>
      </c>
      <c r="P10" s="50" t="s">
        <v>1382</v>
      </c>
      <c r="Q10" s="2" t="s">
        <v>30</v>
      </c>
      <c r="R10" s="23" t="s">
        <v>95</v>
      </c>
      <c r="S10" s="30">
        <v>21353730</v>
      </c>
      <c r="T10" s="2" t="s">
        <v>31</v>
      </c>
      <c r="U10" s="31">
        <v>1.6</v>
      </c>
      <c r="V10" s="31">
        <v>0.60000002384185702</v>
      </c>
      <c r="W10" s="32">
        <v>3.0000001192092798E-2</v>
      </c>
      <c r="X10" s="33">
        <v>640611.92545562901</v>
      </c>
    </row>
    <row r="11" spans="1:26" x14ac:dyDescent="0.25">
      <c r="A11" s="22" t="s">
        <v>1445</v>
      </c>
      <c r="B11" s="2" t="s">
        <v>1177</v>
      </c>
      <c r="C11" s="2" t="s">
        <v>1190</v>
      </c>
      <c r="D11" s="50" t="s">
        <v>1446</v>
      </c>
      <c r="E11" s="50" t="s">
        <v>1447</v>
      </c>
      <c r="F11" s="24" t="str">
        <f>HYPERLINK("https://mapwv.gov/flood/map/?wkid=102100&amp;x=-8889638.963259023&amp;y=4819175.525201632&amp;l=13&amp;v=2","FT")</f>
        <v>FT</v>
      </c>
      <c r="G11" s="51" t="s">
        <v>327</v>
      </c>
      <c r="H11" s="23" t="s">
        <v>25</v>
      </c>
      <c r="I11" s="2" t="s">
        <v>1448</v>
      </c>
      <c r="J11" s="22" t="s">
        <v>39</v>
      </c>
      <c r="K11" s="51">
        <v>1111</v>
      </c>
      <c r="L11" s="46"/>
      <c r="M11" s="50" t="s">
        <v>28</v>
      </c>
      <c r="N11" s="3" t="s">
        <v>90</v>
      </c>
      <c r="O11" s="51">
        <v>1</v>
      </c>
      <c r="P11" s="54">
        <v>13600</v>
      </c>
      <c r="Q11" s="2" t="s">
        <v>30</v>
      </c>
      <c r="R11" s="23" t="s">
        <v>95</v>
      </c>
      <c r="S11" s="30">
        <v>16000000</v>
      </c>
      <c r="T11" s="2" t="s">
        <v>29</v>
      </c>
      <c r="U11" s="31">
        <v>3.6873515000000001</v>
      </c>
      <c r="V11" s="31">
        <v>2.68735146522521</v>
      </c>
      <c r="W11" s="32">
        <f>V11/100</f>
        <v>2.6873514652252101E-2</v>
      </c>
      <c r="X11" s="33">
        <v>429976.23443603358</v>
      </c>
    </row>
    <row r="12" spans="1:26" x14ac:dyDescent="0.25">
      <c r="A12" s="22" t="s">
        <v>1113</v>
      </c>
      <c r="B12" s="2" t="s">
        <v>1178</v>
      </c>
      <c r="C12" s="2" t="s">
        <v>1183</v>
      </c>
      <c r="D12" s="50" t="s">
        <v>1202</v>
      </c>
      <c r="E12" s="50" t="s">
        <v>1259</v>
      </c>
      <c r="F12" s="24" t="str">
        <f>HYPERLINK("https://mapwv.gov/flood/map/?wkid=102100&amp;x=-8901477.856894707&amp;y=4815443.741113765&amp;l=13&amp;v=2","FT")</f>
        <v>FT</v>
      </c>
      <c r="G12" s="51" t="s">
        <v>32</v>
      </c>
      <c r="H12" s="23" t="s">
        <v>25</v>
      </c>
      <c r="I12" s="2" t="s">
        <v>1325</v>
      </c>
      <c r="J12" s="22" t="s">
        <v>26</v>
      </c>
      <c r="K12" s="51" t="s">
        <v>74</v>
      </c>
      <c r="L12" s="46" t="s">
        <v>40</v>
      </c>
      <c r="M12" s="50" t="s">
        <v>1380</v>
      </c>
      <c r="N12" s="3" t="s">
        <v>89</v>
      </c>
      <c r="O12" s="51" t="s">
        <v>800</v>
      </c>
      <c r="P12" s="50" t="s">
        <v>1383</v>
      </c>
      <c r="Q12" s="2" t="s">
        <v>30</v>
      </c>
      <c r="R12" s="23" t="s">
        <v>95</v>
      </c>
      <c r="S12" s="30">
        <v>10202400</v>
      </c>
      <c r="T12" s="2" t="s">
        <v>44</v>
      </c>
      <c r="U12" s="31">
        <v>0.1</v>
      </c>
      <c r="V12" s="31">
        <v>-0.89999999850988299</v>
      </c>
      <c r="W12" s="32">
        <v>0</v>
      </c>
      <c r="X12" s="33">
        <v>0</v>
      </c>
    </row>
    <row r="13" spans="1:26" x14ac:dyDescent="0.25">
      <c r="A13" s="22" t="s">
        <v>1115</v>
      </c>
      <c r="B13" s="2" t="s">
        <v>1178</v>
      </c>
      <c r="C13" s="2" t="s">
        <v>1184</v>
      </c>
      <c r="D13" s="50" t="s">
        <v>1204</v>
      </c>
      <c r="E13" s="50" t="s">
        <v>1261</v>
      </c>
      <c r="F13" s="24" t="str">
        <f>HYPERLINK("https://mapwv.gov/flood/map/?wkid=102100&amp;x=-8897295.109627211&amp;y=4811387.458598387&amp;l=13&amp;v=2","FT")</f>
        <v>FT</v>
      </c>
      <c r="G13" s="51" t="s">
        <v>32</v>
      </c>
      <c r="H13" s="23" t="s">
        <v>25</v>
      </c>
      <c r="I13" s="2" t="s">
        <v>1327</v>
      </c>
      <c r="J13" s="22" t="s">
        <v>26</v>
      </c>
      <c r="K13" s="51" t="s">
        <v>394</v>
      </c>
      <c r="L13" s="46" t="s">
        <v>45</v>
      </c>
      <c r="M13" s="50" t="s">
        <v>56</v>
      </c>
      <c r="N13" s="3" t="s">
        <v>35</v>
      </c>
      <c r="O13" s="51" t="s">
        <v>93</v>
      </c>
      <c r="P13" s="50" t="s">
        <v>1384</v>
      </c>
      <c r="Q13" s="2" t="s">
        <v>30</v>
      </c>
      <c r="R13" s="23" t="s">
        <v>95</v>
      </c>
      <c r="S13" s="30">
        <v>3828400</v>
      </c>
      <c r="T13" s="2" t="s">
        <v>44</v>
      </c>
      <c r="U13" s="31">
        <v>1.2</v>
      </c>
      <c r="V13" s="31">
        <v>0.20000004768371499</v>
      </c>
      <c r="W13" s="32">
        <v>3.8000004291534405E-2</v>
      </c>
      <c r="X13" s="33">
        <v>145479.21642971001</v>
      </c>
    </row>
    <row r="14" spans="1:26" x14ac:dyDescent="0.25">
      <c r="A14" s="22" t="s">
        <v>1116</v>
      </c>
      <c r="B14" s="2" t="s">
        <v>1177</v>
      </c>
      <c r="C14" s="2" t="s">
        <v>1185</v>
      </c>
      <c r="D14" s="50" t="s">
        <v>1205</v>
      </c>
      <c r="E14" s="50" t="s">
        <v>1262</v>
      </c>
      <c r="F14" s="24" t="str">
        <f>HYPERLINK("https://mapwv.gov/flood/map/?wkid=102100&amp;x=-8900613.134214673&amp;y=4817862.683069638&amp;l=13&amp;v=2","FT")</f>
        <v>FT</v>
      </c>
      <c r="G14" s="51" t="s">
        <v>38</v>
      </c>
      <c r="H14" s="23" t="s">
        <v>25</v>
      </c>
      <c r="I14" s="2" t="s">
        <v>1328</v>
      </c>
      <c r="J14" s="22" t="s">
        <v>36</v>
      </c>
      <c r="K14" s="51" t="s">
        <v>77</v>
      </c>
      <c r="L14" s="46"/>
      <c r="M14" s="50" t="s">
        <v>792</v>
      </c>
      <c r="N14" s="3" t="s">
        <v>42</v>
      </c>
      <c r="O14" s="51" t="s">
        <v>93</v>
      </c>
      <c r="P14" s="50" t="s">
        <v>1385</v>
      </c>
      <c r="Q14" s="2" t="s">
        <v>30</v>
      </c>
      <c r="R14" s="23" t="s">
        <v>95</v>
      </c>
      <c r="S14" s="30">
        <v>3750398</v>
      </c>
      <c r="T14" s="2" t="s">
        <v>97</v>
      </c>
      <c r="U14" s="31">
        <v>0.1</v>
      </c>
      <c r="V14" s="31">
        <v>-0.89999999850988299</v>
      </c>
      <c r="W14" s="32">
        <v>1.50000002235174E-2</v>
      </c>
      <c r="X14" s="33">
        <v>56255.970838279201</v>
      </c>
    </row>
    <row r="15" spans="1:26" x14ac:dyDescent="0.25">
      <c r="A15" s="22" t="s">
        <v>1117</v>
      </c>
      <c r="B15" s="2" t="s">
        <v>1177</v>
      </c>
      <c r="C15" s="2" t="s">
        <v>1185</v>
      </c>
      <c r="D15" s="50" t="s">
        <v>1205</v>
      </c>
      <c r="E15" s="50" t="s">
        <v>1263</v>
      </c>
      <c r="F15" s="24" t="str">
        <f>HYPERLINK("https://mapwv.gov/flood/map/?wkid=102100&amp;x=-8900645.9377309&amp;y=4817844.182199587&amp;l=13&amp;v=2","FT")</f>
        <v>FT</v>
      </c>
      <c r="G15" s="51" t="s">
        <v>38</v>
      </c>
      <c r="H15" s="23" t="s">
        <v>25</v>
      </c>
      <c r="I15" s="2" t="s">
        <v>1328</v>
      </c>
      <c r="J15" s="22" t="s">
        <v>36</v>
      </c>
      <c r="K15" s="51" t="s">
        <v>77</v>
      </c>
      <c r="L15" s="46"/>
      <c r="M15" s="50" t="s">
        <v>792</v>
      </c>
      <c r="N15" s="3" t="s">
        <v>42</v>
      </c>
      <c r="O15" s="51" t="s">
        <v>93</v>
      </c>
      <c r="P15" s="50" t="s">
        <v>1386</v>
      </c>
      <c r="Q15" s="2" t="s">
        <v>30</v>
      </c>
      <c r="R15" s="23" t="s">
        <v>95</v>
      </c>
      <c r="S15" s="30">
        <v>3428936</v>
      </c>
      <c r="T15" s="2" t="s">
        <v>97</v>
      </c>
      <c r="U15" s="31">
        <v>0.1</v>
      </c>
      <c r="V15" s="31">
        <v>-0.89999999850988299</v>
      </c>
      <c r="W15" s="32">
        <v>1.50000002235174E-2</v>
      </c>
      <c r="X15" s="33">
        <v>51434.040766426901</v>
      </c>
    </row>
    <row r="16" spans="1:26" x14ac:dyDescent="0.25">
      <c r="A16" s="22" t="s">
        <v>1118</v>
      </c>
      <c r="B16" s="2" t="s">
        <v>1177</v>
      </c>
      <c r="C16" s="2" t="s">
        <v>1186</v>
      </c>
      <c r="D16" s="50" t="s">
        <v>1206</v>
      </c>
      <c r="E16" s="50" t="s">
        <v>1264</v>
      </c>
      <c r="F16" s="24" t="str">
        <f>HYPERLINK("https://mapwv.gov/flood/map/?wkid=102100&amp;x=-8930422.510024467&amp;y=4825358.871676356&amp;l=13&amp;v=2","FT")</f>
        <v>FT</v>
      </c>
      <c r="G16" s="51" t="s">
        <v>38</v>
      </c>
      <c r="H16" s="23" t="s">
        <v>25</v>
      </c>
      <c r="I16" s="2" t="s">
        <v>59</v>
      </c>
      <c r="J16" s="22" t="s">
        <v>39</v>
      </c>
      <c r="K16" s="51" t="s">
        <v>406</v>
      </c>
      <c r="L16" s="46"/>
      <c r="M16" s="50" t="s">
        <v>60</v>
      </c>
      <c r="N16" s="3" t="s">
        <v>89</v>
      </c>
      <c r="O16" s="51" t="s">
        <v>93</v>
      </c>
      <c r="P16" s="50" t="s">
        <v>1387</v>
      </c>
      <c r="Q16" s="2" t="s">
        <v>30</v>
      </c>
      <c r="R16" s="23" t="s">
        <v>95</v>
      </c>
      <c r="S16" s="30">
        <v>3000000</v>
      </c>
      <c r="T16" s="2" t="s">
        <v>44</v>
      </c>
      <c r="U16" s="31">
        <v>0</v>
      </c>
      <c r="V16" s="31">
        <v>-1</v>
      </c>
      <c r="W16" s="32">
        <v>0</v>
      </c>
      <c r="X16" s="33">
        <v>0</v>
      </c>
    </row>
    <row r="17" spans="1:24" x14ac:dyDescent="0.25">
      <c r="A17" s="22" t="s">
        <v>1119</v>
      </c>
      <c r="B17" s="2" t="s">
        <v>1178</v>
      </c>
      <c r="C17" s="2" t="s">
        <v>1184</v>
      </c>
      <c r="D17" s="50" t="s">
        <v>1207</v>
      </c>
      <c r="E17" s="50" t="s">
        <v>1265</v>
      </c>
      <c r="F17" s="24" t="str">
        <f>HYPERLINK("https://mapwv.gov/flood/map/?wkid=102100&amp;x=-8897766.415089205&amp;y=4811945.363380565&amp;l=13&amp;v=2","FT")</f>
        <v>FT</v>
      </c>
      <c r="G17" s="51" t="s">
        <v>32</v>
      </c>
      <c r="H17" s="23" t="s">
        <v>25</v>
      </c>
      <c r="I17" s="2" t="s">
        <v>1329</v>
      </c>
      <c r="J17" s="22" t="s">
        <v>26</v>
      </c>
      <c r="K17" s="51" t="s">
        <v>108</v>
      </c>
      <c r="L17" s="46" t="s">
        <v>45</v>
      </c>
      <c r="M17" s="50" t="s">
        <v>47</v>
      </c>
      <c r="N17" s="3" t="s">
        <v>35</v>
      </c>
      <c r="O17" s="51" t="s">
        <v>94</v>
      </c>
      <c r="P17" s="50" t="s">
        <v>1388</v>
      </c>
      <c r="Q17" s="2" t="s">
        <v>30</v>
      </c>
      <c r="R17" s="23" t="s">
        <v>95</v>
      </c>
      <c r="S17" s="30">
        <v>2672600</v>
      </c>
      <c r="T17" s="2" t="s">
        <v>31</v>
      </c>
      <c r="U17" s="31">
        <v>0.8</v>
      </c>
      <c r="V17" s="31">
        <v>-0.19999998807907099</v>
      </c>
      <c r="W17" s="32">
        <v>8.0000001192092902E-3</v>
      </c>
      <c r="X17" s="33">
        <v>21380.8003185987</v>
      </c>
    </row>
    <row r="18" spans="1:24" x14ac:dyDescent="0.25">
      <c r="A18" s="22" t="s">
        <v>1120</v>
      </c>
      <c r="B18" s="2" t="s">
        <v>1178</v>
      </c>
      <c r="C18" s="2" t="s">
        <v>1184</v>
      </c>
      <c r="D18" s="50" t="s">
        <v>1208</v>
      </c>
      <c r="E18" s="50" t="s">
        <v>1266</v>
      </c>
      <c r="F18" s="24" t="str">
        <f>HYPERLINK("https://mapwv.gov/flood/map/?wkid=102100&amp;x=-8897205.1831822&amp;y=4811196.5630692355&amp;l=13&amp;v=2","FT")</f>
        <v>FT</v>
      </c>
      <c r="G18" s="51" t="s">
        <v>32</v>
      </c>
      <c r="H18" s="23" t="s">
        <v>25</v>
      </c>
      <c r="I18" s="2" t="s">
        <v>1330</v>
      </c>
      <c r="J18" s="22" t="s">
        <v>26</v>
      </c>
      <c r="K18" s="51" t="s">
        <v>400</v>
      </c>
      <c r="L18" s="46" t="s">
        <v>27</v>
      </c>
      <c r="M18" s="50" t="s">
        <v>47</v>
      </c>
      <c r="N18" s="3" t="s">
        <v>35</v>
      </c>
      <c r="O18" s="51" t="s">
        <v>93</v>
      </c>
      <c r="P18" s="50" t="s">
        <v>1389</v>
      </c>
      <c r="Q18" s="2" t="s">
        <v>30</v>
      </c>
      <c r="R18" s="23" t="s">
        <v>95</v>
      </c>
      <c r="S18" s="30">
        <v>2532300</v>
      </c>
      <c r="T18" s="2" t="s">
        <v>31</v>
      </c>
      <c r="U18" s="31">
        <v>0.1</v>
      </c>
      <c r="V18" s="31">
        <v>-0.89999999850988299</v>
      </c>
      <c r="W18" s="32">
        <v>1.00000001490116E-3</v>
      </c>
      <c r="X18" s="33">
        <v>2532.30003773421</v>
      </c>
    </row>
    <row r="19" spans="1:24" x14ac:dyDescent="0.25">
      <c r="A19" s="22" t="s">
        <v>1121</v>
      </c>
      <c r="B19" s="2" t="s">
        <v>1178</v>
      </c>
      <c r="C19" s="2" t="s">
        <v>1187</v>
      </c>
      <c r="D19" s="50" t="s">
        <v>1209</v>
      </c>
      <c r="E19" s="50" t="s">
        <v>1267</v>
      </c>
      <c r="F19" s="24" t="str">
        <f>HYPERLINK("https://mapwv.gov/flood/map/?wkid=102100&amp;x=-8897945.706149757&amp;y=4812172.773998836&amp;l=13&amp;v=2","FT")</f>
        <v>FT</v>
      </c>
      <c r="G19" s="51" t="s">
        <v>38</v>
      </c>
      <c r="H19" s="23" t="s">
        <v>25</v>
      </c>
      <c r="I19" s="2" t="s">
        <v>1331</v>
      </c>
      <c r="J19" s="22" t="s">
        <v>39</v>
      </c>
      <c r="K19" s="51" t="s">
        <v>82</v>
      </c>
      <c r="L19" s="46" t="s">
        <v>27</v>
      </c>
      <c r="M19" s="50" t="s">
        <v>47</v>
      </c>
      <c r="N19" s="3" t="s">
        <v>35</v>
      </c>
      <c r="O19" s="51" t="s">
        <v>93</v>
      </c>
      <c r="P19" s="50" t="s">
        <v>1390</v>
      </c>
      <c r="Q19" s="2" t="s">
        <v>30</v>
      </c>
      <c r="R19" s="23" t="s">
        <v>95</v>
      </c>
      <c r="S19" s="30">
        <v>1955300</v>
      </c>
      <c r="T19" s="2" t="s">
        <v>44</v>
      </c>
      <c r="U19" s="31">
        <v>0.1</v>
      </c>
      <c r="V19" s="31">
        <v>-0.89999999850988299</v>
      </c>
      <c r="W19" s="32">
        <v>1.00000001490116E-3</v>
      </c>
      <c r="X19" s="33">
        <v>1955.30002913624</v>
      </c>
    </row>
    <row r="20" spans="1:24" x14ac:dyDescent="0.25">
      <c r="A20" s="22" t="s">
        <v>1122</v>
      </c>
      <c r="B20" s="2" t="s">
        <v>1178</v>
      </c>
      <c r="C20" s="2" t="s">
        <v>1184</v>
      </c>
      <c r="D20" s="50" t="s">
        <v>1210</v>
      </c>
      <c r="E20" s="50" t="s">
        <v>1268</v>
      </c>
      <c r="F20" s="24" t="str">
        <f>HYPERLINK("https://mapwv.gov/flood/map/?wkid=102100&amp;x=-8898198.173968138&amp;y=4812256.991991004&amp;l=13&amp;v=2","FT")</f>
        <v>FT</v>
      </c>
      <c r="G20" s="51" t="s">
        <v>32</v>
      </c>
      <c r="H20" s="23" t="s">
        <v>25</v>
      </c>
      <c r="I20" s="2" t="s">
        <v>1332</v>
      </c>
      <c r="J20" s="22" t="s">
        <v>26</v>
      </c>
      <c r="K20" s="51" t="s">
        <v>106</v>
      </c>
      <c r="L20" s="46" t="s">
        <v>49</v>
      </c>
      <c r="M20" s="50" t="s">
        <v>34</v>
      </c>
      <c r="N20" s="3" t="s">
        <v>92</v>
      </c>
      <c r="O20" s="51" t="s">
        <v>94</v>
      </c>
      <c r="P20" s="50" t="s">
        <v>1391</v>
      </c>
      <c r="Q20" s="2" t="s">
        <v>30</v>
      </c>
      <c r="R20" s="23" t="s">
        <v>95</v>
      </c>
      <c r="S20" s="30">
        <v>1673900</v>
      </c>
      <c r="T20" s="2" t="s">
        <v>31</v>
      </c>
      <c r="U20" s="31">
        <v>1.3</v>
      </c>
      <c r="V20" s="31">
        <v>0.29999995231628401</v>
      </c>
      <c r="W20" s="32">
        <v>3.3999996185302701E-2</v>
      </c>
      <c r="X20" s="33">
        <v>56912.593614578203</v>
      </c>
    </row>
    <row r="21" spans="1:24" x14ac:dyDescent="0.25">
      <c r="A21" s="22" t="s">
        <v>1123</v>
      </c>
      <c r="B21" s="2" t="s">
        <v>1177</v>
      </c>
      <c r="C21" s="2" t="s">
        <v>1188</v>
      </c>
      <c r="D21" s="50" t="s">
        <v>1211</v>
      </c>
      <c r="E21" s="50" t="s">
        <v>1269</v>
      </c>
      <c r="F21" s="24" t="str">
        <f>HYPERLINK("https://mapwv.gov/flood/map/?wkid=102100&amp;x=-8891588.005461633&amp;y=4820342.785126837&amp;l=13&amp;v=2","FT")</f>
        <v>FT</v>
      </c>
      <c r="G21" s="51" t="s">
        <v>38</v>
      </c>
      <c r="H21" s="23" t="s">
        <v>25</v>
      </c>
      <c r="I21" s="2" t="s">
        <v>1333</v>
      </c>
      <c r="J21" s="22" t="s">
        <v>26</v>
      </c>
      <c r="K21" s="51" t="s">
        <v>397</v>
      </c>
      <c r="L21" s="46" t="s">
        <v>1379</v>
      </c>
      <c r="M21" s="50" t="s">
        <v>41</v>
      </c>
      <c r="N21" s="3" t="s">
        <v>42</v>
      </c>
      <c r="O21" s="51" t="s">
        <v>94</v>
      </c>
      <c r="P21" s="50" t="s">
        <v>1392</v>
      </c>
      <c r="Q21" s="2" t="s">
        <v>43</v>
      </c>
      <c r="R21" s="23" t="s">
        <v>96</v>
      </c>
      <c r="S21" s="30">
        <v>1656600</v>
      </c>
      <c r="T21" s="2" t="s">
        <v>44</v>
      </c>
      <c r="U21" s="31">
        <v>0</v>
      </c>
      <c r="V21" s="31">
        <v>-4</v>
      </c>
      <c r="W21" s="32">
        <v>0</v>
      </c>
      <c r="X21" s="33">
        <v>0</v>
      </c>
    </row>
    <row r="22" spans="1:24" x14ac:dyDescent="0.25">
      <c r="A22" s="22" t="s">
        <v>1124</v>
      </c>
      <c r="B22" s="2" t="s">
        <v>1177</v>
      </c>
      <c r="C22" s="2" t="s">
        <v>1188</v>
      </c>
      <c r="D22" s="50" t="s">
        <v>1212</v>
      </c>
      <c r="E22" s="50" t="s">
        <v>1270</v>
      </c>
      <c r="F22" s="24" t="str">
        <f>HYPERLINK("https://mapwv.gov/flood/map/?wkid=102100&amp;x=-8891709.637812695&amp;y=4820398.871949517&amp;l=13&amp;v=2","FT")</f>
        <v>FT</v>
      </c>
      <c r="G22" s="51" t="s">
        <v>38</v>
      </c>
      <c r="H22" s="23" t="s">
        <v>25</v>
      </c>
      <c r="I22" s="2" t="s">
        <v>1334</v>
      </c>
      <c r="J22" s="22" t="s">
        <v>26</v>
      </c>
      <c r="K22" s="51" t="s">
        <v>121</v>
      </c>
      <c r="L22" s="46" t="s">
        <v>40</v>
      </c>
      <c r="M22" s="50" t="s">
        <v>41</v>
      </c>
      <c r="N22" s="3" t="s">
        <v>42</v>
      </c>
      <c r="O22" s="51" t="s">
        <v>93</v>
      </c>
      <c r="P22" s="50" t="s">
        <v>1393</v>
      </c>
      <c r="Q22" s="2" t="s">
        <v>43</v>
      </c>
      <c r="R22" s="23" t="s">
        <v>96</v>
      </c>
      <c r="S22" s="30">
        <v>1358500</v>
      </c>
      <c r="T22" s="2" t="s">
        <v>44</v>
      </c>
      <c r="U22" s="31">
        <v>0</v>
      </c>
      <c r="V22" s="31">
        <v>-4</v>
      </c>
      <c r="W22" s="32">
        <v>0</v>
      </c>
      <c r="X22" s="33">
        <v>0</v>
      </c>
    </row>
    <row r="23" spans="1:24" x14ac:dyDescent="0.25">
      <c r="A23" s="22" t="s">
        <v>1125</v>
      </c>
      <c r="B23" s="2" t="s">
        <v>1177</v>
      </c>
      <c r="C23" s="2" t="s">
        <v>1189</v>
      </c>
      <c r="D23" s="50" t="s">
        <v>1213</v>
      </c>
      <c r="E23" s="50" t="s">
        <v>1271</v>
      </c>
      <c r="F23" s="24" t="str">
        <f>HYPERLINK("https://mapwv.gov/flood/map/?wkid=102100&amp;x=-8935089.551512143&amp;y=4818305.789938485&amp;l=13&amp;v=2","FT")</f>
        <v>FT</v>
      </c>
      <c r="G23" s="51" t="s">
        <v>38</v>
      </c>
      <c r="H23" s="23" t="s">
        <v>25</v>
      </c>
      <c r="I23" s="2" t="s">
        <v>1335</v>
      </c>
      <c r="J23" s="22" t="s">
        <v>26</v>
      </c>
      <c r="K23" s="51" t="s">
        <v>396</v>
      </c>
      <c r="L23" s="46" t="s">
        <v>53</v>
      </c>
      <c r="M23" s="50" t="s">
        <v>34</v>
      </c>
      <c r="N23" s="3" t="s">
        <v>92</v>
      </c>
      <c r="O23" s="51" t="s">
        <v>94</v>
      </c>
      <c r="P23" s="50" t="s">
        <v>1394</v>
      </c>
      <c r="Q23" s="2" t="s">
        <v>30</v>
      </c>
      <c r="R23" s="23" t="s">
        <v>95</v>
      </c>
      <c r="S23" s="30">
        <v>1343700</v>
      </c>
      <c r="T23" s="2" t="s">
        <v>44</v>
      </c>
      <c r="U23" s="31">
        <v>0</v>
      </c>
      <c r="V23" s="31">
        <v>-1</v>
      </c>
      <c r="W23" s="32">
        <v>0</v>
      </c>
      <c r="X23" s="33">
        <v>0</v>
      </c>
    </row>
    <row r="24" spans="1:24" x14ac:dyDescent="0.25">
      <c r="A24" s="22" t="s">
        <v>1126</v>
      </c>
      <c r="B24" s="2" t="s">
        <v>1178</v>
      </c>
      <c r="C24" s="2" t="s">
        <v>1183</v>
      </c>
      <c r="D24" s="50" t="s">
        <v>1214</v>
      </c>
      <c r="E24" s="50" t="s">
        <v>1272</v>
      </c>
      <c r="F24" s="24" t="str">
        <f>HYPERLINK("https://mapwv.gov/flood/map/?wkid=102100&amp;x=-8902680.972570352&amp;y=4815229.90217851&amp;l=13&amp;v=2","FT")</f>
        <v>FT</v>
      </c>
      <c r="G24" s="51" t="s">
        <v>32</v>
      </c>
      <c r="H24" s="23" t="s">
        <v>719</v>
      </c>
      <c r="I24" s="2" t="s">
        <v>1336</v>
      </c>
      <c r="J24" s="22" t="s">
        <v>36</v>
      </c>
      <c r="K24" s="51" t="s">
        <v>77</v>
      </c>
      <c r="L24" s="46"/>
      <c r="M24" s="50" t="s">
        <v>58</v>
      </c>
      <c r="N24" s="3" t="s">
        <v>91</v>
      </c>
      <c r="O24" s="51" t="s">
        <v>93</v>
      </c>
      <c r="P24" s="50" t="s">
        <v>1395</v>
      </c>
      <c r="Q24" s="2" t="s">
        <v>30</v>
      </c>
      <c r="R24" s="23" t="s">
        <v>95</v>
      </c>
      <c r="S24" s="30">
        <v>1300000</v>
      </c>
      <c r="T24" s="2" t="s">
        <v>31</v>
      </c>
      <c r="U24" s="31">
        <v>1.3</v>
      </c>
      <c r="V24" s="31">
        <v>0.29999995231628401</v>
      </c>
      <c r="W24" s="32">
        <v>2.9999995231628399E-2</v>
      </c>
      <c r="X24" s="33">
        <v>38999.9938011169</v>
      </c>
    </row>
    <row r="25" spans="1:24" x14ac:dyDescent="0.25">
      <c r="A25" s="22" t="s">
        <v>1127</v>
      </c>
      <c r="B25" s="2" t="s">
        <v>1177</v>
      </c>
      <c r="C25" s="2" t="s">
        <v>931</v>
      </c>
      <c r="D25" s="50" t="s">
        <v>1215</v>
      </c>
      <c r="E25" s="50" t="s">
        <v>1273</v>
      </c>
      <c r="F25" s="24" t="str">
        <f>HYPERLINK("https://mapwv.gov/flood/map/?wkid=102100&amp;x=-8903100.495099543&amp;y=4798545.564777098&amp;l=13&amp;v=2","FT")</f>
        <v>FT</v>
      </c>
      <c r="G25" s="51" t="s">
        <v>327</v>
      </c>
      <c r="H25" s="23" t="s">
        <v>25</v>
      </c>
      <c r="I25" s="2" t="s">
        <v>1337</v>
      </c>
      <c r="J25" s="22" t="s">
        <v>39</v>
      </c>
      <c r="K25" s="51" t="s">
        <v>1060</v>
      </c>
      <c r="L25" s="46" t="s">
        <v>53</v>
      </c>
      <c r="M25" s="50" t="s">
        <v>34</v>
      </c>
      <c r="N25" s="3" t="s">
        <v>92</v>
      </c>
      <c r="O25" s="51" t="s">
        <v>94</v>
      </c>
      <c r="P25" s="50" t="s">
        <v>1396</v>
      </c>
      <c r="Q25" s="2" t="s">
        <v>30</v>
      </c>
      <c r="R25" s="23" t="s">
        <v>95</v>
      </c>
      <c r="S25" s="30">
        <v>1254100</v>
      </c>
      <c r="T25" s="2" t="s">
        <v>44</v>
      </c>
      <c r="U25" s="31">
        <v>0.75775429999999999</v>
      </c>
      <c r="V25" s="31">
        <v>-0.2422456741333</v>
      </c>
      <c r="W25" s="32">
        <v>7.5775432586669897E-3</v>
      </c>
      <c r="X25" s="33">
        <v>9502.9970006942694</v>
      </c>
    </row>
    <row r="26" spans="1:24" x14ac:dyDescent="0.25">
      <c r="A26" s="22" t="s">
        <v>1128</v>
      </c>
      <c r="B26" s="2" t="s">
        <v>1178</v>
      </c>
      <c r="C26" s="2" t="s">
        <v>1187</v>
      </c>
      <c r="D26" s="50" t="s">
        <v>1216</v>
      </c>
      <c r="E26" s="50" t="s">
        <v>1274</v>
      </c>
      <c r="F26" s="24" t="str">
        <f>HYPERLINK("https://mapwv.gov/flood/map/?wkid=102100&amp;x=-8897887.823576769&amp;y=4812248.729583155&amp;l=13&amp;v=2","FT")</f>
        <v>FT</v>
      </c>
      <c r="G26" s="51" t="s">
        <v>38</v>
      </c>
      <c r="H26" s="23" t="s">
        <v>25</v>
      </c>
      <c r="I26" s="2" t="s">
        <v>1338</v>
      </c>
      <c r="J26" s="22" t="s">
        <v>39</v>
      </c>
      <c r="K26" s="51" t="s">
        <v>1375</v>
      </c>
      <c r="L26" s="46" t="s">
        <v>45</v>
      </c>
      <c r="M26" s="50" t="s">
        <v>796</v>
      </c>
      <c r="N26" s="3" t="s">
        <v>35</v>
      </c>
      <c r="O26" s="51" t="s">
        <v>94</v>
      </c>
      <c r="P26" s="50" t="s">
        <v>1397</v>
      </c>
      <c r="Q26" s="2" t="s">
        <v>30</v>
      </c>
      <c r="R26" s="23" t="s">
        <v>95</v>
      </c>
      <c r="S26" s="30">
        <v>1009400</v>
      </c>
      <c r="T26" s="2" t="s">
        <v>44</v>
      </c>
      <c r="U26" s="31">
        <v>0.1</v>
      </c>
      <c r="V26" s="31">
        <v>-0.89999999850988299</v>
      </c>
      <c r="W26" s="32">
        <v>0</v>
      </c>
      <c r="X26" s="33">
        <v>0</v>
      </c>
    </row>
    <row r="27" spans="1:24" x14ac:dyDescent="0.25">
      <c r="A27" s="22" t="s">
        <v>1129</v>
      </c>
      <c r="B27" s="2" t="s">
        <v>1177</v>
      </c>
      <c r="C27" s="2" t="s">
        <v>1182</v>
      </c>
      <c r="D27" s="50" t="s">
        <v>1217</v>
      </c>
      <c r="E27" s="50" t="s">
        <v>1275</v>
      </c>
      <c r="F27" s="24" t="str">
        <f>HYPERLINK("https://mapwv.gov/flood/map/?wkid=102100&amp;x=-8900430.11050027&amp;y=4808453.216761861&amp;l=13&amp;v=2","FT")</f>
        <v>FT</v>
      </c>
      <c r="G27" s="51" t="s">
        <v>38</v>
      </c>
      <c r="H27" s="23" t="s">
        <v>25</v>
      </c>
      <c r="I27" s="2" t="s">
        <v>1339</v>
      </c>
      <c r="J27" s="22" t="s">
        <v>26</v>
      </c>
      <c r="K27" s="51" t="s">
        <v>437</v>
      </c>
      <c r="L27" s="46" t="s">
        <v>27</v>
      </c>
      <c r="M27" s="50" t="s">
        <v>34</v>
      </c>
      <c r="N27" s="3" t="s">
        <v>92</v>
      </c>
      <c r="O27" s="51" t="s">
        <v>93</v>
      </c>
      <c r="P27" s="50" t="s">
        <v>1398</v>
      </c>
      <c r="Q27" s="2" t="s">
        <v>30</v>
      </c>
      <c r="R27" s="23" t="s">
        <v>95</v>
      </c>
      <c r="S27" s="30">
        <v>937900</v>
      </c>
      <c r="T27" s="2" t="s">
        <v>44</v>
      </c>
      <c r="U27" s="31">
        <v>7.8</v>
      </c>
      <c r="V27" s="31">
        <v>6.8000001907348597</v>
      </c>
      <c r="W27" s="32">
        <v>0.31600000381469701</v>
      </c>
      <c r="X27" s="33">
        <v>296376.40357780398</v>
      </c>
    </row>
    <row r="28" spans="1:24" x14ac:dyDescent="0.25">
      <c r="A28" s="22" t="s">
        <v>1130</v>
      </c>
      <c r="B28" s="2" t="s">
        <v>1177</v>
      </c>
      <c r="C28" s="2" t="s">
        <v>1188</v>
      </c>
      <c r="D28" s="50" t="s">
        <v>1218</v>
      </c>
      <c r="E28" s="50" t="s">
        <v>1276</v>
      </c>
      <c r="F28" s="24" t="str">
        <f>HYPERLINK("https://mapwv.gov/flood/map/?wkid=102100&amp;x=-8888986.796686377&amp;y=4816749.578084638&amp;l=13&amp;v=2","FT")</f>
        <v>FT</v>
      </c>
      <c r="G28" s="51" t="s">
        <v>38</v>
      </c>
      <c r="H28" s="23" t="s">
        <v>25</v>
      </c>
      <c r="I28" s="2" t="s">
        <v>1340</v>
      </c>
      <c r="J28" s="22" t="s">
        <v>26</v>
      </c>
      <c r="K28" s="51" t="s">
        <v>390</v>
      </c>
      <c r="L28" s="46" t="s">
        <v>45</v>
      </c>
      <c r="M28" s="50" t="s">
        <v>51</v>
      </c>
      <c r="N28" s="3" t="s">
        <v>35</v>
      </c>
      <c r="O28" s="51" t="s">
        <v>93</v>
      </c>
      <c r="P28" s="50" t="s">
        <v>1399</v>
      </c>
      <c r="Q28" s="2" t="s">
        <v>30</v>
      </c>
      <c r="R28" s="23" t="s">
        <v>95</v>
      </c>
      <c r="S28" s="30">
        <v>895500</v>
      </c>
      <c r="T28" s="2" t="s">
        <v>44</v>
      </c>
      <c r="U28" s="31">
        <v>18.153956999999998</v>
      </c>
      <c r="V28" s="31">
        <v>17.153957366943299</v>
      </c>
      <c r="W28" s="32">
        <v>0.57461872100830003</v>
      </c>
      <c r="X28" s="33">
        <v>514571.064662933</v>
      </c>
    </row>
    <row r="29" spans="1:24" x14ac:dyDescent="0.25">
      <c r="A29" s="22" t="s">
        <v>1131</v>
      </c>
      <c r="B29" s="2" t="s">
        <v>1177</v>
      </c>
      <c r="C29" s="2" t="s">
        <v>1190</v>
      </c>
      <c r="D29" s="50" t="s">
        <v>1219</v>
      </c>
      <c r="E29" s="50" t="s">
        <v>1277</v>
      </c>
      <c r="F29" s="24" t="str">
        <f>HYPERLINK("https://mapwv.gov/flood/map/?wkid=102100&amp;x=-8890307.42032595&amp;y=4819403.925844798&amp;l=13&amp;v=2","FT")</f>
        <v>FT</v>
      </c>
      <c r="G29" s="51" t="s">
        <v>38</v>
      </c>
      <c r="H29" s="23" t="s">
        <v>25</v>
      </c>
      <c r="I29" s="2" t="s">
        <v>1341</v>
      </c>
      <c r="J29" s="22" t="s">
        <v>26</v>
      </c>
      <c r="K29" s="51" t="s">
        <v>78</v>
      </c>
      <c r="L29" s="46" t="s">
        <v>1066</v>
      </c>
      <c r="M29" s="50" t="s">
        <v>41</v>
      </c>
      <c r="N29" s="3" t="s">
        <v>42</v>
      </c>
      <c r="O29" s="51" t="s">
        <v>94</v>
      </c>
      <c r="P29" s="50" t="s">
        <v>1400</v>
      </c>
      <c r="Q29" s="2" t="s">
        <v>43</v>
      </c>
      <c r="R29" s="23" t="s">
        <v>96</v>
      </c>
      <c r="S29" s="30">
        <v>848900</v>
      </c>
      <c r="T29" s="2" t="s">
        <v>44</v>
      </c>
      <c r="U29" s="31">
        <v>0.15270923</v>
      </c>
      <c r="V29" s="31">
        <v>-3.8472907692193901</v>
      </c>
      <c r="W29" s="32">
        <v>0.04</v>
      </c>
      <c r="X29" s="33">
        <v>33956</v>
      </c>
    </row>
    <row r="30" spans="1:24" x14ac:dyDescent="0.25">
      <c r="A30" s="22" t="s">
        <v>1132</v>
      </c>
      <c r="B30" s="2" t="s">
        <v>1177</v>
      </c>
      <c r="C30" s="2" t="s">
        <v>1185</v>
      </c>
      <c r="D30" s="50" t="s">
        <v>1220</v>
      </c>
      <c r="E30" s="50" t="s">
        <v>1278</v>
      </c>
      <c r="F30" s="24" t="str">
        <f>HYPERLINK("https://mapwv.gov/flood/map/?wkid=102100&amp;x=-8897601.261715302&amp;y=4815944.610640402&amp;l=13&amp;v=2","FT")</f>
        <v>FT</v>
      </c>
      <c r="G30" s="51" t="s">
        <v>38</v>
      </c>
      <c r="H30" s="23" t="s">
        <v>25</v>
      </c>
      <c r="I30" s="2" t="s">
        <v>1342</v>
      </c>
      <c r="J30" s="22" t="s">
        <v>26</v>
      </c>
      <c r="K30" s="51" t="s">
        <v>437</v>
      </c>
      <c r="L30" s="46" t="s">
        <v>57</v>
      </c>
      <c r="M30" s="50" t="s">
        <v>794</v>
      </c>
      <c r="N30" s="3" t="s">
        <v>42</v>
      </c>
      <c r="O30" s="51" t="s">
        <v>94</v>
      </c>
      <c r="P30" s="50" t="s">
        <v>1401</v>
      </c>
      <c r="Q30" s="2" t="s">
        <v>43</v>
      </c>
      <c r="R30" s="23" t="s">
        <v>96</v>
      </c>
      <c r="S30" s="30">
        <v>791600</v>
      </c>
      <c r="T30" s="2" t="s">
        <v>31</v>
      </c>
      <c r="U30" s="31">
        <v>0</v>
      </c>
      <c r="V30" s="31">
        <v>-4</v>
      </c>
      <c r="W30" s="32">
        <v>0</v>
      </c>
      <c r="X30" s="33">
        <v>0</v>
      </c>
    </row>
    <row r="31" spans="1:24" x14ac:dyDescent="0.25">
      <c r="A31" s="22" t="s">
        <v>1133</v>
      </c>
      <c r="B31" s="2" t="s">
        <v>1177</v>
      </c>
      <c r="C31" s="2" t="s">
        <v>1191</v>
      </c>
      <c r="D31" s="50" t="s">
        <v>1221</v>
      </c>
      <c r="E31" s="50" t="s">
        <v>1279</v>
      </c>
      <c r="F31" s="24" t="str">
        <f>HYPERLINK("https://mapwv.gov/flood/map/?wkid=102100&amp;x=-8898038.342445133&amp;y=4809924.170458419&amp;l=13&amp;v=2","FT")</f>
        <v>FT</v>
      </c>
      <c r="G31" s="51" t="s">
        <v>32</v>
      </c>
      <c r="H31" s="23" t="s">
        <v>25</v>
      </c>
      <c r="I31" s="2" t="s">
        <v>1343</v>
      </c>
      <c r="J31" s="22" t="s">
        <v>26</v>
      </c>
      <c r="K31" s="51" t="s">
        <v>84</v>
      </c>
      <c r="L31" s="46" t="s">
        <v>27</v>
      </c>
      <c r="M31" s="50" t="s">
        <v>34</v>
      </c>
      <c r="N31" s="3" t="s">
        <v>92</v>
      </c>
      <c r="O31" s="51" t="s">
        <v>93</v>
      </c>
      <c r="P31" s="50" t="s">
        <v>1402</v>
      </c>
      <c r="Q31" s="2" t="s">
        <v>30</v>
      </c>
      <c r="R31" s="23" t="s">
        <v>95</v>
      </c>
      <c r="S31" s="30">
        <v>780700</v>
      </c>
      <c r="T31" s="2" t="s">
        <v>44</v>
      </c>
      <c r="U31" s="31">
        <v>0</v>
      </c>
      <c r="V31" s="31">
        <v>-1</v>
      </c>
      <c r="W31" s="32">
        <v>0</v>
      </c>
      <c r="X31" s="33">
        <v>0</v>
      </c>
    </row>
    <row r="32" spans="1:24" x14ac:dyDescent="0.25">
      <c r="A32" s="22" t="s">
        <v>1134</v>
      </c>
      <c r="B32" s="2" t="s">
        <v>1177</v>
      </c>
      <c r="C32" s="2" t="s">
        <v>1191</v>
      </c>
      <c r="D32" s="50" t="s">
        <v>1222</v>
      </c>
      <c r="E32" s="50" t="s">
        <v>1280</v>
      </c>
      <c r="F32" s="24" t="str">
        <f>HYPERLINK("https://mapwv.gov/flood/map/?wkid=102100&amp;x=-8898057.362604652&amp;y=4809779.779130528&amp;l=13&amp;v=2","FT")</f>
        <v>FT</v>
      </c>
      <c r="G32" s="51" t="s">
        <v>32</v>
      </c>
      <c r="H32" s="23" t="s">
        <v>25</v>
      </c>
      <c r="I32" s="2" t="s">
        <v>1343</v>
      </c>
      <c r="J32" s="22" t="s">
        <v>26</v>
      </c>
      <c r="K32" s="51" t="s">
        <v>389</v>
      </c>
      <c r="L32" s="46" t="s">
        <v>27</v>
      </c>
      <c r="M32" s="50" t="s">
        <v>47</v>
      </c>
      <c r="N32" s="3" t="s">
        <v>35</v>
      </c>
      <c r="O32" s="51" t="s">
        <v>94</v>
      </c>
      <c r="P32" s="50" t="s">
        <v>1403</v>
      </c>
      <c r="Q32" s="2" t="s">
        <v>30</v>
      </c>
      <c r="R32" s="23" t="s">
        <v>95</v>
      </c>
      <c r="S32" s="30">
        <v>759200</v>
      </c>
      <c r="T32" s="2" t="s">
        <v>44</v>
      </c>
      <c r="U32" s="31">
        <v>0.1</v>
      </c>
      <c r="V32" s="31">
        <v>-0.89999999850988299</v>
      </c>
      <c r="W32" s="32">
        <v>1.00000001490116E-3</v>
      </c>
      <c r="X32" s="33">
        <v>759.20001131296101</v>
      </c>
    </row>
    <row r="33" spans="1:24" x14ac:dyDescent="0.25">
      <c r="A33" s="22" t="s">
        <v>1135</v>
      </c>
      <c r="B33" s="2" t="s">
        <v>1180</v>
      </c>
      <c r="C33" s="2" t="s">
        <v>941</v>
      </c>
      <c r="D33" s="50" t="s">
        <v>1223</v>
      </c>
      <c r="E33" s="50" t="s">
        <v>1281</v>
      </c>
      <c r="F33" s="24" t="str">
        <f>HYPERLINK("https://mapwv.gov/flood/map/?wkid=102100&amp;x=-8901327.01731489&amp;y=4813409.0855015&amp;l=13&amp;v=2","FT")</f>
        <v>FT</v>
      </c>
      <c r="G33" s="51" t="s">
        <v>32</v>
      </c>
      <c r="H33" s="23" t="s">
        <v>719</v>
      </c>
      <c r="I33" s="2" t="s">
        <v>1344</v>
      </c>
      <c r="J33" s="22" t="s">
        <v>26</v>
      </c>
      <c r="K33" s="51" t="s">
        <v>103</v>
      </c>
      <c r="L33" s="46" t="s">
        <v>37</v>
      </c>
      <c r="M33" s="50" t="s">
        <v>34</v>
      </c>
      <c r="N33" s="3" t="s">
        <v>92</v>
      </c>
      <c r="O33" s="51" t="s">
        <v>94</v>
      </c>
      <c r="P33" s="50" t="s">
        <v>1404</v>
      </c>
      <c r="Q33" s="2" t="s">
        <v>30</v>
      </c>
      <c r="R33" s="23" t="s">
        <v>95</v>
      </c>
      <c r="S33" s="30">
        <v>752900</v>
      </c>
      <c r="T33" s="2" t="s">
        <v>44</v>
      </c>
      <c r="U33" s="31">
        <v>0.1</v>
      </c>
      <c r="V33" s="31">
        <v>-0.89999999850988299</v>
      </c>
      <c r="W33" s="32">
        <v>1.00000001490116E-3</v>
      </c>
      <c r="X33" s="33">
        <v>752.90001121908404</v>
      </c>
    </row>
    <row r="34" spans="1:24" x14ac:dyDescent="0.25">
      <c r="A34" s="22" t="s">
        <v>1136</v>
      </c>
      <c r="B34" s="2" t="s">
        <v>1178</v>
      </c>
      <c r="C34" s="2" t="s">
        <v>941</v>
      </c>
      <c r="D34" s="50" t="s">
        <v>1224</v>
      </c>
      <c r="E34" s="50" t="s">
        <v>1282</v>
      </c>
      <c r="F34" s="24" t="str">
        <f>HYPERLINK("https://mapwv.gov/flood/map/?wkid=102100&amp;x=-8901488.534994224&amp;y=4811744.756858758&amp;l=13&amp;v=2","FT")</f>
        <v>FT</v>
      </c>
      <c r="G34" s="51" t="s">
        <v>32</v>
      </c>
      <c r="H34" s="23" t="s">
        <v>719</v>
      </c>
      <c r="I34" s="2" t="s">
        <v>1345</v>
      </c>
      <c r="J34" s="22" t="s">
        <v>26</v>
      </c>
      <c r="K34" s="51" t="s">
        <v>107</v>
      </c>
      <c r="L34" s="46" t="s">
        <v>46</v>
      </c>
      <c r="M34" s="50" t="s">
        <v>51</v>
      </c>
      <c r="N34" s="3" t="s">
        <v>35</v>
      </c>
      <c r="O34" s="51" t="s">
        <v>93</v>
      </c>
      <c r="P34" s="50" t="s">
        <v>1405</v>
      </c>
      <c r="Q34" s="2" t="s">
        <v>30</v>
      </c>
      <c r="R34" s="23" t="s">
        <v>95</v>
      </c>
      <c r="S34" s="30">
        <v>722800</v>
      </c>
      <c r="T34" s="2" t="s">
        <v>44</v>
      </c>
      <c r="U34" s="31">
        <v>1.5</v>
      </c>
      <c r="V34" s="31">
        <v>0.5</v>
      </c>
      <c r="W34" s="32">
        <v>0.05</v>
      </c>
      <c r="X34" s="33">
        <v>36140</v>
      </c>
    </row>
    <row r="35" spans="1:24" x14ac:dyDescent="0.25">
      <c r="A35" s="22" t="s">
        <v>1137</v>
      </c>
      <c r="B35" s="2" t="s">
        <v>1180</v>
      </c>
      <c r="C35" s="2" t="s">
        <v>941</v>
      </c>
      <c r="D35" s="50" t="s">
        <v>1225</v>
      </c>
      <c r="E35" s="50" t="s">
        <v>1283</v>
      </c>
      <c r="F35" s="24" t="str">
        <f>HYPERLINK("https://mapwv.gov/flood/map/?wkid=102100&amp;x=-8901087.991547657&amp;y=4812806.70641325&amp;l=13&amp;v=2","FT")</f>
        <v>FT</v>
      </c>
      <c r="G35" s="51" t="s">
        <v>32</v>
      </c>
      <c r="H35" s="23" t="s">
        <v>25</v>
      </c>
      <c r="I35" s="2" t="s">
        <v>1325</v>
      </c>
      <c r="J35" s="22" t="s">
        <v>39</v>
      </c>
      <c r="K35" s="51" t="s">
        <v>1376</v>
      </c>
      <c r="L35" s="46" t="s">
        <v>27</v>
      </c>
      <c r="M35" s="50" t="s">
        <v>63</v>
      </c>
      <c r="N35" s="3" t="s">
        <v>35</v>
      </c>
      <c r="O35" s="51" t="s">
        <v>94</v>
      </c>
      <c r="P35" s="50" t="s">
        <v>1406</v>
      </c>
      <c r="Q35" s="2" t="s">
        <v>30</v>
      </c>
      <c r="R35" s="23" t="s">
        <v>95</v>
      </c>
      <c r="S35" s="30">
        <v>719300</v>
      </c>
      <c r="T35" s="2" t="s">
        <v>44</v>
      </c>
      <c r="U35" s="31">
        <v>0.1</v>
      </c>
      <c r="V35" s="31">
        <v>-0.89999999850988299</v>
      </c>
      <c r="W35" s="32">
        <v>0</v>
      </c>
      <c r="X35" s="33">
        <v>0</v>
      </c>
    </row>
    <row r="36" spans="1:24" x14ac:dyDescent="0.25">
      <c r="A36" s="22" t="s">
        <v>1138</v>
      </c>
      <c r="B36" s="2" t="s">
        <v>1178</v>
      </c>
      <c r="C36" s="2" t="s">
        <v>1192</v>
      </c>
      <c r="D36" s="50" t="s">
        <v>1226</v>
      </c>
      <c r="E36" s="50" t="s">
        <v>1284</v>
      </c>
      <c r="F36" s="24" t="str">
        <f>HYPERLINK("https://mapwv.gov/flood/map/?wkid=102100&amp;x=-8897021.630922858&amp;y=4811204.944415743&amp;l=13&amp;v=2","FT")</f>
        <v>FT</v>
      </c>
      <c r="G36" s="51" t="s">
        <v>32</v>
      </c>
      <c r="H36" s="23" t="s">
        <v>25</v>
      </c>
      <c r="I36" s="2" t="s">
        <v>1346</v>
      </c>
      <c r="J36" s="22" t="s">
        <v>26</v>
      </c>
      <c r="K36" s="51" t="s">
        <v>395</v>
      </c>
      <c r="L36" s="46" t="s">
        <v>40</v>
      </c>
      <c r="M36" s="50" t="s">
        <v>51</v>
      </c>
      <c r="N36" s="3" t="s">
        <v>35</v>
      </c>
      <c r="O36" s="51" t="s">
        <v>93</v>
      </c>
      <c r="P36" s="50" t="s">
        <v>1407</v>
      </c>
      <c r="Q36" s="2" t="s">
        <v>30</v>
      </c>
      <c r="R36" s="23" t="s">
        <v>95</v>
      </c>
      <c r="S36" s="30">
        <v>718300</v>
      </c>
      <c r="T36" s="2" t="s">
        <v>44</v>
      </c>
      <c r="U36" s="31">
        <v>0.1</v>
      </c>
      <c r="V36" s="31">
        <v>-0.89999999850988299</v>
      </c>
      <c r="W36" s="32">
        <v>1.00000001490116E-3</v>
      </c>
      <c r="X36" s="33">
        <v>718.30001070350397</v>
      </c>
    </row>
    <row r="37" spans="1:24" x14ac:dyDescent="0.25">
      <c r="A37" s="22" t="s">
        <v>1139</v>
      </c>
      <c r="B37" s="2" t="s">
        <v>1177</v>
      </c>
      <c r="C37" s="2" t="s">
        <v>929</v>
      </c>
      <c r="D37" s="50" t="s">
        <v>1227</v>
      </c>
      <c r="E37" s="50" t="s">
        <v>1285</v>
      </c>
      <c r="F37" s="24" t="str">
        <f>HYPERLINK("https://mapwv.gov/flood/map/?wkid=102100&amp;x=-8904599.50477221&amp;y=4810800.1760631595&amp;l=13&amp;v=2","FT")</f>
        <v>FT</v>
      </c>
      <c r="G37" s="51" t="s">
        <v>38</v>
      </c>
      <c r="H37" s="23" t="s">
        <v>25</v>
      </c>
      <c r="I37" s="2" t="s">
        <v>1347</v>
      </c>
      <c r="J37" s="22" t="s">
        <v>26</v>
      </c>
      <c r="K37" s="51" t="s">
        <v>1377</v>
      </c>
      <c r="L37" s="46" t="s">
        <v>37</v>
      </c>
      <c r="M37" s="50" t="s">
        <v>34</v>
      </c>
      <c r="N37" s="3" t="s">
        <v>92</v>
      </c>
      <c r="O37" s="51" t="s">
        <v>94</v>
      </c>
      <c r="P37" s="50" t="s">
        <v>1408</v>
      </c>
      <c r="Q37" s="2" t="s">
        <v>30</v>
      </c>
      <c r="R37" s="23" t="s">
        <v>95</v>
      </c>
      <c r="S37" s="30">
        <v>685700</v>
      </c>
      <c r="T37" s="2" t="s">
        <v>44</v>
      </c>
      <c r="U37" s="31">
        <v>0.7</v>
      </c>
      <c r="V37" s="31">
        <v>-0.30000001192092801</v>
      </c>
      <c r="W37" s="32">
        <v>6.9999998807907101E-3</v>
      </c>
      <c r="X37" s="33">
        <v>4799.8999182581902</v>
      </c>
    </row>
    <row r="38" spans="1:24" x14ac:dyDescent="0.25">
      <c r="A38" s="22" t="s">
        <v>1140</v>
      </c>
      <c r="B38" s="2" t="s">
        <v>1177</v>
      </c>
      <c r="C38" s="2" t="s">
        <v>1188</v>
      </c>
      <c r="D38" s="50" t="s">
        <v>1228</v>
      </c>
      <c r="E38" s="50" t="s">
        <v>1286</v>
      </c>
      <c r="F38" s="24" t="str">
        <f>HYPERLINK("https://mapwv.gov/flood/map/?wkid=102100&amp;x=-8890101.936791092&amp;y=4818318.613584018&amp;l=13&amp;v=2","FT")</f>
        <v>FT</v>
      </c>
      <c r="G38" s="51" t="s">
        <v>38</v>
      </c>
      <c r="H38" s="23" t="s">
        <v>25</v>
      </c>
      <c r="I38" s="2" t="s">
        <v>1348</v>
      </c>
      <c r="J38" s="22" t="s">
        <v>39</v>
      </c>
      <c r="K38" s="51" t="s">
        <v>1060</v>
      </c>
      <c r="L38" s="46" t="s">
        <v>38</v>
      </c>
      <c r="M38" s="50" t="s">
        <v>41</v>
      </c>
      <c r="N38" s="3" t="s">
        <v>42</v>
      </c>
      <c r="O38" s="51" t="s">
        <v>94</v>
      </c>
      <c r="P38" s="50" t="s">
        <v>1409</v>
      </c>
      <c r="Q38" s="2" t="s">
        <v>52</v>
      </c>
      <c r="R38" s="23" t="s">
        <v>114</v>
      </c>
      <c r="S38" s="30">
        <v>684100</v>
      </c>
      <c r="T38" s="2" t="s">
        <v>44</v>
      </c>
      <c r="U38" s="31">
        <v>0</v>
      </c>
      <c r="V38" s="31">
        <v>-3</v>
      </c>
      <c r="W38" s="32">
        <v>0</v>
      </c>
      <c r="X38" s="33">
        <v>0</v>
      </c>
    </row>
    <row r="39" spans="1:24" x14ac:dyDescent="0.25">
      <c r="A39" s="22" t="s">
        <v>1141</v>
      </c>
      <c r="B39" s="2" t="s">
        <v>1177</v>
      </c>
      <c r="C39" s="2" t="s">
        <v>1188</v>
      </c>
      <c r="D39" s="50" t="s">
        <v>1229</v>
      </c>
      <c r="E39" s="50" t="s">
        <v>1287</v>
      </c>
      <c r="F39" s="24" t="str">
        <f>HYPERLINK("https://mapwv.gov/flood/map/?wkid=102100&amp;x=-8889488.199710416&amp;y=4816380.9057184&amp;l=13&amp;v=2","FT")</f>
        <v>FT</v>
      </c>
      <c r="G39" s="51" t="s">
        <v>327</v>
      </c>
      <c r="H39" s="23" t="s">
        <v>25</v>
      </c>
      <c r="I39" s="2" t="s">
        <v>1349</v>
      </c>
      <c r="J39" s="22" t="s">
        <v>116</v>
      </c>
      <c r="K39" s="51" t="s">
        <v>437</v>
      </c>
      <c r="L39" s="46" t="s">
        <v>1066</v>
      </c>
      <c r="M39" s="50" t="s">
        <v>41</v>
      </c>
      <c r="N39" s="3" t="s">
        <v>42</v>
      </c>
      <c r="O39" s="51" t="s">
        <v>94</v>
      </c>
      <c r="P39" s="50" t="s">
        <v>1410</v>
      </c>
      <c r="Q39" s="2" t="s">
        <v>43</v>
      </c>
      <c r="R39" s="23" t="s">
        <v>96</v>
      </c>
      <c r="S39" s="30">
        <v>661500</v>
      </c>
      <c r="T39" s="2" t="s">
        <v>44</v>
      </c>
      <c r="U39" s="31">
        <v>10.236912</v>
      </c>
      <c r="V39" s="31">
        <v>6.2369117736816397</v>
      </c>
      <c r="W39" s="32">
        <v>0.45421470642089801</v>
      </c>
      <c r="X39" s="33">
        <v>300463.02829742403</v>
      </c>
    </row>
    <row r="40" spans="1:24" x14ac:dyDescent="0.25">
      <c r="A40" s="22" t="s">
        <v>1142</v>
      </c>
      <c r="B40" s="2" t="s">
        <v>1177</v>
      </c>
      <c r="C40" s="2" t="s">
        <v>1191</v>
      </c>
      <c r="D40" s="50" t="s">
        <v>1230</v>
      </c>
      <c r="E40" s="50" t="s">
        <v>1288</v>
      </c>
      <c r="F40" s="24" t="str">
        <f>HYPERLINK("https://mapwv.gov/flood/map/?wkid=102100&amp;x=-8898116.189612197&amp;y=4810620.840745041&amp;l=13&amp;v=2","FT")</f>
        <v>FT</v>
      </c>
      <c r="G40" s="51" t="s">
        <v>32</v>
      </c>
      <c r="H40" s="23" t="s">
        <v>25</v>
      </c>
      <c r="I40" s="2" t="s">
        <v>1350</v>
      </c>
      <c r="J40" s="22" t="s">
        <v>26</v>
      </c>
      <c r="K40" s="51" t="s">
        <v>117</v>
      </c>
      <c r="L40" s="46" t="s">
        <v>27</v>
      </c>
      <c r="M40" s="50" t="s">
        <v>47</v>
      </c>
      <c r="N40" s="3" t="s">
        <v>35</v>
      </c>
      <c r="O40" s="51" t="s">
        <v>93</v>
      </c>
      <c r="P40" s="50" t="s">
        <v>1411</v>
      </c>
      <c r="Q40" s="2" t="s">
        <v>30</v>
      </c>
      <c r="R40" s="23" t="s">
        <v>95</v>
      </c>
      <c r="S40" s="30">
        <v>659900</v>
      </c>
      <c r="T40" s="2" t="s">
        <v>44</v>
      </c>
      <c r="U40" s="31">
        <v>0.1</v>
      </c>
      <c r="V40" s="31">
        <v>-0.89999999850988299</v>
      </c>
      <c r="W40" s="32">
        <v>1.00000001490116E-3</v>
      </c>
      <c r="X40" s="33">
        <v>659.90000983327604</v>
      </c>
    </row>
    <row r="41" spans="1:24" x14ac:dyDescent="0.25">
      <c r="A41" s="22" t="s">
        <v>1143</v>
      </c>
      <c r="B41" s="2" t="s">
        <v>1177</v>
      </c>
      <c r="C41" s="2" t="s">
        <v>1190</v>
      </c>
      <c r="D41" s="50" t="s">
        <v>1231</v>
      </c>
      <c r="E41" s="50" t="s">
        <v>1289</v>
      </c>
      <c r="F41" s="24" t="str">
        <f>HYPERLINK("https://mapwv.gov/flood/map/?wkid=102100&amp;x=-8890352.293101372&amp;y=4819436.4588107625&amp;l=13&amp;v=2","FT")</f>
        <v>FT</v>
      </c>
      <c r="G41" s="51" t="s">
        <v>38</v>
      </c>
      <c r="H41" s="23" t="s">
        <v>25</v>
      </c>
      <c r="I41" s="2" t="s">
        <v>1351</v>
      </c>
      <c r="J41" s="22" t="s">
        <v>26</v>
      </c>
      <c r="K41" s="51" t="s">
        <v>117</v>
      </c>
      <c r="L41" s="46" t="s">
        <v>38</v>
      </c>
      <c r="M41" s="50" t="s">
        <v>1381</v>
      </c>
      <c r="N41" s="3" t="s">
        <v>42</v>
      </c>
      <c r="O41" s="51" t="s">
        <v>94</v>
      </c>
      <c r="P41" s="50" t="s">
        <v>1412</v>
      </c>
      <c r="Q41" s="2" t="s">
        <v>43</v>
      </c>
      <c r="R41" s="23" t="s">
        <v>96</v>
      </c>
      <c r="S41" s="30">
        <v>637400</v>
      </c>
      <c r="T41" s="2" t="s">
        <v>31</v>
      </c>
      <c r="U41" s="31">
        <v>0</v>
      </c>
      <c r="V41" s="31">
        <v>-4</v>
      </c>
      <c r="W41" s="32">
        <v>0</v>
      </c>
      <c r="X41" s="33">
        <v>0</v>
      </c>
    </row>
    <row r="42" spans="1:24" x14ac:dyDescent="0.25">
      <c r="A42" s="22" t="s">
        <v>1144</v>
      </c>
      <c r="B42" s="2" t="s">
        <v>1177</v>
      </c>
      <c r="C42" s="2" t="s">
        <v>931</v>
      </c>
      <c r="D42" s="50" t="s">
        <v>1232</v>
      </c>
      <c r="E42" s="50" t="s">
        <v>1290</v>
      </c>
      <c r="F42" s="24" t="str">
        <f>HYPERLINK("https://mapwv.gov/flood/map/?wkid=102100&amp;x=-8901814.73716976&amp;y=4796382.286938699&amp;l=13&amp;v=2","FT")</f>
        <v>FT</v>
      </c>
      <c r="G42" s="51" t="s">
        <v>38</v>
      </c>
      <c r="H42" s="23" t="s">
        <v>25</v>
      </c>
      <c r="I42" s="2" t="s">
        <v>1352</v>
      </c>
      <c r="J42" s="22" t="s">
        <v>26</v>
      </c>
      <c r="K42" s="51" t="s">
        <v>100</v>
      </c>
      <c r="L42" s="46" t="s">
        <v>40</v>
      </c>
      <c r="M42" s="50" t="s">
        <v>41</v>
      </c>
      <c r="N42" s="3" t="s">
        <v>42</v>
      </c>
      <c r="O42" s="51" t="s">
        <v>93</v>
      </c>
      <c r="P42" s="50" t="s">
        <v>1413</v>
      </c>
      <c r="Q42" s="2" t="s">
        <v>52</v>
      </c>
      <c r="R42" s="23" t="s">
        <v>96</v>
      </c>
      <c r="S42" s="30">
        <v>626600</v>
      </c>
      <c r="T42" s="2" t="s">
        <v>31</v>
      </c>
      <c r="U42" s="31">
        <v>0.1</v>
      </c>
      <c r="V42" s="31">
        <v>-3.8999999985098799</v>
      </c>
      <c r="W42" s="32">
        <v>0</v>
      </c>
      <c r="X42" s="33">
        <v>0</v>
      </c>
    </row>
    <row r="43" spans="1:24" x14ac:dyDescent="0.25">
      <c r="A43" s="22" t="s">
        <v>1145</v>
      </c>
      <c r="B43" s="2" t="s">
        <v>1178</v>
      </c>
      <c r="C43" s="2" t="s">
        <v>1184</v>
      </c>
      <c r="D43" s="50" t="s">
        <v>1207</v>
      </c>
      <c r="E43" s="50" t="s">
        <v>1291</v>
      </c>
      <c r="F43" s="24" t="str">
        <f>HYPERLINK("https://mapwv.gov/flood/map/?wkid=102100&amp;x=-8897686.379492274&amp;y=4811893.617557809&amp;l=13&amp;v=2","FT")</f>
        <v>FT</v>
      </c>
      <c r="G43" s="51" t="s">
        <v>32</v>
      </c>
      <c r="H43" s="23" t="s">
        <v>25</v>
      </c>
      <c r="I43" s="2" t="s">
        <v>1329</v>
      </c>
      <c r="J43" s="22" t="s">
        <v>26</v>
      </c>
      <c r="K43" s="51" t="s">
        <v>108</v>
      </c>
      <c r="L43" s="46" t="s">
        <v>45</v>
      </c>
      <c r="M43" s="50" t="s">
        <v>47</v>
      </c>
      <c r="N43" s="3" t="s">
        <v>35</v>
      </c>
      <c r="O43" s="51" t="s">
        <v>94</v>
      </c>
      <c r="P43" s="50" t="s">
        <v>1414</v>
      </c>
      <c r="Q43" s="2" t="s">
        <v>30</v>
      </c>
      <c r="R43" s="23" t="s">
        <v>95</v>
      </c>
      <c r="S43" s="30">
        <v>624600</v>
      </c>
      <c r="T43" s="2" t="s">
        <v>31</v>
      </c>
      <c r="U43" s="31">
        <v>0.4</v>
      </c>
      <c r="V43" s="31">
        <v>-0.59999999403953497</v>
      </c>
      <c r="W43" s="32">
        <v>4.0000000596046399E-3</v>
      </c>
      <c r="X43" s="33">
        <v>2498.4000372290602</v>
      </c>
    </row>
    <row r="44" spans="1:24" x14ac:dyDescent="0.25">
      <c r="A44" s="22" t="s">
        <v>1146</v>
      </c>
      <c r="B44" s="2" t="s">
        <v>1177</v>
      </c>
      <c r="C44" s="2" t="s">
        <v>1193</v>
      </c>
      <c r="D44" s="50" t="s">
        <v>1233</v>
      </c>
      <c r="E44" s="50" t="s">
        <v>1292</v>
      </c>
      <c r="F44" s="24" t="str">
        <f>HYPERLINK("https://mapwv.gov/flood/map/?wkid=102100&amp;x=-8906608.292479485&amp;y=4816943.719463612&amp;l=13&amp;v=2","FT")</f>
        <v>FT</v>
      </c>
      <c r="G44" s="51" t="s">
        <v>38</v>
      </c>
      <c r="H44" s="23" t="s">
        <v>25</v>
      </c>
      <c r="I44" s="2" t="s">
        <v>1353</v>
      </c>
      <c r="J44" s="22" t="s">
        <v>39</v>
      </c>
      <c r="K44" s="51" t="s">
        <v>86</v>
      </c>
      <c r="L44" s="46" t="s">
        <v>53</v>
      </c>
      <c r="M44" s="50" t="s">
        <v>64</v>
      </c>
      <c r="N44" s="3" t="s">
        <v>90</v>
      </c>
      <c r="O44" s="51" t="s">
        <v>93</v>
      </c>
      <c r="P44" s="50" t="s">
        <v>1415</v>
      </c>
      <c r="Q44" s="2" t="s">
        <v>30</v>
      </c>
      <c r="R44" s="23" t="s">
        <v>95</v>
      </c>
      <c r="S44" s="30">
        <v>613200</v>
      </c>
      <c r="T44" s="2" t="s">
        <v>44</v>
      </c>
      <c r="U44" s="31">
        <v>1.9</v>
      </c>
      <c r="V44" s="31">
        <v>0.89999997615814198</v>
      </c>
      <c r="W44" s="32">
        <v>6.2999998331069895E-2</v>
      </c>
      <c r="X44" s="33">
        <v>38631.598976611996</v>
      </c>
    </row>
    <row r="45" spans="1:24" x14ac:dyDescent="0.25">
      <c r="A45" s="22" t="s">
        <v>1147</v>
      </c>
      <c r="B45" s="2" t="s">
        <v>1177</v>
      </c>
      <c r="C45" s="2" t="s">
        <v>1185</v>
      </c>
      <c r="D45" s="50" t="s">
        <v>1234</v>
      </c>
      <c r="E45" s="50" t="s">
        <v>1293</v>
      </c>
      <c r="F45" s="24" t="str">
        <f>HYPERLINK("https://mapwv.gov/flood/map/?wkid=102100&amp;x=-8899821.369549667&amp;y=4817816.722939648&amp;l=13&amp;v=2","FT")</f>
        <v>FT</v>
      </c>
      <c r="G45" s="51" t="s">
        <v>38</v>
      </c>
      <c r="H45" s="23" t="s">
        <v>25</v>
      </c>
      <c r="I45" s="2" t="s">
        <v>1354</v>
      </c>
      <c r="J45" s="22" t="s">
        <v>26</v>
      </c>
      <c r="K45" s="51" t="s">
        <v>397</v>
      </c>
      <c r="L45" s="46" t="s">
        <v>27</v>
      </c>
      <c r="M45" s="50" t="s">
        <v>794</v>
      </c>
      <c r="N45" s="3" t="s">
        <v>42</v>
      </c>
      <c r="O45" s="51" t="s">
        <v>800</v>
      </c>
      <c r="P45" s="50" t="s">
        <v>1416</v>
      </c>
      <c r="Q45" s="2" t="s">
        <v>30</v>
      </c>
      <c r="R45" s="23" t="s">
        <v>95</v>
      </c>
      <c r="S45" s="30">
        <v>572700</v>
      </c>
      <c r="T45" s="2" t="s">
        <v>44</v>
      </c>
      <c r="U45" s="31">
        <v>0.1</v>
      </c>
      <c r="V45" s="31">
        <v>-0.89999999850988299</v>
      </c>
      <c r="W45" s="32">
        <v>1.50000002235174E-2</v>
      </c>
      <c r="X45" s="33">
        <v>8590.5001280084198</v>
      </c>
    </row>
    <row r="46" spans="1:24" x14ac:dyDescent="0.25">
      <c r="A46" s="22" t="s">
        <v>1148</v>
      </c>
      <c r="B46" s="2" t="s">
        <v>1177</v>
      </c>
      <c r="C46" s="2" t="s">
        <v>1191</v>
      </c>
      <c r="D46" s="50" t="s">
        <v>1235</v>
      </c>
      <c r="E46" s="50" t="s">
        <v>1294</v>
      </c>
      <c r="F46" s="24" t="str">
        <f>HYPERLINK("https://mapwv.gov/flood/map/?wkid=102100&amp;x=-8898166.62591313&amp;y=4810838.686097344&amp;l=13&amp;v=2","FT")</f>
        <v>FT</v>
      </c>
      <c r="G46" s="51" t="s">
        <v>32</v>
      </c>
      <c r="H46" s="23" t="s">
        <v>25</v>
      </c>
      <c r="I46" s="2" t="s">
        <v>1355</v>
      </c>
      <c r="J46" s="22" t="s">
        <v>39</v>
      </c>
      <c r="K46" s="51" t="s">
        <v>1060</v>
      </c>
      <c r="L46" s="46" t="s">
        <v>27</v>
      </c>
      <c r="M46" s="50" t="s">
        <v>63</v>
      </c>
      <c r="N46" s="3" t="s">
        <v>35</v>
      </c>
      <c r="O46" s="51" t="s">
        <v>94</v>
      </c>
      <c r="P46" s="50" t="s">
        <v>1417</v>
      </c>
      <c r="Q46" s="2" t="s">
        <v>30</v>
      </c>
      <c r="R46" s="23" t="s">
        <v>95</v>
      </c>
      <c r="S46" s="30">
        <v>562300</v>
      </c>
      <c r="T46" s="2" t="s">
        <v>44</v>
      </c>
      <c r="U46" s="31">
        <v>1.2</v>
      </c>
      <c r="V46" s="31">
        <v>0.20000004768371499</v>
      </c>
      <c r="W46" s="32">
        <v>1.00000023841857E-2</v>
      </c>
      <c r="X46" s="33">
        <v>5623.0013406276703</v>
      </c>
    </row>
    <row r="47" spans="1:24" x14ac:dyDescent="0.25">
      <c r="A47" s="22" t="s">
        <v>1149</v>
      </c>
      <c r="B47" s="2" t="s">
        <v>1177</v>
      </c>
      <c r="C47" s="2" t="s">
        <v>1194</v>
      </c>
      <c r="D47" s="50" t="s">
        <v>1236</v>
      </c>
      <c r="E47" s="50" t="s">
        <v>1295</v>
      </c>
      <c r="F47" s="24" t="str">
        <f>HYPERLINK("https://mapwv.gov/flood/map/?wkid=102100&amp;x=-8929937.585958604&amp;y=4817848.220340919&amp;l=13&amp;v=2","FT")</f>
        <v>FT</v>
      </c>
      <c r="G47" s="51" t="s">
        <v>38</v>
      </c>
      <c r="H47" s="23" t="s">
        <v>25</v>
      </c>
      <c r="I47" s="2" t="s">
        <v>1356</v>
      </c>
      <c r="J47" s="22" t="s">
        <v>26</v>
      </c>
      <c r="K47" s="51" t="s">
        <v>75</v>
      </c>
      <c r="L47" s="46" t="s">
        <v>37</v>
      </c>
      <c r="M47" s="50" t="s">
        <v>63</v>
      </c>
      <c r="N47" s="3" t="s">
        <v>35</v>
      </c>
      <c r="O47" s="51" t="s">
        <v>94</v>
      </c>
      <c r="P47" s="50" t="s">
        <v>1418</v>
      </c>
      <c r="Q47" s="2" t="s">
        <v>30</v>
      </c>
      <c r="R47" s="23" t="s">
        <v>95</v>
      </c>
      <c r="S47" s="30">
        <v>555110</v>
      </c>
      <c r="T47" s="2" t="s">
        <v>31</v>
      </c>
      <c r="U47" s="31">
        <v>0</v>
      </c>
      <c r="V47" s="31">
        <v>-1</v>
      </c>
      <c r="W47" s="32">
        <v>0</v>
      </c>
      <c r="X47" s="33">
        <v>0</v>
      </c>
    </row>
    <row r="48" spans="1:24" x14ac:dyDescent="0.25">
      <c r="A48" s="22" t="s">
        <v>1150</v>
      </c>
      <c r="B48" s="2" t="s">
        <v>1177</v>
      </c>
      <c r="C48" s="2" t="s">
        <v>1188</v>
      </c>
      <c r="D48" s="50" t="s">
        <v>1237</v>
      </c>
      <c r="E48" s="50" t="s">
        <v>1296</v>
      </c>
      <c r="F48" s="24" t="str">
        <f>HYPERLINK("https://mapwv.gov/flood/map/?wkid=102100&amp;x=-8889516.133778157&amp;y=4816396.8928240705&amp;l=13&amp;v=2","FT")</f>
        <v>FT</v>
      </c>
      <c r="G48" s="51" t="s">
        <v>327</v>
      </c>
      <c r="H48" s="23" t="s">
        <v>25</v>
      </c>
      <c r="I48" s="2" t="s">
        <v>1357</v>
      </c>
      <c r="J48" s="22" t="s">
        <v>116</v>
      </c>
      <c r="K48" s="51" t="s">
        <v>390</v>
      </c>
      <c r="L48" s="46" t="s">
        <v>40</v>
      </c>
      <c r="M48" s="50" t="s">
        <v>41</v>
      </c>
      <c r="N48" s="3" t="s">
        <v>42</v>
      </c>
      <c r="O48" s="51" t="s">
        <v>94</v>
      </c>
      <c r="P48" s="50" t="s">
        <v>1419</v>
      </c>
      <c r="Q48" s="2" t="s">
        <v>43</v>
      </c>
      <c r="R48" s="23" t="s">
        <v>96</v>
      </c>
      <c r="S48" s="30">
        <v>552500</v>
      </c>
      <c r="T48" s="2" t="s">
        <v>44</v>
      </c>
      <c r="U48" s="31">
        <v>13.204324</v>
      </c>
      <c r="V48" s="31">
        <v>9.2043237686157209</v>
      </c>
      <c r="W48" s="32">
        <v>0.57408647537231405</v>
      </c>
      <c r="X48" s="33">
        <v>317182.77764320298</v>
      </c>
    </row>
    <row r="49" spans="1:24" x14ac:dyDescent="0.25">
      <c r="A49" s="22" t="s">
        <v>1151</v>
      </c>
      <c r="B49" s="2" t="s">
        <v>1177</v>
      </c>
      <c r="C49" s="2" t="s">
        <v>941</v>
      </c>
      <c r="D49" s="50" t="s">
        <v>1238</v>
      </c>
      <c r="E49" s="50" t="s">
        <v>1297</v>
      </c>
      <c r="F49" s="24" t="str">
        <f>HYPERLINK("https://mapwv.gov/flood/map/?wkid=102100&amp;x=-8903650.141207902&amp;y=4818396.644684378&amp;l=13&amp;v=2","FT")</f>
        <v>FT</v>
      </c>
      <c r="G49" s="51" t="s">
        <v>32</v>
      </c>
      <c r="H49" s="23" t="s">
        <v>25</v>
      </c>
      <c r="I49" s="2" t="s">
        <v>1028</v>
      </c>
      <c r="J49" s="22" t="s">
        <v>26</v>
      </c>
      <c r="K49" s="51" t="s">
        <v>81</v>
      </c>
      <c r="L49" s="46" t="s">
        <v>33</v>
      </c>
      <c r="M49" s="50" t="s">
        <v>63</v>
      </c>
      <c r="N49" s="3" t="s">
        <v>35</v>
      </c>
      <c r="O49" s="51" t="s">
        <v>93</v>
      </c>
      <c r="P49" s="50" t="s">
        <v>1420</v>
      </c>
      <c r="Q49" s="2" t="s">
        <v>30</v>
      </c>
      <c r="R49" s="23" t="s">
        <v>95</v>
      </c>
      <c r="S49" s="30">
        <v>552040</v>
      </c>
      <c r="T49" s="2" t="s">
        <v>31</v>
      </c>
      <c r="U49" s="31">
        <v>0.1</v>
      </c>
      <c r="V49" s="31">
        <v>-0.89999999850988299</v>
      </c>
      <c r="W49" s="32">
        <v>0</v>
      </c>
      <c r="X49" s="33">
        <v>0</v>
      </c>
    </row>
    <row r="50" spans="1:24" x14ac:dyDescent="0.25">
      <c r="A50" s="22" t="s">
        <v>1152</v>
      </c>
      <c r="B50" s="2" t="s">
        <v>1178</v>
      </c>
      <c r="C50" s="2" t="s">
        <v>1192</v>
      </c>
      <c r="D50" s="50" t="s">
        <v>1239</v>
      </c>
      <c r="E50" s="50" t="s">
        <v>1298</v>
      </c>
      <c r="F50" s="24" t="str">
        <f>HYPERLINK("https://mapwv.gov/flood/map/?wkid=102100&amp;x=-8897070.410567127&amp;y=4811411.759263392&amp;l=13&amp;v=2","FT")</f>
        <v>FT</v>
      </c>
      <c r="G50" s="51" t="s">
        <v>32</v>
      </c>
      <c r="H50" s="23" t="s">
        <v>25</v>
      </c>
      <c r="I50" s="2" t="s">
        <v>1358</v>
      </c>
      <c r="J50" s="22" t="s">
        <v>26</v>
      </c>
      <c r="K50" s="51" t="s">
        <v>392</v>
      </c>
      <c r="L50" s="46" t="s">
        <v>45</v>
      </c>
      <c r="M50" s="50" t="s">
        <v>796</v>
      </c>
      <c r="N50" s="3" t="s">
        <v>35</v>
      </c>
      <c r="O50" s="51" t="s">
        <v>93</v>
      </c>
      <c r="P50" s="50" t="s">
        <v>1421</v>
      </c>
      <c r="Q50" s="2" t="s">
        <v>30</v>
      </c>
      <c r="R50" s="23" t="s">
        <v>95</v>
      </c>
      <c r="S50" s="30">
        <v>539100</v>
      </c>
      <c r="T50" s="2" t="s">
        <v>44</v>
      </c>
      <c r="U50" s="31">
        <v>0.1</v>
      </c>
      <c r="V50" s="31">
        <v>-0.89999999850988299</v>
      </c>
      <c r="W50" s="32">
        <v>0</v>
      </c>
      <c r="X50" s="33">
        <v>0</v>
      </c>
    </row>
    <row r="51" spans="1:24" x14ac:dyDescent="0.25">
      <c r="A51" s="22" t="s">
        <v>1153</v>
      </c>
      <c r="B51" s="2" t="s">
        <v>1181</v>
      </c>
      <c r="C51" s="2" t="s">
        <v>941</v>
      </c>
      <c r="D51" s="50" t="s">
        <v>1240</v>
      </c>
      <c r="E51" s="50" t="s">
        <v>1299</v>
      </c>
      <c r="F51" s="24" t="str">
        <f>HYPERLINK("https://mapwv.gov/flood/map/?wkid=102100&amp;x=-8904091.641766796&amp;y=4814494.968045508&amp;l=13&amp;v=2","FT")</f>
        <v>FT</v>
      </c>
      <c r="G51" s="51" t="s">
        <v>73</v>
      </c>
      <c r="H51" s="23" t="s">
        <v>25</v>
      </c>
      <c r="I51" s="2" t="s">
        <v>1359</v>
      </c>
      <c r="J51" s="22" t="s">
        <v>39</v>
      </c>
      <c r="K51" s="51" t="s">
        <v>1378</v>
      </c>
      <c r="L51" s="46" t="s">
        <v>27</v>
      </c>
      <c r="M51" s="50" t="s">
        <v>47</v>
      </c>
      <c r="N51" s="3" t="s">
        <v>35</v>
      </c>
      <c r="O51" s="51" t="s">
        <v>94</v>
      </c>
      <c r="P51" s="50" t="s">
        <v>1422</v>
      </c>
      <c r="Q51" s="2" t="s">
        <v>30</v>
      </c>
      <c r="R51" s="23" t="s">
        <v>95</v>
      </c>
      <c r="S51" s="30">
        <v>509100</v>
      </c>
      <c r="T51" s="2" t="s">
        <v>44</v>
      </c>
      <c r="U51" s="31">
        <v>0</v>
      </c>
      <c r="V51" s="31">
        <v>-1</v>
      </c>
      <c r="W51" s="32">
        <v>0</v>
      </c>
      <c r="X51" s="33">
        <v>0</v>
      </c>
    </row>
    <row r="52" spans="1:24" x14ac:dyDescent="0.25">
      <c r="A52" s="22" t="s">
        <v>1154</v>
      </c>
      <c r="B52" s="2" t="s">
        <v>1177</v>
      </c>
      <c r="C52" s="2" t="s">
        <v>1188</v>
      </c>
      <c r="D52" s="50" t="s">
        <v>1241</v>
      </c>
      <c r="E52" s="50" t="s">
        <v>1300</v>
      </c>
      <c r="F52" s="24" t="str">
        <f>HYPERLINK("https://mapwv.gov/flood/map/?wkid=102100&amp;x=-8889435.881442172&amp;y=4816357.520985838&amp;l=13&amp;v=2","FT")</f>
        <v>FT</v>
      </c>
      <c r="G52" s="51" t="s">
        <v>327</v>
      </c>
      <c r="H52" s="23" t="s">
        <v>25</v>
      </c>
      <c r="I52" s="2" t="s">
        <v>1360</v>
      </c>
      <c r="J52" s="22" t="s">
        <v>39</v>
      </c>
      <c r="K52" s="51" t="s">
        <v>86</v>
      </c>
      <c r="L52" s="46" t="s">
        <v>48</v>
      </c>
      <c r="M52" s="50" t="s">
        <v>41</v>
      </c>
      <c r="N52" s="3" t="s">
        <v>42</v>
      </c>
      <c r="O52" s="51" t="s">
        <v>93</v>
      </c>
      <c r="P52" s="50" t="s">
        <v>1423</v>
      </c>
      <c r="Q52" s="2" t="s">
        <v>43</v>
      </c>
      <c r="R52" s="23" t="s">
        <v>96</v>
      </c>
      <c r="S52" s="30">
        <v>503100</v>
      </c>
      <c r="T52" s="2" t="s">
        <v>44</v>
      </c>
      <c r="U52" s="31">
        <v>8.4550339999999995</v>
      </c>
      <c r="V52" s="31">
        <v>4.45503425598144</v>
      </c>
      <c r="W52" s="32">
        <v>0.551852397918701</v>
      </c>
      <c r="X52" s="33">
        <v>277636.94139289798</v>
      </c>
    </row>
    <row r="53" spans="1:24" x14ac:dyDescent="0.25">
      <c r="A53" s="22" t="s">
        <v>1155</v>
      </c>
      <c r="B53" s="2" t="s">
        <v>1177</v>
      </c>
      <c r="C53" s="2" t="s">
        <v>1188</v>
      </c>
      <c r="D53" s="50" t="s">
        <v>1242</v>
      </c>
      <c r="E53" s="50" t="s">
        <v>1301</v>
      </c>
      <c r="F53" s="24" t="str">
        <f>HYPERLINK("https://mapwv.gov/flood/map/?wkid=102100&amp;x=-8890121.769471569&amp;y=4818432.797238949&amp;l=13&amp;v=2","FT")</f>
        <v>FT</v>
      </c>
      <c r="G53" s="51" t="s">
        <v>38</v>
      </c>
      <c r="H53" s="23" t="s">
        <v>25</v>
      </c>
      <c r="I53" s="2" t="s">
        <v>1361</v>
      </c>
      <c r="J53" s="22" t="s">
        <v>39</v>
      </c>
      <c r="K53" s="51" t="s">
        <v>109</v>
      </c>
      <c r="L53" s="46" t="s">
        <v>38</v>
      </c>
      <c r="M53" s="50" t="s">
        <v>41</v>
      </c>
      <c r="N53" s="3" t="s">
        <v>42</v>
      </c>
      <c r="O53" s="51" t="s">
        <v>94</v>
      </c>
      <c r="P53" s="50" t="s">
        <v>1424</v>
      </c>
      <c r="Q53" s="2" t="s">
        <v>43</v>
      </c>
      <c r="R53" s="23" t="s">
        <v>96</v>
      </c>
      <c r="S53" s="30">
        <v>486200</v>
      </c>
      <c r="T53" s="2" t="s">
        <v>44</v>
      </c>
      <c r="U53" s="31">
        <v>0</v>
      </c>
      <c r="V53" s="31">
        <v>-4</v>
      </c>
      <c r="W53" s="32">
        <v>0</v>
      </c>
      <c r="X53" s="33">
        <v>0</v>
      </c>
    </row>
    <row r="54" spans="1:24" x14ac:dyDescent="0.25">
      <c r="A54" s="22" t="s">
        <v>1156</v>
      </c>
      <c r="B54" s="2" t="s">
        <v>1177</v>
      </c>
      <c r="C54" s="2" t="s">
        <v>1195</v>
      </c>
      <c r="D54" s="50" t="s">
        <v>1243</v>
      </c>
      <c r="E54" s="50" t="s">
        <v>1302</v>
      </c>
      <c r="F54" s="24" t="str">
        <f>HYPERLINK("https://mapwv.gov/flood/map/?wkid=102100&amp;x=-8946562.543547563&amp;y=4817791.021131471&amp;l=13&amp;v=2","FT")</f>
        <v>FT</v>
      </c>
      <c r="G54" s="51" t="s">
        <v>38</v>
      </c>
      <c r="H54" s="23" t="s">
        <v>25</v>
      </c>
      <c r="I54" s="2" t="s">
        <v>1362</v>
      </c>
      <c r="J54" s="22" t="s">
        <v>39</v>
      </c>
      <c r="K54" s="51" t="s">
        <v>405</v>
      </c>
      <c r="L54" s="46" t="s">
        <v>27</v>
      </c>
      <c r="M54" s="50" t="s">
        <v>58</v>
      </c>
      <c r="N54" s="3" t="s">
        <v>91</v>
      </c>
      <c r="O54" s="51" t="s">
        <v>93</v>
      </c>
      <c r="P54" s="50" t="s">
        <v>1425</v>
      </c>
      <c r="Q54" s="2" t="s">
        <v>30</v>
      </c>
      <c r="R54" s="23" t="s">
        <v>95</v>
      </c>
      <c r="S54" s="30">
        <v>484600</v>
      </c>
      <c r="T54" s="2" t="s">
        <v>44</v>
      </c>
      <c r="U54" s="31">
        <v>0</v>
      </c>
      <c r="V54" s="31">
        <v>-1</v>
      </c>
      <c r="W54" s="32">
        <v>0</v>
      </c>
      <c r="X54" s="33">
        <v>0</v>
      </c>
    </row>
    <row r="55" spans="1:24" x14ac:dyDescent="0.25">
      <c r="A55" s="22" t="s">
        <v>1157</v>
      </c>
      <c r="B55" s="2" t="s">
        <v>1177</v>
      </c>
      <c r="C55" s="2" t="s">
        <v>1188</v>
      </c>
      <c r="D55" s="50" t="s">
        <v>1244</v>
      </c>
      <c r="E55" s="50" t="s">
        <v>1303</v>
      </c>
      <c r="F55" s="24" t="str">
        <f>HYPERLINK("https://mapwv.gov/flood/map/?wkid=102100&amp;x=-8891893.852089046&amp;y=4820513.488037479&amp;l=13&amp;v=2","FT")</f>
        <v>FT</v>
      </c>
      <c r="G55" s="51" t="s">
        <v>38</v>
      </c>
      <c r="H55" s="23" t="s">
        <v>25</v>
      </c>
      <c r="I55" s="2" t="s">
        <v>1363</v>
      </c>
      <c r="J55" s="22" t="s">
        <v>26</v>
      </c>
      <c r="K55" s="51" t="s">
        <v>87</v>
      </c>
      <c r="L55" s="46" t="s">
        <v>38</v>
      </c>
      <c r="M55" s="50" t="s">
        <v>41</v>
      </c>
      <c r="N55" s="3" t="s">
        <v>42</v>
      </c>
      <c r="O55" s="51" t="s">
        <v>94</v>
      </c>
      <c r="P55" s="50" t="s">
        <v>1426</v>
      </c>
      <c r="Q55" s="2" t="s">
        <v>43</v>
      </c>
      <c r="R55" s="23" t="s">
        <v>96</v>
      </c>
      <c r="S55" s="30">
        <v>481300</v>
      </c>
      <c r="T55" s="2" t="s">
        <v>44</v>
      </c>
      <c r="U55" s="31">
        <v>0</v>
      </c>
      <c r="V55" s="31">
        <v>-4</v>
      </c>
      <c r="W55" s="32">
        <v>0</v>
      </c>
      <c r="X55" s="33">
        <v>0</v>
      </c>
    </row>
    <row r="56" spans="1:24" x14ac:dyDescent="0.25">
      <c r="A56" s="22" t="s">
        <v>1158</v>
      </c>
      <c r="B56" s="2" t="s">
        <v>1178</v>
      </c>
      <c r="C56" s="2" t="s">
        <v>1184</v>
      </c>
      <c r="D56" s="50" t="s">
        <v>1245</v>
      </c>
      <c r="E56" s="50" t="s">
        <v>1304</v>
      </c>
      <c r="F56" s="24" t="str">
        <f>HYPERLINK("https://mapwv.gov/flood/map/?wkid=102100&amp;x=-8898733.30869032&amp;y=4812078.258835727&amp;l=13&amp;v=2","FT")</f>
        <v>FT</v>
      </c>
      <c r="G56" s="51" t="s">
        <v>32</v>
      </c>
      <c r="H56" s="23" t="s">
        <v>25</v>
      </c>
      <c r="I56" s="2" t="s">
        <v>1326</v>
      </c>
      <c r="J56" s="22" t="s">
        <v>26</v>
      </c>
      <c r="K56" s="51" t="s">
        <v>405</v>
      </c>
      <c r="L56" s="46" t="s">
        <v>27</v>
      </c>
      <c r="M56" s="50" t="s">
        <v>28</v>
      </c>
      <c r="N56" s="3" t="s">
        <v>90</v>
      </c>
      <c r="O56" s="51" t="s">
        <v>93</v>
      </c>
      <c r="P56" s="50" t="s">
        <v>1427</v>
      </c>
      <c r="Q56" s="2" t="s">
        <v>30</v>
      </c>
      <c r="R56" s="23" t="s">
        <v>95</v>
      </c>
      <c r="S56" s="30">
        <v>472800</v>
      </c>
      <c r="T56" s="2" t="s">
        <v>44</v>
      </c>
      <c r="U56" s="31">
        <v>0.1</v>
      </c>
      <c r="V56" s="31">
        <v>-0.89999999850988299</v>
      </c>
      <c r="W56" s="32">
        <v>0</v>
      </c>
      <c r="X56" s="33">
        <v>0</v>
      </c>
    </row>
    <row r="57" spans="1:24" x14ac:dyDescent="0.25">
      <c r="A57" s="22" t="s">
        <v>1159</v>
      </c>
      <c r="B57" s="2" t="s">
        <v>1177</v>
      </c>
      <c r="C57" s="2" t="s">
        <v>1196</v>
      </c>
      <c r="D57" s="50" t="s">
        <v>1246</v>
      </c>
      <c r="E57" s="50" t="s">
        <v>1305</v>
      </c>
      <c r="F57" s="24" t="str">
        <f>HYPERLINK("https://mapwv.gov/flood/map/?wkid=102100&amp;x=-8906101.04262183&amp;y=4823629.451159122&amp;l=13&amp;v=2","FT")</f>
        <v>FT</v>
      </c>
      <c r="G57" s="51" t="s">
        <v>38</v>
      </c>
      <c r="H57" s="23" t="s">
        <v>25</v>
      </c>
      <c r="I57" s="2" t="s">
        <v>1364</v>
      </c>
      <c r="J57" s="22" t="s">
        <v>26</v>
      </c>
      <c r="K57" s="51" t="s">
        <v>75</v>
      </c>
      <c r="L57" s="46" t="s">
        <v>53</v>
      </c>
      <c r="M57" s="50" t="s">
        <v>34</v>
      </c>
      <c r="N57" s="3" t="s">
        <v>92</v>
      </c>
      <c r="O57" s="51" t="s">
        <v>93</v>
      </c>
      <c r="P57" s="50" t="s">
        <v>1428</v>
      </c>
      <c r="Q57" s="2" t="s">
        <v>30</v>
      </c>
      <c r="R57" s="23" t="s">
        <v>95</v>
      </c>
      <c r="S57" s="30">
        <v>466500</v>
      </c>
      <c r="T57" s="2" t="s">
        <v>44</v>
      </c>
      <c r="U57" s="31">
        <v>1.8</v>
      </c>
      <c r="V57" s="31">
        <v>0.79999995231628396</v>
      </c>
      <c r="W57" s="32">
        <v>7.3999996185302702E-2</v>
      </c>
      <c r="X57" s="33">
        <v>34520.998220443696</v>
      </c>
    </row>
    <row r="58" spans="1:24" x14ac:dyDescent="0.25">
      <c r="A58" s="22" t="s">
        <v>1160</v>
      </c>
      <c r="B58" s="2" t="s">
        <v>1177</v>
      </c>
      <c r="C58" s="2" t="s">
        <v>1190</v>
      </c>
      <c r="D58" s="50" t="s">
        <v>1247</v>
      </c>
      <c r="E58" s="50" t="s">
        <v>1306</v>
      </c>
      <c r="F58" s="24" t="str">
        <f>HYPERLINK("https://mapwv.gov/flood/map/?wkid=102100&amp;x=-8890261.370235594&amp;y=4819374.192764421&amp;l=13&amp;v=2","FT")</f>
        <v>FT</v>
      </c>
      <c r="G58" s="51" t="s">
        <v>38</v>
      </c>
      <c r="H58" s="23" t="s">
        <v>25</v>
      </c>
      <c r="I58" s="2" t="s">
        <v>1365</v>
      </c>
      <c r="J58" s="22" t="s">
        <v>39</v>
      </c>
      <c r="K58" s="51" t="s">
        <v>405</v>
      </c>
      <c r="L58" s="46" t="s">
        <v>38</v>
      </c>
      <c r="M58" s="50" t="s">
        <v>41</v>
      </c>
      <c r="N58" s="3" t="s">
        <v>42</v>
      </c>
      <c r="O58" s="51" t="s">
        <v>93</v>
      </c>
      <c r="P58" s="50" t="s">
        <v>1429</v>
      </c>
      <c r="Q58" s="2" t="s">
        <v>43</v>
      </c>
      <c r="R58" s="23" t="s">
        <v>96</v>
      </c>
      <c r="S58" s="30">
        <v>463500</v>
      </c>
      <c r="T58" s="2" t="s">
        <v>44</v>
      </c>
      <c r="U58" s="31">
        <v>1.0193734999999999</v>
      </c>
      <c r="V58" s="31">
        <v>-2.9806264638900699</v>
      </c>
      <c r="W58" s="32">
        <v>2.7122950553893996E-3</v>
      </c>
      <c r="X58" s="33">
        <v>1257.14875817298</v>
      </c>
    </row>
    <row r="59" spans="1:24" x14ac:dyDescent="0.25">
      <c r="A59" s="22" t="s">
        <v>1161</v>
      </c>
      <c r="B59" s="2" t="s">
        <v>1177</v>
      </c>
      <c r="C59" s="2" t="s">
        <v>1185</v>
      </c>
      <c r="D59" s="50" t="s">
        <v>1220</v>
      </c>
      <c r="E59" s="50" t="s">
        <v>1307</v>
      </c>
      <c r="F59" s="24" t="str">
        <f>HYPERLINK("https://mapwv.gov/flood/map/?wkid=102100&amp;x=-8897459.909116447&amp;y=4816015.747922122&amp;l=13&amp;v=2","FT")</f>
        <v>FT</v>
      </c>
      <c r="G59" s="51" t="s">
        <v>38</v>
      </c>
      <c r="H59" s="23" t="s">
        <v>25</v>
      </c>
      <c r="I59" s="2" t="s">
        <v>1342</v>
      </c>
      <c r="J59" s="22" t="s">
        <v>26</v>
      </c>
      <c r="K59" s="51" t="s">
        <v>437</v>
      </c>
      <c r="L59" s="46" t="s">
        <v>57</v>
      </c>
      <c r="M59" s="50" t="s">
        <v>794</v>
      </c>
      <c r="N59" s="3" t="s">
        <v>42</v>
      </c>
      <c r="O59" s="51" t="s">
        <v>94</v>
      </c>
      <c r="P59" s="50" t="s">
        <v>1430</v>
      </c>
      <c r="Q59" s="2" t="s">
        <v>43</v>
      </c>
      <c r="R59" s="23" t="s">
        <v>96</v>
      </c>
      <c r="S59" s="30">
        <v>457637</v>
      </c>
      <c r="T59" s="2" t="s">
        <v>31</v>
      </c>
      <c r="U59" s="31">
        <v>0.1</v>
      </c>
      <c r="V59" s="31">
        <v>-3.8999999985098799</v>
      </c>
      <c r="W59" s="32">
        <v>0</v>
      </c>
      <c r="X59" s="33">
        <v>0</v>
      </c>
    </row>
    <row r="60" spans="1:24" x14ac:dyDescent="0.25">
      <c r="A60" s="22" t="s">
        <v>1162</v>
      </c>
      <c r="B60" s="2" t="s">
        <v>1177</v>
      </c>
      <c r="C60" s="2" t="s">
        <v>941</v>
      </c>
      <c r="D60" s="50" t="s">
        <v>1248</v>
      </c>
      <c r="E60" s="50" t="s">
        <v>1308</v>
      </c>
      <c r="F60" s="24" t="str">
        <f>HYPERLINK("https://mapwv.gov/flood/map/?wkid=102100&amp;x=-8902115.578761544&amp;y=4811069.650709822&amp;l=13&amp;v=2","FT")</f>
        <v>FT</v>
      </c>
      <c r="G60" s="51" t="s">
        <v>32</v>
      </c>
      <c r="H60" s="23" t="s">
        <v>719</v>
      </c>
      <c r="I60" s="2" t="s">
        <v>1366</v>
      </c>
      <c r="J60" s="22" t="s">
        <v>36</v>
      </c>
      <c r="K60" s="51" t="s">
        <v>77</v>
      </c>
      <c r="L60" s="46"/>
      <c r="M60" s="50" t="s">
        <v>28</v>
      </c>
      <c r="N60" s="3" t="s">
        <v>90</v>
      </c>
      <c r="O60" s="51" t="s">
        <v>93</v>
      </c>
      <c r="P60" s="50" t="s">
        <v>1431</v>
      </c>
      <c r="Q60" s="2" t="s">
        <v>30</v>
      </c>
      <c r="R60" s="23" t="s">
        <v>95</v>
      </c>
      <c r="S60" s="30">
        <v>455400</v>
      </c>
      <c r="T60" s="2" t="s">
        <v>97</v>
      </c>
      <c r="U60" s="31">
        <v>0.1</v>
      </c>
      <c r="V60" s="31">
        <v>-0.89999999850988299</v>
      </c>
      <c r="W60" s="32">
        <v>0</v>
      </c>
      <c r="X60" s="33">
        <v>0</v>
      </c>
    </row>
    <row r="61" spans="1:24" x14ac:dyDescent="0.25">
      <c r="A61" s="22" t="s">
        <v>1163</v>
      </c>
      <c r="B61" s="2" t="s">
        <v>1177</v>
      </c>
      <c r="C61" s="2" t="s">
        <v>1185</v>
      </c>
      <c r="D61" s="50" t="s">
        <v>1249</v>
      </c>
      <c r="E61" s="50" t="s">
        <v>1309</v>
      </c>
      <c r="F61" s="24" t="str">
        <f>HYPERLINK("https://mapwv.gov/flood/map/?wkid=102100&amp;x=-8900902.267333735&amp;y=4817794.526051073&amp;l=13&amp;v=2","FT")</f>
        <v>FT</v>
      </c>
      <c r="G61" s="51" t="s">
        <v>38</v>
      </c>
      <c r="H61" s="23" t="s">
        <v>25</v>
      </c>
      <c r="I61" s="2" t="s">
        <v>1367</v>
      </c>
      <c r="J61" s="22" t="s">
        <v>26</v>
      </c>
      <c r="K61" s="51" t="s">
        <v>106</v>
      </c>
      <c r="L61" s="46" t="s">
        <v>27</v>
      </c>
      <c r="M61" s="50" t="s">
        <v>47</v>
      </c>
      <c r="N61" s="3" t="s">
        <v>35</v>
      </c>
      <c r="O61" s="51" t="s">
        <v>94</v>
      </c>
      <c r="P61" s="50" t="s">
        <v>1432</v>
      </c>
      <c r="Q61" s="2" t="s">
        <v>30</v>
      </c>
      <c r="R61" s="23" t="s">
        <v>95</v>
      </c>
      <c r="S61" s="30">
        <v>453800</v>
      </c>
      <c r="T61" s="2" t="s">
        <v>44</v>
      </c>
      <c r="U61" s="31">
        <v>0.5</v>
      </c>
      <c r="V61" s="31">
        <v>-0.5</v>
      </c>
      <c r="W61" s="32">
        <v>5.0000000000000001E-3</v>
      </c>
      <c r="X61" s="33">
        <v>2269</v>
      </c>
    </row>
    <row r="62" spans="1:24" x14ac:dyDescent="0.25">
      <c r="A62" s="22" t="s">
        <v>1164</v>
      </c>
      <c r="B62" s="2" t="s">
        <v>1177</v>
      </c>
      <c r="C62" s="2" t="s">
        <v>1191</v>
      </c>
      <c r="D62" s="50" t="s">
        <v>1250</v>
      </c>
      <c r="E62" s="50" t="s">
        <v>1310</v>
      </c>
      <c r="F62" s="24" t="str">
        <f>HYPERLINK("https://mapwv.gov/flood/map/?wkid=102100&amp;x=-8898098.784253214&amp;y=4809760.249054189&amp;l=13&amp;v=2","FT")</f>
        <v>FT</v>
      </c>
      <c r="G62" s="51" t="s">
        <v>32</v>
      </c>
      <c r="H62" s="23" t="s">
        <v>25</v>
      </c>
      <c r="I62" s="2" t="s">
        <v>1368</v>
      </c>
      <c r="J62" s="22" t="s">
        <v>26</v>
      </c>
      <c r="K62" s="51" t="s">
        <v>1057</v>
      </c>
      <c r="L62" s="46" t="s">
        <v>38</v>
      </c>
      <c r="M62" s="50" t="s">
        <v>56</v>
      </c>
      <c r="N62" s="3" t="s">
        <v>35</v>
      </c>
      <c r="O62" s="51" t="s">
        <v>94</v>
      </c>
      <c r="P62" s="50" t="s">
        <v>1433</v>
      </c>
      <c r="Q62" s="2" t="s">
        <v>30</v>
      </c>
      <c r="R62" s="23" t="s">
        <v>95</v>
      </c>
      <c r="S62" s="30">
        <v>428200</v>
      </c>
      <c r="T62" s="2" t="s">
        <v>44</v>
      </c>
      <c r="U62" s="31">
        <v>0.1</v>
      </c>
      <c r="V62" s="31">
        <v>-0.89999999850988299</v>
      </c>
      <c r="W62" s="32">
        <v>2.0000000298023199E-3</v>
      </c>
      <c r="X62" s="33">
        <v>856.40001276135399</v>
      </c>
    </row>
    <row r="63" spans="1:24" x14ac:dyDescent="0.25">
      <c r="A63" s="22" t="s">
        <v>1165</v>
      </c>
      <c r="B63" s="2" t="s">
        <v>1177</v>
      </c>
      <c r="C63" s="2" t="s">
        <v>1191</v>
      </c>
      <c r="D63" s="50" t="s">
        <v>1251</v>
      </c>
      <c r="E63" s="50" t="s">
        <v>1311</v>
      </c>
      <c r="F63" s="24" t="str">
        <f>HYPERLINK("https://mapwv.gov/flood/map/?wkid=102100&amp;x=-8898096.569106666&amp;y=4810585.049675958&amp;l=13&amp;v=2","FT")</f>
        <v>FT</v>
      </c>
      <c r="G63" s="51" t="s">
        <v>32</v>
      </c>
      <c r="H63" s="23" t="s">
        <v>25</v>
      </c>
      <c r="I63" s="2" t="s">
        <v>1369</v>
      </c>
      <c r="J63" s="22" t="s">
        <v>26</v>
      </c>
      <c r="K63" s="51" t="s">
        <v>107</v>
      </c>
      <c r="L63" s="46" t="s">
        <v>27</v>
      </c>
      <c r="M63" s="50" t="s">
        <v>56</v>
      </c>
      <c r="N63" s="3" t="s">
        <v>35</v>
      </c>
      <c r="O63" s="51" t="s">
        <v>94</v>
      </c>
      <c r="P63" s="50" t="s">
        <v>1434</v>
      </c>
      <c r="Q63" s="2" t="s">
        <v>30</v>
      </c>
      <c r="R63" s="23" t="s">
        <v>95</v>
      </c>
      <c r="S63" s="30">
        <v>426800</v>
      </c>
      <c r="T63" s="2" t="s">
        <v>31</v>
      </c>
      <c r="U63" s="31">
        <v>0.1</v>
      </c>
      <c r="V63" s="31">
        <v>-0.89999999850988299</v>
      </c>
      <c r="W63" s="32">
        <v>2.0000000298023199E-3</v>
      </c>
      <c r="X63" s="33">
        <v>853.60001271963097</v>
      </c>
    </row>
    <row r="64" spans="1:24" x14ac:dyDescent="0.25">
      <c r="A64" s="22" t="s">
        <v>1166</v>
      </c>
      <c r="B64" s="2" t="s">
        <v>1177</v>
      </c>
      <c r="C64" s="2" t="s">
        <v>1190</v>
      </c>
      <c r="D64" s="50" t="s">
        <v>1252</v>
      </c>
      <c r="E64" s="50" t="s">
        <v>1312</v>
      </c>
      <c r="F64" s="24" t="str">
        <f>HYPERLINK("https://mapwv.gov/flood/map/?wkid=102100&amp;x=-8890134.476146169&amp;y=4819246.25432538&amp;l=13&amp;v=2","FT")</f>
        <v>FT</v>
      </c>
      <c r="G64" s="51" t="s">
        <v>327</v>
      </c>
      <c r="H64" s="23" t="s">
        <v>25</v>
      </c>
      <c r="I64" s="2" t="s">
        <v>1370</v>
      </c>
      <c r="J64" s="22" t="s">
        <v>36</v>
      </c>
      <c r="K64" s="51" t="s">
        <v>77</v>
      </c>
      <c r="L64" s="46"/>
      <c r="M64" s="50" t="s">
        <v>41</v>
      </c>
      <c r="N64" s="3" t="s">
        <v>42</v>
      </c>
      <c r="O64" s="51" t="s">
        <v>93</v>
      </c>
      <c r="P64" s="50" t="s">
        <v>1435</v>
      </c>
      <c r="Q64" s="2" t="s">
        <v>30</v>
      </c>
      <c r="R64" s="23" t="s">
        <v>95</v>
      </c>
      <c r="S64" s="30">
        <v>416500</v>
      </c>
      <c r="T64" s="2" t="s">
        <v>873</v>
      </c>
      <c r="U64" s="31">
        <v>5.8052130000000002</v>
      </c>
      <c r="V64" s="31">
        <v>4.8052129745483398</v>
      </c>
      <c r="W64" s="32">
        <v>0.51831277847290003</v>
      </c>
      <c r="X64" s="33">
        <v>215877.27223396301</v>
      </c>
    </row>
    <row r="65" spans="1:24" x14ac:dyDescent="0.25">
      <c r="A65" s="22" t="s">
        <v>1167</v>
      </c>
      <c r="B65" s="2" t="s">
        <v>1177</v>
      </c>
      <c r="C65" s="2" t="s">
        <v>1190</v>
      </c>
      <c r="D65" s="50" t="s">
        <v>1252</v>
      </c>
      <c r="E65" s="50" t="s">
        <v>1313</v>
      </c>
      <c r="F65" s="24" t="str">
        <f>HYPERLINK("https://mapwv.gov/flood/map/?wkid=102100&amp;x=-8890090.57786157&amp;y=4819228.385704989&amp;l=13&amp;v=2","FT")</f>
        <v>FT</v>
      </c>
      <c r="G65" s="51" t="s">
        <v>38</v>
      </c>
      <c r="H65" s="23" t="s">
        <v>25</v>
      </c>
      <c r="I65" s="2" t="s">
        <v>1370</v>
      </c>
      <c r="J65" s="22" t="s">
        <v>36</v>
      </c>
      <c r="K65" s="51" t="s">
        <v>77</v>
      </c>
      <c r="L65" s="46"/>
      <c r="M65" s="50" t="s">
        <v>41</v>
      </c>
      <c r="N65" s="3" t="s">
        <v>42</v>
      </c>
      <c r="O65" s="51" t="s">
        <v>93</v>
      </c>
      <c r="P65" s="50" t="s">
        <v>1436</v>
      </c>
      <c r="Q65" s="2" t="s">
        <v>30</v>
      </c>
      <c r="R65" s="23" t="s">
        <v>95</v>
      </c>
      <c r="S65" s="30">
        <v>416500</v>
      </c>
      <c r="T65" s="2" t="s">
        <v>873</v>
      </c>
      <c r="U65" s="31">
        <v>5.8563432999999998</v>
      </c>
      <c r="V65" s="31">
        <v>4.8563432693481401</v>
      </c>
      <c r="W65" s="32">
        <v>0.52138059616088805</v>
      </c>
      <c r="X65" s="33">
        <v>217155.01830100999</v>
      </c>
    </row>
    <row r="66" spans="1:24" x14ac:dyDescent="0.25">
      <c r="A66" s="22" t="s">
        <v>1168</v>
      </c>
      <c r="B66" s="2" t="s">
        <v>1177</v>
      </c>
      <c r="C66" s="2" t="s">
        <v>1190</v>
      </c>
      <c r="D66" s="50" t="s">
        <v>1252</v>
      </c>
      <c r="E66" s="50" t="s">
        <v>1314</v>
      </c>
      <c r="F66" s="24" t="str">
        <f>HYPERLINK("https://mapwv.gov/flood/map/?wkid=102100&amp;x=-8890157.216157787&amp;y=4819288.2469602255&amp;l=13&amp;v=2","FT")</f>
        <v>FT</v>
      </c>
      <c r="G66" s="51" t="s">
        <v>38</v>
      </c>
      <c r="H66" s="23" t="s">
        <v>25</v>
      </c>
      <c r="I66" s="2" t="s">
        <v>1370</v>
      </c>
      <c r="J66" s="22" t="s">
        <v>36</v>
      </c>
      <c r="K66" s="51" t="s">
        <v>77</v>
      </c>
      <c r="L66" s="46"/>
      <c r="M66" s="50" t="s">
        <v>41</v>
      </c>
      <c r="N66" s="3" t="s">
        <v>42</v>
      </c>
      <c r="O66" s="51" t="s">
        <v>93</v>
      </c>
      <c r="P66" s="50" t="s">
        <v>1437</v>
      </c>
      <c r="Q66" s="2" t="s">
        <v>30</v>
      </c>
      <c r="R66" s="23" t="s">
        <v>95</v>
      </c>
      <c r="S66" s="30">
        <v>416500</v>
      </c>
      <c r="T66" s="2" t="s">
        <v>873</v>
      </c>
      <c r="U66" s="31">
        <v>11.817539</v>
      </c>
      <c r="V66" s="31">
        <v>10.8175392150878</v>
      </c>
      <c r="W66" s="32">
        <v>0.74635078430175694</v>
      </c>
      <c r="X66" s="33">
        <v>310855.10166168201</v>
      </c>
    </row>
    <row r="67" spans="1:24" x14ac:dyDescent="0.25">
      <c r="A67" s="22" t="s">
        <v>1169</v>
      </c>
      <c r="B67" s="2" t="s">
        <v>1177</v>
      </c>
      <c r="C67" s="2" t="s">
        <v>1190</v>
      </c>
      <c r="D67" s="50" t="s">
        <v>1252</v>
      </c>
      <c r="E67" s="50" t="s">
        <v>1315</v>
      </c>
      <c r="F67" s="24" t="str">
        <f>HYPERLINK("https://mapwv.gov/flood/map/?wkid=102100&amp;x=-8890184.205234371&amp;y=4819307.22954626&amp;l=13&amp;v=2","FT")</f>
        <v>FT</v>
      </c>
      <c r="G67" s="51" t="s">
        <v>38</v>
      </c>
      <c r="H67" s="23" t="s">
        <v>25</v>
      </c>
      <c r="I67" s="2" t="s">
        <v>1370</v>
      </c>
      <c r="J67" s="22" t="s">
        <v>36</v>
      </c>
      <c r="K67" s="51" t="s">
        <v>77</v>
      </c>
      <c r="L67" s="46"/>
      <c r="M67" s="50" t="s">
        <v>41</v>
      </c>
      <c r="N67" s="3" t="s">
        <v>42</v>
      </c>
      <c r="O67" s="51" t="s">
        <v>93</v>
      </c>
      <c r="P67" s="50" t="s">
        <v>1438</v>
      </c>
      <c r="Q67" s="2" t="s">
        <v>30</v>
      </c>
      <c r="R67" s="23" t="s">
        <v>95</v>
      </c>
      <c r="S67" s="30">
        <v>416500</v>
      </c>
      <c r="T67" s="2" t="s">
        <v>873</v>
      </c>
      <c r="U67" s="31">
        <v>8.3645990000000001</v>
      </c>
      <c r="V67" s="31">
        <v>7.3645992279052699</v>
      </c>
      <c r="W67" s="32">
        <v>0.64458396911621096</v>
      </c>
      <c r="X67" s="33">
        <v>268469.22313690098</v>
      </c>
    </row>
    <row r="68" spans="1:24" x14ac:dyDescent="0.25">
      <c r="A68" s="22" t="s">
        <v>1170</v>
      </c>
      <c r="B68" s="2" t="s">
        <v>1177</v>
      </c>
      <c r="C68" s="2" t="s">
        <v>1190</v>
      </c>
      <c r="D68" s="50" t="s">
        <v>1252</v>
      </c>
      <c r="E68" s="50" t="s">
        <v>1316</v>
      </c>
      <c r="F68" s="24" t="str">
        <f>HYPERLINK("https://mapwv.gov/flood/map/?wkid=102100&amp;x=-8890148.456761016&amp;y=4819272.453236619&amp;l=13&amp;v=2","FT")</f>
        <v>FT</v>
      </c>
      <c r="G68" s="51" t="s">
        <v>38</v>
      </c>
      <c r="H68" s="23" t="s">
        <v>25</v>
      </c>
      <c r="I68" s="2" t="s">
        <v>1370</v>
      </c>
      <c r="J68" s="22" t="s">
        <v>36</v>
      </c>
      <c r="K68" s="51" t="s">
        <v>77</v>
      </c>
      <c r="L68" s="46"/>
      <c r="M68" s="50" t="s">
        <v>41</v>
      </c>
      <c r="N68" s="3" t="s">
        <v>42</v>
      </c>
      <c r="O68" s="51" t="s">
        <v>93</v>
      </c>
      <c r="P68" s="50" t="s">
        <v>1438</v>
      </c>
      <c r="Q68" s="2" t="s">
        <v>30</v>
      </c>
      <c r="R68" s="23" t="s">
        <v>95</v>
      </c>
      <c r="S68" s="30">
        <v>416500</v>
      </c>
      <c r="T68" s="2" t="s">
        <v>873</v>
      </c>
      <c r="U68" s="31">
        <v>8.5838420000000006</v>
      </c>
      <c r="V68" s="31">
        <v>7.5838422775268501</v>
      </c>
      <c r="W68" s="32">
        <v>0.65335369110107389</v>
      </c>
      <c r="X68" s="33">
        <v>272121.812343597</v>
      </c>
    </row>
    <row r="69" spans="1:24" x14ac:dyDescent="0.25">
      <c r="A69" s="22" t="s">
        <v>1171</v>
      </c>
      <c r="B69" s="2" t="s">
        <v>1177</v>
      </c>
      <c r="C69" s="2" t="s">
        <v>1190</v>
      </c>
      <c r="D69" s="50" t="s">
        <v>1252</v>
      </c>
      <c r="E69" s="50" t="s">
        <v>1317</v>
      </c>
      <c r="F69" s="24" t="str">
        <f>HYPERLINK("https://mapwv.gov/flood/map/?wkid=102100&amp;x=-8890032.416433256&amp;y=4819215.495371129&amp;l=13&amp;v=2","FT")</f>
        <v>FT</v>
      </c>
      <c r="G69" s="51" t="s">
        <v>38</v>
      </c>
      <c r="H69" s="23" t="s">
        <v>25</v>
      </c>
      <c r="I69" s="2" t="s">
        <v>1370</v>
      </c>
      <c r="J69" s="22" t="s">
        <v>36</v>
      </c>
      <c r="K69" s="51" t="s">
        <v>77</v>
      </c>
      <c r="L69" s="46"/>
      <c r="M69" s="50" t="s">
        <v>41</v>
      </c>
      <c r="N69" s="3" t="s">
        <v>42</v>
      </c>
      <c r="O69" s="51" t="s">
        <v>93</v>
      </c>
      <c r="P69" s="50" t="s">
        <v>1439</v>
      </c>
      <c r="Q69" s="2" t="s">
        <v>30</v>
      </c>
      <c r="R69" s="23" t="s">
        <v>95</v>
      </c>
      <c r="S69" s="30">
        <v>416500</v>
      </c>
      <c r="T69" s="2" t="s">
        <v>873</v>
      </c>
      <c r="U69" s="31">
        <v>5.8034400000000002</v>
      </c>
      <c r="V69" s="31">
        <v>4.8034400939941397</v>
      </c>
      <c r="W69" s="32">
        <v>0.51820640563964804</v>
      </c>
      <c r="X69" s="33">
        <v>215832.96794891299</v>
      </c>
    </row>
    <row r="70" spans="1:24" x14ac:dyDescent="0.25">
      <c r="A70" s="22" t="s">
        <v>1172</v>
      </c>
      <c r="B70" s="2" t="s">
        <v>1177</v>
      </c>
      <c r="C70" s="2" t="s">
        <v>1190</v>
      </c>
      <c r="D70" s="50" t="s">
        <v>1252</v>
      </c>
      <c r="E70" s="50" t="s">
        <v>1318</v>
      </c>
      <c r="F70" s="24" t="str">
        <f>HYPERLINK("https://mapwv.gov/flood/map/?wkid=102100&amp;x=-8890075.110463602&amp;y=4819221.9286757475&amp;l=13&amp;v=2","FT")</f>
        <v>FT</v>
      </c>
      <c r="G70" s="51" t="s">
        <v>38</v>
      </c>
      <c r="H70" s="23" t="s">
        <v>25</v>
      </c>
      <c r="I70" s="2" t="s">
        <v>1370</v>
      </c>
      <c r="J70" s="22" t="s">
        <v>36</v>
      </c>
      <c r="K70" s="51" t="s">
        <v>77</v>
      </c>
      <c r="L70" s="46"/>
      <c r="M70" s="50" t="s">
        <v>41</v>
      </c>
      <c r="N70" s="3" t="s">
        <v>42</v>
      </c>
      <c r="O70" s="51" t="s">
        <v>93</v>
      </c>
      <c r="P70" s="50" t="s">
        <v>1440</v>
      </c>
      <c r="Q70" s="2" t="s">
        <v>30</v>
      </c>
      <c r="R70" s="23" t="s">
        <v>95</v>
      </c>
      <c r="S70" s="30">
        <v>416500</v>
      </c>
      <c r="T70" s="2" t="s">
        <v>873</v>
      </c>
      <c r="U70" s="31">
        <v>5.3668250000000004</v>
      </c>
      <c r="V70" s="31">
        <v>4.3668251037597603</v>
      </c>
      <c r="W70" s="32">
        <v>0.49200950622558504</v>
      </c>
      <c r="X70" s="33">
        <v>204921.95934295599</v>
      </c>
    </row>
    <row r="71" spans="1:24" x14ac:dyDescent="0.25">
      <c r="A71" s="22" t="s">
        <v>1173</v>
      </c>
      <c r="B71" s="2" t="s">
        <v>1177</v>
      </c>
      <c r="C71" s="2" t="s">
        <v>1197</v>
      </c>
      <c r="D71" s="50" t="s">
        <v>1253</v>
      </c>
      <c r="E71" s="50" t="s">
        <v>1319</v>
      </c>
      <c r="F71" s="24" t="str">
        <f>HYPERLINK("https://mapwv.gov/flood/map/?wkid=102100&amp;x=-8920078.13342944&amp;y=4811008.181752453&amp;l=13&amp;v=2","FT")</f>
        <v>FT</v>
      </c>
      <c r="G71" s="51" t="s">
        <v>327</v>
      </c>
      <c r="H71" s="23" t="s">
        <v>25</v>
      </c>
      <c r="I71" s="2" t="s">
        <v>1371</v>
      </c>
      <c r="J71" s="22" t="s">
        <v>116</v>
      </c>
      <c r="K71" s="51" t="s">
        <v>81</v>
      </c>
      <c r="L71" s="46" t="s">
        <v>27</v>
      </c>
      <c r="M71" s="50" t="s">
        <v>58</v>
      </c>
      <c r="N71" s="3" t="s">
        <v>91</v>
      </c>
      <c r="O71" s="51" t="s">
        <v>93</v>
      </c>
      <c r="P71" s="50" t="s">
        <v>1441</v>
      </c>
      <c r="Q71" s="2" t="s">
        <v>30</v>
      </c>
      <c r="R71" s="23" t="s">
        <v>95</v>
      </c>
      <c r="S71" s="30">
        <v>414100</v>
      </c>
      <c r="T71" s="2" t="s">
        <v>44</v>
      </c>
      <c r="U71" s="31">
        <v>0.26625723000000001</v>
      </c>
      <c r="V71" s="31">
        <v>-0.73374277353286699</v>
      </c>
      <c r="W71" s="32">
        <v>0</v>
      </c>
      <c r="X71" s="33">
        <v>0</v>
      </c>
    </row>
    <row r="72" spans="1:24" x14ac:dyDescent="0.25">
      <c r="A72" s="22" t="s">
        <v>1174</v>
      </c>
      <c r="B72" s="2" t="s">
        <v>1177</v>
      </c>
      <c r="C72" s="2" t="s">
        <v>1198</v>
      </c>
      <c r="D72" s="50" t="s">
        <v>1254</v>
      </c>
      <c r="E72" s="50" t="s">
        <v>1320</v>
      </c>
      <c r="F72" s="24" t="str">
        <f>HYPERLINK("https://mapwv.gov/flood/map/?wkid=102100&amp;x=-8910624.184409387&amp;y=4800107.2978660865&amp;l=13&amp;v=2","FT")</f>
        <v>FT</v>
      </c>
      <c r="G72" s="51" t="s">
        <v>327</v>
      </c>
      <c r="H72" s="23" t="s">
        <v>25</v>
      </c>
      <c r="I72" s="2" t="s">
        <v>1372</v>
      </c>
      <c r="J72" s="22" t="s">
        <v>116</v>
      </c>
      <c r="K72" s="51" t="s">
        <v>390</v>
      </c>
      <c r="L72" s="46" t="s">
        <v>50</v>
      </c>
      <c r="M72" s="50" t="s">
        <v>41</v>
      </c>
      <c r="N72" s="3" t="s">
        <v>42</v>
      </c>
      <c r="O72" s="51" t="s">
        <v>94</v>
      </c>
      <c r="P72" s="50" t="s">
        <v>1442</v>
      </c>
      <c r="Q72" s="2" t="s">
        <v>43</v>
      </c>
      <c r="R72" s="23" t="s">
        <v>96</v>
      </c>
      <c r="S72" s="30">
        <v>409700</v>
      </c>
      <c r="T72" s="2" t="s">
        <v>44</v>
      </c>
      <c r="U72" s="31">
        <v>2.1234467000000001</v>
      </c>
      <c r="V72" s="31">
        <v>-1.87655329704284</v>
      </c>
      <c r="W72" s="32">
        <v>8.7406802177429202E-2</v>
      </c>
      <c r="X72" s="33">
        <v>35810.566852092699</v>
      </c>
    </row>
    <row r="73" spans="1:24" x14ac:dyDescent="0.25">
      <c r="A73" s="22" t="s">
        <v>1175</v>
      </c>
      <c r="B73" s="2" t="s">
        <v>1177</v>
      </c>
      <c r="C73" s="2" t="s">
        <v>1185</v>
      </c>
      <c r="D73" s="50" t="s">
        <v>1255</v>
      </c>
      <c r="E73" s="50" t="s">
        <v>1321</v>
      </c>
      <c r="F73" s="24" t="str">
        <f>HYPERLINK("https://mapwv.gov/flood/map/?wkid=102100&amp;x=-8898344.451897861&amp;y=4816658.288174184&amp;l=13&amp;v=2","FT")</f>
        <v>FT</v>
      </c>
      <c r="G73" s="51" t="s">
        <v>38</v>
      </c>
      <c r="H73" s="23" t="s">
        <v>25</v>
      </c>
      <c r="I73" s="2" t="s">
        <v>1373</v>
      </c>
      <c r="J73" s="22" t="s">
        <v>26</v>
      </c>
      <c r="K73" s="51" t="s">
        <v>1057</v>
      </c>
      <c r="L73" s="46" t="s">
        <v>50</v>
      </c>
      <c r="M73" s="50" t="s">
        <v>41</v>
      </c>
      <c r="N73" s="3" t="s">
        <v>42</v>
      </c>
      <c r="O73" s="51" t="s">
        <v>93</v>
      </c>
      <c r="P73" s="50" t="s">
        <v>1443</v>
      </c>
      <c r="Q73" s="2" t="s">
        <v>30</v>
      </c>
      <c r="R73" s="23" t="s">
        <v>95</v>
      </c>
      <c r="S73" s="30">
        <v>407100</v>
      </c>
      <c r="T73" s="2" t="s">
        <v>44</v>
      </c>
      <c r="U73" s="31">
        <v>0.1</v>
      </c>
      <c r="V73" s="31">
        <v>-0.89999999850988299</v>
      </c>
      <c r="W73" s="32">
        <v>4.0000000149011603E-2</v>
      </c>
      <c r="X73" s="33">
        <v>16284.0000606626</v>
      </c>
    </row>
    <row r="74" spans="1:24" x14ac:dyDescent="0.25">
      <c r="A74" s="22" t="s">
        <v>1176</v>
      </c>
      <c r="B74" s="2" t="s">
        <v>1177</v>
      </c>
      <c r="C74" s="2" t="s">
        <v>1199</v>
      </c>
      <c r="D74" s="50" t="s">
        <v>1256</v>
      </c>
      <c r="E74" s="50" t="s">
        <v>1322</v>
      </c>
      <c r="F74" s="24" t="str">
        <f>HYPERLINK("https://mapwv.gov/flood/map/?wkid=102100&amp;x=-8890989.526053008&amp;y=4811861.930500759&amp;l=13&amp;v=2","FT")</f>
        <v>FT</v>
      </c>
      <c r="G74" s="51" t="s">
        <v>327</v>
      </c>
      <c r="H74" s="23" t="s">
        <v>25</v>
      </c>
      <c r="I74" s="2" t="s">
        <v>1374</v>
      </c>
      <c r="J74" s="22" t="s">
        <v>116</v>
      </c>
      <c r="K74" s="51" t="s">
        <v>84</v>
      </c>
      <c r="L74" s="46" t="s">
        <v>50</v>
      </c>
      <c r="M74" s="50" t="s">
        <v>41</v>
      </c>
      <c r="N74" s="3" t="s">
        <v>42</v>
      </c>
      <c r="O74" s="51" t="s">
        <v>93</v>
      </c>
      <c r="P74" s="50" t="s">
        <v>1444</v>
      </c>
      <c r="Q74" s="2" t="s">
        <v>43</v>
      </c>
      <c r="R74" s="23" t="s">
        <v>96</v>
      </c>
      <c r="S74" s="30">
        <v>405200</v>
      </c>
      <c r="T74" s="2" t="s">
        <v>44</v>
      </c>
      <c r="U74" s="31">
        <v>1.2839824</v>
      </c>
      <c r="V74" s="31">
        <v>-2.7160176038741999</v>
      </c>
      <c r="W74" s="32">
        <v>3.9757535457611001E-2</v>
      </c>
      <c r="X74" s="33">
        <v>16109.753367424</v>
      </c>
    </row>
  </sheetData>
  <hyperlinks>
    <hyperlink ref="J3" r:id="rId1" xr:uid="{8DD88927-08AC-4810-BAB7-8C384980B6E9}"/>
    <hyperlink ref="M3" r:id="rId2" xr:uid="{D4C596AF-75CD-4B2A-8D29-CC3CEF98DF44}"/>
    <hyperlink ref="Q3" r:id="rId3" xr:uid="{86EC8C10-BB8D-4591-BEAA-8827B2079B7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9C62-3C5C-449A-AB63-9869B74AF274}">
  <dimension ref="A1:X50"/>
  <sheetViews>
    <sheetView workbookViewId="0">
      <pane ySplit="6" topLeftCell="A7" activePane="bottomLeft" state="frozen"/>
      <selection pane="bottomLeft" activeCell="C4" sqref="C4"/>
    </sheetView>
  </sheetViews>
  <sheetFormatPr defaultRowHeight="15" x14ac:dyDescent="0.25"/>
  <cols>
    <col min="1" max="1" width="33.85546875" bestFit="1" customWidth="1"/>
    <col min="2" max="2" width="11.28515625" customWidth="1"/>
    <col min="7" max="7" width="11" customWidth="1"/>
    <col min="13" max="13" width="11" customWidth="1"/>
    <col min="14" max="14" width="10.85546875" customWidth="1"/>
    <col min="17" max="17" width="11.28515625" customWidth="1"/>
    <col min="19" max="19" width="21.7109375" bestFit="1" customWidth="1"/>
    <col min="24" max="24" width="12" bestFit="1" customWidth="1"/>
  </cols>
  <sheetData>
    <row r="1" spans="1:24" ht="14.25" customHeight="1" x14ac:dyDescent="0.25">
      <c r="A1" s="4" t="s">
        <v>66</v>
      </c>
      <c r="B1" s="4"/>
      <c r="C1" s="4"/>
      <c r="D1" s="4"/>
      <c r="F1" s="17" t="s">
        <v>67</v>
      </c>
      <c r="G1" s="6"/>
      <c r="H1" s="52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4" x14ac:dyDescent="0.25">
      <c r="A2" s="11">
        <v>44207</v>
      </c>
      <c r="B2" s="12" t="s">
        <v>70</v>
      </c>
      <c r="F2" s="6"/>
      <c r="G2" s="6"/>
      <c r="H2" s="52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4" x14ac:dyDescent="0.25">
      <c r="A3" t="s">
        <v>72</v>
      </c>
      <c r="B3" s="41"/>
      <c r="F3" s="6"/>
      <c r="G3" s="6"/>
      <c r="H3" s="52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4" x14ac:dyDescent="0.25">
      <c r="F4" s="6"/>
      <c r="G4" s="6"/>
      <c r="H4" s="52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25">
      <c r="A5" s="1" t="s">
        <v>1453</v>
      </c>
      <c r="F5" s="6"/>
      <c r="G5" s="6"/>
      <c r="H5" s="52"/>
      <c r="J5" s="6"/>
      <c r="K5" s="6"/>
      <c r="L5" s="6"/>
      <c r="O5" s="6"/>
      <c r="P5" s="6"/>
      <c r="R5" s="6"/>
      <c r="S5" s="34" t="s">
        <v>118</v>
      </c>
      <c r="U5" s="6"/>
      <c r="V5" s="6"/>
      <c r="W5" s="9"/>
      <c r="X5" s="10"/>
    </row>
    <row r="6" spans="1:24" ht="45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25">
      <c r="A7" s="22" t="s">
        <v>1454</v>
      </c>
      <c r="B7" s="2" t="s">
        <v>1498</v>
      </c>
      <c r="C7" s="2" t="s">
        <v>1188</v>
      </c>
      <c r="D7" s="50" t="s">
        <v>1514</v>
      </c>
      <c r="E7" s="50" t="s">
        <v>1552</v>
      </c>
      <c r="F7" s="24" t="str">
        <f>HYPERLINK("https://mapwv.gov/flood/map/?wkid=102100&amp;x=-8868188.073976992&amp;y=4786471.962573144&amp;l=13&amp;v=2","FT")</f>
        <v>FT</v>
      </c>
      <c r="G7" s="46" t="s">
        <v>32</v>
      </c>
      <c r="H7" s="23" t="s">
        <v>25</v>
      </c>
      <c r="I7" s="2" t="s">
        <v>1596</v>
      </c>
      <c r="J7" s="22" t="s">
        <v>36</v>
      </c>
      <c r="K7" s="51" t="s">
        <v>77</v>
      </c>
      <c r="L7" s="46"/>
      <c r="M7" s="50" t="s">
        <v>28</v>
      </c>
      <c r="N7" s="3" t="s">
        <v>90</v>
      </c>
      <c r="O7" s="51" t="s">
        <v>93</v>
      </c>
      <c r="P7" s="50" t="s">
        <v>1634</v>
      </c>
      <c r="Q7" s="50" t="s">
        <v>30</v>
      </c>
      <c r="R7" s="29" t="s">
        <v>95</v>
      </c>
      <c r="S7" s="30">
        <v>276000000</v>
      </c>
      <c r="T7" s="2" t="s">
        <v>44</v>
      </c>
      <c r="U7" s="31">
        <v>2.7519531000000002</v>
      </c>
      <c r="V7" s="31">
        <v>1.751953125</v>
      </c>
      <c r="W7" s="32">
        <v>7.2558593749999997E-2</v>
      </c>
      <c r="X7" s="33">
        <v>20026171.875</v>
      </c>
    </row>
    <row r="8" spans="1:24" x14ac:dyDescent="0.25">
      <c r="A8" s="22" t="s">
        <v>1455</v>
      </c>
      <c r="B8" s="2" t="s">
        <v>1498</v>
      </c>
      <c r="C8" s="2" t="s">
        <v>1503</v>
      </c>
      <c r="D8" s="50" t="s">
        <v>1515</v>
      </c>
      <c r="E8" s="50" t="s">
        <v>1553</v>
      </c>
      <c r="F8" s="24" t="str">
        <f>HYPERLINK("https://mapwv.gov/flood/map/?wkid=102100&amp;x=-8865595.891876606&amp;y=4816257.723992217&amp;l=13&amp;v=2","FT")</f>
        <v>FT</v>
      </c>
      <c r="G8" s="46" t="s">
        <v>32</v>
      </c>
      <c r="H8" s="23" t="s">
        <v>25</v>
      </c>
      <c r="I8" s="2" t="s">
        <v>1597</v>
      </c>
      <c r="J8" s="22" t="s">
        <v>26</v>
      </c>
      <c r="K8" s="51" t="s">
        <v>106</v>
      </c>
      <c r="L8" s="46"/>
      <c r="M8" s="50" t="s">
        <v>60</v>
      </c>
      <c r="N8" s="3" t="s">
        <v>89</v>
      </c>
      <c r="O8" s="51" t="s">
        <v>93</v>
      </c>
      <c r="P8" s="50" t="s">
        <v>1635</v>
      </c>
      <c r="Q8" s="50" t="s">
        <v>30</v>
      </c>
      <c r="R8" s="29" t="s">
        <v>95</v>
      </c>
      <c r="S8" s="30">
        <v>16875200</v>
      </c>
      <c r="T8" s="2" t="s">
        <v>44</v>
      </c>
      <c r="U8" s="31">
        <v>0.20300293</v>
      </c>
      <c r="V8" s="31">
        <v>-0.7969970703125</v>
      </c>
      <c r="W8" s="32">
        <v>0</v>
      </c>
      <c r="X8" s="33">
        <v>0</v>
      </c>
    </row>
    <row r="9" spans="1:24" x14ac:dyDescent="0.25">
      <c r="A9" s="22" t="s">
        <v>1456</v>
      </c>
      <c r="B9" s="2" t="s">
        <v>1498</v>
      </c>
      <c r="C9" s="2" t="s">
        <v>1188</v>
      </c>
      <c r="D9" s="50" t="s">
        <v>1516</v>
      </c>
      <c r="E9" s="50" t="s">
        <v>1554</v>
      </c>
      <c r="F9" s="24" t="str">
        <f>HYPERLINK("https://mapwv.gov/flood/map/?wkid=102100&amp;x=-8865082.85296015&amp;y=4791918.721296834&amp;l=13&amp;v=2","FT")</f>
        <v>FT</v>
      </c>
      <c r="G9" s="46" t="s">
        <v>32</v>
      </c>
      <c r="H9" s="23" t="s">
        <v>25</v>
      </c>
      <c r="I9" s="2" t="s">
        <v>1323</v>
      </c>
      <c r="J9" s="22" t="s">
        <v>26</v>
      </c>
      <c r="K9" s="51" t="s">
        <v>99</v>
      </c>
      <c r="L9" s="46" t="s">
        <v>53</v>
      </c>
      <c r="M9" s="50" t="s">
        <v>56</v>
      </c>
      <c r="N9" s="3" t="s">
        <v>35</v>
      </c>
      <c r="O9" s="51" t="s">
        <v>93</v>
      </c>
      <c r="P9" s="50" t="s">
        <v>1636</v>
      </c>
      <c r="Q9" s="50" t="s">
        <v>30</v>
      </c>
      <c r="R9" s="29" t="s">
        <v>95</v>
      </c>
      <c r="S9" s="30">
        <v>2739800</v>
      </c>
      <c r="T9" s="2" t="s">
        <v>31</v>
      </c>
      <c r="U9" s="31">
        <v>1.0875243999999999</v>
      </c>
      <c r="V9" s="31">
        <v>8.75244140625E-2</v>
      </c>
      <c r="W9" s="32">
        <v>2.7877197265625001E-2</v>
      </c>
      <c r="X9" s="33">
        <v>76377.945068359302</v>
      </c>
    </row>
    <row r="10" spans="1:24" x14ac:dyDescent="0.25">
      <c r="A10" s="22" t="s">
        <v>1457</v>
      </c>
      <c r="B10" s="2" t="s">
        <v>1498</v>
      </c>
      <c r="C10" s="2" t="s">
        <v>1184</v>
      </c>
      <c r="D10" s="50" t="s">
        <v>1517</v>
      </c>
      <c r="E10" s="50" t="s">
        <v>1555</v>
      </c>
      <c r="F10" s="24" t="str">
        <f>HYPERLINK("https://mapwv.gov/flood/map/?wkid=102100&amp;x=-8884448.771037621&amp;y=4796786.237303484&amp;l=13&amp;v=2","FT")</f>
        <v>FT</v>
      </c>
      <c r="G10" s="46" t="s">
        <v>32</v>
      </c>
      <c r="H10" s="23" t="s">
        <v>25</v>
      </c>
      <c r="I10" s="2" t="s">
        <v>1598</v>
      </c>
      <c r="J10" s="22" t="s">
        <v>36</v>
      </c>
      <c r="K10" s="51" t="s">
        <v>77</v>
      </c>
      <c r="L10" s="46"/>
      <c r="M10" s="50" t="s">
        <v>56</v>
      </c>
      <c r="N10" s="3" t="s">
        <v>35</v>
      </c>
      <c r="O10" s="51" t="s">
        <v>93</v>
      </c>
      <c r="P10" s="50" t="s">
        <v>1435</v>
      </c>
      <c r="Q10" s="50" t="s">
        <v>30</v>
      </c>
      <c r="R10" s="29" t="s">
        <v>95</v>
      </c>
      <c r="S10" s="30">
        <v>2295500</v>
      </c>
      <c r="T10" s="2" t="s">
        <v>44</v>
      </c>
      <c r="U10" s="31">
        <v>3.6</v>
      </c>
      <c r="V10" s="31">
        <v>2.5999999046325599</v>
      </c>
      <c r="W10" s="32">
        <v>0.195999994277954</v>
      </c>
      <c r="X10" s="33">
        <v>449917.986865043</v>
      </c>
    </row>
    <row r="11" spans="1:24" x14ac:dyDescent="0.25">
      <c r="A11" s="22" t="s">
        <v>1458</v>
      </c>
      <c r="B11" s="2" t="s">
        <v>1498</v>
      </c>
      <c r="C11" s="2" t="s">
        <v>1504</v>
      </c>
      <c r="D11" s="50" t="s">
        <v>1518</v>
      </c>
      <c r="E11" s="50" t="s">
        <v>1556</v>
      </c>
      <c r="F11" s="24" t="str">
        <f>HYPERLINK("https://mapwv.gov/flood/map/?wkid=102100&amp;x=-8885841.189069588&amp;y=4768996.055304793&amp;l=13&amp;v=2","FT")</f>
        <v>FT</v>
      </c>
      <c r="G11" s="46" t="s">
        <v>38</v>
      </c>
      <c r="H11" s="23" t="s">
        <v>25</v>
      </c>
      <c r="I11" s="2" t="s">
        <v>59</v>
      </c>
      <c r="J11" s="22" t="s">
        <v>39</v>
      </c>
      <c r="K11" s="51" t="s">
        <v>110</v>
      </c>
      <c r="L11" s="46"/>
      <c r="M11" s="50" t="s">
        <v>60</v>
      </c>
      <c r="N11" s="3" t="s">
        <v>89</v>
      </c>
      <c r="O11" s="51" t="s">
        <v>93</v>
      </c>
      <c r="P11" s="50" t="s">
        <v>1637</v>
      </c>
      <c r="Q11" s="50" t="s">
        <v>52</v>
      </c>
      <c r="R11" s="29" t="s">
        <v>1674</v>
      </c>
      <c r="S11" s="30">
        <v>1327600</v>
      </c>
      <c r="T11" s="2" t="s">
        <v>44</v>
      </c>
      <c r="U11" s="31">
        <v>1.5709949999999999</v>
      </c>
      <c r="V11" s="31">
        <v>-2.0290050268173201</v>
      </c>
      <c r="W11" s="32">
        <v>0</v>
      </c>
      <c r="X11" s="33">
        <v>0</v>
      </c>
    </row>
    <row r="12" spans="1:24" x14ac:dyDescent="0.25">
      <c r="A12" s="22" t="s">
        <v>1459</v>
      </c>
      <c r="B12" s="2" t="s">
        <v>1498</v>
      </c>
      <c r="C12" s="2" t="s">
        <v>1188</v>
      </c>
      <c r="D12" s="50" t="s">
        <v>1519</v>
      </c>
      <c r="E12" s="50" t="s">
        <v>1557</v>
      </c>
      <c r="F12" s="24" t="str">
        <f>HYPERLINK("https://mapwv.gov/flood/map/?wkid=102100&amp;x=-8869518.418702425&amp;y=4785987.454804514&amp;l=13&amp;v=2","FT")</f>
        <v>FT</v>
      </c>
      <c r="G12" s="46" t="s">
        <v>32</v>
      </c>
      <c r="H12" s="23" t="s">
        <v>25</v>
      </c>
      <c r="I12" s="2" t="s">
        <v>1599</v>
      </c>
      <c r="J12" s="22" t="s">
        <v>36</v>
      </c>
      <c r="K12" s="51" t="s">
        <v>77</v>
      </c>
      <c r="L12" s="46"/>
      <c r="M12" s="50" t="s">
        <v>28</v>
      </c>
      <c r="N12" s="3" t="s">
        <v>90</v>
      </c>
      <c r="O12" s="51" t="s">
        <v>93</v>
      </c>
      <c r="P12" s="50" t="s">
        <v>1638</v>
      </c>
      <c r="Q12" s="50" t="s">
        <v>30</v>
      </c>
      <c r="R12" s="29" t="s">
        <v>95</v>
      </c>
      <c r="S12" s="30">
        <v>1090909</v>
      </c>
      <c r="T12" s="2" t="s">
        <v>31</v>
      </c>
      <c r="U12" s="31">
        <v>5.4320069999999996</v>
      </c>
      <c r="V12" s="31">
        <v>4.4320068359375</v>
      </c>
      <c r="W12" s="32">
        <v>0.14000000000000001</v>
      </c>
      <c r="X12" s="33">
        <v>152727.26</v>
      </c>
    </row>
    <row r="13" spans="1:24" x14ac:dyDescent="0.25">
      <c r="A13" s="22" t="s">
        <v>1460</v>
      </c>
      <c r="B13" s="2" t="s">
        <v>1498</v>
      </c>
      <c r="C13" s="2" t="s">
        <v>1188</v>
      </c>
      <c r="D13" s="50" t="s">
        <v>1519</v>
      </c>
      <c r="E13" s="50" t="s">
        <v>1558</v>
      </c>
      <c r="F13" s="24" t="str">
        <f>HYPERLINK("https://mapwv.gov/flood/map/?wkid=102100&amp;x=-8869515.73434422&amp;y=4786110.442563188&amp;l=13&amp;v=2","FT")</f>
        <v>FT</v>
      </c>
      <c r="G13" s="46" t="s">
        <v>32</v>
      </c>
      <c r="H13" s="23" t="s">
        <v>25</v>
      </c>
      <c r="I13" s="2" t="s">
        <v>1599</v>
      </c>
      <c r="J13" s="22" t="s">
        <v>36</v>
      </c>
      <c r="K13" s="51" t="s">
        <v>77</v>
      </c>
      <c r="L13" s="46"/>
      <c r="M13" s="50" t="s">
        <v>28</v>
      </c>
      <c r="N13" s="3" t="s">
        <v>90</v>
      </c>
      <c r="O13" s="51" t="s">
        <v>93</v>
      </c>
      <c r="P13" s="50" t="s">
        <v>1639</v>
      </c>
      <c r="Q13" s="50" t="s">
        <v>30</v>
      </c>
      <c r="R13" s="29" t="s">
        <v>95</v>
      </c>
      <c r="S13" s="30">
        <v>1090909</v>
      </c>
      <c r="T13" s="2" t="s">
        <v>31</v>
      </c>
      <c r="U13" s="31">
        <v>2.5751952999999999</v>
      </c>
      <c r="V13" s="31">
        <v>1.5751953125</v>
      </c>
      <c r="W13" s="32">
        <v>6.7255859375000004E-2</v>
      </c>
      <c r="X13" s="33">
        <v>73370.0222949218</v>
      </c>
    </row>
    <row r="14" spans="1:24" x14ac:dyDescent="0.25">
      <c r="A14" s="22" t="s">
        <v>1461</v>
      </c>
      <c r="B14" s="2" t="s">
        <v>1498</v>
      </c>
      <c r="C14" s="2" t="s">
        <v>1188</v>
      </c>
      <c r="D14" s="50" t="s">
        <v>1519</v>
      </c>
      <c r="E14" s="50" t="s">
        <v>1559</v>
      </c>
      <c r="F14" s="24" t="str">
        <f>HYPERLINK("https://mapwv.gov/flood/map/?wkid=102100&amp;x=-8869382.899022248&amp;y=4786308.055160019&amp;l=13&amp;v=2","FT")</f>
        <v>FT</v>
      </c>
      <c r="G14" s="46" t="s">
        <v>32</v>
      </c>
      <c r="H14" s="23" t="s">
        <v>25</v>
      </c>
      <c r="I14" s="2" t="s">
        <v>1599</v>
      </c>
      <c r="J14" s="22" t="s">
        <v>36</v>
      </c>
      <c r="K14" s="51" t="s">
        <v>77</v>
      </c>
      <c r="L14" s="46"/>
      <c r="M14" s="50" t="s">
        <v>28</v>
      </c>
      <c r="N14" s="3" t="s">
        <v>90</v>
      </c>
      <c r="O14" s="51" t="s">
        <v>93</v>
      </c>
      <c r="P14" s="50" t="s">
        <v>1640</v>
      </c>
      <c r="Q14" s="50" t="s">
        <v>30</v>
      </c>
      <c r="R14" s="29" t="s">
        <v>95</v>
      </c>
      <c r="S14" s="30">
        <v>1090909</v>
      </c>
      <c r="T14" s="2" t="s">
        <v>31</v>
      </c>
      <c r="U14" s="31">
        <v>3.3049316000000002</v>
      </c>
      <c r="V14" s="31">
        <v>2.304931640625</v>
      </c>
      <c r="W14" s="32">
        <v>9.5246582031249999E-2</v>
      </c>
      <c r="X14" s="33">
        <v>103905.35355712799</v>
      </c>
    </row>
    <row r="15" spans="1:24" x14ac:dyDescent="0.25">
      <c r="A15" s="22" t="s">
        <v>1462</v>
      </c>
      <c r="B15" s="2" t="s">
        <v>1498</v>
      </c>
      <c r="C15" s="2" t="s">
        <v>1188</v>
      </c>
      <c r="D15" s="50" t="s">
        <v>1519</v>
      </c>
      <c r="E15" s="50" t="s">
        <v>1560</v>
      </c>
      <c r="F15" s="24" t="str">
        <f>HYPERLINK("https://mapwv.gov/flood/map/?wkid=102100&amp;x=-8869395.046316406&amp;y=4786340.806154343&amp;l=13&amp;v=2","FT")</f>
        <v>FT</v>
      </c>
      <c r="G15" s="46" t="s">
        <v>32</v>
      </c>
      <c r="H15" s="23" t="s">
        <v>25</v>
      </c>
      <c r="I15" s="2" t="s">
        <v>1599</v>
      </c>
      <c r="J15" s="22" t="s">
        <v>36</v>
      </c>
      <c r="K15" s="51" t="s">
        <v>77</v>
      </c>
      <c r="L15" s="46"/>
      <c r="M15" s="50" t="s">
        <v>28</v>
      </c>
      <c r="N15" s="3" t="s">
        <v>90</v>
      </c>
      <c r="O15" s="51" t="s">
        <v>93</v>
      </c>
      <c r="P15" s="50" t="s">
        <v>1641</v>
      </c>
      <c r="Q15" s="50" t="s">
        <v>30</v>
      </c>
      <c r="R15" s="29" t="s">
        <v>95</v>
      </c>
      <c r="S15" s="30">
        <v>1090909</v>
      </c>
      <c r="T15" s="2" t="s">
        <v>31</v>
      </c>
      <c r="U15" s="31">
        <v>3.1325683999999998</v>
      </c>
      <c r="V15" s="31">
        <v>2.132568359375</v>
      </c>
      <c r="W15" s="32">
        <v>8.6628417968749996E-2</v>
      </c>
      <c r="X15" s="33">
        <v>94503.720817870999</v>
      </c>
    </row>
    <row r="16" spans="1:24" x14ac:dyDescent="0.25">
      <c r="A16" s="22" t="s">
        <v>1463</v>
      </c>
      <c r="B16" s="2" t="s">
        <v>1498</v>
      </c>
      <c r="C16" s="2" t="s">
        <v>1188</v>
      </c>
      <c r="D16" s="50" t="s">
        <v>1519</v>
      </c>
      <c r="E16" s="50" t="s">
        <v>1561</v>
      </c>
      <c r="F16" s="24" t="str">
        <f>HYPERLINK("https://mapwv.gov/flood/map/?wkid=102100&amp;x=-8869134.798156172&amp;y=4786176.214679137&amp;l=13&amp;v=2","FT")</f>
        <v>FT</v>
      </c>
      <c r="G16" s="46" t="s">
        <v>32</v>
      </c>
      <c r="H16" s="23" t="s">
        <v>25</v>
      </c>
      <c r="I16" s="2" t="s">
        <v>1599</v>
      </c>
      <c r="J16" s="22" t="s">
        <v>36</v>
      </c>
      <c r="K16" s="51" t="s">
        <v>77</v>
      </c>
      <c r="L16" s="46"/>
      <c r="M16" s="50" t="s">
        <v>28</v>
      </c>
      <c r="N16" s="3" t="s">
        <v>90</v>
      </c>
      <c r="O16" s="51" t="s">
        <v>93</v>
      </c>
      <c r="P16" s="50" t="s">
        <v>1642</v>
      </c>
      <c r="Q16" s="50" t="s">
        <v>30</v>
      </c>
      <c r="R16" s="29" t="s">
        <v>95</v>
      </c>
      <c r="S16" s="30">
        <v>1090909</v>
      </c>
      <c r="T16" s="2" t="s">
        <v>31</v>
      </c>
      <c r="U16" s="31">
        <v>9.342651</v>
      </c>
      <c r="V16" s="31">
        <v>8.3426513671875</v>
      </c>
      <c r="W16" s="32">
        <v>0.20027954101562501</v>
      </c>
      <c r="X16" s="33">
        <v>218486.75380981399</v>
      </c>
    </row>
    <row r="17" spans="1:24" x14ac:dyDescent="0.25">
      <c r="A17" s="22" t="s">
        <v>1464</v>
      </c>
      <c r="B17" s="2" t="s">
        <v>1498</v>
      </c>
      <c r="C17" s="2" t="s">
        <v>1188</v>
      </c>
      <c r="D17" s="50" t="s">
        <v>1519</v>
      </c>
      <c r="E17" s="50" t="s">
        <v>1562</v>
      </c>
      <c r="F17" s="24" t="str">
        <f>HYPERLINK("https://mapwv.gov/flood/map/?wkid=102100&amp;x=-8868913.25155275&amp;y=4786715.032064726&amp;l=13&amp;v=2","FT")</f>
        <v>FT</v>
      </c>
      <c r="G17" s="46" t="s">
        <v>32</v>
      </c>
      <c r="H17" s="23" t="s">
        <v>25</v>
      </c>
      <c r="I17" s="2" t="s">
        <v>1599</v>
      </c>
      <c r="J17" s="22" t="s">
        <v>36</v>
      </c>
      <c r="K17" s="51" t="s">
        <v>77</v>
      </c>
      <c r="L17" s="46"/>
      <c r="M17" s="50" t="s">
        <v>28</v>
      </c>
      <c r="N17" s="3" t="s">
        <v>90</v>
      </c>
      <c r="O17" s="51" t="s">
        <v>93</v>
      </c>
      <c r="P17" s="50" t="s">
        <v>1643</v>
      </c>
      <c r="Q17" s="50" t="s">
        <v>30</v>
      </c>
      <c r="R17" s="29" t="s">
        <v>95</v>
      </c>
      <c r="S17" s="30">
        <v>1090909</v>
      </c>
      <c r="T17" s="2" t="s">
        <v>31</v>
      </c>
      <c r="U17" s="31">
        <v>12.373169000000001</v>
      </c>
      <c r="V17" s="31">
        <v>11.3731689453125</v>
      </c>
      <c r="W17" s="32">
        <v>0.33239013671875001</v>
      </c>
      <c r="X17" s="33">
        <v>362607.39165771398</v>
      </c>
    </row>
    <row r="18" spans="1:24" x14ac:dyDescent="0.25">
      <c r="A18" s="22" t="s">
        <v>1465</v>
      </c>
      <c r="B18" s="2" t="s">
        <v>1498</v>
      </c>
      <c r="C18" s="2" t="s">
        <v>1188</v>
      </c>
      <c r="D18" s="50" t="s">
        <v>1519</v>
      </c>
      <c r="E18" s="50" t="s">
        <v>1563</v>
      </c>
      <c r="F18" s="24" t="str">
        <f>HYPERLINK("https://mapwv.gov/flood/map/?wkid=102100&amp;x=-8869416.31412776&amp;y=4786220.637814073&amp;l=13&amp;v=2","FT")</f>
        <v>FT</v>
      </c>
      <c r="G18" s="46" t="s">
        <v>32</v>
      </c>
      <c r="H18" s="23" t="s">
        <v>25</v>
      </c>
      <c r="I18" s="2" t="s">
        <v>1599</v>
      </c>
      <c r="J18" s="22" t="s">
        <v>36</v>
      </c>
      <c r="K18" s="51" t="s">
        <v>77</v>
      </c>
      <c r="L18" s="46"/>
      <c r="M18" s="50" t="s">
        <v>28</v>
      </c>
      <c r="N18" s="3" t="s">
        <v>90</v>
      </c>
      <c r="O18" s="51" t="s">
        <v>93</v>
      </c>
      <c r="P18" s="50" t="s">
        <v>1644</v>
      </c>
      <c r="Q18" s="50" t="s">
        <v>30</v>
      </c>
      <c r="R18" s="29" t="s">
        <v>95</v>
      </c>
      <c r="S18" s="30">
        <v>1090909</v>
      </c>
      <c r="T18" s="2" t="s">
        <v>31</v>
      </c>
      <c r="U18" s="31">
        <v>3.0816650000000001</v>
      </c>
      <c r="V18" s="31">
        <v>2.0816650390625</v>
      </c>
      <c r="W18" s="32">
        <v>8.4083251953124993E-2</v>
      </c>
      <c r="X18" s="33">
        <v>91727.176304931607</v>
      </c>
    </row>
    <row r="19" spans="1:24" x14ac:dyDescent="0.25">
      <c r="A19" s="22" t="s">
        <v>1466</v>
      </c>
      <c r="B19" s="2" t="s">
        <v>1499</v>
      </c>
      <c r="C19" s="2" t="s">
        <v>1188</v>
      </c>
      <c r="D19" s="50" t="s">
        <v>1520</v>
      </c>
      <c r="E19" s="50" t="s">
        <v>1564</v>
      </c>
      <c r="F19" s="24" t="str">
        <f>HYPERLINK("https://mapwv.gov/flood/map/?wkid=102100&amp;x=-8868626.574252972&amp;y=4771293.18361608&amp;l=13&amp;v=2","FT")</f>
        <v>FT</v>
      </c>
      <c r="G19" s="46" t="s">
        <v>32</v>
      </c>
      <c r="H19" s="23" t="s">
        <v>25</v>
      </c>
      <c r="I19" s="2" t="s">
        <v>1600</v>
      </c>
      <c r="J19" s="22" t="s">
        <v>116</v>
      </c>
      <c r="K19" s="51" t="s">
        <v>1630</v>
      </c>
      <c r="L19" s="46"/>
      <c r="M19" s="50" t="s">
        <v>56</v>
      </c>
      <c r="N19" s="3" t="s">
        <v>35</v>
      </c>
      <c r="O19" s="51" t="s">
        <v>93</v>
      </c>
      <c r="P19" s="50" t="s">
        <v>1645</v>
      </c>
      <c r="Q19" s="50" t="s">
        <v>30</v>
      </c>
      <c r="R19" s="29" t="s">
        <v>95</v>
      </c>
      <c r="S19" s="30">
        <v>1000000</v>
      </c>
      <c r="T19" s="2" t="s">
        <v>44</v>
      </c>
      <c r="U19" s="31">
        <v>7.2242430000000004</v>
      </c>
      <c r="V19" s="31">
        <v>6.2242431640625</v>
      </c>
      <c r="W19" s="32">
        <v>0.38672729492187502</v>
      </c>
      <c r="X19" s="33">
        <v>386727.294921875</v>
      </c>
    </row>
    <row r="20" spans="1:24" x14ac:dyDescent="0.25">
      <c r="A20" s="22" t="s">
        <v>1467</v>
      </c>
      <c r="B20" s="2" t="s">
        <v>1498</v>
      </c>
      <c r="C20" s="2" t="s">
        <v>1188</v>
      </c>
      <c r="D20" s="50" t="s">
        <v>1521</v>
      </c>
      <c r="E20" s="50" t="s">
        <v>1565</v>
      </c>
      <c r="F20" s="24" t="str">
        <f>HYPERLINK("https://mapwv.gov/flood/map/?wkid=102100&amp;x=-8866973.807539273&amp;y=4787582.959805094&amp;l=13&amp;v=2","FT")</f>
        <v>FT</v>
      </c>
      <c r="G20" s="46" t="s">
        <v>32</v>
      </c>
      <c r="H20" s="23" t="s">
        <v>25</v>
      </c>
      <c r="I20" s="2" t="s">
        <v>1601</v>
      </c>
      <c r="J20" s="22" t="s">
        <v>36</v>
      </c>
      <c r="K20" s="51" t="s">
        <v>77</v>
      </c>
      <c r="L20" s="46" t="s">
        <v>46</v>
      </c>
      <c r="M20" s="50" t="s">
        <v>51</v>
      </c>
      <c r="N20" s="3" t="s">
        <v>35</v>
      </c>
      <c r="O20" s="51" t="s">
        <v>93</v>
      </c>
      <c r="P20" s="50" t="s">
        <v>1646</v>
      </c>
      <c r="Q20" s="50" t="s">
        <v>30</v>
      </c>
      <c r="R20" s="29" t="s">
        <v>95</v>
      </c>
      <c r="S20" s="30">
        <v>954800</v>
      </c>
      <c r="T20" s="2" t="s">
        <v>31</v>
      </c>
      <c r="U20" s="31">
        <v>7.5490722999999997</v>
      </c>
      <c r="V20" s="31">
        <v>6.549072265625</v>
      </c>
      <c r="W20" s="32">
        <v>0.1909814453125</v>
      </c>
      <c r="X20" s="33">
        <v>182349.083984375</v>
      </c>
    </row>
    <row r="21" spans="1:24" x14ac:dyDescent="0.25">
      <c r="A21" s="22" t="s">
        <v>1468</v>
      </c>
      <c r="B21" s="2" t="s">
        <v>1498</v>
      </c>
      <c r="C21" s="2" t="s">
        <v>1188</v>
      </c>
      <c r="D21" s="50" t="s">
        <v>1522</v>
      </c>
      <c r="E21" s="50" t="s">
        <v>1566</v>
      </c>
      <c r="F21" s="24" t="str">
        <f>HYPERLINK("https://mapwv.gov/flood/map/?wkid=102100&amp;x=-8866306.194274083&amp;y=4788650.24927007&amp;l=13&amp;v=2","FT")</f>
        <v>FT</v>
      </c>
      <c r="G21" s="46" t="s">
        <v>32</v>
      </c>
      <c r="H21" s="23" t="s">
        <v>25</v>
      </c>
      <c r="I21" s="2" t="s">
        <v>1602</v>
      </c>
      <c r="J21" s="22" t="s">
        <v>26</v>
      </c>
      <c r="K21" s="51" t="s">
        <v>400</v>
      </c>
      <c r="L21" s="46" t="s">
        <v>37</v>
      </c>
      <c r="M21" s="50" t="s">
        <v>88</v>
      </c>
      <c r="N21" s="3" t="s">
        <v>92</v>
      </c>
      <c r="O21" s="51" t="s">
        <v>94</v>
      </c>
      <c r="P21" s="50" t="s">
        <v>1647</v>
      </c>
      <c r="Q21" s="50" t="s">
        <v>30</v>
      </c>
      <c r="R21" s="29" t="s">
        <v>95</v>
      </c>
      <c r="S21" s="30">
        <v>936200</v>
      </c>
      <c r="T21" s="2" t="s">
        <v>31</v>
      </c>
      <c r="U21" s="31">
        <v>7.3133545</v>
      </c>
      <c r="V21" s="31">
        <v>6.3133544921875</v>
      </c>
      <c r="W21" s="32">
        <v>0.27253417968749999</v>
      </c>
      <c r="X21" s="33">
        <v>255146.49902343701</v>
      </c>
    </row>
    <row r="22" spans="1:24" x14ac:dyDescent="0.25">
      <c r="A22" s="22" t="s">
        <v>1469</v>
      </c>
      <c r="B22" s="2" t="s">
        <v>1498</v>
      </c>
      <c r="C22" s="2" t="s">
        <v>1184</v>
      </c>
      <c r="D22" s="50" t="s">
        <v>1523</v>
      </c>
      <c r="E22" s="50" t="s">
        <v>1567</v>
      </c>
      <c r="F22" s="24" t="str">
        <f>HYPERLINK("https://mapwv.gov/flood/map/?wkid=102100&amp;x=-8884683.977655763&amp;y=4796092.605847042&amp;l=13&amp;v=2","FT")</f>
        <v>FT</v>
      </c>
      <c r="G22" s="46" t="s">
        <v>32</v>
      </c>
      <c r="H22" s="23" t="s">
        <v>25</v>
      </c>
      <c r="I22" s="2" t="s">
        <v>1603</v>
      </c>
      <c r="J22" s="22" t="s">
        <v>26</v>
      </c>
      <c r="K22" s="51" t="s">
        <v>80</v>
      </c>
      <c r="L22" s="46" t="s">
        <v>27</v>
      </c>
      <c r="M22" s="50" t="s">
        <v>63</v>
      </c>
      <c r="N22" s="3" t="s">
        <v>35</v>
      </c>
      <c r="O22" s="51" t="s">
        <v>93</v>
      </c>
      <c r="P22" s="50" t="s">
        <v>1648</v>
      </c>
      <c r="Q22" s="50" t="s">
        <v>30</v>
      </c>
      <c r="R22" s="29" t="s">
        <v>95</v>
      </c>
      <c r="S22" s="30">
        <v>661800</v>
      </c>
      <c r="T22" s="2" t="s">
        <v>44</v>
      </c>
      <c r="U22" s="31">
        <v>7.4</v>
      </c>
      <c r="V22" s="31">
        <v>6.4000000953674299</v>
      </c>
      <c r="W22" s="32">
        <v>0.20200000286102199</v>
      </c>
      <c r="X22" s="33">
        <v>133683.60189342499</v>
      </c>
    </row>
    <row r="23" spans="1:24" x14ac:dyDescent="0.25">
      <c r="A23" s="22" t="s">
        <v>1470</v>
      </c>
      <c r="B23" s="2" t="s">
        <v>1500</v>
      </c>
      <c r="C23" s="2" t="s">
        <v>1503</v>
      </c>
      <c r="D23" s="50" t="s">
        <v>1524</v>
      </c>
      <c r="E23" s="50" t="s">
        <v>1568</v>
      </c>
      <c r="F23" s="24" t="str">
        <f>HYPERLINK("https://mapwv.gov/flood/map/?wkid=102100&amp;x=-8865477.405970955&amp;y=4816462.300630737&amp;l=13&amp;v=2","FT")</f>
        <v>FT</v>
      </c>
      <c r="G23" s="46" t="s">
        <v>32</v>
      </c>
      <c r="H23" s="23" t="s">
        <v>25</v>
      </c>
      <c r="I23" s="2" t="s">
        <v>1604</v>
      </c>
      <c r="J23" s="22" t="s">
        <v>39</v>
      </c>
      <c r="K23" s="51" t="s">
        <v>391</v>
      </c>
      <c r="L23" s="46" t="s">
        <v>57</v>
      </c>
      <c r="M23" s="50" t="s">
        <v>796</v>
      </c>
      <c r="N23" s="3" t="s">
        <v>35</v>
      </c>
      <c r="O23" s="51" t="s">
        <v>94</v>
      </c>
      <c r="P23" s="50" t="s">
        <v>1649</v>
      </c>
      <c r="Q23" s="50" t="s">
        <v>30</v>
      </c>
      <c r="R23" s="29" t="s">
        <v>95</v>
      </c>
      <c r="S23" s="30">
        <v>554800</v>
      </c>
      <c r="T23" s="2" t="s">
        <v>31</v>
      </c>
      <c r="U23" s="31">
        <v>0.18261719000000001</v>
      </c>
      <c r="V23" s="31">
        <v>-0.8173828125</v>
      </c>
      <c r="W23" s="32">
        <v>0</v>
      </c>
      <c r="X23" s="33">
        <v>0</v>
      </c>
    </row>
    <row r="24" spans="1:24" x14ac:dyDescent="0.25">
      <c r="A24" s="22" t="s">
        <v>1471</v>
      </c>
      <c r="B24" s="2" t="s">
        <v>1498</v>
      </c>
      <c r="C24" s="2" t="s">
        <v>1184</v>
      </c>
      <c r="D24" s="50" t="s">
        <v>1525</v>
      </c>
      <c r="E24" s="50" t="s">
        <v>1569</v>
      </c>
      <c r="F24" s="24" t="str">
        <f>HYPERLINK("https://mapwv.gov/flood/map/?wkid=102100&amp;x=-8884205.065844279&amp;y=4795872.356841056&amp;l=13&amp;v=2","FT")</f>
        <v>FT</v>
      </c>
      <c r="G24" s="46" t="s">
        <v>32</v>
      </c>
      <c r="H24" s="23" t="s">
        <v>25</v>
      </c>
      <c r="I24" s="2" t="s">
        <v>1605</v>
      </c>
      <c r="J24" s="22" t="s">
        <v>26</v>
      </c>
      <c r="K24" s="51" t="s">
        <v>100</v>
      </c>
      <c r="L24" s="46" t="s">
        <v>57</v>
      </c>
      <c r="M24" s="50" t="s">
        <v>58</v>
      </c>
      <c r="N24" s="3" t="s">
        <v>91</v>
      </c>
      <c r="O24" s="51" t="s">
        <v>94</v>
      </c>
      <c r="P24" s="50" t="s">
        <v>1650</v>
      </c>
      <c r="Q24" s="50" t="s">
        <v>30</v>
      </c>
      <c r="R24" s="29" t="s">
        <v>95</v>
      </c>
      <c r="S24" s="30">
        <v>526700</v>
      </c>
      <c r="T24" s="2" t="s">
        <v>31</v>
      </c>
      <c r="U24" s="31">
        <v>0</v>
      </c>
      <c r="V24" s="31">
        <v>-1</v>
      </c>
      <c r="W24" s="32">
        <v>0</v>
      </c>
      <c r="X24" s="33">
        <v>0</v>
      </c>
    </row>
    <row r="25" spans="1:24" x14ac:dyDescent="0.25">
      <c r="A25" s="22" t="s">
        <v>1472</v>
      </c>
      <c r="B25" s="2" t="s">
        <v>1498</v>
      </c>
      <c r="C25" s="2" t="s">
        <v>1505</v>
      </c>
      <c r="D25" s="50" t="s">
        <v>1526</v>
      </c>
      <c r="E25" s="50" t="s">
        <v>1570</v>
      </c>
      <c r="F25" s="24" t="str">
        <f>HYPERLINK("https://mapwv.gov/flood/map/?wkid=102100&amp;x=-8883905.355369836&amp;y=4784102.799948165&amp;l=13&amp;v=2","FT")</f>
        <v>FT</v>
      </c>
      <c r="G25" s="46" t="s">
        <v>327</v>
      </c>
      <c r="H25" s="23" t="s">
        <v>25</v>
      </c>
      <c r="I25" s="2" t="s">
        <v>1606</v>
      </c>
      <c r="J25" s="22" t="s">
        <v>36</v>
      </c>
      <c r="K25" s="51" t="s">
        <v>77</v>
      </c>
      <c r="L25" s="46"/>
      <c r="M25" s="50" t="s">
        <v>58</v>
      </c>
      <c r="N25" s="3" t="s">
        <v>91</v>
      </c>
      <c r="O25" s="51" t="s">
        <v>93</v>
      </c>
      <c r="P25" s="50" t="s">
        <v>1651</v>
      </c>
      <c r="Q25" s="50" t="s">
        <v>30</v>
      </c>
      <c r="R25" s="29" t="s">
        <v>95</v>
      </c>
      <c r="S25" s="30">
        <v>505000</v>
      </c>
      <c r="T25" s="2" t="s">
        <v>44</v>
      </c>
      <c r="U25" s="31">
        <v>2.7347510000000002</v>
      </c>
      <c r="V25" s="31">
        <v>1.7347509860992401</v>
      </c>
      <c r="W25" s="32">
        <v>0.10734750986099201</v>
      </c>
      <c r="X25" s="33">
        <v>54210.492479801098</v>
      </c>
    </row>
    <row r="26" spans="1:24" x14ac:dyDescent="0.25">
      <c r="A26" s="22" t="s">
        <v>1473</v>
      </c>
      <c r="B26" s="2" t="s">
        <v>1501</v>
      </c>
      <c r="C26" s="2" t="s">
        <v>1506</v>
      </c>
      <c r="D26" s="50" t="s">
        <v>1527</v>
      </c>
      <c r="E26" s="50" t="s">
        <v>1571</v>
      </c>
      <c r="F26" s="24" t="str">
        <f>HYPERLINK("https://mapwv.gov/flood/map/?wkid=102100&amp;x=-8854377.724627145&amp;y=4785461.6244623205&amp;l=13&amp;v=2","FT")</f>
        <v>FT</v>
      </c>
      <c r="G26" s="46" t="s">
        <v>38</v>
      </c>
      <c r="H26" s="23" t="s">
        <v>25</v>
      </c>
      <c r="I26" s="2" t="s">
        <v>1607</v>
      </c>
      <c r="J26" s="22" t="s">
        <v>39</v>
      </c>
      <c r="K26" s="51" t="s">
        <v>104</v>
      </c>
      <c r="L26" s="46" t="s">
        <v>27</v>
      </c>
      <c r="M26" s="50" t="s">
        <v>60</v>
      </c>
      <c r="N26" s="3" t="s">
        <v>89</v>
      </c>
      <c r="O26" s="51" t="s">
        <v>93</v>
      </c>
      <c r="P26" s="50" t="s">
        <v>1652</v>
      </c>
      <c r="Q26" s="50" t="s">
        <v>30</v>
      </c>
      <c r="R26" s="29" t="s">
        <v>95</v>
      </c>
      <c r="S26" s="30">
        <v>430500</v>
      </c>
      <c r="T26" s="2" t="s">
        <v>44</v>
      </c>
      <c r="U26" s="31">
        <v>3.5064989999999998</v>
      </c>
      <c r="V26" s="31">
        <v>2.5064990520477202</v>
      </c>
      <c r="W26" s="32">
        <v>8.0129981040954507E-2</v>
      </c>
      <c r="X26" s="33">
        <v>34495.9568381309</v>
      </c>
    </row>
    <row r="27" spans="1:24" x14ac:dyDescent="0.25">
      <c r="A27" s="22" t="s">
        <v>1474</v>
      </c>
      <c r="B27" s="2" t="s">
        <v>1498</v>
      </c>
      <c r="C27" s="2" t="s">
        <v>1503</v>
      </c>
      <c r="D27" s="50" t="s">
        <v>1528</v>
      </c>
      <c r="E27" s="50" t="s">
        <v>1572</v>
      </c>
      <c r="F27" s="24" t="str">
        <f>HYPERLINK("https://mapwv.gov/flood/map/?wkid=102100&amp;x=-8865405.18589283&amp;y=4816065.981405547&amp;l=13&amp;v=2","FT")</f>
        <v>FT</v>
      </c>
      <c r="G27" s="46" t="s">
        <v>32</v>
      </c>
      <c r="H27" s="23" t="s">
        <v>25</v>
      </c>
      <c r="I27" s="2" t="s">
        <v>1608</v>
      </c>
      <c r="J27" s="22" t="s">
        <v>39</v>
      </c>
      <c r="K27" s="51" t="s">
        <v>79</v>
      </c>
      <c r="L27" s="46" t="s">
        <v>27</v>
      </c>
      <c r="M27" s="50" t="s">
        <v>1633</v>
      </c>
      <c r="N27" s="3" t="s">
        <v>92</v>
      </c>
      <c r="O27" s="51" t="s">
        <v>93</v>
      </c>
      <c r="P27" s="50" t="s">
        <v>1653</v>
      </c>
      <c r="Q27" s="50" t="s">
        <v>30</v>
      </c>
      <c r="R27" s="29" t="s">
        <v>95</v>
      </c>
      <c r="S27" s="30">
        <v>374500</v>
      </c>
      <c r="T27" s="2" t="s">
        <v>44</v>
      </c>
      <c r="U27" s="31">
        <v>3.0321045</v>
      </c>
      <c r="V27" s="31">
        <v>2.0321044921875</v>
      </c>
      <c r="W27" s="32">
        <v>0.141605224609375</v>
      </c>
      <c r="X27" s="33">
        <v>53031.156616210901</v>
      </c>
    </row>
    <row r="28" spans="1:24" x14ac:dyDescent="0.25">
      <c r="A28" s="22" t="s">
        <v>1475</v>
      </c>
      <c r="B28" s="2" t="s">
        <v>1498</v>
      </c>
      <c r="C28" s="2" t="s">
        <v>1507</v>
      </c>
      <c r="D28" s="50" t="s">
        <v>1529</v>
      </c>
      <c r="E28" s="50" t="s">
        <v>1573</v>
      </c>
      <c r="F28" s="24" t="str">
        <f>HYPERLINK("https://mapwv.gov/flood/map/?wkid=102100&amp;x=-8876160.36491605&amp;y=4823080.881788041&amp;l=13&amp;v=2","FT")</f>
        <v>FT</v>
      </c>
      <c r="G28" s="46" t="s">
        <v>327</v>
      </c>
      <c r="H28" s="23" t="s">
        <v>25</v>
      </c>
      <c r="I28" s="2" t="s">
        <v>1609</v>
      </c>
      <c r="J28" s="22" t="s">
        <v>39</v>
      </c>
      <c r="K28" s="51" t="s">
        <v>112</v>
      </c>
      <c r="L28" s="46" t="s">
        <v>45</v>
      </c>
      <c r="M28" s="50" t="s">
        <v>41</v>
      </c>
      <c r="N28" s="3" t="s">
        <v>42</v>
      </c>
      <c r="O28" s="51" t="s">
        <v>94</v>
      </c>
      <c r="P28" s="50" t="s">
        <v>1654</v>
      </c>
      <c r="Q28" s="50" t="s">
        <v>43</v>
      </c>
      <c r="R28" s="29" t="s">
        <v>96</v>
      </c>
      <c r="S28" s="30">
        <v>364400</v>
      </c>
      <c r="T28" s="2" t="s">
        <v>44</v>
      </c>
      <c r="U28" s="31">
        <v>0.43678670000000003</v>
      </c>
      <c r="V28" s="31">
        <v>-3.56321328878402</v>
      </c>
      <c r="W28" s="32">
        <v>0.04</v>
      </c>
      <c r="X28" s="33">
        <v>14576</v>
      </c>
    </row>
    <row r="29" spans="1:24" x14ac:dyDescent="0.25">
      <c r="A29" s="22" t="s">
        <v>1476</v>
      </c>
      <c r="B29" s="2" t="s">
        <v>1500</v>
      </c>
      <c r="C29" s="2" t="s">
        <v>1503</v>
      </c>
      <c r="D29" s="50" t="s">
        <v>1530</v>
      </c>
      <c r="E29" s="50" t="s">
        <v>1574</v>
      </c>
      <c r="F29" s="24" t="str">
        <f>HYPERLINK("https://mapwv.gov/flood/map/?wkid=102100&amp;x=-8865461.18516267&amp;y=4816583.118664288&amp;l=13&amp;v=2","FT")</f>
        <v>FT</v>
      </c>
      <c r="G29" s="46" t="s">
        <v>32</v>
      </c>
      <c r="H29" s="23" t="s">
        <v>25</v>
      </c>
      <c r="I29" s="2" t="s">
        <v>1610</v>
      </c>
      <c r="J29" s="22" t="s">
        <v>26</v>
      </c>
      <c r="K29" s="51" t="s">
        <v>117</v>
      </c>
      <c r="L29" s="46" t="s">
        <v>49</v>
      </c>
      <c r="M29" s="50" t="s">
        <v>47</v>
      </c>
      <c r="N29" s="3" t="s">
        <v>35</v>
      </c>
      <c r="O29" s="51" t="s">
        <v>94</v>
      </c>
      <c r="P29" s="50" t="s">
        <v>1655</v>
      </c>
      <c r="Q29" s="50" t="s">
        <v>30</v>
      </c>
      <c r="R29" s="29" t="s">
        <v>95</v>
      </c>
      <c r="S29" s="30">
        <v>359900</v>
      </c>
      <c r="T29" s="2" t="s">
        <v>44</v>
      </c>
      <c r="U29" s="31">
        <v>2.3964843999999998</v>
      </c>
      <c r="V29" s="31">
        <v>1.396484375</v>
      </c>
      <c r="W29" s="32">
        <v>0.10982421874999999</v>
      </c>
      <c r="X29" s="33">
        <v>39525.736328125</v>
      </c>
    </row>
    <row r="30" spans="1:24" x14ac:dyDescent="0.25">
      <c r="A30" s="22" t="s">
        <v>1477</v>
      </c>
      <c r="B30" s="2" t="s">
        <v>1498</v>
      </c>
      <c r="C30" s="2" t="s">
        <v>1508</v>
      </c>
      <c r="D30" s="50" t="s">
        <v>1531</v>
      </c>
      <c r="E30" s="50" t="s">
        <v>1575</v>
      </c>
      <c r="F30" s="24" t="str">
        <f>HYPERLINK("https://mapwv.gov/flood/map/?wkid=102100&amp;x=-8887580.539081356&amp;y=4768928.315395131&amp;l=13&amp;v=2","FT")</f>
        <v>FT</v>
      </c>
      <c r="G30" s="46" t="s">
        <v>38</v>
      </c>
      <c r="H30" s="23" t="s">
        <v>25</v>
      </c>
      <c r="I30" s="2" t="s">
        <v>1611</v>
      </c>
      <c r="J30" s="22" t="s">
        <v>26</v>
      </c>
      <c r="K30" s="51" t="s">
        <v>105</v>
      </c>
      <c r="L30" s="46" t="s">
        <v>57</v>
      </c>
      <c r="M30" s="50" t="s">
        <v>111</v>
      </c>
      <c r="N30" s="3" t="s">
        <v>35</v>
      </c>
      <c r="O30" s="51" t="s">
        <v>93</v>
      </c>
      <c r="P30" s="50" t="s">
        <v>1656</v>
      </c>
      <c r="Q30" s="50" t="s">
        <v>30</v>
      </c>
      <c r="R30" s="29" t="s">
        <v>95</v>
      </c>
      <c r="S30" s="30">
        <v>345700</v>
      </c>
      <c r="T30" s="2" t="s">
        <v>44</v>
      </c>
      <c r="U30" s="31">
        <v>1.204045</v>
      </c>
      <c r="V30" s="31">
        <v>0.20404505729675201</v>
      </c>
      <c r="W30" s="32">
        <v>1.83640551567077E-2</v>
      </c>
      <c r="X30" s="33">
        <v>6348.4538676738703</v>
      </c>
    </row>
    <row r="31" spans="1:24" x14ac:dyDescent="0.25">
      <c r="A31" s="22" t="s">
        <v>1478</v>
      </c>
      <c r="B31" s="2" t="s">
        <v>1498</v>
      </c>
      <c r="C31" s="2" t="s">
        <v>1503</v>
      </c>
      <c r="D31" s="50" t="s">
        <v>1532</v>
      </c>
      <c r="E31" s="50" t="s">
        <v>1576</v>
      </c>
      <c r="F31" s="24" t="str">
        <f>HYPERLINK("https://mapwv.gov/flood/map/?wkid=102100&amp;x=-8865304.532367727&amp;y=4816399.24482381&amp;l=13&amp;v=2","FT")</f>
        <v>FT</v>
      </c>
      <c r="G31" s="46" t="s">
        <v>32</v>
      </c>
      <c r="H31" s="23" t="s">
        <v>25</v>
      </c>
      <c r="I31" s="2" t="s">
        <v>1612</v>
      </c>
      <c r="J31" s="22" t="s">
        <v>26</v>
      </c>
      <c r="K31" s="51" t="s">
        <v>394</v>
      </c>
      <c r="L31" s="46" t="s">
        <v>37</v>
      </c>
      <c r="M31" s="50" t="s">
        <v>47</v>
      </c>
      <c r="N31" s="3" t="s">
        <v>35</v>
      </c>
      <c r="O31" s="51" t="s">
        <v>94</v>
      </c>
      <c r="P31" s="50" t="s">
        <v>1657</v>
      </c>
      <c r="Q31" s="50" t="s">
        <v>30</v>
      </c>
      <c r="R31" s="29" t="s">
        <v>95</v>
      </c>
      <c r="S31" s="30">
        <v>344400</v>
      </c>
      <c r="T31" s="2" t="s">
        <v>31</v>
      </c>
      <c r="U31" s="31">
        <v>1.5670166000000001</v>
      </c>
      <c r="V31" s="31">
        <v>0.5670166015625</v>
      </c>
      <c r="W31" s="32">
        <v>5.5361328124999998E-2</v>
      </c>
      <c r="X31" s="33">
        <v>19066.44140625</v>
      </c>
    </row>
    <row r="32" spans="1:24" x14ac:dyDescent="0.25">
      <c r="A32" s="22" t="s">
        <v>1479</v>
      </c>
      <c r="B32" s="2" t="s">
        <v>1500</v>
      </c>
      <c r="C32" s="2" t="s">
        <v>1503</v>
      </c>
      <c r="D32" s="50" t="s">
        <v>1533</v>
      </c>
      <c r="E32" s="50" t="s">
        <v>1577</v>
      </c>
      <c r="F32" s="24" t="str">
        <f>HYPERLINK("https://mapwv.gov/flood/map/?wkid=102100&amp;x=-8865317.055365162&amp;y=4816751.213957699&amp;l=13&amp;v=2","FT")</f>
        <v>FT</v>
      </c>
      <c r="G32" s="46" t="s">
        <v>32</v>
      </c>
      <c r="H32" s="23" t="s">
        <v>719</v>
      </c>
      <c r="I32" s="2" t="s">
        <v>1613</v>
      </c>
      <c r="J32" s="22" t="s">
        <v>39</v>
      </c>
      <c r="K32" s="51" t="s">
        <v>113</v>
      </c>
      <c r="L32" s="46" t="s">
        <v>27</v>
      </c>
      <c r="M32" s="50" t="s">
        <v>41</v>
      </c>
      <c r="N32" s="3" t="s">
        <v>42</v>
      </c>
      <c r="O32" s="51" t="s">
        <v>94</v>
      </c>
      <c r="P32" s="50" t="s">
        <v>1658</v>
      </c>
      <c r="Q32" s="50" t="s">
        <v>52</v>
      </c>
      <c r="R32" s="29" t="s">
        <v>114</v>
      </c>
      <c r="S32" s="30">
        <v>341900</v>
      </c>
      <c r="T32" s="2" t="s">
        <v>44</v>
      </c>
      <c r="U32" s="31">
        <v>4.7684325999999997</v>
      </c>
      <c r="V32" s="31">
        <v>1.7684326171875</v>
      </c>
      <c r="W32" s="32">
        <v>0.13536865234375001</v>
      </c>
      <c r="X32" s="33">
        <v>46282.542236328103</v>
      </c>
    </row>
    <row r="33" spans="1:24" x14ac:dyDescent="0.25">
      <c r="A33" s="22" t="s">
        <v>1480</v>
      </c>
      <c r="B33" s="2" t="s">
        <v>1500</v>
      </c>
      <c r="C33" s="2" t="s">
        <v>1503</v>
      </c>
      <c r="D33" s="50" t="s">
        <v>1534</v>
      </c>
      <c r="E33" s="50" t="s">
        <v>1578</v>
      </c>
      <c r="F33" s="24" t="str">
        <f>HYPERLINK("https://mapwv.gov/flood/map/?wkid=102100&amp;x=-8865511.023900574&amp;y=4816678.659998697&amp;l=13&amp;v=2","FT")</f>
        <v>FT</v>
      </c>
      <c r="G33" s="46" t="s">
        <v>32</v>
      </c>
      <c r="H33" s="23" t="s">
        <v>25</v>
      </c>
      <c r="I33" s="2" t="s">
        <v>1614</v>
      </c>
      <c r="J33" s="22" t="s">
        <v>26</v>
      </c>
      <c r="K33" s="51" t="s">
        <v>107</v>
      </c>
      <c r="L33" s="46" t="s">
        <v>57</v>
      </c>
      <c r="M33" s="50" t="s">
        <v>47</v>
      </c>
      <c r="N33" s="3" t="s">
        <v>35</v>
      </c>
      <c r="O33" s="51" t="s">
        <v>93</v>
      </c>
      <c r="P33" s="50" t="s">
        <v>849</v>
      </c>
      <c r="Q33" s="50" t="s">
        <v>30</v>
      </c>
      <c r="R33" s="29" t="s">
        <v>95</v>
      </c>
      <c r="S33" s="30">
        <v>327600</v>
      </c>
      <c r="T33" s="2" t="s">
        <v>44</v>
      </c>
      <c r="U33" s="31">
        <v>6.2473144999999999</v>
      </c>
      <c r="V33" s="31">
        <v>5.247314453125</v>
      </c>
      <c r="W33" s="32">
        <v>0.20741943359375001</v>
      </c>
      <c r="X33" s="33">
        <v>67950.6064453125</v>
      </c>
    </row>
    <row r="34" spans="1:24" x14ac:dyDescent="0.25">
      <c r="A34" s="22" t="s">
        <v>1481</v>
      </c>
      <c r="B34" s="2" t="s">
        <v>1498</v>
      </c>
      <c r="C34" s="2" t="s">
        <v>1509</v>
      </c>
      <c r="D34" s="50" t="s">
        <v>1535</v>
      </c>
      <c r="E34" s="50" t="s">
        <v>1579</v>
      </c>
      <c r="F34" s="24" t="str">
        <f>HYPERLINK("https://mapwv.gov/flood/map/?wkid=102100&amp;x=-8873790.638676684&amp;y=4820098.276950691&amp;l=13&amp;v=2","FT")</f>
        <v>FT</v>
      </c>
      <c r="G34" s="46" t="s">
        <v>327</v>
      </c>
      <c r="H34" s="23" t="s">
        <v>25</v>
      </c>
      <c r="I34" s="2" t="s">
        <v>1615</v>
      </c>
      <c r="J34" s="22" t="s">
        <v>36</v>
      </c>
      <c r="K34" s="51" t="s">
        <v>77</v>
      </c>
      <c r="L34" s="46"/>
      <c r="M34" s="50" t="s">
        <v>41</v>
      </c>
      <c r="N34" s="3" t="s">
        <v>42</v>
      </c>
      <c r="O34" s="51" t="s">
        <v>93</v>
      </c>
      <c r="P34" s="50" t="s">
        <v>1659</v>
      </c>
      <c r="Q34" s="50" t="s">
        <v>30</v>
      </c>
      <c r="R34" s="29" t="s">
        <v>95</v>
      </c>
      <c r="S34" s="30">
        <v>315330</v>
      </c>
      <c r="T34" s="2" t="s">
        <v>31</v>
      </c>
      <c r="U34" s="31">
        <v>4.0070129999999997</v>
      </c>
      <c r="V34" s="31">
        <v>3.0070128440856898</v>
      </c>
      <c r="W34" s="32">
        <v>0.40049089908599794</v>
      </c>
      <c r="X34" s="33">
        <v>126286.79520878701</v>
      </c>
    </row>
    <row r="35" spans="1:24" x14ac:dyDescent="0.25">
      <c r="A35" s="22" t="s">
        <v>1482</v>
      </c>
      <c r="B35" s="2" t="s">
        <v>1498</v>
      </c>
      <c r="C35" s="2" t="s">
        <v>1188</v>
      </c>
      <c r="D35" s="50" t="s">
        <v>1536</v>
      </c>
      <c r="E35" s="50" t="s">
        <v>1580</v>
      </c>
      <c r="F35" s="24" t="str">
        <f>HYPERLINK("https://mapwv.gov/flood/map/?wkid=102100&amp;x=-8866768.165374136&amp;y=4787642.647305785&amp;l=13&amp;v=2","FT")</f>
        <v>FT</v>
      </c>
      <c r="G35" s="46" t="s">
        <v>32</v>
      </c>
      <c r="H35" s="23" t="s">
        <v>25</v>
      </c>
      <c r="I35" s="2" t="s">
        <v>1616</v>
      </c>
      <c r="J35" s="22" t="s">
        <v>26</v>
      </c>
      <c r="K35" s="51" t="s">
        <v>394</v>
      </c>
      <c r="L35" s="46" t="s">
        <v>50</v>
      </c>
      <c r="M35" s="50" t="s">
        <v>41</v>
      </c>
      <c r="N35" s="3" t="s">
        <v>42</v>
      </c>
      <c r="O35" s="51" t="s">
        <v>93</v>
      </c>
      <c r="P35" s="50" t="s">
        <v>1660</v>
      </c>
      <c r="Q35" s="50" t="s">
        <v>52</v>
      </c>
      <c r="R35" s="29" t="s">
        <v>96</v>
      </c>
      <c r="S35" s="30">
        <v>304000</v>
      </c>
      <c r="T35" s="2" t="s">
        <v>44</v>
      </c>
      <c r="U35" s="31">
        <v>0.48144530000000002</v>
      </c>
      <c r="V35" s="31">
        <v>-3.5185546875</v>
      </c>
      <c r="W35" s="32">
        <v>0</v>
      </c>
      <c r="X35" s="33">
        <v>0</v>
      </c>
    </row>
    <row r="36" spans="1:24" x14ac:dyDescent="0.25">
      <c r="A36" s="22" t="s">
        <v>1483</v>
      </c>
      <c r="B36" s="2" t="s">
        <v>1498</v>
      </c>
      <c r="C36" s="2" t="s">
        <v>1510</v>
      </c>
      <c r="D36" s="50" t="s">
        <v>1537</v>
      </c>
      <c r="E36" s="50" t="s">
        <v>1581</v>
      </c>
      <c r="F36" s="24" t="str">
        <f>HYPERLINK("https://mapwv.gov/flood/map/?wkid=102100&amp;x=-8883071.838660022&amp;y=4798028.864736534&amp;l=13&amp;v=2","FT")</f>
        <v>FT</v>
      </c>
      <c r="G36" s="46" t="s">
        <v>32</v>
      </c>
      <c r="H36" s="23" t="s">
        <v>25</v>
      </c>
      <c r="I36" s="2" t="s">
        <v>1617</v>
      </c>
      <c r="J36" s="22" t="s">
        <v>39</v>
      </c>
      <c r="K36" s="51" t="s">
        <v>1060</v>
      </c>
      <c r="L36" s="46" t="s">
        <v>57</v>
      </c>
      <c r="M36" s="50" t="s">
        <v>41</v>
      </c>
      <c r="N36" s="3" t="s">
        <v>42</v>
      </c>
      <c r="O36" s="51" t="s">
        <v>93</v>
      </c>
      <c r="P36" s="50" t="s">
        <v>1661</v>
      </c>
      <c r="Q36" s="50" t="s">
        <v>43</v>
      </c>
      <c r="R36" s="29" t="s">
        <v>96</v>
      </c>
      <c r="S36" s="30">
        <v>284100</v>
      </c>
      <c r="T36" s="2" t="s">
        <v>44</v>
      </c>
      <c r="U36" s="31">
        <v>0.9</v>
      </c>
      <c r="V36" s="31">
        <v>-3.1000000238418499</v>
      </c>
      <c r="W36" s="32">
        <v>0</v>
      </c>
      <c r="X36" s="33">
        <v>0</v>
      </c>
    </row>
    <row r="37" spans="1:24" x14ac:dyDescent="0.25">
      <c r="A37" s="22" t="s">
        <v>1484</v>
      </c>
      <c r="B37" s="2" t="s">
        <v>1500</v>
      </c>
      <c r="C37" s="2" t="s">
        <v>1503</v>
      </c>
      <c r="D37" s="50" t="s">
        <v>1538</v>
      </c>
      <c r="E37" s="50" t="s">
        <v>1582</v>
      </c>
      <c r="F37" s="24" t="str">
        <f>HYPERLINK("https://mapwv.gov/flood/map/?wkid=102100&amp;x=-8865373.470635943&amp;y=4816452.179134815&amp;l=13&amp;v=2","FT")</f>
        <v>FT</v>
      </c>
      <c r="G37" s="46" t="s">
        <v>32</v>
      </c>
      <c r="H37" s="23" t="s">
        <v>719</v>
      </c>
      <c r="I37" s="2" t="s">
        <v>1618</v>
      </c>
      <c r="J37" s="22" t="s">
        <v>39</v>
      </c>
      <c r="K37" s="51" t="s">
        <v>102</v>
      </c>
      <c r="L37" s="46" t="s">
        <v>49</v>
      </c>
      <c r="M37" s="50" t="s">
        <v>55</v>
      </c>
      <c r="N37" s="3" t="s">
        <v>35</v>
      </c>
      <c r="O37" s="51" t="s">
        <v>93</v>
      </c>
      <c r="P37" s="50" t="s">
        <v>1662</v>
      </c>
      <c r="Q37" s="50" t="s">
        <v>30</v>
      </c>
      <c r="R37" s="29" t="s">
        <v>95</v>
      </c>
      <c r="S37" s="30">
        <v>277600</v>
      </c>
      <c r="T37" s="2" t="s">
        <v>31</v>
      </c>
      <c r="U37" s="31">
        <v>7.2026367000000002</v>
      </c>
      <c r="V37" s="31">
        <v>6.20263671875</v>
      </c>
      <c r="W37" s="32">
        <v>0.1720263671875</v>
      </c>
      <c r="X37" s="33">
        <v>47754.51953125</v>
      </c>
    </row>
    <row r="38" spans="1:24" x14ac:dyDescent="0.25">
      <c r="A38" s="22" t="s">
        <v>1485</v>
      </c>
      <c r="B38" s="2" t="s">
        <v>1498</v>
      </c>
      <c r="C38" s="2" t="s">
        <v>1503</v>
      </c>
      <c r="D38" s="50" t="s">
        <v>1539</v>
      </c>
      <c r="E38" s="50" t="s">
        <v>1583</v>
      </c>
      <c r="F38" s="24" t="str">
        <f>HYPERLINK("https://mapwv.gov/flood/map/?wkid=102100&amp;x=-8865320.900006419&amp;y=4816208.307075694&amp;l=13&amp;v=2","FT")</f>
        <v>FT</v>
      </c>
      <c r="G38" s="46" t="s">
        <v>32</v>
      </c>
      <c r="H38" s="23" t="s">
        <v>25</v>
      </c>
      <c r="I38" s="2" t="s">
        <v>1608</v>
      </c>
      <c r="J38" s="22" t="s">
        <v>39</v>
      </c>
      <c r="K38" s="51" t="s">
        <v>393</v>
      </c>
      <c r="L38" s="46" t="s">
        <v>57</v>
      </c>
      <c r="M38" s="50" t="s">
        <v>51</v>
      </c>
      <c r="N38" s="3" t="s">
        <v>35</v>
      </c>
      <c r="O38" s="51" t="s">
        <v>93</v>
      </c>
      <c r="P38" s="50" t="s">
        <v>1663</v>
      </c>
      <c r="Q38" s="50" t="s">
        <v>30</v>
      </c>
      <c r="R38" s="29" t="s">
        <v>95</v>
      </c>
      <c r="S38" s="30">
        <v>272800</v>
      </c>
      <c r="T38" s="2" t="s">
        <v>31</v>
      </c>
      <c r="U38" s="31">
        <v>3.8330077999999997E-2</v>
      </c>
      <c r="V38" s="31">
        <v>-0.961669921875</v>
      </c>
      <c r="W38" s="32">
        <v>3.8330078125000002E-4</v>
      </c>
      <c r="X38" s="33">
        <v>104.564453125</v>
      </c>
    </row>
    <row r="39" spans="1:24" x14ac:dyDescent="0.25">
      <c r="A39" s="22" t="s">
        <v>1486</v>
      </c>
      <c r="B39" s="2" t="s">
        <v>1498</v>
      </c>
      <c r="C39" s="2" t="s">
        <v>1509</v>
      </c>
      <c r="D39" s="50" t="s">
        <v>1540</v>
      </c>
      <c r="E39" s="50" t="s">
        <v>1584</v>
      </c>
      <c r="F39" s="24" t="str">
        <f>HYPERLINK("https://mapwv.gov/flood/map/?wkid=102100&amp;x=-8874456.772951117&amp;y=4815774.730683657&amp;l=13&amp;v=2","FT")</f>
        <v>FT</v>
      </c>
      <c r="G39" s="46" t="s">
        <v>38</v>
      </c>
      <c r="H39" s="23" t="s">
        <v>25</v>
      </c>
      <c r="I39" s="2" t="s">
        <v>1619</v>
      </c>
      <c r="J39" s="22" t="s">
        <v>39</v>
      </c>
      <c r="K39" s="51" t="s">
        <v>78</v>
      </c>
      <c r="L39" s="46" t="s">
        <v>45</v>
      </c>
      <c r="M39" s="50" t="s">
        <v>41</v>
      </c>
      <c r="N39" s="3" t="s">
        <v>42</v>
      </c>
      <c r="O39" s="51" t="s">
        <v>93</v>
      </c>
      <c r="P39" s="50" t="s">
        <v>1664</v>
      </c>
      <c r="Q39" s="50" t="s">
        <v>52</v>
      </c>
      <c r="R39" s="29" t="s">
        <v>114</v>
      </c>
      <c r="S39" s="30">
        <v>272600</v>
      </c>
      <c r="T39" s="2" t="s">
        <v>44</v>
      </c>
      <c r="U39" s="31">
        <v>0.42378939999999998</v>
      </c>
      <c r="V39" s="31">
        <v>-2.5762105882167798</v>
      </c>
      <c r="W39" s="32">
        <v>0</v>
      </c>
      <c r="X39" s="33">
        <v>0</v>
      </c>
    </row>
    <row r="40" spans="1:24" x14ac:dyDescent="0.25">
      <c r="A40" s="22" t="s">
        <v>1487</v>
      </c>
      <c r="B40" s="2" t="s">
        <v>1502</v>
      </c>
      <c r="C40" s="2" t="s">
        <v>1188</v>
      </c>
      <c r="D40" s="50" t="s">
        <v>1541</v>
      </c>
      <c r="E40" s="50" t="s">
        <v>1585</v>
      </c>
      <c r="F40" s="24" t="str">
        <f>HYPERLINK("https://mapwv.gov/flood/map/?wkid=102100&amp;x=-8865899.661282318&amp;y=4792873.82320159&amp;l=13&amp;v=2","FT")</f>
        <v>FT</v>
      </c>
      <c r="G40" s="46" t="s">
        <v>32</v>
      </c>
      <c r="H40" s="23" t="s">
        <v>25</v>
      </c>
      <c r="I40" s="2" t="s">
        <v>1620</v>
      </c>
      <c r="J40" s="22" t="s">
        <v>39</v>
      </c>
      <c r="K40" s="51" t="s">
        <v>78</v>
      </c>
      <c r="L40" s="46" t="s">
        <v>45</v>
      </c>
      <c r="M40" s="50" t="s">
        <v>58</v>
      </c>
      <c r="N40" s="3" t="s">
        <v>91</v>
      </c>
      <c r="O40" s="51" t="s">
        <v>93</v>
      </c>
      <c r="P40" s="50" t="s">
        <v>1665</v>
      </c>
      <c r="Q40" s="50" t="s">
        <v>30</v>
      </c>
      <c r="R40" s="29" t="s">
        <v>95</v>
      </c>
      <c r="S40" s="30">
        <v>263950</v>
      </c>
      <c r="T40" s="2" t="s">
        <v>31</v>
      </c>
      <c r="U40" s="31">
        <v>1.5979004000000001</v>
      </c>
      <c r="V40" s="31">
        <v>0.597900390625</v>
      </c>
      <c r="W40" s="32">
        <v>5.9790039062500001E-2</v>
      </c>
      <c r="X40" s="33">
        <v>15781.5808105468</v>
      </c>
    </row>
    <row r="41" spans="1:24" x14ac:dyDescent="0.25">
      <c r="A41" s="22" t="s">
        <v>1488</v>
      </c>
      <c r="B41" s="2" t="s">
        <v>1499</v>
      </c>
      <c r="C41" s="2" t="s">
        <v>1188</v>
      </c>
      <c r="D41" s="50" t="s">
        <v>1542</v>
      </c>
      <c r="E41" s="50" t="s">
        <v>1586</v>
      </c>
      <c r="F41" s="24" t="str">
        <f>HYPERLINK("https://mapwv.gov/flood/map/?wkid=102100&amp;x=-8868554.721529167&amp;y=4771436.842104001&amp;l=13&amp;v=2","FT")</f>
        <v>FT</v>
      </c>
      <c r="G41" s="46" t="s">
        <v>32</v>
      </c>
      <c r="H41" s="23" t="s">
        <v>25</v>
      </c>
      <c r="I41" s="2" t="s">
        <v>1621</v>
      </c>
      <c r="J41" s="22" t="s">
        <v>116</v>
      </c>
      <c r="K41" s="51" t="s">
        <v>1630</v>
      </c>
      <c r="L41" s="46" t="s">
        <v>57</v>
      </c>
      <c r="M41" s="50" t="s">
        <v>64</v>
      </c>
      <c r="N41" s="3" t="s">
        <v>90</v>
      </c>
      <c r="O41" s="51" t="s">
        <v>93</v>
      </c>
      <c r="P41" s="50" t="s">
        <v>1666</v>
      </c>
      <c r="Q41" s="50" t="s">
        <v>30</v>
      </c>
      <c r="R41" s="29" t="s">
        <v>95</v>
      </c>
      <c r="S41" s="30">
        <v>256000</v>
      </c>
      <c r="T41" s="2" t="s">
        <v>44</v>
      </c>
      <c r="U41" s="31">
        <v>5.0297850000000004</v>
      </c>
      <c r="V41" s="31">
        <v>4.02978515625</v>
      </c>
      <c r="W41" s="32">
        <v>0.1208935546875</v>
      </c>
      <c r="X41" s="33">
        <v>30948.75</v>
      </c>
    </row>
    <row r="42" spans="1:24" x14ac:dyDescent="0.25">
      <c r="A42" s="22" t="s">
        <v>1489</v>
      </c>
      <c r="B42" s="2" t="s">
        <v>1499</v>
      </c>
      <c r="C42" s="2" t="s">
        <v>1188</v>
      </c>
      <c r="D42" s="50" t="s">
        <v>1543</v>
      </c>
      <c r="E42" s="50" t="s">
        <v>1587</v>
      </c>
      <c r="F42" s="24" t="str">
        <f>HYPERLINK("https://mapwv.gov/flood/map/?wkid=102100&amp;x=-8868835.00541663&amp;y=4771495.026082521&amp;l=13&amp;v=2","FT")</f>
        <v>FT</v>
      </c>
      <c r="G42" s="46" t="s">
        <v>32</v>
      </c>
      <c r="H42" s="23" t="s">
        <v>25</v>
      </c>
      <c r="I42" s="2" t="s">
        <v>1610</v>
      </c>
      <c r="J42" s="22" t="s">
        <v>116</v>
      </c>
      <c r="K42" s="51" t="s">
        <v>1630</v>
      </c>
      <c r="L42" s="46" t="s">
        <v>38</v>
      </c>
      <c r="M42" s="50" t="s">
        <v>796</v>
      </c>
      <c r="N42" s="3" t="s">
        <v>35</v>
      </c>
      <c r="O42" s="51" t="s">
        <v>93</v>
      </c>
      <c r="P42" s="50" t="s">
        <v>1667</v>
      </c>
      <c r="Q42" s="50" t="s">
        <v>30</v>
      </c>
      <c r="R42" s="29" t="s">
        <v>95</v>
      </c>
      <c r="S42" s="30">
        <v>245300</v>
      </c>
      <c r="T42" s="2" t="s">
        <v>44</v>
      </c>
      <c r="U42" s="31">
        <v>1.9405517999999999</v>
      </c>
      <c r="V42" s="31">
        <v>0.9405517578125</v>
      </c>
      <c r="W42" s="32">
        <v>0.10346069335937499</v>
      </c>
      <c r="X42" s="33">
        <v>25378.9080810546</v>
      </c>
    </row>
    <row r="43" spans="1:24" x14ac:dyDescent="0.25">
      <c r="A43" s="22" t="s">
        <v>1490</v>
      </c>
      <c r="B43" s="2" t="s">
        <v>1498</v>
      </c>
      <c r="C43" s="2" t="s">
        <v>1511</v>
      </c>
      <c r="D43" s="50" t="s">
        <v>1544</v>
      </c>
      <c r="E43" s="50" t="s">
        <v>1588</v>
      </c>
      <c r="F43" s="24" t="str">
        <f>HYPERLINK("https://mapwv.gov/flood/map/?wkid=102100&amp;x=-8888098.713945158&amp;y=4771343.70297959&amp;l=13&amp;v=2","FT")</f>
        <v>FT</v>
      </c>
      <c r="G43" s="46" t="s">
        <v>38</v>
      </c>
      <c r="H43" s="23" t="s">
        <v>25</v>
      </c>
      <c r="I43" s="2" t="s">
        <v>1622</v>
      </c>
      <c r="J43" s="22" t="s">
        <v>26</v>
      </c>
      <c r="K43" s="51" t="s">
        <v>400</v>
      </c>
      <c r="L43" s="46" t="s">
        <v>45</v>
      </c>
      <c r="M43" s="50" t="s">
        <v>41</v>
      </c>
      <c r="N43" s="3" t="s">
        <v>42</v>
      </c>
      <c r="O43" s="51" t="s">
        <v>93</v>
      </c>
      <c r="P43" s="50" t="s">
        <v>1668</v>
      </c>
      <c r="Q43" s="50" t="s">
        <v>52</v>
      </c>
      <c r="R43" s="29" t="s">
        <v>96</v>
      </c>
      <c r="S43" s="30">
        <v>242000</v>
      </c>
      <c r="T43" s="2" t="s">
        <v>44</v>
      </c>
      <c r="U43" s="31">
        <v>1.9412198000000001</v>
      </c>
      <c r="V43" s="31">
        <v>-2.0587801933288499</v>
      </c>
      <c r="W43" s="32">
        <v>0</v>
      </c>
      <c r="X43" s="33">
        <v>0</v>
      </c>
    </row>
    <row r="44" spans="1:24" x14ac:dyDescent="0.25">
      <c r="A44" s="22" t="s">
        <v>1491</v>
      </c>
      <c r="B44" s="2" t="s">
        <v>1498</v>
      </c>
      <c r="C44" s="2" t="s">
        <v>1512</v>
      </c>
      <c r="D44" s="50" t="s">
        <v>1545</v>
      </c>
      <c r="E44" s="50" t="s">
        <v>1589</v>
      </c>
      <c r="F44" s="24" t="str">
        <f>HYPERLINK("https://mapwv.gov/flood/map/?wkid=102100&amp;x=-8863698.882519063&amp;y=4813489.435233496&amp;l=13&amp;v=2","FT")</f>
        <v>FT</v>
      </c>
      <c r="G44" s="46" t="s">
        <v>38</v>
      </c>
      <c r="H44" s="23" t="s">
        <v>25</v>
      </c>
      <c r="I44" s="2" t="s">
        <v>1623</v>
      </c>
      <c r="J44" s="22" t="s">
        <v>36</v>
      </c>
      <c r="K44" s="51" t="s">
        <v>77</v>
      </c>
      <c r="L44" s="46"/>
      <c r="M44" s="50" t="s">
        <v>51</v>
      </c>
      <c r="N44" s="3" t="s">
        <v>35</v>
      </c>
      <c r="O44" s="51" t="s">
        <v>93</v>
      </c>
      <c r="P44" s="50" t="s">
        <v>1669</v>
      </c>
      <c r="Q44" s="50" t="s">
        <v>30</v>
      </c>
      <c r="R44" s="29" t="s">
        <v>95</v>
      </c>
      <c r="S44" s="30">
        <v>228200</v>
      </c>
      <c r="T44" s="2" t="s">
        <v>44</v>
      </c>
      <c r="U44" s="31">
        <v>0.51770260000000001</v>
      </c>
      <c r="V44" s="31">
        <v>-0.48229742050170898</v>
      </c>
      <c r="W44" s="32">
        <v>5.1770257949829103E-3</v>
      </c>
      <c r="X44" s="33">
        <v>1181.3972864151001</v>
      </c>
    </row>
    <row r="45" spans="1:24" x14ac:dyDescent="0.25">
      <c r="A45" s="22" t="s">
        <v>1492</v>
      </c>
      <c r="B45" s="2" t="s">
        <v>1499</v>
      </c>
      <c r="C45" s="2" t="s">
        <v>1188</v>
      </c>
      <c r="D45" s="50" t="s">
        <v>1546</v>
      </c>
      <c r="E45" s="50" t="s">
        <v>1590</v>
      </c>
      <c r="F45" s="24" t="str">
        <f>HYPERLINK("https://mapwv.gov/flood/map/?wkid=102100&amp;x=-8868673.054815795&amp;y=4771428.666372001&amp;l=13&amp;v=2","FT")</f>
        <v>FT</v>
      </c>
      <c r="G45" s="46" t="s">
        <v>32</v>
      </c>
      <c r="H45" s="23" t="s">
        <v>25</v>
      </c>
      <c r="I45" s="2" t="s">
        <v>1624</v>
      </c>
      <c r="J45" s="22" t="s">
        <v>116</v>
      </c>
      <c r="K45" s="51" t="s">
        <v>1630</v>
      </c>
      <c r="L45" s="46"/>
      <c r="M45" s="50" t="s">
        <v>63</v>
      </c>
      <c r="N45" s="3" t="s">
        <v>35</v>
      </c>
      <c r="O45" s="51" t="s">
        <v>93</v>
      </c>
      <c r="P45" s="50" t="s">
        <v>1433</v>
      </c>
      <c r="Q45" s="50" t="s">
        <v>30</v>
      </c>
      <c r="R45" s="29" t="s">
        <v>95</v>
      </c>
      <c r="S45" s="30">
        <v>225000</v>
      </c>
      <c r="T45" s="2" t="s">
        <v>44</v>
      </c>
      <c r="U45" s="31">
        <v>1.7102051</v>
      </c>
      <c r="V45" s="31">
        <v>0.710205078125</v>
      </c>
      <c r="W45" s="32">
        <v>3.55102539062499E-2</v>
      </c>
      <c r="X45" s="33">
        <v>7989.80712890624</v>
      </c>
    </row>
    <row r="46" spans="1:24" x14ac:dyDescent="0.25">
      <c r="A46" s="22" t="s">
        <v>1493</v>
      </c>
      <c r="B46" s="2" t="s">
        <v>1498</v>
      </c>
      <c r="C46" s="2" t="s">
        <v>1184</v>
      </c>
      <c r="D46" s="50" t="s">
        <v>1547</v>
      </c>
      <c r="E46" s="50" t="s">
        <v>1591</v>
      </c>
      <c r="F46" s="24" t="str">
        <f>HYPERLINK("https://mapwv.gov/flood/map/?wkid=102100&amp;x=-8884474.147094784&amp;y=4796178.371701718&amp;l=13&amp;v=2","FT")</f>
        <v>FT</v>
      </c>
      <c r="G46" s="46" t="s">
        <v>32</v>
      </c>
      <c r="H46" s="23" t="s">
        <v>25</v>
      </c>
      <c r="I46" s="2" t="s">
        <v>1625</v>
      </c>
      <c r="J46" s="22" t="s">
        <v>26</v>
      </c>
      <c r="K46" s="51" t="s">
        <v>437</v>
      </c>
      <c r="L46" s="46" t="s">
        <v>27</v>
      </c>
      <c r="M46" s="50" t="s">
        <v>47</v>
      </c>
      <c r="N46" s="3" t="s">
        <v>35</v>
      </c>
      <c r="O46" s="51" t="s">
        <v>93</v>
      </c>
      <c r="P46" s="50" t="s">
        <v>1670</v>
      </c>
      <c r="Q46" s="50" t="s">
        <v>30</v>
      </c>
      <c r="R46" s="29" t="s">
        <v>95</v>
      </c>
      <c r="S46" s="30">
        <v>217400</v>
      </c>
      <c r="T46" s="2" t="s">
        <v>44</v>
      </c>
      <c r="U46" s="31">
        <v>5.3</v>
      </c>
      <c r="V46" s="31">
        <v>4.3000001907348597</v>
      </c>
      <c r="W46" s="32">
        <v>0.18600000381469703</v>
      </c>
      <c r="X46" s="33">
        <v>40436.400829315098</v>
      </c>
    </row>
    <row r="47" spans="1:24" x14ac:dyDescent="0.25">
      <c r="A47" s="22" t="s">
        <v>1494</v>
      </c>
      <c r="B47" s="2" t="s">
        <v>1498</v>
      </c>
      <c r="C47" s="2" t="s">
        <v>1184</v>
      </c>
      <c r="D47" s="50" t="s">
        <v>1548</v>
      </c>
      <c r="E47" s="50" t="s">
        <v>1592</v>
      </c>
      <c r="F47" s="24" t="str">
        <f>HYPERLINK("https://mapwv.gov/flood/map/?wkid=102100&amp;x=-8884169.34854038&amp;y=4793777.591013997&amp;l=13&amp;v=2","FT")</f>
        <v>FT</v>
      </c>
      <c r="G47" s="46" t="s">
        <v>32</v>
      </c>
      <c r="H47" s="23" t="s">
        <v>25</v>
      </c>
      <c r="I47" s="2" t="s">
        <v>1626</v>
      </c>
      <c r="J47" s="22" t="s">
        <v>26</v>
      </c>
      <c r="K47" s="51" t="s">
        <v>392</v>
      </c>
      <c r="L47" s="46" t="s">
        <v>48</v>
      </c>
      <c r="M47" s="50" t="s">
        <v>41</v>
      </c>
      <c r="N47" s="3" t="s">
        <v>42</v>
      </c>
      <c r="O47" s="51" t="s">
        <v>94</v>
      </c>
      <c r="P47" s="50" t="s">
        <v>1671</v>
      </c>
      <c r="Q47" s="50" t="s">
        <v>52</v>
      </c>
      <c r="R47" s="29" t="s">
        <v>96</v>
      </c>
      <c r="S47" s="30">
        <v>216900</v>
      </c>
      <c r="T47" s="2" t="s">
        <v>44</v>
      </c>
      <c r="U47" s="31">
        <v>1.2</v>
      </c>
      <c r="V47" s="31">
        <v>-2.7999999523162802</v>
      </c>
      <c r="W47" s="32">
        <v>0</v>
      </c>
      <c r="X47" s="33">
        <v>0</v>
      </c>
    </row>
    <row r="48" spans="1:24" x14ac:dyDescent="0.25">
      <c r="A48" s="22" t="s">
        <v>1495</v>
      </c>
      <c r="B48" s="2" t="s">
        <v>1498</v>
      </c>
      <c r="C48" s="2" t="s">
        <v>1507</v>
      </c>
      <c r="D48" s="50" t="s">
        <v>1549</v>
      </c>
      <c r="E48" s="50" t="s">
        <v>1593</v>
      </c>
      <c r="F48" s="24" t="str">
        <f>HYPERLINK("https://mapwv.gov/flood/map/?wkid=102100&amp;x=-8875883.782179018&amp;y=4822773.647322175&amp;l=13&amp;v=2","FT")</f>
        <v>FT</v>
      </c>
      <c r="G48" s="46" t="s">
        <v>327</v>
      </c>
      <c r="H48" s="23" t="s">
        <v>25</v>
      </c>
      <c r="I48" s="2" t="s">
        <v>1627</v>
      </c>
      <c r="J48" s="22" t="s">
        <v>39</v>
      </c>
      <c r="K48" s="51" t="s">
        <v>1631</v>
      </c>
      <c r="L48" s="46" t="s">
        <v>57</v>
      </c>
      <c r="M48" s="50" t="s">
        <v>41</v>
      </c>
      <c r="N48" s="3" t="s">
        <v>42</v>
      </c>
      <c r="O48" s="51" t="s">
        <v>93</v>
      </c>
      <c r="P48" s="50" t="s">
        <v>1672</v>
      </c>
      <c r="Q48" s="50" t="s">
        <v>43</v>
      </c>
      <c r="R48" s="29" t="s">
        <v>96</v>
      </c>
      <c r="S48" s="30">
        <v>216000</v>
      </c>
      <c r="T48" s="2" t="s">
        <v>44</v>
      </c>
      <c r="U48" s="31">
        <v>1.0184772</v>
      </c>
      <c r="V48" s="31">
        <v>-2.9815227985382</v>
      </c>
      <c r="W48" s="32">
        <v>2.5868082046508699E-3</v>
      </c>
      <c r="X48" s="33">
        <v>558.75057220458905</v>
      </c>
    </row>
    <row r="49" spans="1:24" x14ac:dyDescent="0.25">
      <c r="A49" s="22" t="s">
        <v>1496</v>
      </c>
      <c r="B49" s="2" t="s">
        <v>1498</v>
      </c>
      <c r="C49" s="2" t="s">
        <v>1188</v>
      </c>
      <c r="D49" s="50" t="s">
        <v>1550</v>
      </c>
      <c r="E49" s="50" t="s">
        <v>1594</v>
      </c>
      <c r="F49" s="24" t="str">
        <f>HYPERLINK("https://mapwv.gov/flood/map/?wkid=102100&amp;x=-8867219.923244871&amp;y=4787207.867335491&amp;l=13&amp;v=2","FT")</f>
        <v>FT</v>
      </c>
      <c r="G49" s="46" t="s">
        <v>32</v>
      </c>
      <c r="H49" s="23" t="s">
        <v>25</v>
      </c>
      <c r="I49" s="2" t="s">
        <v>1628</v>
      </c>
      <c r="J49" s="22" t="s">
        <v>39</v>
      </c>
      <c r="K49" s="51" t="s">
        <v>1632</v>
      </c>
      <c r="L49" s="46" t="s">
        <v>57</v>
      </c>
      <c r="M49" s="50" t="s">
        <v>41</v>
      </c>
      <c r="N49" s="3" t="s">
        <v>42</v>
      </c>
      <c r="O49" s="51" t="s">
        <v>93</v>
      </c>
      <c r="P49" s="50" t="s">
        <v>1673</v>
      </c>
      <c r="Q49" s="50" t="s">
        <v>30</v>
      </c>
      <c r="R49" s="29" t="s">
        <v>95</v>
      </c>
      <c r="S49" s="30">
        <v>212500</v>
      </c>
      <c r="T49" s="2" t="s">
        <v>44</v>
      </c>
      <c r="U49" s="31">
        <v>11.69397</v>
      </c>
      <c r="V49" s="31">
        <v>10.6939697265625</v>
      </c>
      <c r="W49" s="32">
        <v>0.74387939453124996</v>
      </c>
      <c r="X49" s="33">
        <v>158074.37133789001</v>
      </c>
    </row>
    <row r="50" spans="1:24" x14ac:dyDescent="0.25">
      <c r="A50" s="22" t="s">
        <v>1497</v>
      </c>
      <c r="B50" s="2" t="s">
        <v>1498</v>
      </c>
      <c r="C50" s="2" t="s">
        <v>1513</v>
      </c>
      <c r="D50" s="50" t="s">
        <v>1551</v>
      </c>
      <c r="E50" s="50" t="s">
        <v>1595</v>
      </c>
      <c r="F50" s="24" t="str">
        <f>HYPERLINK("https://mapwv.gov/flood/map/?wkid=102100&amp;x=-8853208.65946866&amp;y=4816780.376588588&amp;l=13&amp;v=2","FT")</f>
        <v>FT</v>
      </c>
      <c r="G50" s="46" t="s">
        <v>32</v>
      </c>
      <c r="H50" s="23" t="s">
        <v>25</v>
      </c>
      <c r="I50" s="2" t="s">
        <v>1629</v>
      </c>
      <c r="J50" s="22" t="s">
        <v>36</v>
      </c>
      <c r="K50" s="51" t="s">
        <v>77</v>
      </c>
      <c r="L50" s="46"/>
      <c r="M50" s="50" t="s">
        <v>56</v>
      </c>
      <c r="N50" s="3" t="s">
        <v>35</v>
      </c>
      <c r="O50" s="51" t="s">
        <v>93</v>
      </c>
      <c r="P50" s="50" t="s">
        <v>849</v>
      </c>
      <c r="Q50" s="50" t="s">
        <v>30</v>
      </c>
      <c r="R50" s="29" t="s">
        <v>95</v>
      </c>
      <c r="S50" s="30">
        <v>200000</v>
      </c>
      <c r="T50" s="2" t="s">
        <v>44</v>
      </c>
      <c r="U50" s="31">
        <v>1.4808349999999999</v>
      </c>
      <c r="V50" s="31">
        <v>0.4808349609375</v>
      </c>
      <c r="W50" s="32">
        <v>6.3275146484375003E-2</v>
      </c>
      <c r="X50" s="33">
        <v>12655.029296875</v>
      </c>
    </row>
  </sheetData>
  <hyperlinks>
    <hyperlink ref="J3" r:id="rId1" xr:uid="{041636C0-4513-49E0-B1DA-B8082FFC4538}"/>
    <hyperlink ref="M3" r:id="rId2" xr:uid="{7AEC7EBB-86B8-4D07-AAB4-870CDC6E9A71}"/>
    <hyperlink ref="Q3" r:id="rId3" xr:uid="{9A0DA855-EA68-4C0A-9770-713E8CA6370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35CE-B98D-421C-9378-2C8847DD47F1}">
  <dimension ref="A1:X19"/>
  <sheetViews>
    <sheetView workbookViewId="0">
      <selection activeCell="T21" sqref="T21"/>
    </sheetView>
  </sheetViews>
  <sheetFormatPr defaultRowHeight="15" x14ac:dyDescent="0.25"/>
  <cols>
    <col min="1" max="1" width="33.85546875" bestFit="1" customWidth="1"/>
    <col min="2" max="2" width="10.7109375" customWidth="1"/>
    <col min="7" max="7" width="11.28515625" customWidth="1"/>
    <col min="13" max="14" width="11.28515625" customWidth="1"/>
    <col min="17" max="17" width="10.42578125" customWidth="1"/>
    <col min="19" max="19" width="21.7109375" bestFit="1" customWidth="1"/>
    <col min="24" max="24" width="9.5703125" bestFit="1" customWidth="1"/>
  </cols>
  <sheetData>
    <row r="1" spans="1:24" ht="14.25" customHeight="1" x14ac:dyDescent="0.25">
      <c r="A1" s="4" t="s">
        <v>66</v>
      </c>
      <c r="B1" s="4"/>
      <c r="C1" s="4"/>
      <c r="D1" s="4"/>
      <c r="F1" s="17" t="s">
        <v>67</v>
      </c>
      <c r="G1" s="6"/>
      <c r="H1" s="52"/>
      <c r="J1" s="6"/>
      <c r="K1" s="6"/>
      <c r="L1" s="6"/>
      <c r="N1" s="5" t="s">
        <v>68</v>
      </c>
      <c r="O1" s="6"/>
      <c r="P1" s="6"/>
      <c r="R1" s="6"/>
      <c r="S1" s="7" t="s">
        <v>69</v>
      </c>
      <c r="U1" s="8"/>
      <c r="V1" s="8"/>
      <c r="W1" s="9"/>
      <c r="X1" s="10"/>
    </row>
    <row r="2" spans="1:24" x14ac:dyDescent="0.25">
      <c r="A2" s="11">
        <v>44207</v>
      </c>
      <c r="B2" s="12" t="s">
        <v>70</v>
      </c>
      <c r="F2" s="6"/>
      <c r="G2" s="6"/>
      <c r="H2" s="52"/>
      <c r="J2" s="6"/>
      <c r="K2" s="6"/>
      <c r="L2" s="6"/>
      <c r="N2" s="13" t="s">
        <v>42</v>
      </c>
      <c r="O2" s="6"/>
      <c r="P2" s="6"/>
      <c r="R2" s="6"/>
      <c r="S2" s="40"/>
      <c r="U2" s="8"/>
      <c r="V2" s="8"/>
      <c r="W2" s="9"/>
      <c r="X2" s="10"/>
    </row>
    <row r="3" spans="1:24" x14ac:dyDescent="0.25">
      <c r="A3" t="s">
        <v>72</v>
      </c>
      <c r="B3" s="41" t="s">
        <v>125</v>
      </c>
      <c r="F3" s="6"/>
      <c r="G3" s="6"/>
      <c r="H3" s="52"/>
      <c r="J3" s="16" t="s">
        <v>71</v>
      </c>
      <c r="K3" s="6"/>
      <c r="L3" s="6"/>
      <c r="M3" s="14" t="s">
        <v>71</v>
      </c>
      <c r="N3" s="5"/>
      <c r="O3" s="6"/>
      <c r="P3" s="6"/>
      <c r="Q3" s="14" t="s">
        <v>71</v>
      </c>
      <c r="R3" s="15"/>
      <c r="S3" s="40"/>
      <c r="U3" s="8"/>
      <c r="V3" s="8"/>
      <c r="W3" s="9"/>
      <c r="X3" s="10"/>
    </row>
    <row r="4" spans="1:24" x14ac:dyDescent="0.25">
      <c r="F4" s="6"/>
      <c r="G4" s="6"/>
      <c r="H4" s="52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25">
      <c r="A5" s="1" t="s">
        <v>1675</v>
      </c>
      <c r="F5" s="6"/>
      <c r="G5" s="6"/>
      <c r="H5" s="52"/>
      <c r="J5" s="6"/>
      <c r="K5" s="6"/>
      <c r="L5" s="6"/>
      <c r="O5" s="6"/>
      <c r="P5" s="6"/>
      <c r="R5" s="6"/>
      <c r="S5" s="34" t="s">
        <v>118</v>
      </c>
      <c r="U5" s="6"/>
      <c r="V5" s="6"/>
      <c r="W5" s="9"/>
      <c r="X5" s="10"/>
    </row>
    <row r="6" spans="1:24" ht="45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25">
      <c r="A7" s="22" t="s">
        <v>1676</v>
      </c>
      <c r="B7" s="2" t="s">
        <v>1689</v>
      </c>
      <c r="C7" s="2" t="s">
        <v>933</v>
      </c>
      <c r="D7" s="50" t="s">
        <v>1695</v>
      </c>
      <c r="E7" s="50" t="s">
        <v>1708</v>
      </c>
      <c r="F7" s="24" t="str">
        <f>HYPERLINK("https://mapwv.gov/flood/map/?wkid=102100&amp;x=-8909106.259885442&amp;y=4770358.780840489&amp;l=13&amp;v=2","FT")</f>
        <v>FT</v>
      </c>
      <c r="G7" s="46" t="s">
        <v>327</v>
      </c>
      <c r="H7" s="23" t="s">
        <v>25</v>
      </c>
      <c r="I7" s="2" t="s">
        <v>1721</v>
      </c>
      <c r="J7" s="22" t="s">
        <v>116</v>
      </c>
      <c r="K7" s="51" t="s">
        <v>107</v>
      </c>
      <c r="L7" s="46"/>
      <c r="M7" s="50" t="s">
        <v>60</v>
      </c>
      <c r="N7" s="3" t="s">
        <v>89</v>
      </c>
      <c r="O7" s="51" t="s">
        <v>93</v>
      </c>
      <c r="P7" s="50" t="s">
        <v>1732</v>
      </c>
      <c r="Q7" s="2" t="s">
        <v>30</v>
      </c>
      <c r="R7" s="23" t="s">
        <v>95</v>
      </c>
      <c r="S7" s="30">
        <v>17500400</v>
      </c>
      <c r="T7" s="2" t="s">
        <v>61</v>
      </c>
      <c r="U7" s="31">
        <v>0.12005043999999999</v>
      </c>
      <c r="V7" s="31">
        <v>-0.87994956225156695</v>
      </c>
      <c r="W7" s="32">
        <v>0</v>
      </c>
      <c r="X7" s="33">
        <v>0</v>
      </c>
    </row>
    <row r="8" spans="1:24" x14ac:dyDescent="0.25">
      <c r="A8" s="22" t="s">
        <v>1681</v>
      </c>
      <c r="B8" s="2" t="s">
        <v>1690</v>
      </c>
      <c r="C8" s="2" t="s">
        <v>933</v>
      </c>
      <c r="D8" s="50" t="s">
        <v>1700</v>
      </c>
      <c r="E8" s="50" t="s">
        <v>1713</v>
      </c>
      <c r="F8" s="24" t="str">
        <f>HYPERLINK("https://mapwv.gov/flood/map/?wkid=102100&amp;x=-8911283.471310621&amp;y=4772272.683533145&amp;l=13&amp;v=2","FT")</f>
        <v>FT</v>
      </c>
      <c r="G8" s="46" t="s">
        <v>327</v>
      </c>
      <c r="H8" s="23" t="s">
        <v>25</v>
      </c>
      <c r="I8" s="2" t="s">
        <v>1725</v>
      </c>
      <c r="J8" s="22" t="s">
        <v>116</v>
      </c>
      <c r="K8" s="51" t="s">
        <v>107</v>
      </c>
      <c r="L8" s="46" t="s">
        <v>27</v>
      </c>
      <c r="M8" s="50" t="s">
        <v>28</v>
      </c>
      <c r="N8" s="3" t="s">
        <v>90</v>
      </c>
      <c r="O8" s="51" t="s">
        <v>94</v>
      </c>
      <c r="P8" s="54">
        <v>16000</v>
      </c>
      <c r="Q8" s="2" t="s">
        <v>30</v>
      </c>
      <c r="R8" s="23" t="s">
        <v>95</v>
      </c>
      <c r="S8" s="30">
        <v>6500000</v>
      </c>
      <c r="T8" s="2" t="s">
        <v>29</v>
      </c>
      <c r="U8" s="31">
        <v>2.0220837999999999</v>
      </c>
      <c r="V8" s="31">
        <v>1.02208375930786</v>
      </c>
      <c r="W8" s="32">
        <v>5.0662512779235808E-2</v>
      </c>
      <c r="X8" s="33">
        <v>329306.33306503302</v>
      </c>
    </row>
    <row r="9" spans="1:24" x14ac:dyDescent="0.25">
      <c r="A9" s="22" t="s">
        <v>1677</v>
      </c>
      <c r="B9" s="2" t="s">
        <v>1690</v>
      </c>
      <c r="C9" s="2" t="s">
        <v>933</v>
      </c>
      <c r="D9" s="50" t="s">
        <v>1696</v>
      </c>
      <c r="E9" s="50" t="s">
        <v>1709</v>
      </c>
      <c r="F9" s="24" t="str">
        <f>HYPERLINK("https://mapwv.gov/flood/map/?wkid=102100&amp;x=-8908078.27359118&amp;y=4765399.788746443&amp;l=13&amp;v=2","FT")</f>
        <v>FT</v>
      </c>
      <c r="G9" s="46" t="s">
        <v>38</v>
      </c>
      <c r="H9" s="23" t="s">
        <v>25</v>
      </c>
      <c r="I9" s="2" t="s">
        <v>1366</v>
      </c>
      <c r="J9" s="22" t="s">
        <v>39</v>
      </c>
      <c r="K9" s="51" t="s">
        <v>783</v>
      </c>
      <c r="L9" s="46" t="s">
        <v>40</v>
      </c>
      <c r="M9" s="50" t="s">
        <v>62</v>
      </c>
      <c r="N9" s="3" t="s">
        <v>42</v>
      </c>
      <c r="O9" s="51" t="s">
        <v>94</v>
      </c>
      <c r="P9" s="50" t="s">
        <v>1733</v>
      </c>
      <c r="Q9" s="2" t="s">
        <v>30</v>
      </c>
      <c r="R9" s="23" t="s">
        <v>95</v>
      </c>
      <c r="S9" s="30">
        <v>1308000</v>
      </c>
      <c r="T9" s="2" t="s">
        <v>44</v>
      </c>
      <c r="U9" s="31">
        <v>0</v>
      </c>
      <c r="V9" s="31">
        <v>-1</v>
      </c>
      <c r="W9" s="32">
        <v>0</v>
      </c>
      <c r="X9" s="33">
        <v>0</v>
      </c>
    </row>
    <row r="10" spans="1:24" x14ac:dyDescent="0.25">
      <c r="A10" s="22" t="s">
        <v>1678</v>
      </c>
      <c r="B10" s="2" t="s">
        <v>1689</v>
      </c>
      <c r="C10" s="2" t="s">
        <v>933</v>
      </c>
      <c r="D10" s="50" t="s">
        <v>1697</v>
      </c>
      <c r="E10" s="50" t="s">
        <v>1710</v>
      </c>
      <c r="F10" s="24" t="str">
        <f>HYPERLINK("https://mapwv.gov/flood/map/?wkid=102100&amp;x=-8909955.860703206&amp;y=4772012.209448553&amp;l=13&amp;v=2","FT")</f>
        <v>FT</v>
      </c>
      <c r="G10" s="46" t="s">
        <v>327</v>
      </c>
      <c r="H10" s="23" t="s">
        <v>25</v>
      </c>
      <c r="I10" s="2" t="s">
        <v>1722</v>
      </c>
      <c r="J10" s="22" t="s">
        <v>116</v>
      </c>
      <c r="K10" s="51" t="s">
        <v>76</v>
      </c>
      <c r="L10" s="46" t="s">
        <v>49</v>
      </c>
      <c r="M10" s="50" t="s">
        <v>63</v>
      </c>
      <c r="N10" s="3" t="s">
        <v>35</v>
      </c>
      <c r="O10" s="51" t="s">
        <v>93</v>
      </c>
      <c r="P10" s="50" t="s">
        <v>1734</v>
      </c>
      <c r="Q10" s="2" t="s">
        <v>30</v>
      </c>
      <c r="R10" s="23" t="s">
        <v>95</v>
      </c>
      <c r="S10" s="30">
        <v>674100</v>
      </c>
      <c r="T10" s="2" t="s">
        <v>44</v>
      </c>
      <c r="U10" s="31">
        <v>2.3346051999999999</v>
      </c>
      <c r="V10" s="31">
        <v>1.33460521697998</v>
      </c>
      <c r="W10" s="32">
        <v>6.0038156509399393E-2</v>
      </c>
      <c r="X10" s="33">
        <v>40471.721302986101</v>
      </c>
    </row>
    <row r="11" spans="1:24" x14ac:dyDescent="0.25">
      <c r="A11" s="22" t="s">
        <v>1679</v>
      </c>
      <c r="B11" s="2" t="s">
        <v>1690</v>
      </c>
      <c r="C11" s="2" t="s">
        <v>549</v>
      </c>
      <c r="D11" s="50" t="s">
        <v>1698</v>
      </c>
      <c r="E11" s="50" t="s">
        <v>1711</v>
      </c>
      <c r="F11" s="24" t="str">
        <f>HYPERLINK("https://mapwv.gov/flood/map/?wkid=102100&amp;x=-8921266.821542483&amp;y=4760085.087618051&amp;l=13&amp;v=2","FT")</f>
        <v>FT</v>
      </c>
      <c r="G11" s="46" t="s">
        <v>327</v>
      </c>
      <c r="H11" s="23" t="s">
        <v>25</v>
      </c>
      <c r="I11" s="2" t="s">
        <v>1723</v>
      </c>
      <c r="J11" s="22" t="s">
        <v>116</v>
      </c>
      <c r="K11" s="51" t="s">
        <v>98</v>
      </c>
      <c r="L11" s="46" t="s">
        <v>57</v>
      </c>
      <c r="M11" s="50" t="s">
        <v>47</v>
      </c>
      <c r="N11" s="3" t="s">
        <v>35</v>
      </c>
      <c r="O11" s="51" t="s">
        <v>93</v>
      </c>
      <c r="P11" s="50" t="s">
        <v>1735</v>
      </c>
      <c r="Q11" s="2" t="s">
        <v>30</v>
      </c>
      <c r="R11" s="23" t="s">
        <v>95</v>
      </c>
      <c r="S11" s="30">
        <v>594000</v>
      </c>
      <c r="T11" s="2" t="s">
        <v>44</v>
      </c>
      <c r="U11" s="31">
        <v>3.6159083999999999</v>
      </c>
      <c r="V11" s="31">
        <v>2.6159083843231201</v>
      </c>
      <c r="W11" s="32">
        <v>0.152318167686462</v>
      </c>
      <c r="X11" s="33">
        <v>90476.991605758594</v>
      </c>
    </row>
    <row r="12" spans="1:24" x14ac:dyDescent="0.25">
      <c r="A12" s="22" t="s">
        <v>1680</v>
      </c>
      <c r="B12" s="2" t="s">
        <v>1690</v>
      </c>
      <c r="C12" s="2" t="s">
        <v>1691</v>
      </c>
      <c r="D12" s="50" t="s">
        <v>1699</v>
      </c>
      <c r="E12" s="50" t="s">
        <v>1712</v>
      </c>
      <c r="F12" s="24" t="str">
        <f>HYPERLINK("https://mapwv.gov/flood/map/?wkid=102100&amp;x=-8910009.187637357&amp;y=4768619.269733507&amp;l=13&amp;v=2","FT")</f>
        <v>FT</v>
      </c>
      <c r="G12" s="46" t="s">
        <v>327</v>
      </c>
      <c r="H12" s="23" t="s">
        <v>25</v>
      </c>
      <c r="I12" s="2" t="s">
        <v>1724</v>
      </c>
      <c r="J12" s="22" t="s">
        <v>39</v>
      </c>
      <c r="K12" s="51" t="s">
        <v>1731</v>
      </c>
      <c r="L12" s="46" t="s">
        <v>27</v>
      </c>
      <c r="M12" s="50" t="s">
        <v>58</v>
      </c>
      <c r="N12" s="3" t="s">
        <v>91</v>
      </c>
      <c r="O12" s="51" t="s">
        <v>93</v>
      </c>
      <c r="P12" s="50" t="s">
        <v>1736</v>
      </c>
      <c r="Q12" s="2" t="s">
        <v>30</v>
      </c>
      <c r="R12" s="23" t="s">
        <v>95</v>
      </c>
      <c r="S12" s="30">
        <v>499800</v>
      </c>
      <c r="T12" s="2" t="s">
        <v>31</v>
      </c>
      <c r="U12" s="31">
        <v>0.20138042</v>
      </c>
      <c r="V12" s="31">
        <v>-0.79861958324909199</v>
      </c>
      <c r="W12" s="32">
        <v>0</v>
      </c>
      <c r="X12" s="33">
        <v>0</v>
      </c>
    </row>
    <row r="13" spans="1:24" x14ac:dyDescent="0.25">
      <c r="A13" s="22" t="s">
        <v>1682</v>
      </c>
      <c r="B13" s="2" t="s">
        <v>1689</v>
      </c>
      <c r="C13" s="2" t="s">
        <v>1692</v>
      </c>
      <c r="D13" s="50" t="s">
        <v>1701</v>
      </c>
      <c r="E13" s="50" t="s">
        <v>1714</v>
      </c>
      <c r="F13" s="24" t="str">
        <f>HYPERLINK("https://mapwv.gov/flood/map/?wkid=102100&amp;x=-8907377.51383441&amp;y=4770328.090620836&amp;l=13&amp;v=2","FT")</f>
        <v>FT</v>
      </c>
      <c r="G13" s="46" t="s">
        <v>38</v>
      </c>
      <c r="H13" s="23" t="s">
        <v>25</v>
      </c>
      <c r="I13" s="2" t="s">
        <v>1726</v>
      </c>
      <c r="J13" s="22" t="s">
        <v>26</v>
      </c>
      <c r="K13" s="51" t="s">
        <v>400</v>
      </c>
      <c r="L13" s="46" t="s">
        <v>37</v>
      </c>
      <c r="M13" s="50" t="s">
        <v>47</v>
      </c>
      <c r="N13" s="3" t="s">
        <v>35</v>
      </c>
      <c r="O13" s="51" t="s">
        <v>93</v>
      </c>
      <c r="P13" s="50" t="s">
        <v>1737</v>
      </c>
      <c r="Q13" s="2" t="s">
        <v>30</v>
      </c>
      <c r="R13" s="23" t="s">
        <v>95</v>
      </c>
      <c r="S13" s="30">
        <v>355400</v>
      </c>
      <c r="T13" s="2" t="s">
        <v>44</v>
      </c>
      <c r="U13" s="31">
        <v>4.0893917000000002</v>
      </c>
      <c r="V13" s="31">
        <v>3.0893917083740199</v>
      </c>
      <c r="W13" s="32">
        <v>0.16178783416747999</v>
      </c>
      <c r="X13" s="33">
        <v>57499.3962631225</v>
      </c>
    </row>
    <row r="14" spans="1:24" x14ac:dyDescent="0.25">
      <c r="A14" s="22" t="s">
        <v>1683</v>
      </c>
      <c r="B14" s="2" t="s">
        <v>1689</v>
      </c>
      <c r="C14" s="2" t="s">
        <v>933</v>
      </c>
      <c r="D14" s="50" t="s">
        <v>1702</v>
      </c>
      <c r="E14" s="50" t="s">
        <v>1715</v>
      </c>
      <c r="F14" s="24" t="str">
        <f>HYPERLINK("https://mapwv.gov/flood/map/?wkid=102100&amp;x=-8908226.414897857&amp;y=4770187.536440246&amp;l=13&amp;v=2","FT")</f>
        <v>FT</v>
      </c>
      <c r="G14" s="46" t="s">
        <v>38</v>
      </c>
      <c r="H14" s="23" t="s">
        <v>25</v>
      </c>
      <c r="I14" s="2" t="s">
        <v>1721</v>
      </c>
      <c r="J14" s="22" t="s">
        <v>36</v>
      </c>
      <c r="K14" s="51" t="s">
        <v>77</v>
      </c>
      <c r="L14" s="46"/>
      <c r="M14" s="50" t="s">
        <v>28</v>
      </c>
      <c r="N14" s="3" t="s">
        <v>90</v>
      </c>
      <c r="O14" s="51" t="s">
        <v>93</v>
      </c>
      <c r="P14" s="50" t="s">
        <v>1738</v>
      </c>
      <c r="Q14" s="2" t="s">
        <v>30</v>
      </c>
      <c r="R14" s="23" t="s">
        <v>95</v>
      </c>
      <c r="S14" s="30">
        <v>345017</v>
      </c>
      <c r="T14" s="2" t="s">
        <v>61</v>
      </c>
      <c r="U14" s="31">
        <v>4.8752522000000003</v>
      </c>
      <c r="V14" s="31">
        <v>3.8752522468566801</v>
      </c>
      <c r="W14" s="32">
        <v>0.13875252246856601</v>
      </c>
      <c r="X14" s="33">
        <v>47871.979044537497</v>
      </c>
    </row>
    <row r="15" spans="1:24" x14ac:dyDescent="0.25">
      <c r="A15" s="22" t="s">
        <v>1684</v>
      </c>
      <c r="B15" s="2" t="s">
        <v>1690</v>
      </c>
      <c r="C15" s="2" t="s">
        <v>1693</v>
      </c>
      <c r="D15" s="50" t="s">
        <v>1703</v>
      </c>
      <c r="E15" s="50" t="s">
        <v>1716</v>
      </c>
      <c r="F15" s="24" t="str">
        <f>HYPERLINK("https://mapwv.gov/flood/map/?wkid=102100&amp;x=-8927630.578456188&amp;y=4773094.383283718&amp;l=13&amp;v=2","FT")</f>
        <v>FT</v>
      </c>
      <c r="G15" s="46" t="s">
        <v>32</v>
      </c>
      <c r="H15" s="23" t="s">
        <v>25</v>
      </c>
      <c r="I15" s="2" t="s">
        <v>1727</v>
      </c>
      <c r="J15" s="22" t="s">
        <v>26</v>
      </c>
      <c r="K15" s="51" t="s">
        <v>106</v>
      </c>
      <c r="L15" s="46" t="s">
        <v>53</v>
      </c>
      <c r="M15" s="50" t="s">
        <v>63</v>
      </c>
      <c r="N15" s="3" t="s">
        <v>35</v>
      </c>
      <c r="O15" s="51" t="s">
        <v>93</v>
      </c>
      <c r="P15" s="50" t="s">
        <v>1739</v>
      </c>
      <c r="Q15" s="2" t="s">
        <v>30</v>
      </c>
      <c r="R15" s="23" t="s">
        <v>95</v>
      </c>
      <c r="S15" s="30">
        <v>344400</v>
      </c>
      <c r="T15" s="2" t="s">
        <v>44</v>
      </c>
      <c r="U15" s="31">
        <v>1.8458862</v>
      </c>
      <c r="V15" s="31">
        <v>0.84588623046875</v>
      </c>
      <c r="W15" s="32">
        <v>4.2294311523437503E-2</v>
      </c>
      <c r="X15" s="33">
        <v>14566.1608886718</v>
      </c>
    </row>
    <row r="16" spans="1:24" x14ac:dyDescent="0.25">
      <c r="A16" s="22" t="s">
        <v>1685</v>
      </c>
      <c r="B16" s="2" t="s">
        <v>1689</v>
      </c>
      <c r="C16" s="2" t="s">
        <v>1692</v>
      </c>
      <c r="D16" s="50" t="s">
        <v>1704</v>
      </c>
      <c r="E16" s="50" t="s">
        <v>1717</v>
      </c>
      <c r="F16" s="24" t="str">
        <f>HYPERLINK("https://mapwv.gov/flood/map/?wkid=102100&amp;x=-8907662.677300433&amp;y=4770448.574001604&amp;l=13&amp;v=2","FT")</f>
        <v>FT</v>
      </c>
      <c r="G16" s="46" t="s">
        <v>38</v>
      </c>
      <c r="H16" s="23" t="s">
        <v>25</v>
      </c>
      <c r="I16" s="2"/>
      <c r="J16" s="22" t="s">
        <v>26</v>
      </c>
      <c r="K16" s="51" t="s">
        <v>387</v>
      </c>
      <c r="L16" s="46"/>
      <c r="M16" s="50" t="s">
        <v>56</v>
      </c>
      <c r="N16" s="3" t="s">
        <v>35</v>
      </c>
      <c r="O16" s="51" t="s">
        <v>93</v>
      </c>
      <c r="P16" s="50" t="s">
        <v>1740</v>
      </c>
      <c r="Q16" s="2" t="s">
        <v>30</v>
      </c>
      <c r="R16" s="23" t="s">
        <v>95</v>
      </c>
      <c r="S16" s="30">
        <v>282642</v>
      </c>
      <c r="T16" s="2" t="s">
        <v>97</v>
      </c>
      <c r="U16" s="31">
        <v>0</v>
      </c>
      <c r="V16" s="31">
        <v>-1</v>
      </c>
      <c r="W16" s="32">
        <v>0</v>
      </c>
      <c r="X16" s="33">
        <v>0</v>
      </c>
    </row>
    <row r="17" spans="1:24" x14ac:dyDescent="0.25">
      <c r="A17" s="22" t="s">
        <v>1686</v>
      </c>
      <c r="B17" s="2" t="s">
        <v>1689</v>
      </c>
      <c r="C17" s="2" t="s">
        <v>933</v>
      </c>
      <c r="D17" s="50" t="s">
        <v>1705</v>
      </c>
      <c r="E17" s="50" t="s">
        <v>1718</v>
      </c>
      <c r="F17" s="24" t="str">
        <f>HYPERLINK("https://mapwv.gov/flood/map/?wkid=102100&amp;x=-8908225.313836776&amp;y=4770145.775158035&amp;l=13&amp;v=2","FT")</f>
        <v>FT</v>
      </c>
      <c r="G17" s="46" t="s">
        <v>38</v>
      </c>
      <c r="H17" s="23" t="s">
        <v>25</v>
      </c>
      <c r="I17" s="2" t="s">
        <v>1728</v>
      </c>
      <c r="J17" s="22" t="s">
        <v>26</v>
      </c>
      <c r="K17" s="51" t="s">
        <v>103</v>
      </c>
      <c r="L17" s="46" t="s">
        <v>49</v>
      </c>
      <c r="M17" s="50" t="s">
        <v>47</v>
      </c>
      <c r="N17" s="3" t="s">
        <v>35</v>
      </c>
      <c r="O17" s="51" t="s">
        <v>93</v>
      </c>
      <c r="P17" s="50" t="s">
        <v>1646</v>
      </c>
      <c r="Q17" s="2" t="s">
        <v>30</v>
      </c>
      <c r="R17" s="23" t="s">
        <v>95</v>
      </c>
      <c r="S17" s="30">
        <v>267800</v>
      </c>
      <c r="T17" s="2" t="s">
        <v>44</v>
      </c>
      <c r="U17" s="31">
        <v>1.8006603000000001</v>
      </c>
      <c r="V17" s="31">
        <v>0.80066025257110596</v>
      </c>
      <c r="W17" s="32">
        <v>7.4052820205688402E-2</v>
      </c>
      <c r="X17" s="33">
        <v>19831.345251083301</v>
      </c>
    </row>
    <row r="18" spans="1:24" x14ac:dyDescent="0.25">
      <c r="A18" s="22" t="s">
        <v>1687</v>
      </c>
      <c r="B18" s="2" t="s">
        <v>1690</v>
      </c>
      <c r="C18" s="2" t="s">
        <v>933</v>
      </c>
      <c r="D18" s="50" t="s">
        <v>1706</v>
      </c>
      <c r="E18" s="50" t="s">
        <v>1719</v>
      </c>
      <c r="F18" s="24" t="str">
        <f>HYPERLINK("https://mapwv.gov/flood/map/?wkid=102100&amp;x=-8908131.965875896&amp;y=4767623.171267077&amp;l=13&amp;v=2","FT")</f>
        <v>FT</v>
      </c>
      <c r="G18" s="46" t="s">
        <v>38</v>
      </c>
      <c r="H18" s="23" t="s">
        <v>25</v>
      </c>
      <c r="I18" s="2" t="s">
        <v>1729</v>
      </c>
      <c r="J18" s="22" t="s">
        <v>26</v>
      </c>
      <c r="K18" s="51" t="s">
        <v>120</v>
      </c>
      <c r="L18" s="46" t="s">
        <v>46</v>
      </c>
      <c r="M18" s="50" t="s">
        <v>41</v>
      </c>
      <c r="N18" s="3" t="s">
        <v>42</v>
      </c>
      <c r="O18" s="51" t="s">
        <v>93</v>
      </c>
      <c r="P18" s="50" t="s">
        <v>425</v>
      </c>
      <c r="Q18" s="2" t="s">
        <v>43</v>
      </c>
      <c r="R18" s="23" t="s">
        <v>96</v>
      </c>
      <c r="S18" s="30">
        <v>247500</v>
      </c>
      <c r="T18" s="2" t="s">
        <v>44</v>
      </c>
      <c r="U18" s="31">
        <v>6.5276889999999996</v>
      </c>
      <c r="V18" s="31">
        <v>2.5276889801025302</v>
      </c>
      <c r="W18" s="32">
        <v>0.42693822860717701</v>
      </c>
      <c r="X18" s="33">
        <v>105667.21158027599</v>
      </c>
    </row>
    <row r="19" spans="1:24" x14ac:dyDescent="0.25">
      <c r="A19" s="22" t="s">
        <v>1688</v>
      </c>
      <c r="B19" s="2" t="s">
        <v>1690</v>
      </c>
      <c r="C19" s="2" t="s">
        <v>1694</v>
      </c>
      <c r="D19" s="50" t="s">
        <v>1707</v>
      </c>
      <c r="E19" s="50" t="s">
        <v>1720</v>
      </c>
      <c r="F19" s="24" t="str">
        <f>HYPERLINK("https://mapwv.gov/flood/map/?wkid=102100&amp;x=-8901022.983636707&amp;y=4761388.327688833&amp;l=13&amp;v=2","FT")</f>
        <v>FT</v>
      </c>
      <c r="G19" s="46" t="s">
        <v>327</v>
      </c>
      <c r="H19" s="23" t="s">
        <v>25</v>
      </c>
      <c r="I19" s="2" t="s">
        <v>1730</v>
      </c>
      <c r="J19" s="22" t="s">
        <v>116</v>
      </c>
      <c r="K19" s="51" t="s">
        <v>396</v>
      </c>
      <c r="L19" s="46" t="s">
        <v>57</v>
      </c>
      <c r="M19" s="50" t="s">
        <v>41</v>
      </c>
      <c r="N19" s="3" t="s">
        <v>42</v>
      </c>
      <c r="O19" s="51" t="s">
        <v>93</v>
      </c>
      <c r="P19" s="50" t="s">
        <v>1741</v>
      </c>
      <c r="Q19" s="2" t="s">
        <v>43</v>
      </c>
      <c r="R19" s="23" t="s">
        <v>96</v>
      </c>
      <c r="S19" s="30">
        <v>216600</v>
      </c>
      <c r="T19" s="2" t="s">
        <v>44</v>
      </c>
      <c r="U19" s="31">
        <v>19.931633000000001</v>
      </c>
      <c r="V19" s="31">
        <v>15.931632995605399</v>
      </c>
      <c r="W19" s="32">
        <v>0.81</v>
      </c>
      <c r="X19" s="33">
        <v>175446</v>
      </c>
    </row>
  </sheetData>
  <conditionalFormatting sqref="A7:A19">
    <cfRule type="duplicateValues" dxfId="0" priority="1"/>
  </conditionalFormatting>
  <hyperlinks>
    <hyperlink ref="J3" r:id="rId1" xr:uid="{17F7C6E0-F712-4FCA-9122-6A5016BF653E}"/>
    <hyperlink ref="M3" r:id="rId2" xr:uid="{F6D1A0AB-572B-476A-AA2F-5E30228539DA}"/>
    <hyperlink ref="Q3" r:id="rId3" xr:uid="{77CF1E28-ABE1-4550-9D36-733DA87F9DD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13177-5520-4327-BEBF-EA6F1F429F73}">
  <dimension ref="B1:G21"/>
  <sheetViews>
    <sheetView zoomScale="110" zoomScaleNormal="110" workbookViewId="0">
      <selection activeCell="I2" sqref="I2"/>
    </sheetView>
  </sheetViews>
  <sheetFormatPr defaultRowHeight="15" x14ac:dyDescent="0.25"/>
  <cols>
    <col min="2" max="2" width="17.5703125" style="57" bestFit="1" customWidth="1"/>
    <col min="3" max="3" width="8.85546875" style="57"/>
    <col min="4" max="4" width="37.7109375" style="57" bestFit="1" customWidth="1"/>
    <col min="5" max="5" width="9" style="57" customWidth="1"/>
    <col min="6" max="6" width="11.140625" style="57" bestFit="1" customWidth="1"/>
    <col min="7" max="7" width="13.140625" style="57" bestFit="1" customWidth="1"/>
  </cols>
  <sheetData>
    <row r="1" spans="2:7" x14ac:dyDescent="0.25">
      <c r="B1" s="39"/>
      <c r="C1" s="39"/>
      <c r="D1" s="39"/>
      <c r="E1" s="39"/>
      <c r="F1" s="39"/>
      <c r="G1" s="34" t="s">
        <v>1742</v>
      </c>
    </row>
    <row r="2" spans="2:7" ht="36" x14ac:dyDescent="0.25">
      <c r="B2" s="37" t="s">
        <v>1</v>
      </c>
      <c r="C2" s="37" t="s">
        <v>5</v>
      </c>
      <c r="D2" s="37" t="s">
        <v>122</v>
      </c>
      <c r="E2" s="38" t="s">
        <v>12</v>
      </c>
      <c r="F2" s="35" t="s">
        <v>13</v>
      </c>
      <c r="G2" s="36" t="s">
        <v>18</v>
      </c>
    </row>
    <row r="3" spans="2:7" x14ac:dyDescent="0.25">
      <c r="B3" s="55" t="s">
        <v>1745</v>
      </c>
      <c r="C3" s="42" t="s">
        <v>24</v>
      </c>
      <c r="D3" s="55" t="s">
        <v>1323</v>
      </c>
      <c r="E3" s="56" t="s">
        <v>56</v>
      </c>
      <c r="F3" s="43" t="s">
        <v>35</v>
      </c>
      <c r="G3" s="44">
        <v>800000000</v>
      </c>
    </row>
    <row r="4" spans="2:7" x14ac:dyDescent="0.25">
      <c r="B4" s="55" t="s">
        <v>1744</v>
      </c>
      <c r="C4" s="42" t="s">
        <v>24</v>
      </c>
      <c r="D4" s="55" t="s">
        <v>1326</v>
      </c>
      <c r="E4" s="56" t="s">
        <v>28</v>
      </c>
      <c r="F4" s="43" t="s">
        <v>29</v>
      </c>
      <c r="G4" s="44">
        <v>102000000</v>
      </c>
    </row>
    <row r="5" spans="2:7" x14ac:dyDescent="0.25">
      <c r="B5" s="55" t="s">
        <v>1743</v>
      </c>
      <c r="C5" s="42" t="s">
        <v>24</v>
      </c>
      <c r="D5" s="55" t="s">
        <v>1452</v>
      </c>
      <c r="E5" s="56" t="s">
        <v>28</v>
      </c>
      <c r="F5" s="43" t="s">
        <v>29</v>
      </c>
      <c r="G5" s="44">
        <v>64000000</v>
      </c>
    </row>
    <row r="6" spans="2:7" x14ac:dyDescent="0.25">
      <c r="B6" s="55" t="s">
        <v>1745</v>
      </c>
      <c r="C6" s="42" t="s">
        <v>24</v>
      </c>
      <c r="D6" s="55" t="s">
        <v>1324</v>
      </c>
      <c r="E6" s="56" t="s">
        <v>28</v>
      </c>
      <c r="F6" s="43" t="s">
        <v>29</v>
      </c>
      <c r="G6" s="44">
        <v>21353730</v>
      </c>
    </row>
    <row r="7" spans="2:7" x14ac:dyDescent="0.25">
      <c r="B7" s="55" t="s">
        <v>1745</v>
      </c>
      <c r="C7" s="42" t="s">
        <v>24</v>
      </c>
      <c r="D7" s="55" t="s">
        <v>1448</v>
      </c>
      <c r="E7" s="56" t="s">
        <v>28</v>
      </c>
      <c r="F7" s="43" t="s">
        <v>29</v>
      </c>
      <c r="G7" s="44">
        <v>16000000</v>
      </c>
    </row>
    <row r="8" spans="2:7" x14ac:dyDescent="0.25">
      <c r="B8" s="55" t="s">
        <v>1743</v>
      </c>
      <c r="C8" s="42" t="s">
        <v>24</v>
      </c>
      <c r="D8" s="55" t="s">
        <v>1325</v>
      </c>
      <c r="E8" s="56" t="s">
        <v>1380</v>
      </c>
      <c r="F8" s="43" t="s">
        <v>29</v>
      </c>
      <c r="G8" s="44">
        <v>10202400</v>
      </c>
    </row>
    <row r="9" spans="2:7" x14ac:dyDescent="0.25">
      <c r="B9" s="55" t="s">
        <v>1743</v>
      </c>
      <c r="C9" s="42" t="s">
        <v>24</v>
      </c>
      <c r="D9" s="55" t="s">
        <v>1327</v>
      </c>
      <c r="E9" s="56" t="s">
        <v>56</v>
      </c>
      <c r="F9" s="43" t="s">
        <v>35</v>
      </c>
      <c r="G9" s="44">
        <v>3828400</v>
      </c>
    </row>
    <row r="10" spans="2:7" x14ac:dyDescent="0.25">
      <c r="B10" s="55" t="s">
        <v>1745</v>
      </c>
      <c r="C10" s="42" t="s">
        <v>24</v>
      </c>
      <c r="D10" s="55" t="s">
        <v>59</v>
      </c>
      <c r="E10" s="56" t="s">
        <v>60</v>
      </c>
      <c r="F10" s="43" t="s">
        <v>29</v>
      </c>
      <c r="G10" s="44">
        <v>3000000</v>
      </c>
    </row>
    <row r="11" spans="2:7" x14ac:dyDescent="0.25">
      <c r="B11" s="55" t="s">
        <v>1743</v>
      </c>
      <c r="C11" s="42" t="s">
        <v>24</v>
      </c>
      <c r="D11" s="55" t="s">
        <v>1329</v>
      </c>
      <c r="E11" s="56" t="s">
        <v>47</v>
      </c>
      <c r="F11" s="43" t="s">
        <v>35</v>
      </c>
      <c r="G11" s="44">
        <v>2672600</v>
      </c>
    </row>
    <row r="12" spans="2:7" x14ac:dyDescent="0.25">
      <c r="B12" s="55" t="s">
        <v>1743</v>
      </c>
      <c r="C12" s="42" t="s">
        <v>24</v>
      </c>
      <c r="D12" s="55" t="s">
        <v>1330</v>
      </c>
      <c r="E12" s="56" t="s">
        <v>47</v>
      </c>
      <c r="F12" s="43" t="s">
        <v>35</v>
      </c>
      <c r="G12" s="44">
        <v>2532300</v>
      </c>
    </row>
    <row r="13" spans="2:7" x14ac:dyDescent="0.25">
      <c r="B13" s="55" t="s">
        <v>1743</v>
      </c>
      <c r="C13" s="42" t="s">
        <v>24</v>
      </c>
      <c r="D13" s="55" t="s">
        <v>1331</v>
      </c>
      <c r="E13" s="56" t="s">
        <v>47</v>
      </c>
      <c r="F13" s="43" t="s">
        <v>35</v>
      </c>
      <c r="G13" s="44">
        <v>1955300</v>
      </c>
    </row>
    <row r="14" spans="2:7" x14ac:dyDescent="0.25">
      <c r="B14" s="55" t="s">
        <v>1743</v>
      </c>
      <c r="C14" s="42" t="s">
        <v>24</v>
      </c>
      <c r="D14" s="55" t="s">
        <v>1332</v>
      </c>
      <c r="E14" s="56" t="s">
        <v>34</v>
      </c>
      <c r="F14" s="43" t="s">
        <v>35</v>
      </c>
      <c r="G14" s="44">
        <v>1673900</v>
      </c>
    </row>
    <row r="15" spans="2:7" x14ac:dyDescent="0.25">
      <c r="B15" s="55" t="s">
        <v>1745</v>
      </c>
      <c r="C15" s="42" t="s">
        <v>24</v>
      </c>
      <c r="D15" s="55" t="s">
        <v>1335</v>
      </c>
      <c r="E15" s="56" t="s">
        <v>34</v>
      </c>
      <c r="F15" s="43" t="s">
        <v>35</v>
      </c>
      <c r="G15" s="44">
        <v>1343700</v>
      </c>
    </row>
    <row r="16" spans="2:7" x14ac:dyDescent="0.25">
      <c r="B16" s="55" t="s">
        <v>1743</v>
      </c>
      <c r="C16" s="42" t="s">
        <v>24</v>
      </c>
      <c r="D16" s="55" t="s">
        <v>1336</v>
      </c>
      <c r="E16" s="56" t="s">
        <v>58</v>
      </c>
      <c r="F16" s="43" t="s">
        <v>29</v>
      </c>
      <c r="G16" s="44">
        <v>1300000</v>
      </c>
    </row>
    <row r="17" spans="2:7" x14ac:dyDescent="0.25">
      <c r="B17" s="55" t="s">
        <v>1745</v>
      </c>
      <c r="C17" s="42" t="s">
        <v>24</v>
      </c>
      <c r="D17" s="55" t="s">
        <v>1337</v>
      </c>
      <c r="E17" s="56" t="s">
        <v>34</v>
      </c>
      <c r="F17" s="43" t="s">
        <v>35</v>
      </c>
      <c r="G17" s="44">
        <v>1254100</v>
      </c>
    </row>
    <row r="18" spans="2:7" x14ac:dyDescent="0.25">
      <c r="B18" s="55" t="s">
        <v>1743</v>
      </c>
      <c r="C18" s="42" t="s">
        <v>24</v>
      </c>
      <c r="D18" s="55" t="s">
        <v>1338</v>
      </c>
      <c r="E18" s="56" t="s">
        <v>796</v>
      </c>
      <c r="F18" s="43" t="s">
        <v>35</v>
      </c>
      <c r="G18" s="44">
        <v>1009400</v>
      </c>
    </row>
    <row r="19" spans="2:7" x14ac:dyDescent="0.25">
      <c r="B19" s="55" t="s">
        <v>1745</v>
      </c>
      <c r="C19" s="42" t="s">
        <v>24</v>
      </c>
      <c r="D19" s="55" t="s">
        <v>1339</v>
      </c>
      <c r="E19" s="56" t="s">
        <v>34</v>
      </c>
      <c r="F19" s="43" t="s">
        <v>35</v>
      </c>
      <c r="G19" s="44">
        <v>937900</v>
      </c>
    </row>
    <row r="20" spans="2:7" x14ac:dyDescent="0.25">
      <c r="B20" s="55" t="s">
        <v>1745</v>
      </c>
      <c r="C20" s="42" t="s">
        <v>24</v>
      </c>
      <c r="D20" s="55" t="s">
        <v>1340</v>
      </c>
      <c r="E20" s="56" t="s">
        <v>51</v>
      </c>
      <c r="F20" s="43" t="s">
        <v>35</v>
      </c>
      <c r="G20" s="44">
        <v>895500</v>
      </c>
    </row>
    <row r="21" spans="2:7" x14ac:dyDescent="0.25">
      <c r="B21" s="58" t="s">
        <v>1746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DODDRIDGE</vt:lpstr>
      <vt:lpstr>HARRISON</vt:lpstr>
      <vt:lpstr>MARION</vt:lpstr>
      <vt:lpstr>MONONGALIA</vt:lpstr>
      <vt:lpstr>PRESTON</vt:lpstr>
      <vt:lpstr>TAYLOR</vt:lpstr>
      <vt:lpstr>MONONGALIA (NON_RES &gt; 800K)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2022-03-10T19:16:45Z</dcterms:modified>
</cp:coreProperties>
</file>