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7\"/>
    </mc:Choice>
  </mc:AlternateContent>
  <xr:revisionPtr revIDLastSave="0" documentId="13_ncr:1_{7B3757ED-ED87-41F4-890E-F0393E8C1B09}" xr6:coauthVersionLast="44" xr6:coauthVersionMax="44" xr10:uidLastSave="{00000000-0000-0000-0000-000000000000}"/>
  <bookViews>
    <workbookView xWindow="-120" yWindow="-120" windowWidth="29040" windowHeight="15840" tabRatio="735" activeTab="1" xr2:uid="{00000000-000D-0000-FFFF-FFFF00000000}"/>
  </bookViews>
  <sheets>
    <sheet name="BARBOUR" sheetId="28" r:id="rId1"/>
    <sheet name="BRAXTON" sheetId="29" r:id="rId2"/>
    <sheet name="GILMER" sheetId="30" r:id="rId3"/>
    <sheet name="LEWIS" sheetId="31" r:id="rId4"/>
    <sheet name="RANDOLPH" sheetId="32" r:id="rId5"/>
    <sheet name="TUCKER" sheetId="33" r:id="rId6"/>
    <sheet name="UPSHUR" sheetId="34" r:id="rId7"/>
    <sheet name="RANDOLPH (NON_RES &gt; 300K)" sheetId="35" r:id="rId8"/>
    <sheet name="UPSHUR (NON_RES &gt; 500K)" sheetId="36" r:id="rId9"/>
  </sheets>
  <definedNames>
    <definedName name="_xlnm._FilterDatabase" localSheetId="0" hidden="1">BARBOUR!$A$6:$X$44</definedName>
    <definedName name="_xlnm._FilterDatabase" localSheetId="1" hidden="1">BRAXTON!$A$6:$X$23</definedName>
    <definedName name="_xlnm._FilterDatabase" localSheetId="3" hidden="1">LEWIS!$A$6:$X$72</definedName>
    <definedName name="_xlnm._FilterDatabase" localSheetId="4" hidden="1">RANDOLPH!$A$6:$X$70</definedName>
    <definedName name="_xlnm._FilterDatabase" localSheetId="7" hidden="1">'RANDOLPH (NON_RES &gt; 300K)'!$B$2:$G$37</definedName>
    <definedName name="_xlnm._FilterDatabase" localSheetId="8" hidden="1">'UPSHUR (NON_RES &gt; 500K)'!$B$2:$G$38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36" l="1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F7" i="34" l="1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" i="33" l="1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12" i="32" l="1"/>
  <c r="F8" i="32"/>
  <c r="F7" i="32" l="1"/>
  <c r="F9" i="32"/>
  <c r="F10" i="32"/>
  <c r="F11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8" i="30"/>
  <c r="F7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8" i="29"/>
  <c r="F9" i="29"/>
  <c r="F10" i="29"/>
  <c r="F11" i="29"/>
  <c r="F7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</calcChain>
</file>

<file path=xl/sharedStrings.xml><?xml version="1.0" encoding="utf-8"?>
<sst xmlns="http://schemas.openxmlformats.org/spreadsheetml/2006/main" count="6499" uniqueCount="1902">
  <si>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</si>
  <si>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</si>
  <si>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</si>
  <si>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</si>
  <si>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</si>
  <si>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</si>
  <si>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</si>
  <si>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</si>
  <si>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</si>
  <si>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</si>
  <si>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</si>
  <si>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</si>
  <si>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</si>
  <si>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</si>
  <si>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</si>
  <si>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</si>
  <si>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</si>
  <si>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</si>
  <si>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</si>
  <si>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</si>
  <si>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</si>
  <si>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</si>
  <si>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</si>
  <si>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</si>
  <si>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</si>
  <si>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</si>
  <si>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</si>
  <si>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</si>
  <si>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</si>
  <si>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</si>
  <si>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</si>
  <si>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</si>
  <si>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</si>
  <si>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</si>
  <si>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</si>
  <si>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</si>
  <si>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</si>
  <si>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</si>
  <si>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</si>
  <si>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</si>
  <si>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</si>
  <si>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</si>
  <si>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</si>
  <si>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</si>
  <si>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</si>
  <si>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</si>
  <si>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</si>
  <si>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</si>
  <si>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</si>
  <si>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</si>
  <si>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</si>
  <si>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</si>
  <si>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</si>
  <si>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</si>
  <si>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</si>
  <si>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</si>
  <si>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</si>
  <si>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</si>
  <si>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</si>
  <si>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</si>
  <si>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</si>
  <si>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</si>
  <si>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</si>
  <si>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</si>
  <si>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</si>
  <si>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</si>
  <si>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</si>
  <si>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</si>
  <si>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</si>
  <si>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</si>
  <si>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</si>
  <si>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</si>
  <si>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</si>
  <si>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</si>
  <si>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1999</t>
  </si>
  <si>
    <t>0</t>
  </si>
  <si>
    <t>1986</t>
  </si>
  <si>
    <t>1978</t>
  </si>
  <si>
    <t>2005</t>
  </si>
  <si>
    <t>2010</t>
  </si>
  <si>
    <t>1964</t>
  </si>
  <si>
    <t>1970</t>
  </si>
  <si>
    <t>2006</t>
  </si>
  <si>
    <t>1997</t>
  </si>
  <si>
    <t>1960</t>
  </si>
  <si>
    <t>IND1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</si>
  <si>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</si>
  <si>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</si>
  <si>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</si>
  <si>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</si>
  <si>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</si>
  <si>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</si>
  <si>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</si>
  <si>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</si>
  <si>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</si>
  <si>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</si>
  <si>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</si>
  <si>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1995</t>
  </si>
  <si>
    <t>2001</t>
  </si>
  <si>
    <t>1975</t>
  </si>
  <si>
    <t>1994</t>
  </si>
  <si>
    <t>2012</t>
  </si>
  <si>
    <t>2007</t>
  </si>
  <si>
    <t>2009</t>
  </si>
  <si>
    <t>1972</t>
  </si>
  <si>
    <t>COM3</t>
  </si>
  <si>
    <t>1940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</si>
  <si>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</si>
  <si>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</si>
  <si>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</si>
  <si>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</si>
  <si>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</si>
  <si>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</si>
  <si>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(Higher than $100,000)</t>
  </si>
  <si>
    <t>2018</t>
  </si>
  <si>
    <t>1992</t>
  </si>
  <si>
    <t>Owner Name or Building ID</t>
  </si>
  <si>
    <t>New utility changes applied manually</t>
  </si>
  <si>
    <t>Brushy Fork</t>
  </si>
  <si>
    <t>Advisory A</t>
  </si>
  <si>
    <t>1111</t>
  </si>
  <si>
    <t>2000</t>
  </si>
  <si>
    <t>2014</t>
  </si>
  <si>
    <t>1979</t>
  </si>
  <si>
    <t>2004</t>
  </si>
  <si>
    <t>1982</t>
  </si>
  <si>
    <t>1985</t>
  </si>
  <si>
    <t>2011</t>
  </si>
  <si>
    <t>2003</t>
  </si>
  <si>
    <t>1983</t>
  </si>
  <si>
    <t>1971</t>
  </si>
  <si>
    <t>2002</t>
  </si>
  <si>
    <t>1950</t>
  </si>
  <si>
    <t>1980</t>
  </si>
  <si>
    <t>3300</t>
  </si>
  <si>
    <t>4100</t>
  </si>
  <si>
    <t>1680</t>
  </si>
  <si>
    <t>2040</t>
  </si>
  <si>
    <t>1945</t>
  </si>
  <si>
    <t>2432</t>
  </si>
  <si>
    <t>2016</t>
  </si>
  <si>
    <t>2280</t>
  </si>
  <si>
    <t>1848</t>
  </si>
  <si>
    <t>Simpson Creek</t>
  </si>
  <si>
    <t>West Fork River</t>
  </si>
  <si>
    <t>Smith Run</t>
  </si>
  <si>
    <t>Yes</t>
  </si>
  <si>
    <t>ORION DEVELOPMENT RA VIII INC</t>
  </si>
  <si>
    <t>1967</t>
  </si>
  <si>
    <t>1987</t>
  </si>
  <si>
    <t>1956</t>
  </si>
  <si>
    <t>1981</t>
  </si>
  <si>
    <t>1961</t>
  </si>
  <si>
    <t>1974</t>
  </si>
  <si>
    <t>RES3F</t>
  </si>
  <si>
    <t>RES6</t>
  </si>
  <si>
    <t>RES3B</t>
  </si>
  <si>
    <t>COM5</t>
  </si>
  <si>
    <t>4</t>
  </si>
  <si>
    <t>3</t>
  </si>
  <si>
    <t>6</t>
  </si>
  <si>
    <t>21760</t>
  </si>
  <si>
    <t>8000</t>
  </si>
  <si>
    <t>6732</t>
  </si>
  <si>
    <t>Tygart Valley River</t>
  </si>
  <si>
    <t>CGP DEVELOPMENT CO INC</t>
  </si>
  <si>
    <t>2013</t>
  </si>
  <si>
    <t>1976</t>
  </si>
  <si>
    <t>1989</t>
  </si>
  <si>
    <t>2749</t>
  </si>
  <si>
    <t>14720</t>
  </si>
  <si>
    <t>West Run</t>
  </si>
  <si>
    <t>MCDONALD'S CORPORATION</t>
  </si>
  <si>
    <t>1977</t>
  </si>
  <si>
    <t>2019</t>
  </si>
  <si>
    <t>X+</t>
  </si>
  <si>
    <t>EDU2</t>
  </si>
  <si>
    <t>RES3A</t>
  </si>
  <si>
    <t>20000</t>
  </si>
  <si>
    <t>3000</t>
  </si>
  <si>
    <t>1700</t>
  </si>
  <si>
    <t>BAPTIST CHURCH</t>
  </si>
  <si>
    <t>1935</t>
  </si>
  <si>
    <t>1930</t>
  </si>
  <si>
    <t>3780</t>
  </si>
  <si>
    <t>8240</t>
  </si>
  <si>
    <t>1984</t>
  </si>
  <si>
    <t>12000</t>
  </si>
  <si>
    <t>6600</t>
  </si>
  <si>
    <t>* Unincorporated</t>
  </si>
  <si>
    <t>BARBOUR</t>
  </si>
  <si>
    <t>01-08-0008-0093-0000_66</t>
  </si>
  <si>
    <t>01-08-0006-0029-0000_547</t>
  </si>
  <si>
    <t>01-02-0007-0191-0000_129</t>
  </si>
  <si>
    <t>01-08-0004-0113-0000_27</t>
  </si>
  <si>
    <t>01-08-008A-0040-0000_26</t>
  </si>
  <si>
    <t>01-08-0022-0002-0000_87</t>
  </si>
  <si>
    <t>01-08-0008-0067-0001_47</t>
  </si>
  <si>
    <t>01-08-008A-0006-0000_69</t>
  </si>
  <si>
    <t>01-08-0010-0106-0000_127</t>
  </si>
  <si>
    <t>01-08-008A-0017-0000_127</t>
  </si>
  <si>
    <t>01-08-0022-0002-0001_49</t>
  </si>
  <si>
    <t>01-08-008A-0009-0000_80</t>
  </si>
  <si>
    <t>01-06-0002-0024-0000_2467</t>
  </si>
  <si>
    <t>01-08-008A-0065-0000_9</t>
  </si>
  <si>
    <t>01-08-0005-0004-0000_53</t>
  </si>
  <si>
    <t>01-08-0004-0153-0000_78</t>
  </si>
  <si>
    <t>01-07-0005-0018-0004_19969</t>
  </si>
  <si>
    <t>01-09-0012-0011-0000_27</t>
  </si>
  <si>
    <t>01-08-008A-0066-0000_10</t>
  </si>
  <si>
    <t>01-02-0007-0003-0000_6151</t>
  </si>
  <si>
    <t>01-02-0007-0077-0000_135A</t>
  </si>
  <si>
    <t>01-08-0010-0003-0000_9998</t>
  </si>
  <si>
    <t>01-02-0007-0199-0000_58</t>
  </si>
  <si>
    <t>01-08-0010-0107-0000_123</t>
  </si>
  <si>
    <t>01-08-008A-0007-0000_51</t>
  </si>
  <si>
    <t>01-01-0003-0007-0000_2715</t>
  </si>
  <si>
    <t>01-08-0004-0127-0000_220</t>
  </si>
  <si>
    <t>01-02-0007-0227-0000_69</t>
  </si>
  <si>
    <t>01-02-0011-0007-0000_55</t>
  </si>
  <si>
    <t>01-08-008A-0035-0000_17</t>
  </si>
  <si>
    <t>01-08-008A-0030-0000_43</t>
  </si>
  <si>
    <t>01-03-0019-0047-0004_9999</t>
  </si>
  <si>
    <t>01-05-0020-0005-0000_2191</t>
  </si>
  <si>
    <t>01-09-0013-0035-0006_3163</t>
  </si>
  <si>
    <t>01-02-0007-0081-0000_114</t>
  </si>
  <si>
    <t>01-02-0007-0088-0000_188</t>
  </si>
  <si>
    <t>01-11-0018-0007-0001_1896</t>
  </si>
  <si>
    <t>City of Philippi</t>
  </si>
  <si>
    <t>Town of Belington</t>
  </si>
  <si>
    <t>Town of Junior</t>
  </si>
  <si>
    <t>Barbour County</t>
  </si>
  <si>
    <t>Anglins Run</t>
  </si>
  <si>
    <t>Shooks Run</t>
  </si>
  <si>
    <t>Hackers Creek</t>
  </si>
  <si>
    <t>West Branch Simpson Creek</t>
  </si>
  <si>
    <t>Bills Creek</t>
  </si>
  <si>
    <t>Sugar Creek</t>
  </si>
  <si>
    <t>Middle Fork River</t>
  </si>
  <si>
    <t>01-08-0008-0093-0000</t>
  </si>
  <si>
    <t>01-08-0006-0029-0000</t>
  </si>
  <si>
    <t>01-02-0007-0191-0000</t>
  </si>
  <si>
    <t>01-08-0004-0113-0000</t>
  </si>
  <si>
    <t>01-08-008A-0040-0000</t>
  </si>
  <si>
    <t>01-08-0022-0002-0000</t>
  </si>
  <si>
    <t>01-08-0008-0067-0001</t>
  </si>
  <si>
    <t>01-08-008A-0006-0000</t>
  </si>
  <si>
    <t>01-08-0010-0106-0000</t>
  </si>
  <si>
    <t>01-08-008A-0017-0000</t>
  </si>
  <si>
    <t>01-08-0022-0002-0001</t>
  </si>
  <si>
    <t>01-08-008A-0009-0000</t>
  </si>
  <si>
    <t>01-06-0002-0024-0000</t>
  </si>
  <si>
    <t>01-08-008A-0065-0000</t>
  </si>
  <si>
    <t>01-08-0005-0004-0000</t>
  </si>
  <si>
    <t>01-08-0004-0153-0000</t>
  </si>
  <si>
    <t>01-07-0005-0018-0004</t>
  </si>
  <si>
    <t>01-09-0012-0011-0000</t>
  </si>
  <si>
    <t>01-08-008A-0066-0000</t>
  </si>
  <si>
    <t>01-02-0007-0003-0000</t>
  </si>
  <si>
    <t>01-02-0007-0077-0000</t>
  </si>
  <si>
    <t>01-08-0010-0003-0000</t>
  </si>
  <si>
    <t>01-02-0007-0199-0000</t>
  </si>
  <si>
    <t>01-08-0010-0107-0000</t>
  </si>
  <si>
    <t>01-08-008A-0007-0000</t>
  </si>
  <si>
    <t>01-01-0003-0007-0000</t>
  </si>
  <si>
    <t>01-08-0004-0127-0000</t>
  </si>
  <si>
    <t>01-02-0007-0227-0000</t>
  </si>
  <si>
    <t>01-02-0011-0007-0000</t>
  </si>
  <si>
    <t>01-08-008A-0035-0000</t>
  </si>
  <si>
    <t>01-08-008A-0030-0000</t>
  </si>
  <si>
    <t>01-03-0019-0047-0004</t>
  </si>
  <si>
    <t>01-05-0020-0005-0000</t>
  </si>
  <si>
    <t>01-09-0013-0035-0006</t>
  </si>
  <si>
    <t>01-02-0007-0081-0000</t>
  </si>
  <si>
    <t>01-02-0007-0088-0000</t>
  </si>
  <si>
    <t>01-11-0018-0007-0001</t>
  </si>
  <si>
    <t>66 CHESTNUT ST 3, PHILIPPI, WV, 26416</t>
  </si>
  <si>
    <t>547 CHERRY HILL RD, PHILIPPI, WV, 26416</t>
  </si>
  <si>
    <t>129 BRIDGE ST, BELINGTON, WV, 26250</t>
  </si>
  <si>
    <t>27 PIKE ST, PHILIPPI, WV, 26416</t>
  </si>
  <si>
    <t>26 N MAIN ST, PHILIPPI, WV, 26416</t>
  </si>
  <si>
    <t>87 MATTALIANO DR, PHILIPPI, WV, 26416</t>
  </si>
  <si>
    <t>47 SCHOOL ST, PHILIPPI, WV, 26416</t>
  </si>
  <si>
    <t>69 CHURCH ST, PHILIPPI, WV, 26416</t>
  </si>
  <si>
    <t>127 BLUE GRAY EXPY, PHILIPPI, WV, 26416</t>
  </si>
  <si>
    <t>127 N MAIN ST, PHILIPPI, WV, 26416</t>
  </si>
  <si>
    <t>49 MATTALIANO DR, PHILIPPI, WV, 26416</t>
  </si>
  <si>
    <t>80 N MAIN ST, PHILIPPI, WV, 26416</t>
  </si>
  <si>
    <t>2467 BARBOUR COUNTY HWY, BELINGTON, WV, 26250</t>
  </si>
  <si>
    <t>9 S MAIN ST, PHILIPPI, WV, 26416</t>
  </si>
  <si>
    <t>53 MATTALIANO DR, PHILIPPI, WV, 26416</t>
  </si>
  <si>
    <t>78 PIKE ST, PHILIPPI, WV, 26416</t>
  </si>
  <si>
    <t>19969 BARBOUR COUNTY HWY, PHILIPPI, WV, 26416</t>
  </si>
  <si>
    <t>27 STILLHOUSE RUN RD, Flemington, WV, 26347</t>
  </si>
  <si>
    <t>10 S MAIN ST, PHILIPPI, WV, 26416</t>
  </si>
  <si>
    <t>6151 BARBOUR COUNTY HWY, BELINGTON, WV, 26250</t>
  </si>
  <si>
    <t>135A N CRIM AVE, BELINGTON, WV, 26250</t>
  </si>
  <si>
    <t>9998 MCCARTNEY ST, PHILIPPI, WV, 26416</t>
  </si>
  <si>
    <t>58 N CRIM AVE, BELINGTON, WV, 26250</t>
  </si>
  <si>
    <t>123 BLUE GRAY EXPY, PHILIPPI, WV, 26416</t>
  </si>
  <si>
    <t>51 CHURCH ST, PHILIPPI, WV, 26416</t>
  </si>
  <si>
    <t>2715 BILLS CREEK RD, BELINGTON, WV, 26250</t>
  </si>
  <si>
    <t>220 N WALNUT ST, PHILIPPI, WV, 26416</t>
  </si>
  <si>
    <t>69 S CRIM AVE, BELINGTON, WV, 26250</t>
  </si>
  <si>
    <t>55 WATKINS ST, BELINGTON, WV, 26250</t>
  </si>
  <si>
    <t>17 N MAIN ST, PHILIPPI, WV, 26416</t>
  </si>
  <si>
    <t>43 N MAIN ST, PHILIPPI, WV, 26416</t>
  </si>
  <si>
    <t>9999 MOUNTAINEER HWY, MOATSVILLE, WV 26405</t>
  </si>
  <si>
    <t>2191 4H CAMP RD, PHILIPPI, WV, 26416</t>
  </si>
  <si>
    <t>3163 GALLOWAY RD, PHILIPPI, WV, 26416</t>
  </si>
  <si>
    <t>114 N CRIM AVE, BELINGTON, WV, 26250</t>
  </si>
  <si>
    <t>188 N CRIM AVE, BELINGTON, WV, 26250</t>
  </si>
  <si>
    <t>1896 CAMP MAHONEGAN RD, BELINGTON, WV, 26250</t>
  </si>
  <si>
    <t>BAUGHMAN TOWERS SR APT LLC</t>
  </si>
  <si>
    <t>BELINGTON BANK INC</t>
  </si>
  <si>
    <t>BARBOUR COUNTY BANK</t>
  </si>
  <si>
    <t>BARBOUR COUNTY COURT</t>
  </si>
  <si>
    <t>CITY OF PHILIPPI GOB PILE</t>
  </si>
  <si>
    <t>PHILIPPI MUNICIPAL BLDG COMM &amp; BARBOUR CTY COMM &amp; BARBOUR BOE</t>
  </si>
  <si>
    <t>TR PHILIPPI BAPTIST CHURCH CHURCH</t>
  </si>
  <si>
    <t>CGP DEVELOPMENT CO, INC</t>
  </si>
  <si>
    <t>SRS PROPERTY MANAGEMENT LLC #171</t>
  </si>
  <si>
    <t>KIESS JEFFREY C &amp; SHARON I</t>
  </si>
  <si>
    <t>CITY OF PHILIPPI</t>
  </si>
  <si>
    <t>JUNIOR COMMUNITY VOLUNTEER FIRE DEPT</t>
  </si>
  <si>
    <t>PREMIER BANK INC</t>
  </si>
  <si>
    <t>KCKJ ENTERPRISES INC C/O DELTA COOLING TOWERS</t>
  </si>
  <si>
    <t>TR M E CHURCH</t>
  </si>
  <si>
    <t>TR SOUTHERN BAPTIST CHURCH OF PHILIPPI</t>
  </si>
  <si>
    <t>HENLINE EDWARD</t>
  </si>
  <si>
    <t>A M O INC</t>
  </si>
  <si>
    <t>DINGESS LUMBER CO INC</t>
  </si>
  <si>
    <t>AMERICAN LEGION #96</t>
  </si>
  <si>
    <t>BARBOUR COUNTY SENIOR CENTER, INC</t>
  </si>
  <si>
    <t>CARPENTER ROBERTA J &amp; JEFFREY S</t>
  </si>
  <si>
    <t>WRIGHT CARL R</t>
  </si>
  <si>
    <t>LIGHT OF CHRIST CHAPEL OF BELINGTON</t>
  </si>
  <si>
    <t>BELINGTON VOLUNTEER FIRE DEPT</t>
  </si>
  <si>
    <t>PHILIPPI MUNICIPAL BLDG COMM</t>
  </si>
  <si>
    <t>MO ED PROPERTIES LLC</t>
  </si>
  <si>
    <t>WORKMAN EVAN &amp; ASHLEY K HWS</t>
  </si>
  <si>
    <t>CAMP BARBOUR INC</t>
  </si>
  <si>
    <t>CORDER RICHARD C &amp; WANDA, HWS</t>
  </si>
  <si>
    <t>JCS PROPERTIES LLC</t>
  </si>
  <si>
    <t>CGP DEVELOPMENT CO  INC</t>
  </si>
  <si>
    <t>LYONS NATHAN D</t>
  </si>
  <si>
    <t>1959</t>
  </si>
  <si>
    <t>1917</t>
  </si>
  <si>
    <t>1947</t>
  </si>
  <si>
    <t>8</t>
  </si>
  <si>
    <t>78584</t>
  </si>
  <si>
    <t>60312</t>
  </si>
  <si>
    <t>12116</t>
  </si>
  <si>
    <t>15203</t>
  </si>
  <si>
    <t>7885</t>
  </si>
  <si>
    <t>57358</t>
  </si>
  <si>
    <t>26080</t>
  </si>
  <si>
    <t>12664</t>
  </si>
  <si>
    <t>29657</t>
  </si>
  <si>
    <t>6632</t>
  </si>
  <si>
    <t>10080</t>
  </si>
  <si>
    <t>14343</t>
  </si>
  <si>
    <t>8910</t>
  </si>
  <si>
    <t>26377</t>
  </si>
  <si>
    <t>27208</t>
  </si>
  <si>
    <t>6298</t>
  </si>
  <si>
    <t>8858</t>
  </si>
  <si>
    <t>13569</t>
  </si>
  <si>
    <t>21656</t>
  </si>
  <si>
    <t>8584</t>
  </si>
  <si>
    <t>13825</t>
  </si>
  <si>
    <t>3852</t>
  </si>
  <si>
    <t>3645</t>
  </si>
  <si>
    <t>15600</t>
  </si>
  <si>
    <t>3942</t>
  </si>
  <si>
    <t>8970</t>
  </si>
  <si>
    <t>8762</t>
  </si>
  <si>
    <t>17514</t>
  </si>
  <si>
    <t>14260</t>
  </si>
  <si>
    <t>12956</t>
  </si>
  <si>
    <t>3105</t>
  </si>
  <si>
    <t>13691</t>
  </si>
  <si>
    <t>2778</t>
  </si>
  <si>
    <t>8160</t>
  </si>
  <si>
    <t>3508</t>
  </si>
  <si>
    <t>01-02-0001-0001-0000_224</t>
  </si>
  <si>
    <t>01-02-0001-0001-0000</t>
  </si>
  <si>
    <t>224 DEARBORN ST, BELINGTON, WV, 26250</t>
  </si>
  <si>
    <t>CITY OF BELINGTON</t>
  </si>
  <si>
    <t>04-06-007M-0094-0000_2642</t>
  </si>
  <si>
    <t>04-06-007N-0049-0001_2926</t>
  </si>
  <si>
    <t>04-06-007N-0049-0001_2908</t>
  </si>
  <si>
    <t>04-06-007M-0095-0000_2764</t>
  </si>
  <si>
    <t>04-04-0011-0080-0000_1060</t>
  </si>
  <si>
    <t>04-06-0003-0041-0000_483</t>
  </si>
  <si>
    <t>04-05-009S-0002-0000_8339</t>
  </si>
  <si>
    <t>04-08-0005-0117-0000_616</t>
  </si>
  <si>
    <t>04-01-003K-0024-0000_8996</t>
  </si>
  <si>
    <t>04-06-007M-0104-0000_9996</t>
  </si>
  <si>
    <t>04-02-0001-0001-0000_328</t>
  </si>
  <si>
    <t>04-08-0002-0023-0000_577</t>
  </si>
  <si>
    <t>04-06-007N-0048-0002_2888</t>
  </si>
  <si>
    <t>04-02-0004-0118-0000_110</t>
  </si>
  <si>
    <t>04-06-008R-0015-0009_2691</t>
  </si>
  <si>
    <t>04-07-009E-0020-0003_810</t>
  </si>
  <si>
    <t>04-04-0007-0147-0000_72</t>
  </si>
  <si>
    <t>BRAXTON</t>
  </si>
  <si>
    <t>Braxton County</t>
  </si>
  <si>
    <t>Town of Gassaway</t>
  </si>
  <si>
    <t>Town of Sutton</t>
  </si>
  <si>
    <t>Town of Burnsville</t>
  </si>
  <si>
    <t>Elk River</t>
  </si>
  <si>
    <t>Little Birch River</t>
  </si>
  <si>
    <t>Right Fork Steer Creek</t>
  </si>
  <si>
    <t>LIttle Kanawha River</t>
  </si>
  <si>
    <t>Right Fork Saltlick Creek</t>
  </si>
  <si>
    <t>Little Otter Creek</t>
  </si>
  <si>
    <t>04-06-007M-0094-0000</t>
  </si>
  <si>
    <t>04-06-007N-0049-0001</t>
  </si>
  <si>
    <t>04-06-007M-0095-0000</t>
  </si>
  <si>
    <t>04-04-0011-0080-0000</t>
  </si>
  <si>
    <t>04-06-0003-0041-0000</t>
  </si>
  <si>
    <t>04-05-009S-0002-0000</t>
  </si>
  <si>
    <t>04-08-0005-0117-0000</t>
  </si>
  <si>
    <t>04-01-003K-0024-0000</t>
  </si>
  <si>
    <t>04-06-007M-0104-0000</t>
  </si>
  <si>
    <t>04-02-0001-0001-0000</t>
  </si>
  <si>
    <t>04-08-0002-0023-0000</t>
  </si>
  <si>
    <t>04-06-007N-0048-0002</t>
  </si>
  <si>
    <t>04-02-0004-0118-0000</t>
  </si>
  <si>
    <t>04-06-008R-0015-0009</t>
  </si>
  <si>
    <t>04-07-009E-0020-0003</t>
  </si>
  <si>
    <t>04-04-0007-0147-0000</t>
  </si>
  <si>
    <t>2642 STATE ST, GASSAWAY, WV, 26624</t>
  </si>
  <si>
    <t>2926 STATE ST, GASSAWAY, WV, 26624</t>
  </si>
  <si>
    <t>2908 STATE ST, GASSAWAY, WV, 26624</t>
  </si>
  <si>
    <t>2764 STATE ST, GASSAWAY, WV, 26624</t>
  </si>
  <si>
    <t>1060 RIVERSIDE DR, GASSAWAY, WV, 26624</t>
  </si>
  <si>
    <t>483 DEAL ST, SUTTON, WV, 26601</t>
  </si>
  <si>
    <t>8339 OLD TURNPIKE RD, LITTLE BIRCH, WV, 26601</t>
  </si>
  <si>
    <t>616 MAIN ST, SUTTON, WV, 26601</t>
  </si>
  <si>
    <t>8996 WILSIE RD, FRAMETOWN, WV, 26623</t>
  </si>
  <si>
    <t>9996 STATE ST, GASSAWAY, WV, 26624</t>
  </si>
  <si>
    <t>328 KANAWHA AVE, BURNSVILLE, WV, 26335</t>
  </si>
  <si>
    <t>577 W MAIN ST, SUTTON, WV, 26601</t>
  </si>
  <si>
    <t>2888 STATE ST, GASSAWAY, WV, 26624</t>
  </si>
  <si>
    <t>110 MUNICIPAL ST, BURNSVILLE, WV, 26335</t>
  </si>
  <si>
    <t>2691 LITTLE BIRCH RD, SUTTON, WV, 26601</t>
  </si>
  <si>
    <t>810 COPEN RD, BURNSVILLE, WV, 26335</t>
  </si>
  <si>
    <t>72 S STATE ST, GASSAWAY, WV, 26624</t>
  </si>
  <si>
    <t>WV DEPT OF HIGHWAYS</t>
  </si>
  <si>
    <t>STEWART JOHN &amp; EDITH</t>
  </si>
  <si>
    <t>MSL HOLDINGS LLC</t>
  </si>
  <si>
    <t>WEST VIRGINIA WATER CO</t>
  </si>
  <si>
    <t>WILLIAMS KENNETH J &amp;/OR WILLIAMS SHIRLEY L</t>
  </si>
  <si>
    <t>TONKIN LAVERN &amp;/OR ANDREA</t>
  </si>
  <si>
    <t>CAFE CIMINO LLC</t>
  </si>
  <si>
    <t>EQUITRANS LP</t>
  </si>
  <si>
    <t>REXROAD SUPPLY COMPANY</t>
  </si>
  <si>
    <t>GARRETT ROGER</t>
  </si>
  <si>
    <t>REXROAD SUPPLY CO INC</t>
  </si>
  <si>
    <t>BURNSVILLE TOWN OF</t>
  </si>
  <si>
    <t>BROOKS RUN MINING CO LLC</t>
  </si>
  <si>
    <t>RAMSEY JASON E &amp;/OR JESSICA E</t>
  </si>
  <si>
    <t>1904</t>
  </si>
  <si>
    <t>RES5</t>
  </si>
  <si>
    <t>7500</t>
  </si>
  <si>
    <t>16172</t>
  </si>
  <si>
    <t>23874</t>
  </si>
  <si>
    <t>25610</t>
  </si>
  <si>
    <t>4137</t>
  </si>
  <si>
    <t>3886</t>
  </si>
  <si>
    <t>5039</t>
  </si>
  <si>
    <t>6525</t>
  </si>
  <si>
    <t>11680</t>
  </si>
  <si>
    <t>6300</t>
  </si>
  <si>
    <t>10650</t>
  </si>
  <si>
    <t>6048</t>
  </si>
  <si>
    <t>3580</t>
  </si>
  <si>
    <t>5078</t>
  </si>
  <si>
    <t>3136</t>
  </si>
  <si>
    <t>4608</t>
  </si>
  <si>
    <t>GILMER</t>
  </si>
  <si>
    <t>11-04-0009-0009-0000_99</t>
  </si>
  <si>
    <t>11-04-0009-0006-0000_111</t>
  </si>
  <si>
    <t>11-04-0005-0134-0000_217</t>
  </si>
  <si>
    <t>11-03-0030-0019-0000_228</t>
  </si>
  <si>
    <t>11-04-0005-0092-0000_9998</t>
  </si>
  <si>
    <t>11-06-0022-0046-0000_9977</t>
  </si>
  <si>
    <t>11-01-0022-0007-0000_10223</t>
  </si>
  <si>
    <t>11-04-0005-0086-0000_9996</t>
  </si>
  <si>
    <t>11-04-0005-0116-0000_213</t>
  </si>
  <si>
    <t>11-04-0005-0087-0000_101</t>
  </si>
  <si>
    <t>11-04-0009-0008-0002_9999</t>
  </si>
  <si>
    <t>11-04-0009-0008-0000_2</t>
  </si>
  <si>
    <t>11-04-0005-0057-0000_10</t>
  </si>
  <si>
    <t>11-05-0003-0002-0000_86</t>
  </si>
  <si>
    <t>11-04-0005-0095-0000_20</t>
  </si>
  <si>
    <t>11-04-0009-0007-0000_75</t>
  </si>
  <si>
    <t>11-04-0005-0091-0000_9999</t>
  </si>
  <si>
    <t>11-06-0015-0033-0000_7813</t>
  </si>
  <si>
    <t>11-01-0021-0004-0000_15061</t>
  </si>
  <si>
    <t>11-03-0023-0007-0000_4640</t>
  </si>
  <si>
    <t>11-01-0028-0014-0014_3480</t>
  </si>
  <si>
    <t>11-03-0017-0003-0006_219</t>
  </si>
  <si>
    <t>11-04-0005-0003-0000_9998</t>
  </si>
  <si>
    <t>11-04-0009-0012-0000_163</t>
  </si>
  <si>
    <t>11-04-0005-0082-0000_9999</t>
  </si>
  <si>
    <t>11-01-0022-0040-0000_10193</t>
  </si>
  <si>
    <t>11-04-0005-0049-0000_10</t>
  </si>
  <si>
    <t>11-03-0011-0020-0000_5116</t>
  </si>
  <si>
    <t>11-01-0022-0008-0002_80</t>
  </si>
  <si>
    <t>11-03-0017-0003-0010_279</t>
  </si>
  <si>
    <t>11-03-0017-0003-0018_9999</t>
  </si>
  <si>
    <t>11-04-0005-0159-0000_302</t>
  </si>
  <si>
    <t>11-04-0005-0190-0000_45</t>
  </si>
  <si>
    <t>11-06-0032-0037-0000_2972</t>
  </si>
  <si>
    <t>11-04-0005-0060-0000_21</t>
  </si>
  <si>
    <t>11-01-0002-0007-0000_3170</t>
  </si>
  <si>
    <t>11-02-0022-0001-0004_5903</t>
  </si>
  <si>
    <t>11-05-0004-0033-0000_161</t>
  </si>
  <si>
    <t>11-06-0015-0017-0000_622</t>
  </si>
  <si>
    <t>11-04-0005-0085-0000_100</t>
  </si>
  <si>
    <t>11-04-0005-0155-0000_301</t>
  </si>
  <si>
    <t>11-04-0005-0157-0000_305</t>
  </si>
  <si>
    <t>11-03-0005-0031-0002_9999</t>
  </si>
  <si>
    <t>11-03-0011-0010-0000_4044</t>
  </si>
  <si>
    <t>11-01-0029-0017-0000_86</t>
  </si>
  <si>
    <t>11-04-0003-0141-0000_9999</t>
  </si>
  <si>
    <t>11-04-0005-0152-0000_9997</t>
  </si>
  <si>
    <t>11-06-0015-0041-0000_7646</t>
  </si>
  <si>
    <t>11-02-0022-0032-0001_4425</t>
  </si>
  <si>
    <t>11-02-0022-0001-0006_5867</t>
  </si>
  <si>
    <t>11-03-0005-0032-0001_5939</t>
  </si>
  <si>
    <t>11-04-0005-0063-0000_20</t>
  </si>
  <si>
    <t>11-01-0024-0006-0000_72</t>
  </si>
  <si>
    <t>11-04-0005-0156-0000_303</t>
  </si>
  <si>
    <t>City of Glenville</t>
  </si>
  <si>
    <t>Gilmer County</t>
  </si>
  <si>
    <t>Town of Sand Fork</t>
  </si>
  <si>
    <t>Little Kanawha River</t>
  </si>
  <si>
    <t>Leading Creek</t>
  </si>
  <si>
    <t>Left Fork Steer Creek</t>
  </si>
  <si>
    <t>Sand Fork</t>
  </si>
  <si>
    <t>Coxcamp Fork</t>
  </si>
  <si>
    <t>Steer Creek</t>
  </si>
  <si>
    <t>Turkey Run</t>
  </si>
  <si>
    <t>Stewart Creek</t>
  </si>
  <si>
    <t>Cedar Creek</t>
  </si>
  <si>
    <t>Buckhorn Run Tributary</t>
  </si>
  <si>
    <t>Town Run</t>
  </si>
  <si>
    <t>Stonelick Run</t>
  </si>
  <si>
    <t>11-04-0009-0009-0000</t>
  </si>
  <si>
    <t>11-04-0009-0006-0000</t>
  </si>
  <si>
    <t>11-04-0005-0134-0000</t>
  </si>
  <si>
    <t>11-03-0030-0019-0000</t>
  </si>
  <si>
    <t>11-04-0005-0092-0000</t>
  </si>
  <si>
    <t>11-06-0022-0046-0000</t>
  </si>
  <si>
    <t>11-01-0022-0007-0000</t>
  </si>
  <si>
    <t>11-04-0005-0086-0000</t>
  </si>
  <si>
    <t>11-04-0005-0116-0000</t>
  </si>
  <si>
    <t>11-04-0005-0087-0000</t>
  </si>
  <si>
    <t>11-04-0009-0008-0002</t>
  </si>
  <si>
    <t>11-04-0009-0008-0000</t>
  </si>
  <si>
    <t>11-04-0005-0057-0000</t>
  </si>
  <si>
    <t>11-05-0003-0002-0000</t>
  </si>
  <si>
    <t>11-04-0005-0095-0000</t>
  </si>
  <si>
    <t>11-04-0009-0007-0000</t>
  </si>
  <si>
    <t>11-04-0005-0091-0000</t>
  </si>
  <si>
    <t>11-06-0015-0033-0000</t>
  </si>
  <si>
    <t>11-01-0021-0004-0000</t>
  </si>
  <si>
    <t>11-03-0023-0007-0000</t>
  </si>
  <si>
    <t>11-01-0028-0014-0014</t>
  </si>
  <si>
    <t>11-03-0017-0003-0006</t>
  </si>
  <si>
    <t>11-04-0005-0003-0000</t>
  </si>
  <si>
    <t>11-04-0009-0012-0000</t>
  </si>
  <si>
    <t>11-04-0005-0082-0000</t>
  </si>
  <si>
    <t>11-01-0022-0040-0000</t>
  </si>
  <si>
    <t>11-04-0005-0049-0000</t>
  </si>
  <si>
    <t>11-03-0011-0020-0000</t>
  </si>
  <si>
    <t>11-01-0022-0008-0002</t>
  </si>
  <si>
    <t>11-03-0017-0003-0010</t>
  </si>
  <si>
    <t>11-03-0017-0003-0018</t>
  </si>
  <si>
    <t>11-04-0005-0159-0000</t>
  </si>
  <si>
    <t>11-04-0005-0190-0000</t>
  </si>
  <si>
    <t>11-06-0032-0037-0000</t>
  </si>
  <si>
    <t>11-04-0005-0060-0000</t>
  </si>
  <si>
    <t>11-01-0002-0007-0000</t>
  </si>
  <si>
    <t>11-02-0022-0001-0004</t>
  </si>
  <si>
    <t>11-05-0004-0033-0000</t>
  </si>
  <si>
    <t>11-06-0015-0017-0000</t>
  </si>
  <si>
    <t>11-04-0005-0085-0000</t>
  </si>
  <si>
    <t>11-04-0005-0155-0000</t>
  </si>
  <si>
    <t>11-04-0005-0157-0000</t>
  </si>
  <si>
    <t>11-03-0005-0031-0002</t>
  </si>
  <si>
    <t>11-03-0011-0010-0000</t>
  </si>
  <si>
    <t>11-01-0029-0017-0000</t>
  </si>
  <si>
    <t>11-04-0003-0141-0000</t>
  </si>
  <si>
    <t>11-04-0005-0152-0000</t>
  </si>
  <si>
    <t>11-06-0015-0041-0000</t>
  </si>
  <si>
    <t>11-02-0022-0032-0001</t>
  </si>
  <si>
    <t>11-02-0022-0001-0006</t>
  </si>
  <si>
    <t>11-03-0005-0032-0001</t>
  </si>
  <si>
    <t>11-04-0005-0063-0000</t>
  </si>
  <si>
    <t>11-01-0024-0006-0000</t>
  </si>
  <si>
    <t>11-04-0005-0156-0000</t>
  </si>
  <si>
    <t>99 FAIRGROUND RD, GLENVILLE, WV, 26531</t>
  </si>
  <si>
    <t>111 FAIRGROUND RD, GLENVILLE, WV, 26351</t>
  </si>
  <si>
    <t>217 EAST MAIN ST, GLENVILLE, WV, 26351</t>
  </si>
  <si>
    <t>228 INDUSTRIAL PARK RD, SAND FORK, WV, 26430</t>
  </si>
  <si>
    <t>9998 EAST MAIN ST, GLENVILLE, WV, 26351</t>
  </si>
  <si>
    <t>9977 US HWY 33 E, LINN, WV, 26384</t>
  </si>
  <si>
    <t>10223 US HWY 33 W, NORMANTOWN, WV, 25267</t>
  </si>
  <si>
    <t>9996 EAST MAIN ST, GLENVILLE, WV, 26351</t>
  </si>
  <si>
    <t>213 POWELL ST, GLENVILLE, WV, 26351</t>
  </si>
  <si>
    <t>101 EAST MAIN ST, GLENVILLE, WV, 26351</t>
  </si>
  <si>
    <t>9999 FAIR GROUND RD, GLENVILLE, WV, 26351</t>
  </si>
  <si>
    <t>2 FAIR GROUND RD, GLENVILLE, WV, 26351</t>
  </si>
  <si>
    <t>10 SOUTH LEWIS ST, GLENVILLE, WV, 26351</t>
  </si>
  <si>
    <t>86 BURK ST, SAND FORK, WV, 26430</t>
  </si>
  <si>
    <t>20 N COURT ST, GLENVILLE, WV, 26351</t>
  </si>
  <si>
    <t>75 FAIR GROUND RD, GLENVILLE, WV, 26351</t>
  </si>
  <si>
    <t>9999 EAST MAIN ST, GLENVILLE, WV, 26351</t>
  </si>
  <si>
    <t>7813 WV HWY 47 W, COXS MILLS, WV, 26342</t>
  </si>
  <si>
    <t>15061 US HWY 33 W, NORMANTOWN, WV, 25267</t>
  </si>
  <si>
    <t>4640 WV HWY 5 E, SAND FORK, WV, 26351</t>
  </si>
  <si>
    <t>3480 ROSEDALE RD, NORMANTOWN, WV, 25267</t>
  </si>
  <si>
    <t>219 OTTERBEIN DR, GLENVILLE, WV, 26351</t>
  </si>
  <si>
    <t>9998 W MAIN ST, GLENVILLE, WV, 26351</t>
  </si>
  <si>
    <t>163 WV HWY 5 E, GLENVILLE, WV, 26351</t>
  </si>
  <si>
    <t>9999 CONRAD CT, GLENVILLE, WV, 26351</t>
  </si>
  <si>
    <t>10193 US HWY 33 W, NORMANTOWN, WV, 26351</t>
  </si>
  <si>
    <t>10 EAST MAIN ST, GLENVILLE, WV, 26351</t>
  </si>
  <si>
    <t>5116 US HWY 33 E, GLENVILLE, WV, 26351</t>
  </si>
  <si>
    <t>80 GASSAWAY RD, NORMANTOWN, WV, 26351</t>
  </si>
  <si>
    <t>279 OTTERBEIN DR, GLENVILLE, WV, 26351</t>
  </si>
  <si>
    <t>9999 OTTERBEIN DR, GLENVILLE, WV, 26351</t>
  </si>
  <si>
    <t>302 MORRIS DR, GLENVILLE, WV, 26351</t>
  </si>
  <si>
    <t>45 ELM ST, GLENVILLE, WV, 26351</t>
  </si>
  <si>
    <t>2972 WV HWY 47 W, TROY, WV, 26443</t>
  </si>
  <si>
    <t>21 EAST MAIN ST, GLENVILLE, WV, 26351</t>
  </si>
  <si>
    <t>3170 US HWY 33 W, GLENVILLE, WV, 26351</t>
  </si>
  <si>
    <t>5903 WV HWY 5 W, GLENVILLE, WV, 26351</t>
  </si>
  <si>
    <t>161 SAND FORK RD, SAND FORK, WV, 26384</t>
  </si>
  <si>
    <t>622 RIGHT FORK BUCKHORN RD, COXS MILLS, WV, 26342</t>
  </si>
  <si>
    <t>100 CONRAD CT, GLENVILLE, WV, 26351</t>
  </si>
  <si>
    <t>301 EAST MAIN ST, GLENVILLE, WV, 26351</t>
  </si>
  <si>
    <t>305 EAST MAIN ST, GLENVILLE, WV, 26351</t>
  </si>
  <si>
    <t>9999 US HWY 33, GLENVILLE, WV, 26351</t>
  </si>
  <si>
    <t>4044 US HWY 33 E, GLENVILLE, WV, 26351</t>
  </si>
  <si>
    <t>86 HUNTER RUN RD, NORMANTOWN, WV, 25267</t>
  </si>
  <si>
    <t>9999 SOUTH ST, GLENVILLE, WV, 26351</t>
  </si>
  <si>
    <t>9997 POWELL ST, GLENVILLE, WV, 26351</t>
  </si>
  <si>
    <t>7646 WV HWY 47 W, COXS MILLS, WV, 26342</t>
  </si>
  <si>
    <t>4425 WV HWY 5 W, GLENVILLE, WV, 26351</t>
  </si>
  <si>
    <t>5867 WV HWY 5 W, GLENVILLE, WV, 26351</t>
  </si>
  <si>
    <t>5939 US HWY 33 E, GLENVILLE, WV, 26351</t>
  </si>
  <si>
    <t xml:space="preserve">20 EAST MAIN, ST, GLENVILLE, WV, 26351 </t>
  </si>
  <si>
    <t>72 ASH RD, CEDARVILLE, WV, 26611</t>
  </si>
  <si>
    <t>303 EAST MAIN ST, GLENVILLE, WV, 26351</t>
  </si>
  <si>
    <t>GILMER COUNTY BOARD OF EDUCATION, THE</t>
  </si>
  <si>
    <t>GLENVILLE PROPCO LLC</t>
  </si>
  <si>
    <t>LIGNETICS OF WEST VIRGINIA INC</t>
  </si>
  <si>
    <t>M E NORTH (CHURCH)</t>
  </si>
  <si>
    <t>GARRETT RICK J &amp; DESARI</t>
  </si>
  <si>
    <t>NORMANTOWN HISTORICAL COMMUNITY CENTER LLC</t>
  </si>
  <si>
    <t>UNITED NATIONAL BANK ATTN: KAREN RITCHIE</t>
  </si>
  <si>
    <t>U S GOVERMENT</t>
  </si>
  <si>
    <t>SIREBRENIK MULTIGENERATIONAL TRUST</t>
  </si>
  <si>
    <t>WACO REAL ESTATE HOLDINGS LLC</t>
  </si>
  <si>
    <t>GO MART INC</t>
  </si>
  <si>
    <t>CHURCH OF GOD OF PROPHECY</t>
  </si>
  <si>
    <t>TOWN OF GLENVILLE</t>
  </si>
  <si>
    <t>LITTLE KANAWHA DEVELOPMENT CORP</t>
  </si>
  <si>
    <t>TRUSTEES GLENVILLE TRINITY</t>
  </si>
  <si>
    <t>COXS MILLS METHODIST CHURCH</t>
  </si>
  <si>
    <t>MCCUMBERS RONDLE JR FAMILY TRUST</t>
  </si>
  <si>
    <t>WV STATE POLICE</t>
  </si>
  <si>
    <t>STEER CREEK CHURCH OF CHRIST</t>
  </si>
  <si>
    <t>MCHENRY JOEY &amp; AVAN I</t>
  </si>
  <si>
    <t>BIG COOKIE HOLDINGS LLC</t>
  </si>
  <si>
    <t>SMITH GREGORY A</t>
  </si>
  <si>
    <t>HILL JO ANN</t>
  </si>
  <si>
    <t>COFFEE &amp; FRIENDS LLC</t>
  </si>
  <si>
    <t>OURS SAMUEL W</t>
  </si>
  <si>
    <t>UNITED STATES POSTAL SERVICE</t>
  </si>
  <si>
    <t>RUSH JOEY</t>
  </si>
  <si>
    <t>BARR JASON P &amp; KELLY A</t>
  </si>
  <si>
    <t>GILMER COUNTY HISTORICAL SOCIETY</t>
  </si>
  <si>
    <t>GILMER CO LODGE #118 AF&amp;AM</t>
  </si>
  <si>
    <t>THOMPSON BRENDA</t>
  </si>
  <si>
    <t>ROBERTS JEFFREY L &amp; ROBIN J</t>
  </si>
  <si>
    <t>YOUNG MARY</t>
  </si>
  <si>
    <t>ROBERTS JEFFREY</t>
  </si>
  <si>
    <t>JONES ROBERT R</t>
  </si>
  <si>
    <t>LIMER JOHN J &amp; KONDA N</t>
  </si>
  <si>
    <t>GLENVILLE STATE COLLEGE BOARD OF GOVERNORS</t>
  </si>
  <si>
    <t>WHITING MARY BLAND</t>
  </si>
  <si>
    <t>AVILES NANCY SUE</t>
  </si>
  <si>
    <t>STALNAKER WILLIAM K &amp; DEBRA K</t>
  </si>
  <si>
    <t>LOWTHER JOHN ROBERT</t>
  </si>
  <si>
    <t>KENNEDY KEVIN BRENT</t>
  </si>
  <si>
    <t>CHURCH OF CHRIST</t>
  </si>
  <si>
    <t>FITZPATRICK EDNA ESTATE</t>
  </si>
  <si>
    <t>BASH FREDERICK L JR &amp; PATRICIA K CLEMONS</t>
  </si>
  <si>
    <t>ROBERTS ALICE RUTH (LIFE)/ JEFF ROBERTS</t>
  </si>
  <si>
    <t>MCHENRY RONALD F &amp; DAWNE L</t>
  </si>
  <si>
    <t>PASCASIO PORFIRIO &amp; GUILLERMA</t>
  </si>
  <si>
    <t>CLOWSER JOHN SCOTT</t>
  </si>
  <si>
    <t>HULSE THOMAS &amp; LEE ANN</t>
  </si>
  <si>
    <t>1921</t>
  </si>
  <si>
    <t>1965</t>
  </si>
  <si>
    <t>1958</t>
  </si>
  <si>
    <t>1903</t>
  </si>
  <si>
    <t>1968</t>
  </si>
  <si>
    <t>1918</t>
  </si>
  <si>
    <t>E+</t>
  </si>
  <si>
    <t>RES2</t>
  </si>
  <si>
    <t>42364</t>
  </si>
  <si>
    <t>21782</t>
  </si>
  <si>
    <t>7960</t>
  </si>
  <si>
    <t>42154</t>
  </si>
  <si>
    <t>4132</t>
  </si>
  <si>
    <t>9236</t>
  </si>
  <si>
    <t>32708</t>
  </si>
  <si>
    <t>8652</t>
  </si>
  <si>
    <t>5920</t>
  </si>
  <si>
    <t>7696</t>
  </si>
  <si>
    <t>7774</t>
  </si>
  <si>
    <t>19250</t>
  </si>
  <si>
    <t>3080</t>
  </si>
  <si>
    <t>4260</t>
  </si>
  <si>
    <t>5000</t>
  </si>
  <si>
    <t>2600</t>
  </si>
  <si>
    <t>5976</t>
  </si>
  <si>
    <t>4390</t>
  </si>
  <si>
    <t>2482</t>
  </si>
  <si>
    <t>2640</t>
  </si>
  <si>
    <t>10636</t>
  </si>
  <si>
    <t>1952</t>
  </si>
  <si>
    <t>4176</t>
  </si>
  <si>
    <t>3536</t>
  </si>
  <si>
    <t>1860</t>
  </si>
  <si>
    <t>3218</t>
  </si>
  <si>
    <t>3619</t>
  </si>
  <si>
    <t>3120</t>
  </si>
  <si>
    <t>4018</t>
  </si>
  <si>
    <t>4320</t>
  </si>
  <si>
    <t>6760</t>
  </si>
  <si>
    <t>4098</t>
  </si>
  <si>
    <t>2592</t>
  </si>
  <si>
    <t>1296</t>
  </si>
  <si>
    <t>22336</t>
  </si>
  <si>
    <t>1870</t>
  </si>
  <si>
    <t>1616</t>
  </si>
  <si>
    <t>2281</t>
  </si>
  <si>
    <t>5280</t>
  </si>
  <si>
    <t>1756</t>
  </si>
  <si>
    <t>3728</t>
  </si>
  <si>
    <t>11-04-0005-0223-0000_200</t>
  </si>
  <si>
    <t>11-04-0005-0223-0000</t>
  </si>
  <si>
    <t>200 ELM ST, GLENVILLE, WV, 26351</t>
  </si>
  <si>
    <t>LEWIS</t>
  </si>
  <si>
    <t>21-04-008G-0066-0001_76</t>
  </si>
  <si>
    <t>21-08-0002-0171-0000_230</t>
  </si>
  <si>
    <t>21-09-0009-0391-0000_358</t>
  </si>
  <si>
    <t>21-04-008G-0056-0010_110</t>
  </si>
  <si>
    <t>21-07-0012-0051-0000_124</t>
  </si>
  <si>
    <t>21-04-008D-0040-0033_392</t>
  </si>
  <si>
    <t>21-09-0009-0276-0000_224</t>
  </si>
  <si>
    <t>21-02-006G-0055-0000_648</t>
  </si>
  <si>
    <t>21-03-002G-0046-0004_14</t>
  </si>
  <si>
    <t>21-04-007F-0043-0000_91</t>
  </si>
  <si>
    <t>21-04-008D-0040-0016_176</t>
  </si>
  <si>
    <t>21-04-008D-0040-0019_473</t>
  </si>
  <si>
    <t>21-04-009D-0041-0001_1322</t>
  </si>
  <si>
    <t>21-08-0008-0016-0000_171</t>
  </si>
  <si>
    <t>21-04-007G-0048-0000_595</t>
  </si>
  <si>
    <t>21-09-0009-0387-0000_322</t>
  </si>
  <si>
    <t>21-03-006F-0053-0001_41</t>
  </si>
  <si>
    <t>21-04-009D-0049-0000_104A</t>
  </si>
  <si>
    <t>21-04-008C-0102-0000_113</t>
  </si>
  <si>
    <t>21-08-0009-0004-0001_402</t>
  </si>
  <si>
    <t>21-04-008G-0048-0002_172</t>
  </si>
  <si>
    <t>21-04-009D-0006-0000_1650</t>
  </si>
  <si>
    <t>21-04-008D-0040-0023_92A</t>
  </si>
  <si>
    <t>21-04-008C-0046-0000_5871</t>
  </si>
  <si>
    <t>21-04-007F-0041-0000_33</t>
  </si>
  <si>
    <t>21-05-0002-0193-0000_37A</t>
  </si>
  <si>
    <t>21-04-008G-0048-0003_130</t>
  </si>
  <si>
    <t>21-07-0009-0042-0001_155</t>
  </si>
  <si>
    <t>21-05-0002-0147-0002_52</t>
  </si>
  <si>
    <t>21-08-0006-0026-0000_108</t>
  </si>
  <si>
    <t>21-02-007G-0095-0000_42</t>
  </si>
  <si>
    <t>21-04-008G-0056-0005_2906</t>
  </si>
  <si>
    <t>21-02-006F-0007-0000_127</t>
  </si>
  <si>
    <t>21-06-009J-0035-0002_78</t>
  </si>
  <si>
    <t>21-04-008D-0040-0009_685</t>
  </si>
  <si>
    <t>21-08-0009-0004-0000_402</t>
  </si>
  <si>
    <t>21-04-0003-0071-0000_603</t>
  </si>
  <si>
    <t>21-07-0012-0017-0000_4</t>
  </si>
  <si>
    <t>21-01-007P-0130-0000_16629</t>
  </si>
  <si>
    <t>21-04-007G-0031-0009_1178</t>
  </si>
  <si>
    <t>21-09-0009-0323-0000_407</t>
  </si>
  <si>
    <t>21-04-0008-0073-0001_339</t>
  </si>
  <si>
    <t>21-04-008C-0071-0007_533</t>
  </si>
  <si>
    <t>21-02-005J-0016-0002_9999</t>
  </si>
  <si>
    <t>21-04-009D-0048-0000_49</t>
  </si>
  <si>
    <t>21-04-010D-0014-0005_3966</t>
  </si>
  <si>
    <t>21-02-0001-0005-0000_384</t>
  </si>
  <si>
    <t>21-04-008C-0071-0011_584</t>
  </si>
  <si>
    <t>21-06-009J-0035-0015_61</t>
  </si>
  <si>
    <t>21-06-009J-0035-0003_100</t>
  </si>
  <si>
    <t>21-04-008G-0026-0000_83</t>
  </si>
  <si>
    <t>21-04-007E-0002-0000_1021</t>
  </si>
  <si>
    <t>21-06-0003-0001-0000_2974</t>
  </si>
  <si>
    <t>21-02-007G-0097-0000_274</t>
  </si>
  <si>
    <t>21-09-0009-0231-0000_351</t>
  </si>
  <si>
    <t>21-04-009D-0054-0000_208</t>
  </si>
  <si>
    <t>21-04-008H-0039-0000_3619</t>
  </si>
  <si>
    <t>21-08-0006-0166-0000_433</t>
  </si>
  <si>
    <t>21-03-003F-0019-0002_7373</t>
  </si>
  <si>
    <t>21-08-0006-0169-0000_445</t>
  </si>
  <si>
    <t>21-01-0002-0043-0000_17</t>
  </si>
  <si>
    <t>21-04-008D-0040-0023_92</t>
  </si>
  <si>
    <t>21-04-008H-0005-0013_206</t>
  </si>
  <si>
    <t>21-04-007F-0044-0000_17</t>
  </si>
  <si>
    <t>21-06-0002-0024-0000_14</t>
  </si>
  <si>
    <t>21-04-007C-0018-0020_9999</t>
  </si>
  <si>
    <t>Lewis County</t>
  </si>
  <si>
    <t>Weston,  City of</t>
  </si>
  <si>
    <t>Jane Lew, Town of</t>
  </si>
  <si>
    <t>Stonecoal Creek</t>
  </si>
  <si>
    <t>Polk Creek</t>
  </si>
  <si>
    <t>Hilly Upland Run</t>
  </si>
  <si>
    <t>Jesse Run</t>
  </si>
  <si>
    <t>Right Fork Stonecoal Creek</t>
  </si>
  <si>
    <t>21-04-008G-0066-0001</t>
  </si>
  <si>
    <t>21-08-0002-0171-0000</t>
  </si>
  <si>
    <t>21-09-0009-0391-0000</t>
  </si>
  <si>
    <t>21-04-008G-0056-0010</t>
  </si>
  <si>
    <t>21-07-0012-0051-0000</t>
  </si>
  <si>
    <t>21-04-008D-0040-0033</t>
  </si>
  <si>
    <t>21-09-0009-0276-0000</t>
  </si>
  <si>
    <t>21-02-006G-0055-0000</t>
  </si>
  <si>
    <t>21-03-002G-0046-0004</t>
  </si>
  <si>
    <t>21-04-007F-0043-0000</t>
  </si>
  <si>
    <t>21-04-008D-0040-0016</t>
  </si>
  <si>
    <t>21-04-008D-0040-0019</t>
  </si>
  <si>
    <t>21-04-009D-0041-0001</t>
  </si>
  <si>
    <t>21-08-0008-0016-0000</t>
  </si>
  <si>
    <t>21-04-007G-0048-0000</t>
  </si>
  <si>
    <t>21-09-0009-0387-0000</t>
  </si>
  <si>
    <t>21-03-006F-0053-0001</t>
  </si>
  <si>
    <t>21-04-009D-0049-0000</t>
  </si>
  <si>
    <t>21-04-008C-0102-0000</t>
  </si>
  <si>
    <t>21-08-0009-0004-0001</t>
  </si>
  <si>
    <t>21-04-008G-0048-0002</t>
  </si>
  <si>
    <t>21-04-009D-0006-0000</t>
  </si>
  <si>
    <t>21-04-008D-0040-0023</t>
  </si>
  <si>
    <t>21-04-008C-0046-0000</t>
  </si>
  <si>
    <t>21-04-007F-0041-0000</t>
  </si>
  <si>
    <t>21-05-0002-0193-0000</t>
  </si>
  <si>
    <t>21-04-008G-0048-0003</t>
  </si>
  <si>
    <t>21-07-0009-0042-0001</t>
  </si>
  <si>
    <t>21-05-0002-0147-0002</t>
  </si>
  <si>
    <t>21-08-0006-0026-0000</t>
  </si>
  <si>
    <t>21-02-007G-0095-0000</t>
  </si>
  <si>
    <t>21-04-008G-0056-0005</t>
  </si>
  <si>
    <t>21-02-006F-0007-0000</t>
  </si>
  <si>
    <t>21-06-009J-0035-0002</t>
  </si>
  <si>
    <t>21-04-008D-0040-0009</t>
  </si>
  <si>
    <t>21-08-0009-0004-0000</t>
  </si>
  <si>
    <t>21-04-0003-0071-0000</t>
  </si>
  <si>
    <t>21-07-0012-0017-0000</t>
  </si>
  <si>
    <t>21-01-007P-0130-0000</t>
  </si>
  <si>
    <t>21-04-007G-0031-0009</t>
  </si>
  <si>
    <t>21-09-0009-0323-0000</t>
  </si>
  <si>
    <t>21-04-0008-0073-0001</t>
  </si>
  <si>
    <t>21-04-008C-0071-0007</t>
  </si>
  <si>
    <t>21-02-005J-0016-0002</t>
  </si>
  <si>
    <t>21-04-009D-0048-0000</t>
  </si>
  <si>
    <t>21-04-010D-0014-0005</t>
  </si>
  <si>
    <t>21-02-0001-0005-0000</t>
  </si>
  <si>
    <t>21-04-008C-0071-0011</t>
  </si>
  <si>
    <t>21-06-009J-0035-0015</t>
  </si>
  <si>
    <t>21-06-009J-0035-0003</t>
  </si>
  <si>
    <t>21-04-008G-0026-0000</t>
  </si>
  <si>
    <t>21-04-007E-0002-0000</t>
  </si>
  <si>
    <t>21-06-0003-0001-0000</t>
  </si>
  <si>
    <t>21-02-007G-0097-0000</t>
  </si>
  <si>
    <t>21-09-0009-0231-0000</t>
  </si>
  <si>
    <t>21-04-009D-0054-0000</t>
  </si>
  <si>
    <t>21-04-008H-0039-0000</t>
  </si>
  <si>
    <t>21-08-0006-0166-0000</t>
  </si>
  <si>
    <t>21-03-003F-0019-0002</t>
  </si>
  <si>
    <t>21-08-0006-0169-0000</t>
  </si>
  <si>
    <t>21-01-0002-0043-0000</t>
  </si>
  <si>
    <t>21-04-008H-0005-0013</t>
  </si>
  <si>
    <t>21-04-007F-0044-0000</t>
  </si>
  <si>
    <t>21-06-0002-0024-0000</t>
  </si>
  <si>
    <t>21-04-007C-0018-0020</t>
  </si>
  <si>
    <t>76 Hospitality Way , Weston, WV, WV 26452, US</t>
  </si>
  <si>
    <t>230 HOSPITAL PLZ, WESTON, WV, 26452</t>
  </si>
  <si>
    <t>358 COURT AVE, WESTON, WV, 26452</t>
  </si>
  <si>
    <t>110 BERLIN RD, WESTON, WV, 26452</t>
  </si>
  <si>
    <t>124 E 1ST ST, WESTON, WV, 26452</t>
  </si>
  <si>
    <t>392 INDUSTRIAL PARK RD, JANE LEW, WV, 26378</t>
  </si>
  <si>
    <t>224 CENTER AVE, WESTON, WV, 26452</t>
  </si>
  <si>
    <t>648 TERRACE AVE, WESTON, WV, 26452</t>
  </si>
  <si>
    <t>14 MOODY LN, ALUM BRIDGE, WV, 26321</t>
  </si>
  <si>
    <t>91 ARNOLD DR, WESTON, WV, 26452</t>
  </si>
  <si>
    <t>176 VIKING DR, JANE LEW, WV, 26378</t>
  </si>
  <si>
    <t>473 INDUSTRIAL PARK RD, JANE LEW, WV, 26378</t>
  </si>
  <si>
    <t>1322 HACKERS CREEK RD, JANE LEW, WV, 26378</t>
  </si>
  <si>
    <t>171 W 2ND ST, WESTON, WV, 26452</t>
  </si>
  <si>
    <t>595 US HWY 33 E, WESTON, WV, 26452</t>
  </si>
  <si>
    <t>322 COURT AVE, WESTON, WV, 26452</t>
  </si>
  <si>
    <t>41 HICKORY LN, WESTON, WV, 26452</t>
  </si>
  <si>
    <t>104A JESSE RUN RD, JANE LEW, WV, 26378</t>
  </si>
  <si>
    <t>113 VIKING DR, JANE LEW, WV, 26378</t>
  </si>
  <si>
    <t>402 MEDICAL PARK DR, WESTON, WV, 26452</t>
  </si>
  <si>
    <t>172 MARKET PLACE MALL, WESTON, WV, 26452</t>
  </si>
  <si>
    <t>1650 HACKERS CREEK RD, JANE LEW, WV, 26378</t>
  </si>
  <si>
    <t>92A VIKING DR, JANE LEW, WV, 26378</t>
  </si>
  <si>
    <t>5871 US HWY 19 N, JANE LEW, WV, 26378</t>
  </si>
  <si>
    <t>33 ELIZABETH DR, WESTON, WV, 26452</t>
  </si>
  <si>
    <t>37A HALL ST, JANE LEW, WV, 26378</t>
  </si>
  <si>
    <t>130 MARKET PLACE MALL, WESTON, WV, 26452</t>
  </si>
  <si>
    <t>155 W 2ND ST, WESTON, WV, 26452</t>
  </si>
  <si>
    <t>52 HACKERS CREEK RD, JANE LEW, WV, 26378</t>
  </si>
  <si>
    <t>108 BROAD ST, WESTON, WV, 26452</t>
  </si>
  <si>
    <t>42 OLD FARM RD, WESTON, WV, 26452</t>
  </si>
  <si>
    <t>2906 US HWY 33 E, WESTON, WV, 26452</t>
  </si>
  <si>
    <t>127 HOSPITAL PLZ, WESTON, WV, 26452</t>
  </si>
  <si>
    <t>78 WATERFRONT WAY, HORNER, WV, 26372</t>
  </si>
  <si>
    <t>685 INDUSTRIAL PARK RD, JANE LEW, WV, 26378</t>
  </si>
  <si>
    <t>603 US HWY 19 N, WESTON, WV, 26452</t>
  </si>
  <si>
    <t>4 MAIN AVE, WESTON, WV, 26452</t>
  </si>
  <si>
    <t>16629 US HWY 19 S, CRAWFORD, WV, 26343</t>
  </si>
  <si>
    <t>1178 US HWY 33 E, WESTON, WV, 26452</t>
  </si>
  <si>
    <t>407 COURT AVE, WESTON, WV, 26452</t>
  </si>
  <si>
    <t>339 US HWY 33 E, WESTON, WV, 26452</t>
  </si>
  <si>
    <t>533 HACKERS CREEK RD, JANE LEW, WV, 26378</t>
  </si>
  <si>
    <t>9999 COPLEY RD, WESTON, WV, 26452</t>
  </si>
  <si>
    <t>49 ROBINS WAY, JANE LEW, WV, 26378</t>
  </si>
  <si>
    <t>3966 JESSE RUN RD, JANE LEW, WV, 26378</t>
  </si>
  <si>
    <t>384 US HWY 19 S, WESTON, WV, 26452</t>
  </si>
  <si>
    <t>584 HACKERS CREEK RD, JANE LEW, WV, 26378</t>
  </si>
  <si>
    <t>61 SUNSET PT, HORNER, WV, 26372</t>
  </si>
  <si>
    <t>100 WATERFRONT WAY, HORNER, WV, 26372</t>
  </si>
  <si>
    <t>83 HOPE STATION RD, WESTON, WV, 26452</t>
  </si>
  <si>
    <t>1021 JACKSON MILL RD, JANE LEW, WV, 26378</t>
  </si>
  <si>
    <t>2974 OLD ROUTE 33, HORNER, WV, 26372</t>
  </si>
  <si>
    <t>274 TERRACE AVE, WESTON, WV, 26452</t>
  </si>
  <si>
    <t>351 CENTER AVE, WESTON, WV, 26452</t>
  </si>
  <si>
    <t>208 DISPLAY DR, JANE LEW, WV, 26378</t>
  </si>
  <si>
    <t>3619 US HWY 33 E, WESTON, WV, 26452</t>
  </si>
  <si>
    <t>433 MAIN AVE, WESTON, WV 26452</t>
  </si>
  <si>
    <t>7373 US HWY 33 W, CAMDEN, WV, 26338</t>
  </si>
  <si>
    <t>445 MAIN AVE, WESTON, WV, 26452</t>
  </si>
  <si>
    <t>17 RIVERVIEW CIR, CRAWFORD, WV, 26343</t>
  </si>
  <si>
    <t>92 VIKING DR, JANE LEW, WV, 26378</t>
  </si>
  <si>
    <t>206 GLADY FORK RD, WESTON, WV, 26452</t>
  </si>
  <si>
    <t>17 ELIZABETH DR, WESTON, WV, 26452</t>
  </si>
  <si>
    <t>14 SUNSET DR, WESTON, WV, 26452</t>
  </si>
  <si>
    <t>9999 WYMER RUN, JANE LEW, WV, 26378</t>
  </si>
  <si>
    <t>BPRE WESTON HPT LLC</t>
  </si>
  <si>
    <t>STONEWALL JACKSON MEMORIAL HOSPITAL COMPANY</t>
  </si>
  <si>
    <t>SCHOOL BOARD OF EDUCATION</t>
  </si>
  <si>
    <t>WAL-MART REAL ESTATE BUSINESS TRUST</t>
  </si>
  <si>
    <t>WESTON CITY HOUSING AUTHORITY</t>
  </si>
  <si>
    <t>MONOMOY PROPERTIES JANE LEW WV LLC</t>
  </si>
  <si>
    <t>CHURCH &amp; SCHOOL ROMAN CATHOLIC</t>
  </si>
  <si>
    <t>SNIDER CONSTRUCTION &amp; DEVEL LLC</t>
  </si>
  <si>
    <t>MOODY FRANCES</t>
  </si>
  <si>
    <t>DARBY SAMUEL L &amp; THERESA A</t>
  </si>
  <si>
    <t>STAHL  FAMILY FARMS LLC</t>
  </si>
  <si>
    <t>DAYAL PATE COMPANY</t>
  </si>
  <si>
    <t>LEWIS COUNTY COMMISSION NEW SENIOR CITIZENS CENTER</t>
  </si>
  <si>
    <t>WESTON LIMITED PARTNERSHIP</t>
  </si>
  <si>
    <t>ACE LANDHOLDING COMPANY LLC</t>
  </si>
  <si>
    <t>MOUNTAIN STATE LOG HOMES INC</t>
  </si>
  <si>
    <t>APVPRE WESTON S8 LLC</t>
  </si>
  <si>
    <t>G A L LAND COMPANY &amp; KARI RESOURCES LLC</t>
  </si>
  <si>
    <t>TC LLC</t>
  </si>
  <si>
    <t>GARRETT MINE SERVICES LLP MARYLAND LIMITED LIABILITY</t>
  </si>
  <si>
    <t>PARK LANE ASSOCIATES LIMITED PARTNERSHIP</t>
  </si>
  <si>
    <t>MARTIN ROY W &amp; RHODA M</t>
  </si>
  <si>
    <t>JW EBERT CORP</t>
  </si>
  <si>
    <t>LEWIS COUNTY COMMISSION LEWIS CO EMERGENCY AMB SERV</t>
  </si>
  <si>
    <t>JANE LEW VOLUNTEER FIRE DEPARTMENT INC</t>
  </si>
  <si>
    <t>CHURCH BROAD STREET UNITED METHODIST TRS</t>
  </si>
  <si>
    <t>PARK JOSEPH M &amp; KARI B</t>
  </si>
  <si>
    <t>ROGERS MOTOR LODGE INC</t>
  </si>
  <si>
    <t>BROOKS PETER S &amp; ELIZABETH E</t>
  </si>
  <si>
    <t>TLD PROPERTIES LLC</t>
  </si>
  <si>
    <t>HEALTH CARE RESOURCES NETWORK LLC</t>
  </si>
  <si>
    <t>B &amp; C RENTALS LLC</t>
  </si>
  <si>
    <t>DARBY SAMUEL AND THERESA A</t>
  </si>
  <si>
    <t>WALKERSVILLE VOLUNTEER FIRE DEPARTMENT</t>
  </si>
  <si>
    <t>G A L LAND COMPANY LLC</t>
  </si>
  <si>
    <t>SMITH JACKQUELINE &amp; DAYNA L</t>
  </si>
  <si>
    <t>FILOMENA R BUCKINGHAM TRUST</t>
  </si>
  <si>
    <t>GARTON CHARLES E TRUST</t>
  </si>
  <si>
    <t>TURNER JAMIE A</t>
  </si>
  <si>
    <t>WILSON RICHARD L JR &amp; ALICIA M</t>
  </si>
  <si>
    <t>NRE HAGERSTOWN INC</t>
  </si>
  <si>
    <t>HACKERS CREEK 584 LLC</t>
  </si>
  <si>
    <t>WILSONCROFT BRENT &amp; MEGHAN</t>
  </si>
  <si>
    <t>EASTWOOD CHARLES W JR &amp; LOLA J</t>
  </si>
  <si>
    <t>G A L LAND COMPANY</t>
  </si>
  <si>
    <t>PROBST LINDA KAY</t>
  </si>
  <si>
    <t>CHRIST'S CHURCH</t>
  </si>
  <si>
    <t>SHRIVER BRENDA</t>
  </si>
  <si>
    <t>CHURCH OF GOD TRUSTEES</t>
  </si>
  <si>
    <t>PENN WEST TRADING CO</t>
  </si>
  <si>
    <t>ANDERSON DAVID A&amp; JACQUELINE K</t>
  </si>
  <si>
    <t>DEAN SAMUEL LEE</t>
  </si>
  <si>
    <t>RICHARDS KEITH &amp; TUESDAY</t>
  </si>
  <si>
    <t>ARBOGAST MATTHEW STEPHEN</t>
  </si>
  <si>
    <t>CHURCH NEW LIFE SOUTHERN BAPTIST TRUSTEES</t>
  </si>
  <si>
    <t>MCVAY CLARENCE W &amp; DEBRA J</t>
  </si>
  <si>
    <t>GRILLI MICHAEL A &amp; CARRIE B</t>
  </si>
  <si>
    <t>COM6</t>
  </si>
  <si>
    <t>55072</t>
  </si>
  <si>
    <t>84000</t>
  </si>
  <si>
    <t>48240</t>
  </si>
  <si>
    <t>102364</t>
  </si>
  <si>
    <t>61236</t>
  </si>
  <si>
    <t>23000</t>
  </si>
  <si>
    <t>23248</t>
  </si>
  <si>
    <t>5365</t>
  </si>
  <si>
    <t>40500</t>
  </si>
  <si>
    <t>31286</t>
  </si>
  <si>
    <t>31210</t>
  </si>
  <si>
    <t>19700</t>
  </si>
  <si>
    <t>9619</t>
  </si>
  <si>
    <t>6272</t>
  </si>
  <si>
    <t>25824</t>
  </si>
  <si>
    <t>8720</t>
  </si>
  <si>
    <t>59480</t>
  </si>
  <si>
    <t>20640</t>
  </si>
  <si>
    <t>21600</t>
  </si>
  <si>
    <t>16200</t>
  </si>
  <si>
    <t>11280</t>
  </si>
  <si>
    <t>18040</t>
  </si>
  <si>
    <t>9504</t>
  </si>
  <si>
    <t>3960</t>
  </si>
  <si>
    <t>6870</t>
  </si>
  <si>
    <t>11248</t>
  </si>
  <si>
    <t>11900</t>
  </si>
  <si>
    <t>4645</t>
  </si>
  <si>
    <t>18728</t>
  </si>
  <si>
    <t>8125</t>
  </si>
  <si>
    <t>3940</t>
  </si>
  <si>
    <t>16050</t>
  </si>
  <si>
    <t>6528</t>
  </si>
  <si>
    <t>19895</t>
  </si>
  <si>
    <t>32637</t>
  </si>
  <si>
    <t>8700</t>
  </si>
  <si>
    <t>9240</t>
  </si>
  <si>
    <t>3746</t>
  </si>
  <si>
    <t>2960</t>
  </si>
  <si>
    <t>4952</t>
  </si>
  <si>
    <t>2816</t>
  </si>
  <si>
    <t>35269</t>
  </si>
  <si>
    <t>4256</t>
  </si>
  <si>
    <t>35755</t>
  </si>
  <si>
    <t>11880</t>
  </si>
  <si>
    <t>3514</t>
  </si>
  <si>
    <t>2058</t>
  </si>
  <si>
    <t>2448</t>
  </si>
  <si>
    <t>6912</t>
  </si>
  <si>
    <t>2112</t>
  </si>
  <si>
    <t>4200</t>
  </si>
  <si>
    <t>9900</t>
  </si>
  <si>
    <t>2336</t>
  </si>
  <si>
    <t>4992</t>
  </si>
  <si>
    <t>3634</t>
  </si>
  <si>
    <t>4800</t>
  </si>
  <si>
    <t>9248</t>
  </si>
  <si>
    <t>10000</t>
  </si>
  <si>
    <t>2579</t>
  </si>
  <si>
    <t>RANDOLPH</t>
  </si>
  <si>
    <t>42-03-0001-0009-0000_278</t>
  </si>
  <si>
    <t>42-02-0130-0030-0000_212</t>
  </si>
  <si>
    <t>42-05-0016-0001-0000_888</t>
  </si>
  <si>
    <t>42-10-0136-0002-0002_91</t>
  </si>
  <si>
    <t>42-07-0002-0015-0000_22476</t>
  </si>
  <si>
    <t>42-02-0130-0038-0003_59</t>
  </si>
  <si>
    <t>42-10-0020-0015-0001_408</t>
  </si>
  <si>
    <t>42-13-0130-0006-0001_228</t>
  </si>
  <si>
    <t>42-05-0018-0250-0000_450</t>
  </si>
  <si>
    <t>42-09-0155-0003-0008_894</t>
  </si>
  <si>
    <t>42-09-0155-0003-0006_770</t>
  </si>
  <si>
    <t>42-10-0136-0002-0003_114</t>
  </si>
  <si>
    <t>42-07-0002-0015-0000_22526</t>
  </si>
  <si>
    <t>42-02-0131-0040-0000_188</t>
  </si>
  <si>
    <t>42-05-0021-0001-0000_12</t>
  </si>
  <si>
    <t>42-09-0120-0010-0011_125</t>
  </si>
  <si>
    <t>42-05-0019-0096-0000_22</t>
  </si>
  <si>
    <t>42-02-0130-0044-0000_30</t>
  </si>
  <si>
    <t>42-10-0125-0021-0000_9999</t>
  </si>
  <si>
    <t>42-01-0002-0095-0000_111</t>
  </si>
  <si>
    <t>42-10-0020-0004-0000_240</t>
  </si>
  <si>
    <t>42-11-0157-0001-0000_14272</t>
  </si>
  <si>
    <t>42-09-0155-0003-0003_962</t>
  </si>
  <si>
    <t>42-09-0155-0003-0004_940</t>
  </si>
  <si>
    <t>42-13-0124-0103-0000_25493</t>
  </si>
  <si>
    <t>42-02-0111-0006-0000_456</t>
  </si>
  <si>
    <t>42-15-0126-0003-0001_378</t>
  </si>
  <si>
    <t>42-02-0111-0007-0000_16</t>
  </si>
  <si>
    <t>42-05-0023-0010-0000_31</t>
  </si>
  <si>
    <t>42-02-0123-0013-0000_4966</t>
  </si>
  <si>
    <t>42-13-0142-0046-0000_29096</t>
  </si>
  <si>
    <t>42-15-0110-0027-0004_28</t>
  </si>
  <si>
    <t>42-09-0127-0018-0000_225</t>
  </si>
  <si>
    <t>42-02-0136-0010-0000_9999</t>
  </si>
  <si>
    <t>42-02-0130-0043-0000_112</t>
  </si>
  <si>
    <t>42-17-0114-0011-0003_7097</t>
  </si>
  <si>
    <t>42-01-0002-0095-0000_81</t>
  </si>
  <si>
    <t>42-09-0155-0003-0001_270</t>
  </si>
  <si>
    <t>42-04-0004-0077-0000_8474</t>
  </si>
  <si>
    <t>42-10-0136-0002-0004_172</t>
  </si>
  <si>
    <t>42-05-0023-0007-0000_446</t>
  </si>
  <si>
    <t>42-10-0025-0010-0000_774</t>
  </si>
  <si>
    <t>42-09-0155-0003-0000_76</t>
  </si>
  <si>
    <t>42-04-0187-0006-0000_10077</t>
  </si>
  <si>
    <t>42-15-0123-0016-0004_9999</t>
  </si>
  <si>
    <t>42-04-0003-0004-0000_8091</t>
  </si>
  <si>
    <t>42-05-0033-0001-0000_720</t>
  </si>
  <si>
    <t>42-05-000E-0037-0000_101</t>
  </si>
  <si>
    <t>42-02-0136-0011-0002_63</t>
  </si>
  <si>
    <t>42-05-0018-0021-0000_26</t>
  </si>
  <si>
    <t>42-01-0001-0056-0002_946</t>
  </si>
  <si>
    <t>42-10-0135-0004-0007_37</t>
  </si>
  <si>
    <t>42-13-0124-0051-0000_245</t>
  </si>
  <si>
    <t>42-13-0124-0078-0000_25385</t>
  </si>
  <si>
    <t>42-05-0003-0005-0000_220</t>
  </si>
  <si>
    <t>42-02-0107-0063-0000_49</t>
  </si>
  <si>
    <t>42-02-0105-0001-0000_3523</t>
  </si>
  <si>
    <t>42-10-0020-0004-0000_222</t>
  </si>
  <si>
    <t>42-02-0134-0004-0001_9999</t>
  </si>
  <si>
    <t>42-02-0107-0016-0000_86A</t>
  </si>
  <si>
    <t>42-02-0123-0002-0004_1939</t>
  </si>
  <si>
    <t>42-10-0003-0004-0001_2153</t>
  </si>
  <si>
    <t>Town of Coalton</t>
  </si>
  <si>
    <t>Randolph County</t>
  </si>
  <si>
    <t>City of Elkins</t>
  </si>
  <si>
    <t>Town of Harman</t>
  </si>
  <si>
    <t>Town of Beverly</t>
  </si>
  <si>
    <t>Roaring Creek Tributary No.10</t>
  </si>
  <si>
    <t>Chenoweth Creek</t>
  </si>
  <si>
    <t>Horsecamp Run</t>
  </si>
  <si>
    <t>Goddin Run</t>
  </si>
  <si>
    <t>Wees Run</t>
  </si>
  <si>
    <t>Shavers Fork</t>
  </si>
  <si>
    <t>Isner Creek</t>
  </si>
  <si>
    <t>Files Creek</t>
  </si>
  <si>
    <t>Riffle Creek</t>
  </si>
  <si>
    <t>Buffalo Run</t>
  </si>
  <si>
    <t>Left Fork Buckhannon River</t>
  </si>
  <si>
    <t>Cherry Fork</t>
  </si>
  <si>
    <t>Poundmill Run</t>
  </si>
  <si>
    <t>Left Fork Files Creek</t>
  </si>
  <si>
    <t>Gandy Creek</t>
  </si>
  <si>
    <t>East Fork Glady Fork</t>
  </si>
  <si>
    <t>Davis Lick</t>
  </si>
  <si>
    <t>Right Fork Files Creek</t>
  </si>
  <si>
    <t>Beaver Creek</t>
  </si>
  <si>
    <t>42-03-0001-0009-0000</t>
  </si>
  <si>
    <t>42-02-0130-0030-0000</t>
  </si>
  <si>
    <t>42-05-0016-0001-0000</t>
  </si>
  <si>
    <t>42-10-0136-0002-0002</t>
  </si>
  <si>
    <t>42-07-0002-0015-0000</t>
  </si>
  <si>
    <t>42-02-0130-0038-0003</t>
  </si>
  <si>
    <t>42-10-0020-0015-0001</t>
  </si>
  <si>
    <t>42-13-0130-0006-0001</t>
  </si>
  <si>
    <t>42-05-0018-0250-0000</t>
  </si>
  <si>
    <t>42-09-0155-0003-0008</t>
  </si>
  <si>
    <t>42-09-0155-0003-0006</t>
  </si>
  <si>
    <t>42-10-0136-0002-0003</t>
  </si>
  <si>
    <t>42-02-0131-0040-0000</t>
  </si>
  <si>
    <t>42-05-0021-0001-0000</t>
  </si>
  <si>
    <t>42-09-0120-0010-0011</t>
  </si>
  <si>
    <t>42-05-0019-0096-0000</t>
  </si>
  <si>
    <t>42-02-0130-0044-0000</t>
  </si>
  <si>
    <t>42-10-0125-0021-0000</t>
  </si>
  <si>
    <t>42-01-0002-0095-0000</t>
  </si>
  <si>
    <t>42-10-0020-0004-0000</t>
  </si>
  <si>
    <t>42-11-0157-0001-0000</t>
  </si>
  <si>
    <t>42-09-0155-0003-0003</t>
  </si>
  <si>
    <t>42-09-0155-0003-0004</t>
  </si>
  <si>
    <t>42-13-0124-0103-0000</t>
  </si>
  <si>
    <t>42-02-0111-0006-0000</t>
  </si>
  <si>
    <t>42-15-0126-0003-0001</t>
  </si>
  <si>
    <t>42-02-0111-0007-0000</t>
  </si>
  <si>
    <t>42-05-0023-0010-0000</t>
  </si>
  <si>
    <t>42-02-0123-0013-0000</t>
  </si>
  <si>
    <t>42-13-0142-0046-0000</t>
  </si>
  <si>
    <t>42-15-0110-0027-0004</t>
  </si>
  <si>
    <t>42-09-0127-0018-0000</t>
  </si>
  <si>
    <t>42-02-0136-0010-0000</t>
  </si>
  <si>
    <t>42-02-0130-0043-0000</t>
  </si>
  <si>
    <t>42-17-0114-0011-0003</t>
  </si>
  <si>
    <t>42-09-0155-0003-0001</t>
  </si>
  <si>
    <t>42-04-0004-0077-0000</t>
  </si>
  <si>
    <t>42-10-0136-0002-0004</t>
  </si>
  <si>
    <t>42-05-0023-0007-0000</t>
  </si>
  <si>
    <t>42-10-0025-0010-0000</t>
  </si>
  <si>
    <t>42-09-0155-0003-0000</t>
  </si>
  <si>
    <t>42-04-0187-0006-0000</t>
  </si>
  <si>
    <t>42-15-0123-0016-0004</t>
  </si>
  <si>
    <t>42-04-0003-0004-0000</t>
  </si>
  <si>
    <t>42-05-0033-0001-0000</t>
  </si>
  <si>
    <t>42-05-000E-0037-0000</t>
  </si>
  <si>
    <t>42-02-0136-0011-0002</t>
  </si>
  <si>
    <t>42-05-0018-0021-0000</t>
  </si>
  <si>
    <t>42-01-0001-0056-0002</t>
  </si>
  <si>
    <t>42-10-0135-0004-0007</t>
  </si>
  <si>
    <t>42-13-0124-0051-0000</t>
  </si>
  <si>
    <t>42-13-0124-0078-0000</t>
  </si>
  <si>
    <t>42-05-0003-0005-0000</t>
  </si>
  <si>
    <t>42-02-0107-0063-0000</t>
  </si>
  <si>
    <t>42-02-0105-0001-0000</t>
  </si>
  <si>
    <t>42-02-0134-0004-0001</t>
  </si>
  <si>
    <t>42-02-0107-0016-0000</t>
  </si>
  <si>
    <t>42-02-0123-0002-0004</t>
  </si>
  <si>
    <t>42-10-0003-0004-0001</t>
  </si>
  <si>
    <t>278 BROADWAY AVE, Coalton, WV, 26257</t>
  </si>
  <si>
    <t>212 SENECA TRL, Beverly, WV, 26253</t>
  </si>
  <si>
    <t>888 WORTH AVE, Elkins, WV, 26241</t>
  </si>
  <si>
    <t>91 FERREE RD, ELKINS, WV, 26241</t>
  </si>
  <si>
    <t>22476 ALLEGHENY HWY, Harman, WV, 26270</t>
  </si>
  <si>
    <t>59 BETA SHOE FACTORY ACCESS RD, BEVERLY, WV, 26253</t>
  </si>
  <si>
    <t>408 ALLEGHENY HWY, ELKINS, WV, 26241</t>
  </si>
  <si>
    <t>228 DRY BRANCH RD, MONTERVILLE, WV, 26282</t>
  </si>
  <si>
    <t>450 11TH ST, Elkins, WV, 26241</t>
  </si>
  <si>
    <t>894 HATCHERY RUN RD, Huttonsville, WV, 26273</t>
  </si>
  <si>
    <t>770 HATCHERY RUN RD, Huttonsville, WV, 26273</t>
  </si>
  <si>
    <t>114 VANCE DR, Elkins, WV, 26241</t>
  </si>
  <si>
    <t>22526 ALLEGHENY HWY, Harman, WV, 26270</t>
  </si>
  <si>
    <t>188 MCWILLIAMS DR, Beverly, WV, 26253</t>
  </si>
  <si>
    <t>12 HARDWOOD LN, Elkins, WV, 26241</t>
  </si>
  <si>
    <t>125 RIFFLE CREEK RD, HUTTONSVILLE, WV, 26273</t>
  </si>
  <si>
    <t>22 RANDOLPH AVE, Elkins, WV, 26241</t>
  </si>
  <si>
    <t>30 DOVE LN, BEVERLY, WV, 26253</t>
  </si>
  <si>
    <t>9999 ROUTE 33, ELKINS, WV 26241</t>
  </si>
  <si>
    <t>111 SIEGAL RD, BEVERLY, WV, 26253</t>
  </si>
  <si>
    <t>240 ALLEGHENY HWY, Elkins, WV, 26241</t>
  </si>
  <si>
    <t>14272 ADOLPH RD, Helvetia, WV, 26224</t>
  </si>
  <si>
    <t>962 HATCHERY RUN RD, Huttonsville, WV, 26273</t>
  </si>
  <si>
    <t>940 HATCHERY RUN RD, Huttonsville, WV, 26273</t>
  </si>
  <si>
    <t>25493 SENECA TRL, Valley Head, WV, 26294</t>
  </si>
  <si>
    <t>456 WARD RD, ELKINS, WV, 26241</t>
  </si>
  <si>
    <t>378 ALLENDER DR, Kerens, WV, 26276</t>
  </si>
  <si>
    <t>16 WARD RD, Elkins, WV, 26241</t>
  </si>
  <si>
    <t>31 BARRON AVE, Elkins, WV, 26241</t>
  </si>
  <si>
    <t>4966 BEVERLY PKE, Beverly, WV, 26253</t>
  </si>
  <si>
    <t>29096 SENECA TRL, VALLEY HEAD, WV, 26294</t>
  </si>
  <si>
    <t>28 TUNING DR, MONTROSE, WV, 26283</t>
  </si>
  <si>
    <t>225 CATHOLIC CONFERENCE CTR, HUTTONSVILLE, WV, 26273</t>
  </si>
  <si>
    <t>9999 FILES CREEK RD, Beverly, WV, 26253</t>
  </si>
  <si>
    <t>112 DISCOVERY LN, BEVERLY, WV, 26253</t>
  </si>
  <si>
    <t xml:space="preserve">7097 SENECA TRL, VALLEY BEND, WV, 26293 </t>
  </si>
  <si>
    <t>81 SIEGAL RD, BEVERLY, WV, 26253</t>
  </si>
  <si>
    <t>270 HATCHERY RUN RD, Huttonsville, WV, 26273</t>
  </si>
  <si>
    <t>8474 WHITMER RD, Whitmer, WV, 26296</t>
  </si>
  <si>
    <t>172 WARD RD, Elkins, WV, 26241</t>
  </si>
  <si>
    <t>446 BEVERLY PKE, Elkins, WV, 26241</t>
  </si>
  <si>
    <t>774 LEGG RD, Elkins, WV, 26241</t>
  </si>
  <si>
    <t>76 HATCHERY RUN RD, Huttonsville, WV, 26273</t>
  </si>
  <si>
    <t>10077 BEMIS RD, GLADY, WV, 26268</t>
  </si>
  <si>
    <t>9999 TRIPLETT RUN RD, KERENS, WV, 26276</t>
  </si>
  <si>
    <t>8091 WHITMER RD, Whitmer, WV, 26296</t>
  </si>
  <si>
    <t>720 FERREE RD, Elkins, WV, 26241</t>
  </si>
  <si>
    <t>101 KERENS AVE, Elkins, WV, 26241</t>
  </si>
  <si>
    <t>63 WALKER LN, Beverly, WV, 26253</t>
  </si>
  <si>
    <t>26 RANDOLPH AVE, Elkins, WV, 26241</t>
  </si>
  <si>
    <t>946 MAIN ST, BEVERLY, WV, 26253</t>
  </si>
  <si>
    <t>37 LUCKY AVE, ELKINS, WV, 26241</t>
  </si>
  <si>
    <t>245 POINT MTN RD, Valley Head, WV, 26294</t>
  </si>
  <si>
    <t>25385 SENECA TRL, Valley Head, WV, 26294</t>
  </si>
  <si>
    <t>220 BRUCE ST, Elkins, WV, 26241</t>
  </si>
  <si>
    <t>49 BRIAR PATCH WAY, Glady, WV, 26268</t>
  </si>
  <si>
    <t>3523 GEORGETOWN RD, ELKINS, WV, 26253</t>
  </si>
  <si>
    <t>222 ALLEGHENY HWY, Elkins, WV, 26241</t>
  </si>
  <si>
    <t>9999 WOLF RUN RD, Randolph, WV 26268c</t>
  </si>
  <si>
    <t>86A FISH HATCHERY LN, ELKINS, WV, 26268</t>
  </si>
  <si>
    <t>1939 RICH MOUNTAIN RD, BEVERLY, WV, 26253</t>
  </si>
  <si>
    <t>2153 HARRISON AVE, ELKINS, WV, 26241</t>
  </si>
  <si>
    <t>RANDOLPH COUNTY INDUSTRIAL DEVELOPMENT AUTHORITY</t>
  </si>
  <si>
    <t>TWO CENTER CORPORATION</t>
  </si>
  <si>
    <t>DAVIS TRUST COMPANY</t>
  </si>
  <si>
    <t>FISHER JAMES G &amp; PATRICIA P</t>
  </si>
  <si>
    <t>DEAN DARON F &amp; LISA D</t>
  </si>
  <si>
    <t>KROGER LIMITED PARTNERSHIP I</t>
  </si>
  <si>
    <t>ROTUNDA JOE AND ROACH-STAN CORWIN</t>
  </si>
  <si>
    <t>SHAMBLIN JACK F III &amp; D SCOTT ROACH</t>
  </si>
  <si>
    <t>LUMAX PROPERTIES LLC</t>
  </si>
  <si>
    <t>SIMMONS DAVID F &amp; DONNA L</t>
  </si>
  <si>
    <t>WILSON JAMES F TRUSTEE</t>
  </si>
  <si>
    <t>TAYLOR TIFFANY R</t>
  </si>
  <si>
    <t>HEALTH FACILITIES INC</t>
  </si>
  <si>
    <t>CSR HOLDINGS LLC</t>
  </si>
  <si>
    <t>J F ALLEN COMPANY</t>
  </si>
  <si>
    <t>BEVERLY MANOR ASSOCIATES LIMITED PARTNERSHIP</t>
  </si>
  <si>
    <t>VALLEY HEALTH CARE INC</t>
  </si>
  <si>
    <t>COASTAL FOREST RESOURCES COMPANY</t>
  </si>
  <si>
    <t>PARKER KATHRYN B TRUST</t>
  </si>
  <si>
    <t>CHEATWOOD LLC</t>
  </si>
  <si>
    <t>LOFTIS DANIEL</t>
  </si>
  <si>
    <t>NEWLONS INTERNATIONAL SALES LLC</t>
  </si>
  <si>
    <t>SIMS DAVID A</t>
  </si>
  <si>
    <t>CITY OF ELKINS</t>
  </si>
  <si>
    <t>MYLES LUMBER COMPANY</t>
  </si>
  <si>
    <t>FANNING WILLIAM J</t>
  </si>
  <si>
    <t>AKERS BUCKLEY R &amp; JODIE L</t>
  </si>
  <si>
    <t>DON BOSCO AGRICULTURE SCHOOL</t>
  </si>
  <si>
    <t>COLUMBIA GAS TRANSMISSION CORP</t>
  </si>
  <si>
    <t>MCNEAL COY M &amp; CLARA L</t>
  </si>
  <si>
    <t>REVERCOMB STUART H &amp; CAROLINE F REVERCOMB REV TRUST</t>
  </si>
  <si>
    <t>CHURCH OF GOD</t>
  </si>
  <si>
    <t>LOGAN REAL PROPERTIES LLC</t>
  </si>
  <si>
    <t>CHEAT MOUNTAIN CLUB</t>
  </si>
  <si>
    <t>SIMMONS CHARLENE M</t>
  </si>
  <si>
    <t>WHITMER VOLUNTEER FIRE DEPARTMENT</t>
  </si>
  <si>
    <t>W V DEPARTMENT OF HIGHWAYS</t>
  </si>
  <si>
    <t>CAMPBELL CHARLES R</t>
  </si>
  <si>
    <t>ELKINS-FIRST METHODIST CHURCH</t>
  </si>
  <si>
    <t>SHAFFER KENNETH RAY III</t>
  </si>
  <si>
    <t>ROBERTS MARK I &amp; BRENDA S ROBERTSON</t>
  </si>
  <si>
    <t>W V DEPT OF HIGHWAYS</t>
  </si>
  <si>
    <t>CHANNELL GERALD M &amp; RHONDA K GEORGE T &amp; SUE ELLEN COUSSOULE</t>
  </si>
  <si>
    <t>KHAN FARUKH</t>
  </si>
  <si>
    <t>WILDCAT LAND LLC</t>
  </si>
  <si>
    <t>HUERTA JOHN E &amp; PAMELA M BYRNE</t>
  </si>
  <si>
    <t>IVERS FAMILY TRUST</t>
  </si>
  <si>
    <t>STATE OF WEST VIRGINIA</t>
  </si>
  <si>
    <t>WILES JAMES R &amp; LORETTA S</t>
  </si>
  <si>
    <t>MASTER SERVICE CORP</t>
  </si>
  <si>
    <t>1966</t>
  </si>
  <si>
    <t>1932</t>
  </si>
  <si>
    <t>1887</t>
  </si>
  <si>
    <t>IND4</t>
  </si>
  <si>
    <t>40014</t>
  </si>
  <si>
    <t>206090</t>
  </si>
  <si>
    <t>96410</t>
  </si>
  <si>
    <t>92947</t>
  </si>
  <si>
    <t>35580</t>
  </si>
  <si>
    <t>52008</t>
  </si>
  <si>
    <t>28045</t>
  </si>
  <si>
    <t>7048</t>
  </si>
  <si>
    <t>22354</t>
  </si>
  <si>
    <t>5164</t>
  </si>
  <si>
    <t>4350</t>
  </si>
  <si>
    <t>36240</t>
  </si>
  <si>
    <t>3251</t>
  </si>
  <si>
    <t>3802</t>
  </si>
  <si>
    <t>26632</t>
  </si>
  <si>
    <t>5511</t>
  </si>
  <si>
    <t>11560</t>
  </si>
  <si>
    <t>24949</t>
  </si>
  <si>
    <t>35000</t>
  </si>
  <si>
    <t>19224</t>
  </si>
  <si>
    <t>14224</t>
  </si>
  <si>
    <t>2390</t>
  </si>
  <si>
    <t>3188</t>
  </si>
  <si>
    <t>7950</t>
  </si>
  <si>
    <t>4246</t>
  </si>
  <si>
    <t>2688</t>
  </si>
  <si>
    <t>14251</t>
  </si>
  <si>
    <t>7322</t>
  </si>
  <si>
    <t>24676</t>
  </si>
  <si>
    <t>2843</t>
  </si>
  <si>
    <t>6432</t>
  </si>
  <si>
    <t>11845</t>
  </si>
  <si>
    <t>3016</t>
  </si>
  <si>
    <t>10596</t>
  </si>
  <si>
    <t>3840</t>
  </si>
  <si>
    <t>5690</t>
  </si>
  <si>
    <t>4063</t>
  </si>
  <si>
    <t>6516</t>
  </si>
  <si>
    <t>5410</t>
  </si>
  <si>
    <t>6286</t>
  </si>
  <si>
    <t>3441</t>
  </si>
  <si>
    <t>12687</t>
  </si>
  <si>
    <t>3551</t>
  </si>
  <si>
    <t>3974</t>
  </si>
  <si>
    <t>2085</t>
  </si>
  <si>
    <t>4560</t>
  </si>
  <si>
    <t>9722</t>
  </si>
  <si>
    <t>2560</t>
  </si>
  <si>
    <t>2412</t>
  </si>
  <si>
    <t>2554</t>
  </si>
  <si>
    <t>11984</t>
  </si>
  <si>
    <t>9028</t>
  </si>
  <si>
    <t>3264</t>
  </si>
  <si>
    <t>15040</t>
  </si>
  <si>
    <t>42-09-0104-0043-0000_183</t>
  </si>
  <si>
    <t>42-09-0104-0043-0000</t>
  </si>
  <si>
    <t>183 TWO POND RD, Mill Creek, WV, 26280</t>
  </si>
  <si>
    <t>HUTTONSVILLE PUBLIC SERVICE;</t>
  </si>
  <si>
    <t>DISTRICT</t>
  </si>
  <si>
    <t>42-09-0112-0007-0000_696</t>
  </si>
  <si>
    <t>42-09-0112-0007-0000</t>
  </si>
  <si>
    <t>696 HCC BLVD, HUTTONSVILLE, WV, 26273</t>
  </si>
  <si>
    <t>W V BOARD OF CONTROL</t>
  </si>
  <si>
    <t>TUCKER</t>
  </si>
  <si>
    <t>47-01-0303-0045-0000_180</t>
  </si>
  <si>
    <t>47-10-0004-0173-0000_215</t>
  </si>
  <si>
    <t>47-10-0005-0044-0002_302</t>
  </si>
  <si>
    <t>47-10-0004-0145-0000_227</t>
  </si>
  <si>
    <t>47-11-0244-0008-0001_998</t>
  </si>
  <si>
    <t>47-01-0304-0131-0000_459</t>
  </si>
  <si>
    <t>47-08-0305-0039-0000_269</t>
  </si>
  <si>
    <t>47-10-0006-0100-0000_125</t>
  </si>
  <si>
    <t>47-10-0005-0043-0001_515</t>
  </si>
  <si>
    <t>47-10-0004-0137-0000_226</t>
  </si>
  <si>
    <t>47-04-0003-0267-0000_13682</t>
  </si>
  <si>
    <t>47-10-0006-0179-0001_156</t>
  </si>
  <si>
    <t>47-10-0004-0150-0000_216</t>
  </si>
  <si>
    <t>47-10-0004-0121-0000_304</t>
  </si>
  <si>
    <t>47-10-0004-0163-0000_341</t>
  </si>
  <si>
    <t>47-05-0370-0002-0001_5570</t>
  </si>
  <si>
    <t>47-10-0004-0154-0000_225</t>
  </si>
  <si>
    <t>47-10-0006-0179-0000_150</t>
  </si>
  <si>
    <t>47-10-0004-0133-0000_235</t>
  </si>
  <si>
    <t>47-10-0004-0157-0000_221</t>
  </si>
  <si>
    <t>47-03-0250-0001-0003_473</t>
  </si>
  <si>
    <t>47-10-0004-0120-0001_301</t>
  </si>
  <si>
    <t>47-08-0002-0058-0004_82</t>
  </si>
  <si>
    <t>47-01-283B-0005-0000_17</t>
  </si>
  <si>
    <t>47-08-0001-0126-0000_161</t>
  </si>
  <si>
    <t>47-01-0323-0031-0000_205</t>
  </si>
  <si>
    <t>47-10-0005-0079-0000_224</t>
  </si>
  <si>
    <t>47-01-0284-0007-0003_143</t>
  </si>
  <si>
    <t>47-10-0004-0099-0000_312</t>
  </si>
  <si>
    <t>47-01-0264-0050-0000_515</t>
  </si>
  <si>
    <t>Tucker County</t>
  </si>
  <si>
    <t>City of Parsons</t>
  </si>
  <si>
    <t>Town of Hendricks</t>
  </si>
  <si>
    <t>Town of Davis</t>
  </si>
  <si>
    <t>Black Fork</t>
  </si>
  <si>
    <t>Cheat River</t>
  </si>
  <si>
    <t>Blackwater River</t>
  </si>
  <si>
    <t>47-01-0303-0045-0000</t>
  </si>
  <si>
    <t>47-10-0004-0173-0000</t>
  </si>
  <si>
    <t>47-10-0005-0044-0002</t>
  </si>
  <si>
    <t>47-10-0004-0145-0000</t>
  </si>
  <si>
    <t>47-11-0244-0008-0001</t>
  </si>
  <si>
    <t>47-01-0304-0131-0000</t>
  </si>
  <si>
    <t>47-08-0305-0039-0000</t>
  </si>
  <si>
    <t>47-10-0006-0100-0000</t>
  </si>
  <si>
    <t>47-10-0005-0043-0001</t>
  </si>
  <si>
    <t>47-10-0004-0137-0000</t>
  </si>
  <si>
    <t>47-04-0003-0267-0000</t>
  </si>
  <si>
    <t>47-10-0006-0179-0001</t>
  </si>
  <si>
    <t>47-10-0004-0150-0000</t>
  </si>
  <si>
    <t>47-10-0004-0121-0000</t>
  </si>
  <si>
    <t>47-10-0004-0163-0000</t>
  </si>
  <si>
    <t>47-05-0370-0002-0001</t>
  </si>
  <si>
    <t>47-10-0004-0154-0000</t>
  </si>
  <si>
    <t>47-10-0006-0179-0000</t>
  </si>
  <si>
    <t>47-10-0004-0133-0000</t>
  </si>
  <si>
    <t>47-10-0004-0157-0000</t>
  </si>
  <si>
    <t>47-03-0250-0001-0003</t>
  </si>
  <si>
    <t>47-10-0004-0120-0001</t>
  </si>
  <si>
    <t>47-08-0002-0058-0004</t>
  </si>
  <si>
    <t>47-01-283B-0005-0000</t>
  </si>
  <si>
    <t>47-08-0001-0126-0000</t>
  </si>
  <si>
    <t>47-01-0323-0031-0000</t>
  </si>
  <si>
    <t>47-10-0005-0079-0000</t>
  </si>
  <si>
    <t>47-01-0284-0007-0003</t>
  </si>
  <si>
    <t>47-10-0004-0099-0000</t>
  </si>
  <si>
    <t>47-01-0264-0050-0000</t>
  </si>
  <si>
    <t>180 KINGSFORD LN, MONTROSE, WV, 26283</t>
  </si>
  <si>
    <t>215 FIRST ST, PARSONS, WV, 26287</t>
  </si>
  <si>
    <t>302 D and W Lane Industrial , Parsons, WV, 26287</t>
  </si>
  <si>
    <t>227 WATER ST, PARSONS, WV, 26287</t>
  </si>
  <si>
    <t>998 COUNTY FARM RD, PARSONS, WV, 26287</t>
  </si>
  <si>
    <t>459 NURSERY BOTTOM RD, PARSONS, WV, 26287</t>
  </si>
  <si>
    <t>269 HINCHCLIFF RD, HENDRICKS, WV, 26271</t>
  </si>
  <si>
    <t>125 POPLAR ST, PARSONS, WV, 26287</t>
  </si>
  <si>
    <t>515 FIRST ST, PARSONS, WV, 26287</t>
  </si>
  <si>
    <t>226 WALNUT ST, PARSONS, WV, 26287</t>
  </si>
  <si>
    <t>13682 APPALACHIAN HWY, DAVIS, WV, 26260</t>
  </si>
  <si>
    <t>156 MAIN ST, PARSONS, WV, 26287</t>
  </si>
  <si>
    <t>216 MAIN ST, PARSONS, WV, 26287</t>
  </si>
  <si>
    <t>304 WALNUT ST, PARSONS, WV, 26287</t>
  </si>
  <si>
    <t>341 SECOND ST, PARSONS, WV, 26287</t>
  </si>
  <si>
    <t>5570 APPALACHIAN HWY, DAVIS, WV, 26260</t>
  </si>
  <si>
    <t>225 WALNUT ST, PARSONS, WV, 26287</t>
  </si>
  <si>
    <t>150 MAIN ST, PARSONS, WV, 26287</t>
  </si>
  <si>
    <t>235 WALNUT ST, PARSONS, WV, 26287</t>
  </si>
  <si>
    <t>221 WATER ST, PARSONS, WV, 26287</t>
  </si>
  <si>
    <t>473 AQUA DR, DAVIS, WV, 26260</t>
  </si>
  <si>
    <t>301 WALNUT ST, PARSONS, WV, 26287</t>
  </si>
  <si>
    <t>82 WATERFRONT LN, HENDRICKS, WV, 26271</t>
  </si>
  <si>
    <t>17 MISSION LN, PARSONS, WV, 26287</t>
  </si>
  <si>
    <t>161 FOURTH ST, HENDRICKS, WV, 26271</t>
  </si>
  <si>
    <t>205 SHAVERS FORK RD, KERENS, WV, 26283</t>
  </si>
  <si>
    <t>224 PENNSYLVANIA AVE, PARSONS, WV, 26287</t>
  </si>
  <si>
    <t>143 JERSEY LN, PARSONS, WV, 26287</t>
  </si>
  <si>
    <t>312 MAIN ST, PARSONS, WV, 26287</t>
  </si>
  <si>
    <t>515 RIVER BEND ESTATES RD, PARSONS, WV, 26287</t>
  </si>
  <si>
    <t>KINGSFORD MANUFACTURING CO %THE CLOROX CO.</t>
  </si>
  <si>
    <t>TUCKER COUNTY BUILDING COMMISSION</t>
  </si>
  <si>
    <t>FIKE H EUGENE &amp; DEBRA L</t>
  </si>
  <si>
    <t>UNITED STATES OF AMERICA</t>
  </si>
  <si>
    <t>HINCHCLIFF LUMBER CO</t>
  </si>
  <si>
    <t>PERFORMANCE AUTO BODY LLC</t>
  </si>
  <si>
    <t>GARRETT ROGER L</t>
  </si>
  <si>
    <t>CITIZENS NATL BANK OF ELKINS TUCKER COUNTY BRANCH</t>
  </si>
  <si>
    <t>PARSONS VOLUNTEER FIRE DEPT</t>
  </si>
  <si>
    <t>PARSONS PRESBYTERIAN CHURCH</t>
  </si>
  <si>
    <t>PARSONS CITY OF</t>
  </si>
  <si>
    <t>MR INC</t>
  </si>
  <si>
    <t>WILFONG CAROL S</t>
  </si>
  <si>
    <t>LADY OF MERCY ROMAN CTH CHURCH</t>
  </si>
  <si>
    <t>WV DNR WILDLIFE RESOURCES SECTION</t>
  </si>
  <si>
    <t>FIVE RIVERS PUBLIC LIBRARY INC</t>
  </si>
  <si>
    <t>ROBERTS FRANK A &amp; RACHEL A</t>
  </si>
  <si>
    <t>CHURCH OF THE NAZERENE</t>
  </si>
  <si>
    <t>PARSONS WOODWORKING</t>
  </si>
  <si>
    <t>RIVERVIEW CHAPEL CHURCH TRUSTEES</t>
  </si>
  <si>
    <t>DARLINGTON HOLDINGS LLC</t>
  </si>
  <si>
    <t>HICKS JONATHAN R HICKS SARAH R</t>
  </si>
  <si>
    <t>LOHR &amp; BARB FUNERAL HOME INC</t>
  </si>
  <si>
    <t>PHILLIPS ZACHARY L &amp; PHILLIPS JAROLYN A JUDY</t>
  </si>
  <si>
    <t>9999</t>
  </si>
  <si>
    <t>1955</t>
  </si>
  <si>
    <t>1949</t>
  </si>
  <si>
    <t>317221</t>
  </si>
  <si>
    <t>15702</t>
  </si>
  <si>
    <t>25384</t>
  </si>
  <si>
    <t>17131</t>
  </si>
  <si>
    <t>9296</t>
  </si>
  <si>
    <t>17611</t>
  </si>
  <si>
    <t>86500</t>
  </si>
  <si>
    <t>34529</t>
  </si>
  <si>
    <t>9525</t>
  </si>
  <si>
    <t>6616</t>
  </si>
  <si>
    <t>19596</t>
  </si>
  <si>
    <t>16320</t>
  </si>
  <si>
    <t>14822</t>
  </si>
  <si>
    <t>8083</t>
  </si>
  <si>
    <t>6811</t>
  </si>
  <si>
    <t>8541</t>
  </si>
  <si>
    <t>13702</t>
  </si>
  <si>
    <t>13511</t>
  </si>
  <si>
    <t>9730</t>
  </si>
  <si>
    <t>7832</t>
  </si>
  <si>
    <t>6235</t>
  </si>
  <si>
    <t>3897</t>
  </si>
  <si>
    <t>5084</t>
  </si>
  <si>
    <t>8996</t>
  </si>
  <si>
    <t>15652</t>
  </si>
  <si>
    <t>7278</t>
  </si>
  <si>
    <t>14528</t>
  </si>
  <si>
    <t>4776</t>
  </si>
  <si>
    <t>6774</t>
  </si>
  <si>
    <t>3997</t>
  </si>
  <si>
    <t>UPSHUR</t>
  </si>
  <si>
    <t>49-03-0016-0006-0000_100</t>
  </si>
  <si>
    <t>49-03-0019-0005-0000_201</t>
  </si>
  <si>
    <t>49-03-0004-0273-0000_10</t>
  </si>
  <si>
    <t>49-03-0019-0001-0001_9999</t>
  </si>
  <si>
    <t>49-02-005F-0034-0002_8</t>
  </si>
  <si>
    <t>49-03-0017-0002-0000_50</t>
  </si>
  <si>
    <t>49-03-0019-0001-0000_199</t>
  </si>
  <si>
    <t>49-02-005F-0034-0010_156</t>
  </si>
  <si>
    <t>49-02-005H-0094-0000_133</t>
  </si>
  <si>
    <t>49-03-0004-0370-0000_45</t>
  </si>
  <si>
    <t>49-03-0002-0045-0000_168</t>
  </si>
  <si>
    <t>49-02-005F-0052-0004_71</t>
  </si>
  <si>
    <t>49-02-006F-0007-0000_138</t>
  </si>
  <si>
    <t>49-03-0003-0040-0000_271</t>
  </si>
  <si>
    <t>49-02-005H-0094-0002_153</t>
  </si>
  <si>
    <t>49-02-005F-0035-0001_63</t>
  </si>
  <si>
    <t>49-03-0017-0004-0000_184</t>
  </si>
  <si>
    <t>49-03-0004-0346-0000_90</t>
  </si>
  <si>
    <t>49-03-0016-0002-0000_9998</t>
  </si>
  <si>
    <t>49-02-0006-0040-0000_287</t>
  </si>
  <si>
    <t>49-03-0020-0008-0000_9998</t>
  </si>
  <si>
    <t>49-03-0008-0149-0000_60</t>
  </si>
  <si>
    <t>49-03-0019-0004-0000_197</t>
  </si>
  <si>
    <t>49-03-0007-0034-0000_37</t>
  </si>
  <si>
    <t>49-03-0001-0097-0000_16</t>
  </si>
  <si>
    <t>49-05-0002-0046-0000_21</t>
  </si>
  <si>
    <t>49-02-006F-0007-0010_14</t>
  </si>
  <si>
    <t>49-02-005F-0008-0011_61</t>
  </si>
  <si>
    <t>49-03-0004-0211-0004_116</t>
  </si>
  <si>
    <t>49-06-007C-0006-0001_918</t>
  </si>
  <si>
    <t>49-02-0003-0068-0001_921</t>
  </si>
  <si>
    <t>49-03-0003-0010-0000_22</t>
  </si>
  <si>
    <t>49-03-0001-0134-0000_293</t>
  </si>
  <si>
    <t>49-03-0003-0011-0000_8</t>
  </si>
  <si>
    <t>49-03-0016-0006-0001_9999</t>
  </si>
  <si>
    <t>49-02-005F-0034-0012_132</t>
  </si>
  <si>
    <t>49-03-0003-0011-0001_107</t>
  </si>
  <si>
    <t>49-03-0004-0216-0000_2</t>
  </si>
  <si>
    <t>49-03-0004-0246-0000_8</t>
  </si>
  <si>
    <t>49-02-004F-0015-0000_355</t>
  </si>
  <si>
    <t>49-02-004F-0006-0000_58</t>
  </si>
  <si>
    <t>49-01-005S-0060-0004_264</t>
  </si>
  <si>
    <t>49-03-0004-0215-0000_4</t>
  </si>
  <si>
    <t>49-03-0007-0462-0000_44</t>
  </si>
  <si>
    <t>49-02-006F-0010-0001_646</t>
  </si>
  <si>
    <t>49-05-0003-0007-0000_734</t>
  </si>
  <si>
    <t>49-03-0004-0336-0000_102</t>
  </si>
  <si>
    <t>49-02-005F-0052-0010_395A</t>
  </si>
  <si>
    <t>49-03-0013-0085-0000_9999</t>
  </si>
  <si>
    <t>49-02-0003-0013-0000_1141</t>
  </si>
  <si>
    <t>49-02-004H-0018-0000_1263</t>
  </si>
  <si>
    <t>49-02-005H-0078-0000_1059</t>
  </si>
  <si>
    <t>49-06-006C-0077-0001_4910</t>
  </si>
  <si>
    <t>49-03-0004-0140-0000_38</t>
  </si>
  <si>
    <t>49-03-0007-0160-0000_48</t>
  </si>
  <si>
    <t>49-03-0004-0337-0000_85</t>
  </si>
  <si>
    <t>49-03-0001-0113-0001_9999</t>
  </si>
  <si>
    <t>49-05-007H-0060-0000_1755</t>
  </si>
  <si>
    <t>49-02-0001-0005-0000_14</t>
  </si>
  <si>
    <t>49-03-0002-0044-0000_68</t>
  </si>
  <si>
    <t>49-02-005F-0084-0003_103</t>
  </si>
  <si>
    <t>49-03-0001-0002-0000_438</t>
  </si>
  <si>
    <t>49-03-0001-0003-0000_390A</t>
  </si>
  <si>
    <t>City of Buckhannon</t>
  </si>
  <si>
    <t>Upshur County</t>
  </si>
  <si>
    <t>Buckhannon River</t>
  </si>
  <si>
    <t>Fink Run Tributary No.2</t>
  </si>
  <si>
    <t>Fink Run</t>
  </si>
  <si>
    <t>Ratcliff Run</t>
  </si>
  <si>
    <t>Stony Run</t>
  </si>
  <si>
    <t>Mud Lick</t>
  </si>
  <si>
    <t>Pecks Run</t>
  </si>
  <si>
    <t>Sauls Run</t>
  </si>
  <si>
    <t>Right Fork Buchannon River</t>
  </si>
  <si>
    <t>Pecks Run Tributary No.4</t>
  </si>
  <si>
    <t>Sand Run</t>
  </si>
  <si>
    <t>49-03-0016-0006-0000</t>
  </si>
  <si>
    <t>49-03-0019-0005-0000</t>
  </si>
  <si>
    <t>49-03-0004-0273-0000</t>
  </si>
  <si>
    <t>49-03-0019-0001-0001</t>
  </si>
  <si>
    <t>49-02-005F-0034-0002</t>
  </si>
  <si>
    <t>49-03-0017-0002-0000</t>
  </si>
  <si>
    <t>49-03-0019-0001-0000</t>
  </si>
  <si>
    <t>49-02-005F-0034-0010</t>
  </si>
  <si>
    <t>49-02-005H-0094-0000</t>
  </si>
  <si>
    <t>49-03-0004-0370-0000</t>
  </si>
  <si>
    <t>49-03-0002-0045-0000</t>
  </si>
  <si>
    <t>49-02-005F-0052-0004</t>
  </si>
  <si>
    <t>49-02-006F-0007-0000</t>
  </si>
  <si>
    <t>49-03-0003-0040-0000</t>
  </si>
  <si>
    <t>49-02-005H-0094-0002</t>
  </si>
  <si>
    <t>49-02-005F-0035-0001</t>
  </si>
  <si>
    <t>49-03-0017-0004-0000</t>
  </si>
  <si>
    <t>49-03-0004-0346-0000</t>
  </si>
  <si>
    <t>49-03-0016-0002-0000</t>
  </si>
  <si>
    <t>49-02-0006-0040-0000</t>
  </si>
  <si>
    <t>49-03-0020-0008-0000</t>
  </si>
  <si>
    <t>49-03-0008-0149-0000</t>
  </si>
  <si>
    <t>49-03-0019-0004-0000</t>
  </si>
  <si>
    <t>49-03-0007-0034-0000</t>
  </si>
  <si>
    <t>49-03-0001-0097-0000</t>
  </si>
  <si>
    <t>49-05-0002-0046-0000</t>
  </si>
  <si>
    <t>49-02-006F-0007-0010</t>
  </si>
  <si>
    <t>49-02-005F-0008-0011</t>
  </si>
  <si>
    <t>49-03-0004-0211-0004</t>
  </si>
  <si>
    <t>49-06-007C-0006-0001</t>
  </si>
  <si>
    <t>49-02-0003-0068-0001</t>
  </si>
  <si>
    <t>49-03-0003-0010-0000</t>
  </si>
  <si>
    <t>49-03-0001-0134-0000</t>
  </si>
  <si>
    <t>49-03-0003-0011-0000</t>
  </si>
  <si>
    <t>49-03-0016-0006-0001</t>
  </si>
  <si>
    <t>49-02-005F-0034-0012</t>
  </si>
  <si>
    <t>49-03-0003-0011-0001</t>
  </si>
  <si>
    <t>49-03-0004-0216-0000</t>
  </si>
  <si>
    <t>49-03-0004-0246-0000</t>
  </si>
  <si>
    <t>49-02-004F-0015-0000</t>
  </si>
  <si>
    <t>49-02-004F-0006-0000</t>
  </si>
  <si>
    <t>49-01-005S-0060-0004</t>
  </si>
  <si>
    <t>49-03-0004-0215-0000</t>
  </si>
  <si>
    <t>49-03-0007-0462-0000</t>
  </si>
  <si>
    <t>49-02-006F-0010-0001</t>
  </si>
  <si>
    <t>49-05-0003-0007-0000</t>
  </si>
  <si>
    <t>49-03-0004-0336-0000</t>
  </si>
  <si>
    <t>49-02-005F-0052-0010</t>
  </si>
  <si>
    <t>49-03-0013-0085-0000</t>
  </si>
  <si>
    <t>49-02-0003-0013-0000</t>
  </si>
  <si>
    <t>49-02-004H-0018-0000</t>
  </si>
  <si>
    <t>49-02-005H-0078-0000</t>
  </si>
  <si>
    <t>49-06-006C-0077-0001</t>
  </si>
  <si>
    <t>49-03-0004-0140-0000</t>
  </si>
  <si>
    <t>49-03-0007-0160-0000</t>
  </si>
  <si>
    <t>49-03-0004-0337-0000</t>
  </si>
  <si>
    <t>49-03-0001-0113-0001</t>
  </si>
  <si>
    <t>49-05-007H-0060-0000</t>
  </si>
  <si>
    <t>49-02-0001-0005-0000</t>
  </si>
  <si>
    <t>49-03-0002-0044-0000</t>
  </si>
  <si>
    <t>49-02-005F-0084-0003</t>
  </si>
  <si>
    <t>49-03-0001-0002-0000</t>
  </si>
  <si>
    <t>49-03-0001-0003-0000</t>
  </si>
  <si>
    <t>100 BUCKHANNON CROSSROADS, Buckhannon, WV, 26201</t>
  </si>
  <si>
    <t>201 CLARKSBURG RD,BUCKHANNON, WV, 26201</t>
  </si>
  <si>
    <t>10 NONA ST, Buckhannon, WV, 26201</t>
  </si>
  <si>
    <t>9999 CLARKSBURG RD, Buckhannon, WV, 26201</t>
  </si>
  <si>
    <t>8 BILLINGSLEY DR, Buckhannon, WV, 26201</t>
  </si>
  <si>
    <t>50 MOORE AVE, BUCKHANNON, WV, 26201</t>
  </si>
  <si>
    <t>199 CLARKSBURG RD,BUCKHANNON, WV, 26201</t>
  </si>
  <si>
    <t>156 CINEMA CIR, Buckhannon, WV, 26201</t>
  </si>
  <si>
    <t>133 WENDLING PLAZA DR, BUCKHANNON, WV, 26201</t>
  </si>
  <si>
    <t>45 FRIENDLY WAY,BUCKHANNON, WV, 26201</t>
  </si>
  <si>
    <t>168 5TH ST,BUCKHANNON, WV, 26201</t>
  </si>
  <si>
    <t>71 MUD LICK RD,BUCKHANNON, WV, 26201</t>
  </si>
  <si>
    <t>138 SEWER PLANT RD,BUCKHANNON, WV, 26201</t>
  </si>
  <si>
    <t>271 W MAIN ST,BUCKHANNON, WV, 26201</t>
  </si>
  <si>
    <t>153 WENDLING PLAZA DR, BUCKHANNON, WV, 26201</t>
  </si>
  <si>
    <t>63 BRUSHY FORK RD, Buckhannon, WV, 26201</t>
  </si>
  <si>
    <t>184 ARMORY RD, BUCKHANNON, WV, 26201</t>
  </si>
  <si>
    <t>90 E MAIN ST,BUCKHANNON, WV, 26201</t>
  </si>
  <si>
    <t>9998 BUCKHANNON CROSSROADS, Buckhannon, WV, 26201</t>
  </si>
  <si>
    <t>287 W MAIN ST,BUCKHANNON, WV, 26201</t>
  </si>
  <si>
    <t>9998 CLARKSBURG RD, BUCKHANNON, WV, 26201</t>
  </si>
  <si>
    <t>60 CAMDEN AVE, Buckhannon, WV, 26201</t>
  </si>
  <si>
    <t>197 CLARKSBURG RD,BUCKHANNON, WV, 26201</t>
  </si>
  <si>
    <t>37 S KANAWHA ST,BUCKHANNON, WV, 26201</t>
  </si>
  <si>
    <t>16 THURMAN AVE, Buckhannon, WV, 26201</t>
  </si>
  <si>
    <t>21 ST JAMES PL, BUCKHANNON, WV, 26201</t>
  </si>
  <si>
    <t>14 SEWER PLANT RD,BUCKHANNON, WV, 26201</t>
  </si>
  <si>
    <t>61 WBUC RD,BUCKHANNON, WV, 26201</t>
  </si>
  <si>
    <t>116 S SPRING ST,BUCKHANNON, WV, 26201</t>
  </si>
  <si>
    <t>918 TETER RD,BUCKHANNON, WV, 26201</t>
  </si>
  <si>
    <t>921 RT 20 SOUTH RD,BUCKHANNON, WV, 26201</t>
  </si>
  <si>
    <t>22 NORTH LOCUST STREET,BUCKHANNON, WV, 26201</t>
  </si>
  <si>
    <t>293 N LOCUST ST,BUCKHANNON, WV, 26201</t>
  </si>
  <si>
    <t>8 W MAIN ST,BUCKHANNON, WV, 26201</t>
  </si>
  <si>
    <t>9999 BUCKHANNON CROSSROADS, Buckhannon, WV, 26201</t>
  </si>
  <si>
    <t>132 CINEMA CIR, Buckhannon, WV, 26201</t>
  </si>
  <si>
    <t>107 W MAIN ST,BUCKHANNON, WV, 26201</t>
  </si>
  <si>
    <t>2 E MAIN ST,BUCKHANNON, WV, 26201</t>
  </si>
  <si>
    <t>8 ISLAND AVE, Buckhannon, WV, 26201</t>
  </si>
  <si>
    <t>355 DEWBERRY TRL,BUCKHANNON, WV, 26201</t>
  </si>
  <si>
    <t>58 ALCON RD, BUCKHANNON, WV, 26201</t>
  </si>
  <si>
    <t>264 BROOKS HILL RD, SELBYVILLE, WV, 26236</t>
  </si>
  <si>
    <t>4 S SPRING ST,BUCKHANNON, WV, 26201</t>
  </si>
  <si>
    <t>44 S KANAWHA ST,BUCKHANNON, WV, 26201</t>
  </si>
  <si>
    <t>646 HALL RD,BUCKHANNON, WV, 26201</t>
  </si>
  <si>
    <t>734 VICKSBURG RD,BUCKHANNON, WV, 26201</t>
  </si>
  <si>
    <t>102 E MAIN ST,BUCKHANNON, WV, 26201</t>
  </si>
  <si>
    <t>395A MUD LICK RD, BUCKHANNON, WV, 26201</t>
  </si>
  <si>
    <t>9999 WOOD ST, BUCKHANNON, WV, 26201</t>
  </si>
  <si>
    <t>1141 RT 20 SOUTH RD, Buckhannon, WV, 26201</t>
  </si>
  <si>
    <t>1263 STONECOAL LAKE RD,BUCKHANNON, WV, 26201</t>
  </si>
  <si>
    <t>1059 RT 20 SOUTH RD,BUCKHANNON, WV, 26201</t>
  </si>
  <si>
    <t>4910 CLARKSBURG RD,BUCKHANNON, WV, 26201</t>
  </si>
  <si>
    <t>38 N KANAWHA ST,BUCKHANNON, WV, 26201</t>
  </si>
  <si>
    <t>48 S KANAWHA ST,BUCKHANNON, WV, 26201</t>
  </si>
  <si>
    <t>85 FACTORY ST,BUCKHANNON, WV, 26201</t>
  </si>
  <si>
    <t>9999 CLEVELAND AVE, Buckhannon, WV, 26201</t>
  </si>
  <si>
    <t>1755 HEAVNER GROVE RD, Buckhannon, WV, 26201</t>
  </si>
  <si>
    <t>14 RT 20 SOUTH RD,BUCKHANNON, WV, 26201</t>
  </si>
  <si>
    <t>68 5TH ST,BUCKHANNON, WV, 26201</t>
  </si>
  <si>
    <t>103 PROFESSIONAL ARTS PLAZA DR, Buckhannon, WV, 26201</t>
  </si>
  <si>
    <t>438 N LOCUST ST,BUCKHANNON, WV, 26201</t>
  </si>
  <si>
    <t>390A N LOCUST ST, BUCKHANNON, WV, 26201</t>
  </si>
  <si>
    <t>WAL-MART REAL EST BUSINESS TR</t>
  </si>
  <si>
    <t>LOWES HOME CENTERS INC</t>
  </si>
  <si>
    <t>BUCKHANNON MANOR ASSOCIATES</t>
  </si>
  <si>
    <t>NORTHRIDGE BUCKHANNON WV HOLDINGS LLC</t>
  </si>
  <si>
    <t>JENKINS UPSHUR REAL ESTATE LLC</t>
  </si>
  <si>
    <t>ALERIS LIGHT GAUGE PRODUCTS INC</t>
  </si>
  <si>
    <t>NORTHRIDGE DEVELOPMENT LLC</t>
  </si>
  <si>
    <t>H &amp; K CINEMAS INC</t>
  </si>
  <si>
    <t>UPSHUR COUNTY DEVELOPMENT AUTHORITY</t>
  </si>
  <si>
    <t>CITY OF BUCKHANNON BUILDING COMMISSION</t>
  </si>
  <si>
    <t>MARTIN CARL J II FAMILY TRUST MARTIN SHERREE TRUSTEE</t>
  </si>
  <si>
    <t>MIKE ROSS INC</t>
  </si>
  <si>
    <t>MARTIN C J II</t>
  </si>
  <si>
    <t>ST JOSEPH'S HOSPITAL OF BUCKHANNON INC</t>
  </si>
  <si>
    <t>WENDLING ENTERPRISES LLC</t>
  </si>
  <si>
    <t>MINSKER FAMILY LLC</t>
  </si>
  <si>
    <t>ST OF WV</t>
  </si>
  <si>
    <t>CRM PROPERTIES LLC</t>
  </si>
  <si>
    <t>MARION POINT LLC</t>
  </si>
  <si>
    <t>ST JOSEPHS HOSPITAL OF BUCKHANNON INC</t>
  </si>
  <si>
    <t>NS RETAIL HOLDINGS LLC</t>
  </si>
  <si>
    <t>W VA WESLEYAN COLLEGE</t>
  </si>
  <si>
    <t>SBI HOLDINGS LLC</t>
  </si>
  <si>
    <t>AUTOZONE DEVELOPMENT CORP</t>
  </si>
  <si>
    <t>CHURCH OF GOD AT BUCKHANNON</t>
  </si>
  <si>
    <t>BUCKHANNON HOUSING LIMITED PARTNERSHIP</t>
  </si>
  <si>
    <t>UNIVERSAL WELL SERVICES INC</t>
  </si>
  <si>
    <t>MARTIN CARL JUNIOR JR</t>
  </si>
  <si>
    <t>TAHOE MANAGEMENT THREE LLC</t>
  </si>
  <si>
    <t>BOARD OF EDUCATION OF UPSHUR COUNTY</t>
  </si>
  <si>
    <t>BUCKHILL ASSOCIATES INC</t>
  </si>
  <si>
    <t>GUGGENHEIM HOLDINGS LLC</t>
  </si>
  <si>
    <t>ASCENDCO FAMILY INC</t>
  </si>
  <si>
    <t>FRANKS PERFORMING ARTS PROMOTIONAL GROUP LLC</t>
  </si>
  <si>
    <t>MOSS DEBRA A MOSS JOHN L</t>
  </si>
  <si>
    <t>GARCIA PROPERTIES LLC</t>
  </si>
  <si>
    <t>C &amp; P TELEPHONE CO</t>
  </si>
  <si>
    <t>ALLEN J F CO</t>
  </si>
  <si>
    <t>SELBYVILLE VOL. FIRE DEPT</t>
  </si>
  <si>
    <t>ARC CAFEUSA001 LLC</t>
  </si>
  <si>
    <t>MARTIN C J II FAMILY GIFT TR</t>
  </si>
  <si>
    <t>TRSTS UNION MISSION CHURCH OF BKHN</t>
  </si>
  <si>
    <t>LIGHT DELMAR LIVING TRUST</t>
  </si>
  <si>
    <t>ROSS MIKE</t>
  </si>
  <si>
    <t>BUCKHANNON CITY OF</t>
  </si>
  <si>
    <t>DARBY THERESA A</t>
  </si>
  <si>
    <t>ALDERMAN LARRY &amp; TRECIA M</t>
  </si>
  <si>
    <t>AUSTRALIAN CIRCLE PARTNERS LLC</t>
  </si>
  <si>
    <t>SHILOH ENTERPRISES LLC</t>
  </si>
  <si>
    <t>DARNALL DALE G</t>
  </si>
  <si>
    <t>ALMOND GREENBRIER D &amp;ARECELI G</t>
  </si>
  <si>
    <t>PATRICK MARTIN RENTALS LLC</t>
  </si>
  <si>
    <t>KETTERMAN FRANK JAMES KETTERMAN AMANDA R</t>
  </si>
  <si>
    <t>WARES HOLDINGS LLC</t>
  </si>
  <si>
    <t>PROFESSIONAL ARTS ASSOC LLC</t>
  </si>
  <si>
    <t>TENNEY RANDALL L &amp; SHIRLEY A</t>
  </si>
  <si>
    <t>CASELLA PETER JOSEPH</t>
  </si>
  <si>
    <t>1996</t>
  </si>
  <si>
    <t>1991</t>
  </si>
  <si>
    <t>1993</t>
  </si>
  <si>
    <t>1954</t>
  </si>
  <si>
    <t>1910</t>
  </si>
  <si>
    <t>1907</t>
  </si>
  <si>
    <t>COM9</t>
  </si>
  <si>
    <t>154763</t>
  </si>
  <si>
    <t>107741</t>
  </si>
  <si>
    <t>105816</t>
  </si>
  <si>
    <t>27926</t>
  </si>
  <si>
    <t>39208</t>
  </si>
  <si>
    <t>193577</t>
  </si>
  <si>
    <t>28641</t>
  </si>
  <si>
    <t>21416</t>
  </si>
  <si>
    <t>48018</t>
  </si>
  <si>
    <t>23660</t>
  </si>
  <si>
    <t>122985</t>
  </si>
  <si>
    <t>81553</t>
  </si>
  <si>
    <t>34540</t>
  </si>
  <si>
    <t>13976</t>
  </si>
  <si>
    <t>26522</t>
  </si>
  <si>
    <t>18628</t>
  </si>
  <si>
    <t>27500</t>
  </si>
  <si>
    <t>42403</t>
  </si>
  <si>
    <t>16660</t>
  </si>
  <si>
    <t>9748</t>
  </si>
  <si>
    <t>15252</t>
  </si>
  <si>
    <t>8272</t>
  </si>
  <si>
    <t>8674</t>
  </si>
  <si>
    <t>7360</t>
  </si>
  <si>
    <t>10023</t>
  </si>
  <si>
    <t>18000</t>
  </si>
  <si>
    <t>25500</t>
  </si>
  <si>
    <t>9360</t>
  </si>
  <si>
    <t>9140</t>
  </si>
  <si>
    <t>19207</t>
  </si>
  <si>
    <t>16900</t>
  </si>
  <si>
    <t>17538</t>
  </si>
  <si>
    <t>3919</t>
  </si>
  <si>
    <t>9694</t>
  </si>
  <si>
    <t>6000</t>
  </si>
  <si>
    <t>4185</t>
  </si>
  <si>
    <t>6460</t>
  </si>
  <si>
    <t>38070</t>
  </si>
  <si>
    <t>4288</t>
  </si>
  <si>
    <t>12130</t>
  </si>
  <si>
    <t>17851</t>
  </si>
  <si>
    <t>7591</t>
  </si>
  <si>
    <t>6240</t>
  </si>
  <si>
    <t>2758</t>
  </si>
  <si>
    <t>13678</t>
  </si>
  <si>
    <t>2824</t>
  </si>
  <si>
    <t>5750</t>
  </si>
  <si>
    <t>16950</t>
  </si>
  <si>
    <t>5295</t>
  </si>
  <si>
    <t>11750</t>
  </si>
  <si>
    <t>2713</t>
  </si>
  <si>
    <t>7728</t>
  </si>
  <si>
    <t>3774</t>
  </si>
  <si>
    <t>3973</t>
  </si>
  <si>
    <t>11968</t>
  </si>
  <si>
    <t>3648</t>
  </si>
  <si>
    <t>3220</t>
  </si>
  <si>
    <t>11770</t>
  </si>
  <si>
    <t>7200</t>
  </si>
  <si>
    <t>7000</t>
  </si>
  <si>
    <t>9920</t>
  </si>
  <si>
    <t>7.0</t>
  </si>
  <si>
    <t>0.8</t>
  </si>
  <si>
    <t>Elkins</t>
  </si>
  <si>
    <t>Randolph County*</t>
  </si>
  <si>
    <t>Beverly</t>
  </si>
  <si>
    <t>Coalton</t>
  </si>
  <si>
    <t>Harman</t>
  </si>
  <si>
    <t>(Higher than $300,000)</t>
  </si>
  <si>
    <t>Buckhannon</t>
  </si>
  <si>
    <t>Upshur County*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</si>
</sst>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008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4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2" fillId="0" borderId="0" xfId="2" applyNumberFormat="1" applyFont="1" applyFill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" xfId="0" applyFont="1" applyFill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81B4-F2EF-4290-8033-88AA3CA78C7D}">
  <dimension ref="A1:X44"/>
  <sheetViews>
    <sheetView workbookViewId="0">
      <pane ySplit="6" topLeftCell="A7" activePane="bottomLeft" state="frozen"/>
      <selection pane="bottomLeft" sqref="A1:A1048576"/>
    </sheetView>
  </sheetViews>
  <sheetFormatPr defaultRowHeight="15" x14ac:dyDescent="0.25"/>
  <cols>
    <col min="1" max="1" width="33.85546875" bestFit="1" customWidth="1"/>
    <col min="2" max="2" width="11.28515625" customWidth="1"/>
    <col min="7" max="7" width="10.7109375" customWidth="1"/>
    <col min="13" max="13" width="10.28515625" customWidth="1"/>
    <col min="14" max="14" width="11.42578125" customWidth="1"/>
    <col min="17" max="17" width="10.285156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190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60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385</v>
      </c>
      <c r="B7" s="2" t="s">
        <v>229</v>
      </c>
      <c r="C7" s="2" t="s">
        <v>164</v>
      </c>
      <c r="D7" s="46" t="s">
        <v>386</v>
      </c>
      <c r="E7" s="46" t="s">
        <v>387</v>
      </c>
      <c r="F7" s="24" t="str">
        <f>HYPERLINK("https://mapwv.gov/flood/map/?wkid=102100&amp;x=-8900324.038053676&amp;y=4725892.845734754&amp;l=13&amp;v=2","FT")</f>
        <v>FT</v>
      </c>
      <c r="G7" s="45" t="s">
        <v>31</v>
      </c>
      <c r="H7" s="23" t="s">
        <v>24</v>
      </c>
      <c r="I7" s="46" t="s">
        <v>388</v>
      </c>
      <c r="J7" s="22" t="s">
        <v>25</v>
      </c>
      <c r="K7" s="47" t="s">
        <v>122</v>
      </c>
      <c r="L7" s="47" t="s">
        <v>26</v>
      </c>
      <c r="M7" s="46" t="s">
        <v>27</v>
      </c>
      <c r="N7" s="3" t="s">
        <v>87</v>
      </c>
      <c r="O7" s="47" t="s">
        <v>90</v>
      </c>
      <c r="P7" s="48">
        <v>17000</v>
      </c>
      <c r="Q7" s="46" t="s">
        <v>29</v>
      </c>
      <c r="R7" s="23" t="s">
        <v>92</v>
      </c>
      <c r="S7" s="30">
        <v>14500000</v>
      </c>
      <c r="T7" s="53" t="s">
        <v>28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25">
      <c r="A8" s="22" t="s">
        <v>191</v>
      </c>
      <c r="B8" s="2" t="s">
        <v>228</v>
      </c>
      <c r="C8" s="2" t="s">
        <v>232</v>
      </c>
      <c r="D8" s="46" t="s">
        <v>239</v>
      </c>
      <c r="E8" s="46" t="s">
        <v>276</v>
      </c>
      <c r="F8" s="24" t="str">
        <f>HYPERLINK("https://mapwv.gov/flood/map/?wkid=102100&amp;x=-8909834.50486976&amp;y=4742876.794780413&amp;l=13&amp;v=2","FT")</f>
        <v>FT</v>
      </c>
      <c r="G8" s="45" t="s">
        <v>53</v>
      </c>
      <c r="H8" s="23" t="s">
        <v>24</v>
      </c>
      <c r="I8" s="46" t="s">
        <v>313</v>
      </c>
      <c r="J8" s="22" t="s">
        <v>38</v>
      </c>
      <c r="K8" s="47" t="s">
        <v>151</v>
      </c>
      <c r="L8" s="47" t="s">
        <v>26</v>
      </c>
      <c r="M8" s="46" t="s">
        <v>154</v>
      </c>
      <c r="N8" s="3" t="s">
        <v>41</v>
      </c>
      <c r="O8" s="47" t="s">
        <v>349</v>
      </c>
      <c r="P8" s="46" t="s">
        <v>350</v>
      </c>
      <c r="Q8" s="46" t="s">
        <v>29</v>
      </c>
      <c r="R8" s="23" t="s">
        <v>92</v>
      </c>
      <c r="S8" s="30">
        <v>2500100</v>
      </c>
      <c r="T8" s="2" t="s">
        <v>43</v>
      </c>
      <c r="U8" s="31">
        <v>0.33044434</v>
      </c>
      <c r="V8" s="31">
        <v>-0.6695556640625</v>
      </c>
      <c r="W8" s="32">
        <v>4.9566650390625001E-2</v>
      </c>
      <c r="X8" s="33">
        <v>123921.58264160099</v>
      </c>
    </row>
    <row r="9" spans="1:24" x14ac:dyDescent="0.25">
      <c r="A9" s="22" t="s">
        <v>192</v>
      </c>
      <c r="B9" s="2" t="s">
        <v>228</v>
      </c>
      <c r="C9" s="2" t="s">
        <v>233</v>
      </c>
      <c r="D9" s="46" t="s">
        <v>240</v>
      </c>
      <c r="E9" s="46" t="s">
        <v>277</v>
      </c>
      <c r="F9" s="24" t="str">
        <f>HYPERLINK("https://mapwv.gov/flood/map/?wkid=102100&amp;x=-8912620.52726551&amp;y=4743377.010110855&amp;l=13&amp;v=2","FT")</f>
        <v>FT</v>
      </c>
      <c r="G9" s="45" t="s">
        <v>53</v>
      </c>
      <c r="H9" s="23" t="s">
        <v>24</v>
      </c>
      <c r="I9" s="46" t="s">
        <v>58</v>
      </c>
      <c r="J9" s="22" t="s">
        <v>38</v>
      </c>
      <c r="K9" s="47" t="s">
        <v>130</v>
      </c>
      <c r="L9" s="47" t="s">
        <v>26</v>
      </c>
      <c r="M9" s="46" t="s">
        <v>59</v>
      </c>
      <c r="N9" s="3" t="s">
        <v>86</v>
      </c>
      <c r="O9" s="47" t="s">
        <v>90</v>
      </c>
      <c r="P9" s="46" t="s">
        <v>351</v>
      </c>
      <c r="Q9" s="46" t="s">
        <v>29</v>
      </c>
      <c r="R9" s="23" t="s">
        <v>92</v>
      </c>
      <c r="S9" s="30">
        <v>1954900</v>
      </c>
      <c r="T9" s="2" t="s">
        <v>43</v>
      </c>
      <c r="U9" s="31">
        <v>1.1666259999999999</v>
      </c>
      <c r="V9" s="31">
        <v>0.1666259765625</v>
      </c>
      <c r="W9" s="32">
        <v>8.331298828125E-3</v>
      </c>
      <c r="X9" s="33">
        <v>16286.856079101501</v>
      </c>
    </row>
    <row r="10" spans="1:24" x14ac:dyDescent="0.25">
      <c r="A10" s="22" t="s">
        <v>193</v>
      </c>
      <c r="B10" s="2" t="s">
        <v>229</v>
      </c>
      <c r="C10" s="2" t="s">
        <v>164</v>
      </c>
      <c r="D10" s="46" t="s">
        <v>241</v>
      </c>
      <c r="E10" s="46" t="s">
        <v>278</v>
      </c>
      <c r="F10" s="24" t="str">
        <f>HYPERLINK("https://mapwv.gov/flood/map/?wkid=102100&amp;x=-8898293.882124865&amp;y=4725271.122275642&amp;l=13&amp;v=2","FT")</f>
        <v>FT</v>
      </c>
      <c r="G10" s="45" t="s">
        <v>31</v>
      </c>
      <c r="H10" s="23" t="s">
        <v>24</v>
      </c>
      <c r="I10" s="46" t="s">
        <v>314</v>
      </c>
      <c r="J10" s="22" t="s">
        <v>25</v>
      </c>
      <c r="K10" s="47" t="s">
        <v>124</v>
      </c>
      <c r="L10" s="47" t="s">
        <v>49</v>
      </c>
      <c r="M10" s="46" t="s">
        <v>157</v>
      </c>
      <c r="N10" s="3" t="s">
        <v>34</v>
      </c>
      <c r="O10" s="47" t="s">
        <v>91</v>
      </c>
      <c r="P10" s="46" t="s">
        <v>352</v>
      </c>
      <c r="Q10" s="46" t="s">
        <v>29</v>
      </c>
      <c r="R10" s="23" t="s">
        <v>92</v>
      </c>
      <c r="S10" s="30">
        <v>1368100</v>
      </c>
      <c r="T10" s="2" t="s">
        <v>43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25">
      <c r="A11" s="22" t="s">
        <v>194</v>
      </c>
      <c r="B11" s="2" t="s">
        <v>228</v>
      </c>
      <c r="C11" s="2" t="s">
        <v>164</v>
      </c>
      <c r="D11" s="46" t="s">
        <v>242</v>
      </c>
      <c r="E11" s="46" t="s">
        <v>279</v>
      </c>
      <c r="F11" s="24" t="str">
        <f>HYPERLINK("https://mapwv.gov/flood/map/?wkid=102100&amp;x=-8910114.948945971&amp;y=4743741.389172811&amp;l=13&amp;v=2","FT")</f>
        <v>FT</v>
      </c>
      <c r="G11" s="45" t="s">
        <v>31</v>
      </c>
      <c r="H11" s="23" t="s">
        <v>24</v>
      </c>
      <c r="I11" s="46" t="s">
        <v>315</v>
      </c>
      <c r="J11" s="22" t="s">
        <v>25</v>
      </c>
      <c r="K11" s="47" t="s">
        <v>121</v>
      </c>
      <c r="L11" s="47" t="s">
        <v>56</v>
      </c>
      <c r="M11" s="46" t="s">
        <v>157</v>
      </c>
      <c r="N11" s="3" t="s">
        <v>34</v>
      </c>
      <c r="O11" s="47" t="s">
        <v>91</v>
      </c>
      <c r="P11" s="46" t="s">
        <v>353</v>
      </c>
      <c r="Q11" s="46" t="s">
        <v>29</v>
      </c>
      <c r="R11" s="23" t="s">
        <v>92</v>
      </c>
      <c r="S11" s="30">
        <v>1217100</v>
      </c>
      <c r="T11" s="2" t="s">
        <v>43</v>
      </c>
      <c r="U11" s="31">
        <v>1.1971436</v>
      </c>
      <c r="V11" s="31">
        <v>0.1971435546875</v>
      </c>
      <c r="W11" s="32">
        <v>2.1685791015625001E-2</v>
      </c>
      <c r="X11" s="33">
        <v>26393.7762451171</v>
      </c>
    </row>
    <row r="12" spans="1:24" x14ac:dyDescent="0.25">
      <c r="A12" s="22" t="s">
        <v>195</v>
      </c>
      <c r="B12" s="2" t="s">
        <v>228</v>
      </c>
      <c r="C12" s="2" t="s">
        <v>164</v>
      </c>
      <c r="D12" s="46" t="s">
        <v>243</v>
      </c>
      <c r="E12" s="46" t="s">
        <v>280</v>
      </c>
      <c r="F12" s="24" t="str">
        <f>HYPERLINK("https://mapwv.gov/flood/map/?wkid=102100&amp;x=-8909939.351466125&amp;y=4743545.407579328&amp;l=13&amp;v=2","FT")</f>
        <v>FT</v>
      </c>
      <c r="G12" s="45" t="s">
        <v>31</v>
      </c>
      <c r="H12" s="23" t="s">
        <v>24</v>
      </c>
      <c r="I12" s="46" t="s">
        <v>316</v>
      </c>
      <c r="J12" s="22" t="s">
        <v>35</v>
      </c>
      <c r="K12" s="47" t="s">
        <v>75</v>
      </c>
      <c r="L12" s="47"/>
      <c r="M12" s="46" t="s">
        <v>27</v>
      </c>
      <c r="N12" s="3" t="s">
        <v>87</v>
      </c>
      <c r="O12" s="47" t="s">
        <v>90</v>
      </c>
      <c r="P12" s="46" t="s">
        <v>354</v>
      </c>
      <c r="Q12" s="46" t="s">
        <v>29</v>
      </c>
      <c r="R12" s="23" t="s">
        <v>92</v>
      </c>
      <c r="S12" s="30">
        <v>1148780</v>
      </c>
      <c r="T12" s="2" t="s">
        <v>30</v>
      </c>
      <c r="U12" s="31">
        <v>0.82751465000000002</v>
      </c>
      <c r="V12" s="31">
        <v>-0.1724853515625</v>
      </c>
      <c r="W12" s="32">
        <v>0</v>
      </c>
      <c r="X12" s="33">
        <v>0</v>
      </c>
    </row>
    <row r="13" spans="1:24" x14ac:dyDescent="0.25">
      <c r="A13" s="22" t="s">
        <v>196</v>
      </c>
      <c r="B13" s="2" t="s">
        <v>228</v>
      </c>
      <c r="C13" s="2" t="s">
        <v>164</v>
      </c>
      <c r="D13" s="46" t="s">
        <v>244</v>
      </c>
      <c r="E13" s="46" t="s">
        <v>281</v>
      </c>
      <c r="F13" s="24" t="str">
        <f>HYPERLINK("https://mapwv.gov/flood/map/?wkid=102100&amp;x=-8909091.834994504&amp;y=4744411.094727373&amp;l=13&amp;v=2","FT")</f>
        <v>FT</v>
      </c>
      <c r="G13" s="45" t="s">
        <v>119</v>
      </c>
      <c r="H13" s="23" t="s">
        <v>24</v>
      </c>
      <c r="I13" s="46" t="s">
        <v>317</v>
      </c>
      <c r="J13" s="22" t="s">
        <v>110</v>
      </c>
      <c r="K13" s="47" t="s">
        <v>97</v>
      </c>
      <c r="L13" s="47" t="s">
        <v>26</v>
      </c>
      <c r="M13" s="46" t="s">
        <v>33</v>
      </c>
      <c r="N13" s="3" t="s">
        <v>89</v>
      </c>
      <c r="O13" s="47" t="s">
        <v>90</v>
      </c>
      <c r="P13" s="46" t="s">
        <v>355</v>
      </c>
      <c r="Q13" s="46" t="s">
        <v>29</v>
      </c>
      <c r="R13" s="23" t="s">
        <v>92</v>
      </c>
      <c r="S13" s="30">
        <v>1138300</v>
      </c>
      <c r="T13" s="2" t="s">
        <v>43</v>
      </c>
      <c r="U13" s="31">
        <v>4.7741699999999998</v>
      </c>
      <c r="V13" s="31">
        <v>3.774169921875</v>
      </c>
      <c r="W13" s="32">
        <v>0.20870849609375</v>
      </c>
      <c r="X13" s="33">
        <v>237572.88110351501</v>
      </c>
    </row>
    <row r="14" spans="1:24" x14ac:dyDescent="0.25">
      <c r="A14" s="22" t="s">
        <v>197</v>
      </c>
      <c r="B14" s="2" t="s">
        <v>228</v>
      </c>
      <c r="C14" s="2" t="s">
        <v>164</v>
      </c>
      <c r="D14" s="46" t="s">
        <v>245</v>
      </c>
      <c r="E14" s="46" t="s">
        <v>282</v>
      </c>
      <c r="F14" s="24" t="str">
        <f>HYPERLINK("https://mapwv.gov/flood/map/?wkid=102100&amp;x=-8909810.40086042&amp;y=4743201.229403938&amp;l=13&amp;v=2","FT")</f>
        <v>FT</v>
      </c>
      <c r="G14" s="45" t="s">
        <v>31</v>
      </c>
      <c r="H14" s="23" t="s">
        <v>24</v>
      </c>
      <c r="I14" s="46" t="s">
        <v>318</v>
      </c>
      <c r="J14" s="22" t="s">
        <v>25</v>
      </c>
      <c r="K14" s="47" t="s">
        <v>149</v>
      </c>
      <c r="L14" s="47" t="s">
        <v>26</v>
      </c>
      <c r="M14" s="46" t="s">
        <v>55</v>
      </c>
      <c r="N14" s="3" t="s">
        <v>34</v>
      </c>
      <c r="O14" s="47" t="s">
        <v>159</v>
      </c>
      <c r="P14" s="46" t="s">
        <v>356</v>
      </c>
      <c r="Q14" s="46" t="s">
        <v>29</v>
      </c>
      <c r="R14" s="23" t="s">
        <v>92</v>
      </c>
      <c r="S14" s="30">
        <v>1126200</v>
      </c>
      <c r="T14" s="2" t="s">
        <v>43</v>
      </c>
      <c r="U14" s="31">
        <v>2.9213866999999998</v>
      </c>
      <c r="V14" s="31">
        <v>1.92138671875</v>
      </c>
      <c r="W14" s="32">
        <v>0.1560693359375</v>
      </c>
      <c r="X14" s="33">
        <v>175765.28613281201</v>
      </c>
    </row>
    <row r="15" spans="1:24" x14ac:dyDescent="0.25">
      <c r="A15" s="22" t="s">
        <v>198</v>
      </c>
      <c r="B15" s="2" t="s">
        <v>228</v>
      </c>
      <c r="C15" s="2" t="s">
        <v>164</v>
      </c>
      <c r="D15" s="46" t="s">
        <v>246</v>
      </c>
      <c r="E15" s="46" t="s">
        <v>283</v>
      </c>
      <c r="F15" s="24" t="str">
        <f>HYPERLINK("https://mapwv.gov/flood/map/?wkid=102100&amp;x=-8909989.584720302&amp;y=4743591.188382332&amp;l=13&amp;v=2","FT")</f>
        <v>FT</v>
      </c>
      <c r="G15" s="45" t="s">
        <v>31</v>
      </c>
      <c r="H15" s="23" t="s">
        <v>24</v>
      </c>
      <c r="I15" s="46" t="s">
        <v>319</v>
      </c>
      <c r="J15" s="22" t="s">
        <v>38</v>
      </c>
      <c r="K15" s="47" t="s">
        <v>346</v>
      </c>
      <c r="L15" s="47" t="s">
        <v>26</v>
      </c>
      <c r="M15" s="46" t="s">
        <v>57</v>
      </c>
      <c r="N15" s="3" t="s">
        <v>88</v>
      </c>
      <c r="O15" s="47" t="s">
        <v>90</v>
      </c>
      <c r="P15" s="46" t="s">
        <v>357</v>
      </c>
      <c r="Q15" s="46" t="s">
        <v>29</v>
      </c>
      <c r="R15" s="23" t="s">
        <v>92</v>
      </c>
      <c r="S15" s="30">
        <v>891730</v>
      </c>
      <c r="T15" s="2" t="s">
        <v>30</v>
      </c>
      <c r="U15" s="31">
        <v>2.3419189999999999</v>
      </c>
      <c r="V15" s="31">
        <v>1.3419189453125</v>
      </c>
      <c r="W15" s="32">
        <v>0.103419189453125</v>
      </c>
      <c r="X15" s="33">
        <v>92221.993811035107</v>
      </c>
    </row>
    <row r="16" spans="1:24" x14ac:dyDescent="0.25">
      <c r="A16" s="22" t="s">
        <v>199</v>
      </c>
      <c r="B16" s="2" t="s">
        <v>228</v>
      </c>
      <c r="C16" s="2" t="s">
        <v>232</v>
      </c>
      <c r="D16" s="46" t="s">
        <v>247</v>
      </c>
      <c r="E16" s="46" t="s">
        <v>284</v>
      </c>
      <c r="F16" s="24" t="str">
        <f>HYPERLINK("https://mapwv.gov/flood/map/?wkid=102100&amp;x=-8909742.488957906&amp;y=4742377.523843249&amp;l=13&amp;v=2","FT")</f>
        <v>FT</v>
      </c>
      <c r="G16" s="45" t="s">
        <v>31</v>
      </c>
      <c r="H16" s="23" t="s">
        <v>24</v>
      </c>
      <c r="I16" s="46" t="s">
        <v>320</v>
      </c>
      <c r="J16" s="22" t="s">
        <v>25</v>
      </c>
      <c r="K16" s="47" t="s">
        <v>73</v>
      </c>
      <c r="L16" s="47" t="s">
        <v>26</v>
      </c>
      <c r="M16" s="46" t="s">
        <v>46</v>
      </c>
      <c r="N16" s="3" t="s">
        <v>34</v>
      </c>
      <c r="O16" s="47" t="s">
        <v>90</v>
      </c>
      <c r="P16" s="46" t="s">
        <v>358</v>
      </c>
      <c r="Q16" s="46" t="s">
        <v>29</v>
      </c>
      <c r="R16" s="23" t="s">
        <v>92</v>
      </c>
      <c r="S16" s="30">
        <v>855800</v>
      </c>
      <c r="T16" s="2" t="s">
        <v>43</v>
      </c>
      <c r="U16" s="31">
        <v>1.1177979</v>
      </c>
      <c r="V16" s="31">
        <v>0.1177978515625</v>
      </c>
      <c r="W16" s="32">
        <v>1.9423828125000001E-2</v>
      </c>
      <c r="X16" s="33">
        <v>16622.912109375</v>
      </c>
    </row>
    <row r="17" spans="1:24" x14ac:dyDescent="0.25">
      <c r="A17" s="22" t="s">
        <v>200</v>
      </c>
      <c r="B17" s="2" t="s">
        <v>228</v>
      </c>
      <c r="C17" s="2" t="s">
        <v>164</v>
      </c>
      <c r="D17" s="46" t="s">
        <v>248</v>
      </c>
      <c r="E17" s="46" t="s">
        <v>285</v>
      </c>
      <c r="F17" s="24" t="str">
        <f>HYPERLINK("https://mapwv.gov/flood/map/?wkid=102100&amp;x=-8910184.667675136&amp;y=4743576.984633269&amp;l=13&amp;v=2","FT")</f>
        <v>FT</v>
      </c>
      <c r="G17" s="45" t="s">
        <v>31</v>
      </c>
      <c r="H17" s="23" t="s">
        <v>24</v>
      </c>
      <c r="I17" s="46" t="s">
        <v>321</v>
      </c>
      <c r="J17" s="22" t="s">
        <v>25</v>
      </c>
      <c r="K17" s="47" t="s">
        <v>122</v>
      </c>
      <c r="L17" s="47" t="s">
        <v>39</v>
      </c>
      <c r="M17" s="46" t="s">
        <v>46</v>
      </c>
      <c r="N17" s="3" t="s">
        <v>34</v>
      </c>
      <c r="O17" s="47" t="s">
        <v>90</v>
      </c>
      <c r="P17" s="46" t="s">
        <v>359</v>
      </c>
      <c r="Q17" s="46" t="s">
        <v>29</v>
      </c>
      <c r="R17" s="23" t="s">
        <v>92</v>
      </c>
      <c r="S17" s="30">
        <v>743900</v>
      </c>
      <c r="T17" s="2" t="s">
        <v>43</v>
      </c>
      <c r="U17" s="31">
        <v>2.7474365000000001</v>
      </c>
      <c r="V17" s="31">
        <v>1.7474365234375</v>
      </c>
      <c r="W17" s="32">
        <v>0.12737182617187501</v>
      </c>
      <c r="X17" s="33">
        <v>94751.901489257798</v>
      </c>
    </row>
    <row r="18" spans="1:24" x14ac:dyDescent="0.25">
      <c r="A18" s="22" t="s">
        <v>201</v>
      </c>
      <c r="B18" s="2" t="s">
        <v>228</v>
      </c>
      <c r="C18" s="2" t="s">
        <v>164</v>
      </c>
      <c r="D18" s="46" t="s">
        <v>249</v>
      </c>
      <c r="E18" s="46" t="s">
        <v>286</v>
      </c>
      <c r="F18" s="24" t="str">
        <f>HYPERLINK("https://mapwv.gov/flood/map/?wkid=102100&amp;x=-8909610.235280272&amp;y=4744375.637279125&amp;l=13&amp;v=2","FT")</f>
        <v>FT</v>
      </c>
      <c r="G18" s="45" t="s">
        <v>119</v>
      </c>
      <c r="H18" s="23" t="s">
        <v>24</v>
      </c>
      <c r="I18" s="46" t="s">
        <v>322</v>
      </c>
      <c r="J18" s="22" t="s">
        <v>110</v>
      </c>
      <c r="K18" s="47" t="s">
        <v>103</v>
      </c>
      <c r="L18" s="47" t="s">
        <v>26</v>
      </c>
      <c r="M18" s="46" t="s">
        <v>27</v>
      </c>
      <c r="N18" s="3" t="s">
        <v>87</v>
      </c>
      <c r="O18" s="47" t="s">
        <v>90</v>
      </c>
      <c r="P18" s="46" t="s">
        <v>360</v>
      </c>
      <c r="Q18" s="46" t="s">
        <v>29</v>
      </c>
      <c r="R18" s="23" t="s">
        <v>92</v>
      </c>
      <c r="S18" s="30">
        <v>646100</v>
      </c>
      <c r="T18" s="2" t="s">
        <v>43</v>
      </c>
      <c r="U18" s="31">
        <v>0.4119873</v>
      </c>
      <c r="V18" s="31">
        <v>-0.5880126953125</v>
      </c>
      <c r="W18" s="32">
        <v>0</v>
      </c>
      <c r="X18" s="33">
        <v>0</v>
      </c>
    </row>
    <row r="19" spans="1:24" x14ac:dyDescent="0.25">
      <c r="A19" s="22" t="s">
        <v>202</v>
      </c>
      <c r="B19" s="2" t="s">
        <v>228</v>
      </c>
      <c r="C19" s="2" t="s">
        <v>164</v>
      </c>
      <c r="D19" s="46" t="s">
        <v>250</v>
      </c>
      <c r="E19" s="46" t="s">
        <v>287</v>
      </c>
      <c r="F19" s="24" t="str">
        <f>HYPERLINK("https://mapwv.gov/flood/map/?wkid=102100&amp;x=-8910038.82622914&amp;y=4743586.19535565&amp;l=13&amp;v=2","FT")</f>
        <v>FT</v>
      </c>
      <c r="G19" s="45" t="s">
        <v>31</v>
      </c>
      <c r="H19" s="23" t="s">
        <v>24</v>
      </c>
      <c r="I19" s="46" t="s">
        <v>323</v>
      </c>
      <c r="J19" s="22" t="s">
        <v>38</v>
      </c>
      <c r="K19" s="47" t="s">
        <v>80</v>
      </c>
      <c r="L19" s="47" t="s">
        <v>26</v>
      </c>
      <c r="M19" s="46" t="s">
        <v>27</v>
      </c>
      <c r="N19" s="3" t="s">
        <v>87</v>
      </c>
      <c r="O19" s="47" t="s">
        <v>91</v>
      </c>
      <c r="P19" s="46" t="s">
        <v>361</v>
      </c>
      <c r="Q19" s="46" t="s">
        <v>29</v>
      </c>
      <c r="R19" s="23" t="s">
        <v>92</v>
      </c>
      <c r="S19" s="30">
        <v>640900</v>
      </c>
      <c r="T19" s="2" t="s">
        <v>43</v>
      </c>
      <c r="U19" s="31">
        <v>2.8387449999999999</v>
      </c>
      <c r="V19" s="31">
        <v>1.8387451171875</v>
      </c>
      <c r="W19" s="32">
        <v>7.5162353515625002E-2</v>
      </c>
      <c r="X19" s="33">
        <v>48171.552368163997</v>
      </c>
    </row>
    <row r="20" spans="1:24" x14ac:dyDescent="0.25">
      <c r="A20" s="22" t="s">
        <v>203</v>
      </c>
      <c r="B20" s="2" t="s">
        <v>230</v>
      </c>
      <c r="C20" s="2" t="s">
        <v>164</v>
      </c>
      <c r="D20" s="46" t="s">
        <v>251</v>
      </c>
      <c r="E20" s="46" t="s">
        <v>288</v>
      </c>
      <c r="F20" s="24" t="str">
        <f>HYPERLINK("https://mapwv.gov/flood/map/?wkid=102100&amp;x=-8899447.88931847&amp;y=4719041.151740598&amp;l=13&amp;v=2","FT")</f>
        <v>FT</v>
      </c>
      <c r="G20" s="45" t="s">
        <v>37</v>
      </c>
      <c r="H20" s="23" t="s">
        <v>24</v>
      </c>
      <c r="I20" s="46" t="s">
        <v>324</v>
      </c>
      <c r="J20" s="22" t="s">
        <v>25</v>
      </c>
      <c r="K20" s="47" t="s">
        <v>131</v>
      </c>
      <c r="L20" s="47" t="s">
        <v>56</v>
      </c>
      <c r="M20" s="46" t="s">
        <v>63</v>
      </c>
      <c r="N20" s="3" t="s">
        <v>87</v>
      </c>
      <c r="O20" s="47" t="s">
        <v>90</v>
      </c>
      <c r="P20" s="46" t="s">
        <v>362</v>
      </c>
      <c r="Q20" s="46" t="s">
        <v>29</v>
      </c>
      <c r="R20" s="23" t="s">
        <v>92</v>
      </c>
      <c r="S20" s="30">
        <v>631100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25">
      <c r="A21" s="22" t="s">
        <v>204</v>
      </c>
      <c r="B21" s="2" t="s">
        <v>228</v>
      </c>
      <c r="C21" s="2" t="s">
        <v>164</v>
      </c>
      <c r="D21" s="46" t="s">
        <v>252</v>
      </c>
      <c r="E21" s="46" t="s">
        <v>289</v>
      </c>
      <c r="F21" s="24" t="str">
        <f>HYPERLINK("https://mapwv.gov/flood/map/?wkid=102100&amp;x=-8909890.285174167&amp;y=4743463.814864059&amp;l=13&amp;v=2","FT")</f>
        <v>FT</v>
      </c>
      <c r="G21" s="45" t="s">
        <v>31</v>
      </c>
      <c r="H21" s="23" t="s">
        <v>24</v>
      </c>
      <c r="I21" s="46" t="s">
        <v>325</v>
      </c>
      <c r="J21" s="22" t="s">
        <v>38</v>
      </c>
      <c r="K21" s="47" t="s">
        <v>129</v>
      </c>
      <c r="L21" s="47" t="s">
        <v>52</v>
      </c>
      <c r="M21" s="46" t="s">
        <v>157</v>
      </c>
      <c r="N21" s="3" t="s">
        <v>34</v>
      </c>
      <c r="O21" s="47" t="s">
        <v>159</v>
      </c>
      <c r="P21" s="46" t="s">
        <v>363</v>
      </c>
      <c r="Q21" s="46" t="s">
        <v>29</v>
      </c>
      <c r="R21" s="23" t="s">
        <v>92</v>
      </c>
      <c r="S21" s="30">
        <v>567800</v>
      </c>
      <c r="T21" s="2" t="s">
        <v>43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25">
      <c r="A22" s="22" t="s">
        <v>205</v>
      </c>
      <c r="B22" s="2" t="s">
        <v>228</v>
      </c>
      <c r="C22" s="2" t="s">
        <v>164</v>
      </c>
      <c r="D22" s="46" t="s">
        <v>253</v>
      </c>
      <c r="E22" s="46" t="s">
        <v>290</v>
      </c>
      <c r="F22" s="24" t="str">
        <f>HYPERLINK("https://mapwv.gov/flood/map/?wkid=102100&amp;x=-8909363.035768112&amp;y=4744412.865442422&amp;l=13&amp;v=2","FT")</f>
        <v>FT</v>
      </c>
      <c r="G22" s="45" t="s">
        <v>37</v>
      </c>
      <c r="H22" s="23" t="s">
        <v>24</v>
      </c>
      <c r="I22" s="46" t="s">
        <v>326</v>
      </c>
      <c r="J22" s="22" t="s">
        <v>25</v>
      </c>
      <c r="K22" s="47" t="s">
        <v>131</v>
      </c>
      <c r="L22" s="47" t="s">
        <v>26</v>
      </c>
      <c r="M22" s="46" t="s">
        <v>33</v>
      </c>
      <c r="N22" s="3" t="s">
        <v>89</v>
      </c>
      <c r="O22" s="47" t="s">
        <v>90</v>
      </c>
      <c r="P22" s="46" t="s">
        <v>364</v>
      </c>
      <c r="Q22" s="46" t="s">
        <v>29</v>
      </c>
      <c r="R22" s="23" t="s">
        <v>92</v>
      </c>
      <c r="S22" s="30">
        <v>566900</v>
      </c>
      <c r="T22" s="2" t="s">
        <v>43</v>
      </c>
      <c r="U22" s="31">
        <v>0.94519039999999999</v>
      </c>
      <c r="V22" s="31">
        <v>-5.48095703125E-2</v>
      </c>
      <c r="W22" s="32">
        <v>9.4519042968750008E-3</v>
      </c>
      <c r="X22" s="33">
        <v>5358.2845458984302</v>
      </c>
    </row>
    <row r="23" spans="1:24" x14ac:dyDescent="0.25">
      <c r="A23" s="22" t="s">
        <v>206</v>
      </c>
      <c r="B23" s="2" t="s">
        <v>228</v>
      </c>
      <c r="C23" s="2" t="s">
        <v>164</v>
      </c>
      <c r="D23" s="46" t="s">
        <v>254</v>
      </c>
      <c r="E23" s="46" t="s">
        <v>291</v>
      </c>
      <c r="F23" s="24" t="str">
        <f>HYPERLINK("https://mapwv.gov/flood/map/?wkid=102100&amp;x=-8910044.21732076&amp;y=4743742.928073942&amp;l=13&amp;v=2","FT")</f>
        <v>FT</v>
      </c>
      <c r="G23" s="45" t="s">
        <v>31</v>
      </c>
      <c r="H23" s="23" t="s">
        <v>24</v>
      </c>
      <c r="I23" s="46" t="s">
        <v>327</v>
      </c>
      <c r="J23" s="22" t="s">
        <v>38</v>
      </c>
      <c r="K23" s="47" t="s">
        <v>132</v>
      </c>
      <c r="L23" s="47" t="s">
        <v>26</v>
      </c>
      <c r="M23" s="46" t="s">
        <v>57</v>
      </c>
      <c r="N23" s="3" t="s">
        <v>88</v>
      </c>
      <c r="O23" s="47" t="s">
        <v>90</v>
      </c>
      <c r="P23" s="46" t="s">
        <v>365</v>
      </c>
      <c r="Q23" s="46" t="s">
        <v>29</v>
      </c>
      <c r="R23" s="23" t="s">
        <v>92</v>
      </c>
      <c r="S23" s="30">
        <v>531940</v>
      </c>
      <c r="T23" s="2" t="s">
        <v>30</v>
      </c>
      <c r="U23" s="31">
        <v>1.5245360999999999</v>
      </c>
      <c r="V23" s="31">
        <v>0.5245361328125</v>
      </c>
      <c r="W23" s="32">
        <v>5.2453613281249999E-2</v>
      </c>
      <c r="X23" s="33">
        <v>27902.1750488281</v>
      </c>
    </row>
    <row r="24" spans="1:24" x14ac:dyDescent="0.25">
      <c r="A24" s="22" t="s">
        <v>207</v>
      </c>
      <c r="B24" s="2" t="s">
        <v>231</v>
      </c>
      <c r="C24" s="2" t="s">
        <v>234</v>
      </c>
      <c r="D24" s="46" t="s">
        <v>255</v>
      </c>
      <c r="E24" s="46" t="s">
        <v>292</v>
      </c>
      <c r="F24" s="24" t="str">
        <f>HYPERLINK("https://mapwv.gov/flood/map/?wkid=102100&amp;x=-8911887.592502363&amp;y=4747120.885456724&amp;l=13&amp;v=2","FT")</f>
        <v>FT</v>
      </c>
      <c r="G24" s="45" t="s">
        <v>37</v>
      </c>
      <c r="H24" s="23" t="s">
        <v>24</v>
      </c>
      <c r="I24" s="46" t="s">
        <v>328</v>
      </c>
      <c r="J24" s="22" t="s">
        <v>25</v>
      </c>
      <c r="K24" s="47" t="s">
        <v>96</v>
      </c>
      <c r="L24" s="47" t="s">
        <v>52</v>
      </c>
      <c r="M24" s="46" t="s">
        <v>57</v>
      </c>
      <c r="N24" s="3" t="s">
        <v>88</v>
      </c>
      <c r="O24" s="47" t="s">
        <v>90</v>
      </c>
      <c r="P24" s="46" t="s">
        <v>366</v>
      </c>
      <c r="Q24" s="46" t="s">
        <v>29</v>
      </c>
      <c r="R24" s="23" t="s">
        <v>92</v>
      </c>
      <c r="S24" s="30">
        <v>441800</v>
      </c>
      <c r="T24" s="2" t="s">
        <v>30</v>
      </c>
      <c r="U24" s="31">
        <v>0.92260739999999997</v>
      </c>
      <c r="V24" s="31">
        <v>-7.7392578125E-2</v>
      </c>
      <c r="W24" s="32">
        <v>0</v>
      </c>
      <c r="X24" s="33">
        <v>0</v>
      </c>
    </row>
    <row r="25" spans="1:24" x14ac:dyDescent="0.25">
      <c r="A25" s="22" t="s">
        <v>208</v>
      </c>
      <c r="B25" s="2" t="s">
        <v>231</v>
      </c>
      <c r="C25" s="2" t="s">
        <v>235</v>
      </c>
      <c r="D25" s="46" t="s">
        <v>256</v>
      </c>
      <c r="E25" s="46" t="s">
        <v>293</v>
      </c>
      <c r="F25" s="24" t="str">
        <f>HYPERLINK("https://mapwv.gov/flood/map/?wkid=102100&amp;x=-8921349.762800768&amp;y=4753363.610713883&amp;l=13&amp;v=2","FT")</f>
        <v>FT</v>
      </c>
      <c r="G25" s="45" t="s">
        <v>119</v>
      </c>
      <c r="H25" s="23" t="s">
        <v>24</v>
      </c>
      <c r="I25" s="46" t="s">
        <v>329</v>
      </c>
      <c r="J25" s="22" t="s">
        <v>38</v>
      </c>
      <c r="K25" s="47" t="s">
        <v>133</v>
      </c>
      <c r="L25" s="47" t="s">
        <v>26</v>
      </c>
      <c r="M25" s="46" t="s">
        <v>40</v>
      </c>
      <c r="N25" s="3" t="s">
        <v>41</v>
      </c>
      <c r="O25" s="47" t="s">
        <v>90</v>
      </c>
      <c r="P25" s="46" t="s">
        <v>367</v>
      </c>
      <c r="Q25" s="46" t="s">
        <v>29</v>
      </c>
      <c r="R25" s="23" t="s">
        <v>92</v>
      </c>
      <c r="S25" s="30">
        <v>432300</v>
      </c>
      <c r="T25" s="2" t="s">
        <v>43</v>
      </c>
      <c r="U25" s="31">
        <v>0.67321779999999998</v>
      </c>
      <c r="V25" s="31">
        <v>-0.3267822265625</v>
      </c>
      <c r="W25" s="32">
        <v>9.7321777343749999E-2</v>
      </c>
      <c r="X25" s="33">
        <v>42072.204345703103</v>
      </c>
    </row>
    <row r="26" spans="1:24" x14ac:dyDescent="0.25">
      <c r="A26" s="22" t="s">
        <v>209</v>
      </c>
      <c r="B26" s="2" t="s">
        <v>228</v>
      </c>
      <c r="C26" s="2" t="s">
        <v>164</v>
      </c>
      <c r="D26" s="46" t="s">
        <v>257</v>
      </c>
      <c r="E26" s="46" t="s">
        <v>294</v>
      </c>
      <c r="F26" s="24" t="str">
        <f>HYPERLINK("https://mapwv.gov/flood/map/?wkid=102100&amp;x=-8909916.481322018&amp;y=4743434.415671112&amp;l=13&amp;v=2","FT")</f>
        <v>FT</v>
      </c>
      <c r="G26" s="45" t="s">
        <v>31</v>
      </c>
      <c r="H26" s="23" t="s">
        <v>24</v>
      </c>
      <c r="I26" s="46" t="s">
        <v>330</v>
      </c>
      <c r="J26" s="22" t="s">
        <v>38</v>
      </c>
      <c r="K26" s="47" t="s">
        <v>183</v>
      </c>
      <c r="L26" s="47" t="s">
        <v>26</v>
      </c>
      <c r="M26" s="46" t="s">
        <v>55</v>
      </c>
      <c r="N26" s="3" t="s">
        <v>34</v>
      </c>
      <c r="O26" s="47" t="s">
        <v>159</v>
      </c>
      <c r="P26" s="46" t="s">
        <v>161</v>
      </c>
      <c r="Q26" s="46" t="s">
        <v>29</v>
      </c>
      <c r="R26" s="23" t="s">
        <v>92</v>
      </c>
      <c r="S26" s="30">
        <v>410900</v>
      </c>
      <c r="T26" s="2" t="s">
        <v>43</v>
      </c>
      <c r="U26" s="31">
        <v>0.20507812</v>
      </c>
      <c r="V26" s="31">
        <v>-0.794921875</v>
      </c>
      <c r="W26" s="32">
        <v>4.1015625000000002E-3</v>
      </c>
      <c r="X26" s="33">
        <v>1685.33203125</v>
      </c>
    </row>
    <row r="27" spans="1:24" x14ac:dyDescent="0.25">
      <c r="A27" s="22" t="s">
        <v>210</v>
      </c>
      <c r="B27" s="2" t="s">
        <v>229</v>
      </c>
      <c r="C27" s="2" t="s">
        <v>164</v>
      </c>
      <c r="D27" s="46" t="s">
        <v>258</v>
      </c>
      <c r="E27" s="46" t="s">
        <v>295</v>
      </c>
      <c r="F27" s="24" t="str">
        <f>HYPERLINK("https://mapwv.gov/flood/map/?wkid=102100&amp;x=-8898312.203420615&amp;y=4725860.482806636&amp;l=13&amp;v=2","FT")</f>
        <v>FT</v>
      </c>
      <c r="G27" s="45" t="s">
        <v>31</v>
      </c>
      <c r="H27" s="23" t="s">
        <v>24</v>
      </c>
      <c r="I27" s="46" t="s">
        <v>331</v>
      </c>
      <c r="J27" s="22" t="s">
        <v>25</v>
      </c>
      <c r="K27" s="47" t="s">
        <v>100</v>
      </c>
      <c r="L27" s="47" t="s">
        <v>52</v>
      </c>
      <c r="M27" s="46" t="s">
        <v>33</v>
      </c>
      <c r="N27" s="3" t="s">
        <v>89</v>
      </c>
      <c r="O27" s="47" t="s">
        <v>91</v>
      </c>
      <c r="P27" s="46" t="s">
        <v>368</v>
      </c>
      <c r="Q27" s="46" t="s">
        <v>29</v>
      </c>
      <c r="R27" s="23" t="s">
        <v>92</v>
      </c>
      <c r="S27" s="30">
        <v>393800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25">
      <c r="A28" s="22" t="s">
        <v>211</v>
      </c>
      <c r="B28" s="2" t="s">
        <v>229</v>
      </c>
      <c r="C28" s="2" t="s">
        <v>164</v>
      </c>
      <c r="D28" s="46" t="s">
        <v>259</v>
      </c>
      <c r="E28" s="46" t="s">
        <v>296</v>
      </c>
      <c r="F28" s="24" t="str">
        <f>HYPERLINK("https://mapwv.gov/flood/map/?wkid=102100&amp;x=-8898351.417715&amp;y=4725529.330152971&amp;l=13&amp;v=2","FT")</f>
        <v>FT</v>
      </c>
      <c r="G28" s="45" t="s">
        <v>31</v>
      </c>
      <c r="H28" s="23" t="s">
        <v>24</v>
      </c>
      <c r="I28" s="46" t="s">
        <v>165</v>
      </c>
      <c r="J28" s="22" t="s">
        <v>25</v>
      </c>
      <c r="K28" s="47" t="s">
        <v>166</v>
      </c>
      <c r="L28" s="47" t="s">
        <v>36</v>
      </c>
      <c r="M28" s="46" t="s">
        <v>46</v>
      </c>
      <c r="N28" s="3" t="s">
        <v>34</v>
      </c>
      <c r="O28" s="47" t="s">
        <v>90</v>
      </c>
      <c r="P28" s="46" t="s">
        <v>369</v>
      </c>
      <c r="Q28" s="46" t="s">
        <v>29</v>
      </c>
      <c r="R28" s="23" t="s">
        <v>92</v>
      </c>
      <c r="S28" s="30">
        <v>379200</v>
      </c>
      <c r="T28" s="2" t="s">
        <v>30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25">
      <c r="A29" s="22" t="s">
        <v>212</v>
      </c>
      <c r="B29" s="2" t="s">
        <v>228</v>
      </c>
      <c r="C29" s="2" t="s">
        <v>232</v>
      </c>
      <c r="D29" s="46" t="s">
        <v>260</v>
      </c>
      <c r="E29" s="46" t="s">
        <v>297</v>
      </c>
      <c r="F29" s="24" t="str">
        <f>HYPERLINK("https://mapwv.gov/flood/map/?wkid=102100&amp;x=-8910111.907363528&amp;y=4742567.917399709&amp;l=13&amp;v=2","FT")</f>
        <v>FT</v>
      </c>
      <c r="G29" s="45" t="s">
        <v>31</v>
      </c>
      <c r="H29" s="23" t="s">
        <v>24</v>
      </c>
      <c r="I29" s="46" t="s">
        <v>323</v>
      </c>
      <c r="J29" s="22" t="s">
        <v>25</v>
      </c>
      <c r="K29" s="47" t="s">
        <v>122</v>
      </c>
      <c r="L29" s="47" t="s">
        <v>26</v>
      </c>
      <c r="M29" s="46" t="s">
        <v>27</v>
      </c>
      <c r="N29" s="3" t="s">
        <v>87</v>
      </c>
      <c r="O29" s="47" t="s">
        <v>90</v>
      </c>
      <c r="P29" s="46" t="s">
        <v>370</v>
      </c>
      <c r="Q29" s="46" t="s">
        <v>29</v>
      </c>
      <c r="R29" s="23" t="s">
        <v>92</v>
      </c>
      <c r="S29" s="30">
        <v>377600</v>
      </c>
      <c r="T29" s="2" t="s">
        <v>43</v>
      </c>
      <c r="U29" s="31">
        <v>3.6113281000000002</v>
      </c>
      <c r="V29" s="31">
        <v>2.611328125</v>
      </c>
      <c r="W29" s="32">
        <v>0.11056640625</v>
      </c>
      <c r="X29" s="33">
        <v>41749.875</v>
      </c>
    </row>
    <row r="30" spans="1:24" x14ac:dyDescent="0.25">
      <c r="A30" s="22" t="s">
        <v>213</v>
      </c>
      <c r="B30" s="2" t="s">
        <v>229</v>
      </c>
      <c r="C30" s="2" t="s">
        <v>164</v>
      </c>
      <c r="D30" s="46" t="s">
        <v>261</v>
      </c>
      <c r="E30" s="46" t="s">
        <v>298</v>
      </c>
      <c r="F30" s="24" t="str">
        <f>HYPERLINK("https://mapwv.gov/flood/map/?wkid=102100&amp;x=-8898339.168674832&amp;y=4725381.790831811&amp;l=13&amp;v=2","FT")</f>
        <v>FT</v>
      </c>
      <c r="G30" s="45" t="s">
        <v>31</v>
      </c>
      <c r="H30" s="23" t="s">
        <v>24</v>
      </c>
      <c r="I30" s="46" t="s">
        <v>332</v>
      </c>
      <c r="J30" s="22" t="s">
        <v>38</v>
      </c>
      <c r="K30" s="47" t="s">
        <v>132</v>
      </c>
      <c r="L30" s="47" t="s">
        <v>52</v>
      </c>
      <c r="M30" s="46" t="s">
        <v>27</v>
      </c>
      <c r="N30" s="3" t="s">
        <v>87</v>
      </c>
      <c r="O30" s="47" t="s">
        <v>90</v>
      </c>
      <c r="P30" s="46" t="s">
        <v>371</v>
      </c>
      <c r="Q30" s="46" t="s">
        <v>29</v>
      </c>
      <c r="R30" s="23" t="s">
        <v>92</v>
      </c>
      <c r="S30" s="30">
        <v>370000</v>
      </c>
      <c r="T30" s="2" t="s">
        <v>60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25">
      <c r="A31" s="22" t="s">
        <v>214</v>
      </c>
      <c r="B31" s="2" t="s">
        <v>228</v>
      </c>
      <c r="C31" s="2" t="s">
        <v>232</v>
      </c>
      <c r="D31" s="46" t="s">
        <v>262</v>
      </c>
      <c r="E31" s="46" t="s">
        <v>299</v>
      </c>
      <c r="F31" s="24" t="str">
        <f>HYPERLINK("https://mapwv.gov/flood/map/?wkid=102100&amp;x=-8909633.735826654&amp;y=4742387.973757714&amp;l=13&amp;v=2","FT")</f>
        <v>FT</v>
      </c>
      <c r="G31" s="45" t="s">
        <v>31</v>
      </c>
      <c r="H31" s="23" t="s">
        <v>24</v>
      </c>
      <c r="I31" s="46" t="s">
        <v>320</v>
      </c>
      <c r="J31" s="22" t="s">
        <v>25</v>
      </c>
      <c r="K31" s="47" t="s">
        <v>122</v>
      </c>
      <c r="L31" s="47" t="s">
        <v>26</v>
      </c>
      <c r="M31" s="46" t="s">
        <v>50</v>
      </c>
      <c r="N31" s="3" t="s">
        <v>34</v>
      </c>
      <c r="O31" s="47" t="s">
        <v>90</v>
      </c>
      <c r="P31" s="46" t="s">
        <v>372</v>
      </c>
      <c r="Q31" s="46" t="s">
        <v>29</v>
      </c>
      <c r="R31" s="23" t="s">
        <v>92</v>
      </c>
      <c r="S31" s="30">
        <v>366300</v>
      </c>
      <c r="T31" s="2" t="s">
        <v>43</v>
      </c>
      <c r="U31" s="31">
        <v>4.7268065999999997</v>
      </c>
      <c r="V31" s="31">
        <v>3.726806640625</v>
      </c>
      <c r="W31" s="32">
        <v>0.13453613281249902</v>
      </c>
      <c r="X31" s="33">
        <v>49280.585449218699</v>
      </c>
    </row>
    <row r="32" spans="1:24" x14ac:dyDescent="0.25">
      <c r="A32" s="22" t="s">
        <v>215</v>
      </c>
      <c r="B32" s="2" t="s">
        <v>228</v>
      </c>
      <c r="C32" s="2" t="s">
        <v>164</v>
      </c>
      <c r="D32" s="46" t="s">
        <v>263</v>
      </c>
      <c r="E32" s="46" t="s">
        <v>300</v>
      </c>
      <c r="F32" s="24" t="str">
        <f>HYPERLINK("https://mapwv.gov/flood/map/?wkid=102100&amp;x=-8909999.731603207&amp;y=4743569.668802328&amp;l=13&amp;v=2","FT")</f>
        <v>FT</v>
      </c>
      <c r="G32" s="45" t="s">
        <v>31</v>
      </c>
      <c r="H32" s="23" t="s">
        <v>24</v>
      </c>
      <c r="I32" s="46" t="s">
        <v>333</v>
      </c>
      <c r="J32" s="22" t="s">
        <v>38</v>
      </c>
      <c r="K32" s="47" t="s">
        <v>347</v>
      </c>
      <c r="L32" s="47" t="s">
        <v>32</v>
      </c>
      <c r="M32" s="46" t="s">
        <v>55</v>
      </c>
      <c r="N32" s="3" t="s">
        <v>34</v>
      </c>
      <c r="O32" s="47" t="s">
        <v>158</v>
      </c>
      <c r="P32" s="46" t="s">
        <v>373</v>
      </c>
      <c r="Q32" s="46" t="s">
        <v>29</v>
      </c>
      <c r="R32" s="23" t="s">
        <v>92</v>
      </c>
      <c r="S32" s="30">
        <v>346300</v>
      </c>
      <c r="T32" s="2" t="s">
        <v>43</v>
      </c>
      <c r="U32" s="31">
        <v>2.1691894999999999</v>
      </c>
      <c r="V32" s="31">
        <v>1.169189453125</v>
      </c>
      <c r="W32" s="32">
        <v>0.11845947265625</v>
      </c>
      <c r="X32" s="33">
        <v>41022.515380859302</v>
      </c>
    </row>
    <row r="33" spans="1:24" x14ac:dyDescent="0.25">
      <c r="A33" s="22" t="s">
        <v>216</v>
      </c>
      <c r="B33" s="2" t="s">
        <v>231</v>
      </c>
      <c r="C33" s="2" t="s">
        <v>236</v>
      </c>
      <c r="D33" s="46" t="s">
        <v>264</v>
      </c>
      <c r="E33" s="46" t="s">
        <v>301</v>
      </c>
      <c r="F33" s="24" t="str">
        <f>HYPERLINK("https://mapwv.gov/flood/map/?wkid=102100&amp;x=-8899984.89832692&amp;y=4735009.673672265&amp;l=13&amp;v=2","FT")</f>
        <v>FT</v>
      </c>
      <c r="G33" s="45" t="s">
        <v>37</v>
      </c>
      <c r="H33" s="23" t="s">
        <v>24</v>
      </c>
      <c r="I33" s="46" t="s">
        <v>334</v>
      </c>
      <c r="J33" s="22" t="s">
        <v>25</v>
      </c>
      <c r="K33" s="47" t="s">
        <v>102</v>
      </c>
      <c r="L33" s="47" t="s">
        <v>49</v>
      </c>
      <c r="M33" s="46" t="s">
        <v>40</v>
      </c>
      <c r="N33" s="3" t="s">
        <v>41</v>
      </c>
      <c r="O33" s="47" t="s">
        <v>90</v>
      </c>
      <c r="P33" s="46" t="s">
        <v>374</v>
      </c>
      <c r="Q33" s="46" t="s">
        <v>51</v>
      </c>
      <c r="R33" s="23" t="s">
        <v>93</v>
      </c>
      <c r="S33" s="30">
        <v>333800</v>
      </c>
      <c r="T33" s="2" t="s">
        <v>43</v>
      </c>
      <c r="U33" s="31">
        <v>0</v>
      </c>
      <c r="V33" s="31">
        <v>-4</v>
      </c>
      <c r="W33" s="32">
        <v>0</v>
      </c>
      <c r="X33" s="33">
        <v>0</v>
      </c>
    </row>
    <row r="34" spans="1:24" x14ac:dyDescent="0.25">
      <c r="A34" s="22" t="s">
        <v>217</v>
      </c>
      <c r="B34" s="2" t="s">
        <v>228</v>
      </c>
      <c r="C34" s="2" t="s">
        <v>164</v>
      </c>
      <c r="D34" s="46" t="s">
        <v>265</v>
      </c>
      <c r="E34" s="46" t="s">
        <v>302</v>
      </c>
      <c r="F34" s="24" t="str">
        <f>HYPERLINK("https://mapwv.gov/flood/map/?wkid=102100&amp;x=-8910178.495343333&amp;y=4743874.619832695&amp;l=13&amp;v=2","FT")</f>
        <v>FT</v>
      </c>
      <c r="G34" s="45" t="s">
        <v>31</v>
      </c>
      <c r="H34" s="23" t="s">
        <v>24</v>
      </c>
      <c r="I34" s="46" t="s">
        <v>335</v>
      </c>
      <c r="J34" s="22" t="s">
        <v>25</v>
      </c>
      <c r="K34" s="47" t="s">
        <v>149</v>
      </c>
      <c r="L34" s="47" t="s">
        <v>26</v>
      </c>
      <c r="M34" s="46" t="s">
        <v>55</v>
      </c>
      <c r="N34" s="3" t="s">
        <v>34</v>
      </c>
      <c r="O34" s="47" t="s">
        <v>90</v>
      </c>
      <c r="P34" s="46" t="s">
        <v>375</v>
      </c>
      <c r="Q34" s="46" t="s">
        <v>29</v>
      </c>
      <c r="R34" s="23" t="s">
        <v>92</v>
      </c>
      <c r="S34" s="30">
        <v>324900</v>
      </c>
      <c r="T34" s="2" t="s">
        <v>43</v>
      </c>
      <c r="U34" s="31">
        <v>6.8114014000000003</v>
      </c>
      <c r="V34" s="31">
        <v>5.8114013671875</v>
      </c>
      <c r="W34" s="32">
        <v>0.37434204101562502</v>
      </c>
      <c r="X34" s="33">
        <v>121623.72912597599</v>
      </c>
    </row>
    <row r="35" spans="1:24" x14ac:dyDescent="0.25">
      <c r="A35" s="22" t="s">
        <v>218</v>
      </c>
      <c r="B35" s="2" t="s">
        <v>229</v>
      </c>
      <c r="C35" s="2" t="s">
        <v>164</v>
      </c>
      <c r="D35" s="46" t="s">
        <v>266</v>
      </c>
      <c r="E35" s="46" t="s">
        <v>303</v>
      </c>
      <c r="F35" s="24" t="str">
        <f>HYPERLINK("https://mapwv.gov/flood/map/?wkid=102100&amp;x=-8898430.414923722&amp;y=4725130.456767691&amp;l=13&amp;v=2","FT")</f>
        <v>FT</v>
      </c>
      <c r="G35" s="45" t="s">
        <v>31</v>
      </c>
      <c r="H35" s="23" t="s">
        <v>24</v>
      </c>
      <c r="I35" s="46" t="s">
        <v>336</v>
      </c>
      <c r="J35" s="22" t="s">
        <v>25</v>
      </c>
      <c r="K35" s="47" t="s">
        <v>96</v>
      </c>
      <c r="L35" s="47" t="s">
        <v>26</v>
      </c>
      <c r="M35" s="46" t="s">
        <v>57</v>
      </c>
      <c r="N35" s="3" t="s">
        <v>88</v>
      </c>
      <c r="O35" s="47" t="s">
        <v>90</v>
      </c>
      <c r="P35" s="46" t="s">
        <v>376</v>
      </c>
      <c r="Q35" s="46" t="s">
        <v>29</v>
      </c>
      <c r="R35" s="23" t="s">
        <v>92</v>
      </c>
      <c r="S35" s="30">
        <v>307100</v>
      </c>
      <c r="T35" s="2" t="s">
        <v>43</v>
      </c>
      <c r="U35" s="31">
        <v>0</v>
      </c>
      <c r="V35" s="31">
        <v>-1</v>
      </c>
      <c r="W35" s="32">
        <v>0</v>
      </c>
      <c r="X35" s="33">
        <v>0</v>
      </c>
    </row>
    <row r="36" spans="1:24" x14ac:dyDescent="0.25">
      <c r="A36" s="22" t="s">
        <v>219</v>
      </c>
      <c r="B36" s="2" t="s">
        <v>229</v>
      </c>
      <c r="C36" s="2" t="s">
        <v>164</v>
      </c>
      <c r="D36" s="46" t="s">
        <v>267</v>
      </c>
      <c r="E36" s="46" t="s">
        <v>304</v>
      </c>
      <c r="F36" s="24" t="str">
        <f>HYPERLINK("https://mapwv.gov/flood/map/?wkid=102100&amp;x=-8898331.65216017&amp;y=4725041.348774408&amp;l=13&amp;v=2","FT")</f>
        <v>FT</v>
      </c>
      <c r="G36" s="45" t="s">
        <v>31</v>
      </c>
      <c r="H36" s="23" t="s">
        <v>24</v>
      </c>
      <c r="I36" s="46" t="s">
        <v>337</v>
      </c>
      <c r="J36" s="22" t="s">
        <v>25</v>
      </c>
      <c r="K36" s="47" t="s">
        <v>78</v>
      </c>
      <c r="L36" s="47" t="s">
        <v>26</v>
      </c>
      <c r="M36" s="46" t="s">
        <v>63</v>
      </c>
      <c r="N36" s="3" t="s">
        <v>87</v>
      </c>
      <c r="O36" s="47" t="s">
        <v>90</v>
      </c>
      <c r="P36" s="46" t="s">
        <v>377</v>
      </c>
      <c r="Q36" s="46" t="s">
        <v>29</v>
      </c>
      <c r="R36" s="23" t="s">
        <v>92</v>
      </c>
      <c r="S36" s="30">
        <v>295800</v>
      </c>
      <c r="T36" s="2" t="s">
        <v>43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25">
      <c r="A37" s="22" t="s">
        <v>220</v>
      </c>
      <c r="B37" s="2" t="s">
        <v>228</v>
      </c>
      <c r="C37" s="2" t="s">
        <v>164</v>
      </c>
      <c r="D37" s="46" t="s">
        <v>268</v>
      </c>
      <c r="E37" s="46" t="s">
        <v>305</v>
      </c>
      <c r="F37" s="24" t="str">
        <f>HYPERLINK("https://mapwv.gov/flood/map/?wkid=102100&amp;x=-8909957.19987668&amp;y=4743477.089682594&amp;l=13&amp;v=2","FT")</f>
        <v>FT</v>
      </c>
      <c r="G37" s="45" t="s">
        <v>31</v>
      </c>
      <c r="H37" s="23" t="s">
        <v>24</v>
      </c>
      <c r="I37" s="46" t="s">
        <v>338</v>
      </c>
      <c r="J37" s="22" t="s">
        <v>38</v>
      </c>
      <c r="K37" s="47" t="s">
        <v>348</v>
      </c>
      <c r="L37" s="47" t="s">
        <v>52</v>
      </c>
      <c r="M37" s="46" t="s">
        <v>46</v>
      </c>
      <c r="N37" s="3" t="s">
        <v>34</v>
      </c>
      <c r="O37" s="47" t="s">
        <v>91</v>
      </c>
      <c r="P37" s="46" t="s">
        <v>378</v>
      </c>
      <c r="Q37" s="46" t="s">
        <v>29</v>
      </c>
      <c r="R37" s="23" t="s">
        <v>92</v>
      </c>
      <c r="S37" s="30">
        <v>276900</v>
      </c>
      <c r="T37" s="2" t="s">
        <v>43</v>
      </c>
      <c r="U37" s="31">
        <v>0.80895996000000003</v>
      </c>
      <c r="V37" s="31">
        <v>-0.1910400390625</v>
      </c>
      <c r="W37" s="32">
        <v>8.0895996093749995E-3</v>
      </c>
      <c r="X37" s="33">
        <v>2240.0101318359302</v>
      </c>
    </row>
    <row r="38" spans="1:24" x14ac:dyDescent="0.25">
      <c r="A38" s="22" t="s">
        <v>221</v>
      </c>
      <c r="B38" s="2" t="s">
        <v>228</v>
      </c>
      <c r="C38" s="2" t="s">
        <v>164</v>
      </c>
      <c r="D38" s="46" t="s">
        <v>269</v>
      </c>
      <c r="E38" s="46" t="s">
        <v>306</v>
      </c>
      <c r="F38" s="24" t="str">
        <f>HYPERLINK("https://mapwv.gov/flood/map/?wkid=102100&amp;x=-8910001.13077789&amp;y=4743509.770142297&amp;l=13&amp;v=2","FT")</f>
        <v>FT</v>
      </c>
      <c r="G38" s="45" t="s">
        <v>31</v>
      </c>
      <c r="H38" s="23" t="s">
        <v>24</v>
      </c>
      <c r="I38" s="46" t="s">
        <v>339</v>
      </c>
      <c r="J38" s="22" t="s">
        <v>38</v>
      </c>
      <c r="K38" s="47" t="s">
        <v>106</v>
      </c>
      <c r="L38" s="47" t="s">
        <v>48</v>
      </c>
      <c r="M38" s="46" t="s">
        <v>46</v>
      </c>
      <c r="N38" s="3" t="s">
        <v>34</v>
      </c>
      <c r="O38" s="47" t="s">
        <v>91</v>
      </c>
      <c r="P38" s="46" t="s">
        <v>379</v>
      </c>
      <c r="Q38" s="46" t="s">
        <v>29</v>
      </c>
      <c r="R38" s="23" t="s">
        <v>92</v>
      </c>
      <c r="S38" s="30">
        <v>273700</v>
      </c>
      <c r="T38" s="2" t="s">
        <v>43</v>
      </c>
      <c r="U38" s="31">
        <v>2.2414550000000002</v>
      </c>
      <c r="V38" s="31">
        <v>1.241455078125</v>
      </c>
      <c r="W38" s="32">
        <v>0.10207275390624999</v>
      </c>
      <c r="X38" s="33">
        <v>27937.3127441406</v>
      </c>
    </row>
    <row r="39" spans="1:24" x14ac:dyDescent="0.25">
      <c r="A39" s="22" t="s">
        <v>222</v>
      </c>
      <c r="B39" s="2" t="s">
        <v>231</v>
      </c>
      <c r="C39" s="2" t="s">
        <v>118</v>
      </c>
      <c r="D39" s="46" t="s">
        <v>270</v>
      </c>
      <c r="E39" s="46" t="s">
        <v>307</v>
      </c>
      <c r="F39" s="24" t="str">
        <f>HYPERLINK("https://mapwv.gov/flood/map/?wkid=102100&amp;x=-8892956.076362489&amp;y=4748801.574288257&amp;l=13&amp;v=2","FT")</f>
        <v>FT</v>
      </c>
      <c r="G39" s="45" t="s">
        <v>37</v>
      </c>
      <c r="H39" s="23" t="s">
        <v>24</v>
      </c>
      <c r="I39" s="46" t="s">
        <v>340</v>
      </c>
      <c r="J39" s="22" t="s">
        <v>25</v>
      </c>
      <c r="K39" s="47" t="s">
        <v>72</v>
      </c>
      <c r="L39" s="47" t="s">
        <v>56</v>
      </c>
      <c r="M39" s="46" t="s">
        <v>40</v>
      </c>
      <c r="N39" s="3" t="s">
        <v>41</v>
      </c>
      <c r="O39" s="47" t="s">
        <v>90</v>
      </c>
      <c r="P39" s="46" t="s">
        <v>380</v>
      </c>
      <c r="Q39" s="46" t="s">
        <v>51</v>
      </c>
      <c r="R39" s="23" t="s">
        <v>93</v>
      </c>
      <c r="S39" s="30">
        <v>257800</v>
      </c>
      <c r="T39" s="2" t="s">
        <v>43</v>
      </c>
      <c r="U39" s="31">
        <v>0.4979248</v>
      </c>
      <c r="V39" s="31">
        <v>-3.5020751953125</v>
      </c>
      <c r="W39" s="32">
        <v>0</v>
      </c>
      <c r="X39" s="33">
        <v>0</v>
      </c>
    </row>
    <row r="40" spans="1:24" x14ac:dyDescent="0.25">
      <c r="A40" s="22" t="s">
        <v>223</v>
      </c>
      <c r="B40" s="2" t="s">
        <v>231</v>
      </c>
      <c r="C40" s="2" t="s">
        <v>237</v>
      </c>
      <c r="D40" s="46" t="s">
        <v>271</v>
      </c>
      <c r="E40" s="46" t="s">
        <v>308</v>
      </c>
      <c r="F40" s="24" t="str">
        <f>HYPERLINK("https://mapwv.gov/flood/map/?wkid=102100&amp;x=-8900989.853843048&amp;y=4738806.874211955&amp;l=13&amp;v=2","FT")</f>
        <v>FT</v>
      </c>
      <c r="G40" s="45" t="s">
        <v>37</v>
      </c>
      <c r="H40" s="23" t="s">
        <v>24</v>
      </c>
      <c r="I40" s="46" t="s">
        <v>341</v>
      </c>
      <c r="J40" s="22" t="s">
        <v>25</v>
      </c>
      <c r="K40" s="47" t="s">
        <v>96</v>
      </c>
      <c r="L40" s="47" t="s">
        <v>36</v>
      </c>
      <c r="M40" s="46" t="s">
        <v>61</v>
      </c>
      <c r="N40" s="3" t="s">
        <v>41</v>
      </c>
      <c r="O40" s="47" t="s">
        <v>90</v>
      </c>
      <c r="P40" s="46" t="s">
        <v>381</v>
      </c>
      <c r="Q40" s="46" t="s">
        <v>42</v>
      </c>
      <c r="R40" s="23" t="s">
        <v>93</v>
      </c>
      <c r="S40" s="30">
        <v>238100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25">
      <c r="A41" s="22" t="s">
        <v>224</v>
      </c>
      <c r="B41" s="2" t="s">
        <v>231</v>
      </c>
      <c r="C41" s="2" t="s">
        <v>143</v>
      </c>
      <c r="D41" s="46" t="s">
        <v>272</v>
      </c>
      <c r="E41" s="46" t="s">
        <v>309</v>
      </c>
      <c r="F41" s="24" t="str">
        <f>HYPERLINK("https://mapwv.gov/flood/map/?wkid=102100&amp;x=-8916398.31548752&amp;y=4752354.955471069&amp;l=13&amp;v=2","FT")</f>
        <v>FT</v>
      </c>
      <c r="G41" s="45" t="s">
        <v>119</v>
      </c>
      <c r="H41" s="23" t="s">
        <v>24</v>
      </c>
      <c r="I41" s="46" t="s">
        <v>342</v>
      </c>
      <c r="J41" s="22" t="s">
        <v>110</v>
      </c>
      <c r="K41" s="47" t="s">
        <v>83</v>
      </c>
      <c r="L41" s="47" t="s">
        <v>44</v>
      </c>
      <c r="M41" s="46" t="s">
        <v>40</v>
      </c>
      <c r="N41" s="3" t="s">
        <v>41</v>
      </c>
      <c r="O41" s="47" t="s">
        <v>90</v>
      </c>
      <c r="P41" s="46" t="s">
        <v>382</v>
      </c>
      <c r="Q41" s="46" t="s">
        <v>42</v>
      </c>
      <c r="R41" s="23" t="s">
        <v>93</v>
      </c>
      <c r="S41" s="30">
        <v>212700</v>
      </c>
      <c r="T41" s="2" t="s">
        <v>43</v>
      </c>
      <c r="U41" s="31">
        <v>0.18518066</v>
      </c>
      <c r="V41" s="31">
        <v>-3.8148193359375</v>
      </c>
      <c r="W41" s="32">
        <v>0</v>
      </c>
      <c r="X41" s="33">
        <v>0</v>
      </c>
    </row>
    <row r="42" spans="1:24" x14ac:dyDescent="0.25">
      <c r="A42" s="22" t="s">
        <v>225</v>
      </c>
      <c r="B42" s="2" t="s">
        <v>229</v>
      </c>
      <c r="C42" s="2" t="s">
        <v>164</v>
      </c>
      <c r="D42" s="46" t="s">
        <v>273</v>
      </c>
      <c r="E42" s="46" t="s">
        <v>310</v>
      </c>
      <c r="F42" s="24" t="str">
        <f>HYPERLINK("https://mapwv.gov/flood/map/?wkid=102100&amp;x=-8898268.856501456&amp;y=4725485.259860143&amp;l=13&amp;v=2","FT")</f>
        <v>FT</v>
      </c>
      <c r="G42" s="45" t="s">
        <v>31</v>
      </c>
      <c r="H42" s="23" t="s">
        <v>24</v>
      </c>
      <c r="I42" s="46" t="s">
        <v>343</v>
      </c>
      <c r="J42" s="22" t="s">
        <v>25</v>
      </c>
      <c r="K42" s="47" t="s">
        <v>129</v>
      </c>
      <c r="L42" s="47" t="s">
        <v>48</v>
      </c>
      <c r="M42" s="46" t="s">
        <v>50</v>
      </c>
      <c r="N42" s="3" t="s">
        <v>34</v>
      </c>
      <c r="O42" s="47" t="s">
        <v>90</v>
      </c>
      <c r="P42" s="46" t="s">
        <v>383</v>
      </c>
      <c r="Q42" s="46" t="s">
        <v>29</v>
      </c>
      <c r="R42" s="23" t="s">
        <v>92</v>
      </c>
      <c r="S42" s="30">
        <v>206200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25">
      <c r="A43" s="22" t="s">
        <v>226</v>
      </c>
      <c r="B43" s="2" t="s">
        <v>229</v>
      </c>
      <c r="C43" s="2" t="s">
        <v>164</v>
      </c>
      <c r="D43" s="46" t="s">
        <v>274</v>
      </c>
      <c r="E43" s="46" t="s">
        <v>311</v>
      </c>
      <c r="F43" s="24" t="str">
        <f>HYPERLINK("https://mapwv.gov/flood/map/?wkid=102100&amp;x=-8898233.513342364&amp;y=4725616.419082456&amp;l=13&amp;v=2","FT")</f>
        <v>FT</v>
      </c>
      <c r="G43" s="45" t="s">
        <v>31</v>
      </c>
      <c r="H43" s="23" t="s">
        <v>24</v>
      </c>
      <c r="I43" s="46" t="s">
        <v>344</v>
      </c>
      <c r="J43" s="22" t="s">
        <v>25</v>
      </c>
      <c r="K43" s="47" t="s">
        <v>115</v>
      </c>
      <c r="L43" s="47" t="s">
        <v>36</v>
      </c>
      <c r="M43" s="46" t="s">
        <v>57</v>
      </c>
      <c r="N43" s="3" t="s">
        <v>88</v>
      </c>
      <c r="O43" s="47" t="s">
        <v>90</v>
      </c>
      <c r="P43" s="46" t="s">
        <v>163</v>
      </c>
      <c r="Q43" s="46" t="s">
        <v>29</v>
      </c>
      <c r="R43" s="23" t="s">
        <v>92</v>
      </c>
      <c r="S43" s="30">
        <v>202900</v>
      </c>
      <c r="T43" s="2" t="s">
        <v>43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25">
      <c r="A44" s="22" t="s">
        <v>227</v>
      </c>
      <c r="B44" s="2" t="s">
        <v>231</v>
      </c>
      <c r="C44" s="2" t="s">
        <v>238</v>
      </c>
      <c r="D44" s="46" t="s">
        <v>275</v>
      </c>
      <c r="E44" s="46" t="s">
        <v>312</v>
      </c>
      <c r="F44" s="24" t="str">
        <f>HYPERLINK("https://mapwv.gov/flood/map/?wkid=102100&amp;x=-8912609.318283342&amp;y=4715665.139448078&amp;l=13&amp;v=2","FT")</f>
        <v>FT</v>
      </c>
      <c r="G44" s="45" t="s">
        <v>37</v>
      </c>
      <c r="H44" s="23" t="s">
        <v>24</v>
      </c>
      <c r="I44" s="46" t="s">
        <v>345</v>
      </c>
      <c r="J44" s="22" t="s">
        <v>25</v>
      </c>
      <c r="K44" s="47" t="s">
        <v>102</v>
      </c>
      <c r="L44" s="47" t="s">
        <v>45</v>
      </c>
      <c r="M44" s="46" t="s">
        <v>40</v>
      </c>
      <c r="N44" s="3" t="s">
        <v>41</v>
      </c>
      <c r="O44" s="47" t="s">
        <v>90</v>
      </c>
      <c r="P44" s="46" t="s">
        <v>384</v>
      </c>
      <c r="Q44" s="46" t="s">
        <v>51</v>
      </c>
      <c r="R44" s="23" t="s">
        <v>93</v>
      </c>
      <c r="S44" s="30">
        <v>201200</v>
      </c>
      <c r="T44" s="2" t="s">
        <v>43</v>
      </c>
      <c r="U44" s="31">
        <v>15.629395000000001</v>
      </c>
      <c r="V44" s="31">
        <v>11.62939453125</v>
      </c>
      <c r="W44" s="32">
        <v>0.76258789062499999</v>
      </c>
      <c r="X44" s="33">
        <v>153432.68359375</v>
      </c>
    </row>
  </sheetData>
  <hyperlinks>
    <hyperlink ref="J3" r:id="rId1" xr:uid="{0185229F-A4F0-4322-A0A5-7ED357D792DF}"/>
    <hyperlink ref="M3" r:id="rId2" xr:uid="{4C49A272-3F0C-461F-8921-922F243A4027}"/>
    <hyperlink ref="Q3" r:id="rId3" xr:uid="{FB40D399-8A31-4780-93D2-DD8A10CF66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BC18-90E7-484A-90B7-A0B0DAA96ACA}">
  <dimension ref="A1:X23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3.85546875" bestFit="1" customWidth="1"/>
    <col min="2" max="2" width="22.85546875" bestFit="1" customWidth="1"/>
    <col min="7" max="7" width="10.5703125" customWidth="1"/>
    <col min="13" max="13" width="10.7109375" customWidth="1"/>
    <col min="14" max="14" width="10.85546875" customWidth="1"/>
    <col min="17" max="17" width="10.5703125" customWidth="1"/>
    <col min="19" max="19" width="21.710937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55">
        <v>44630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406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60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56" t="s">
        <v>393</v>
      </c>
      <c r="B7" s="2" t="s">
        <v>408</v>
      </c>
      <c r="C7" s="2" t="s">
        <v>411</v>
      </c>
      <c r="D7" s="46" t="s">
        <v>420</v>
      </c>
      <c r="E7" s="46" t="s">
        <v>437</v>
      </c>
      <c r="F7" s="24" t="str">
        <f>HYPERLINK("https://mapwv.gov/flood/map/?wkid=102100&amp;x=-8990973.035504293&amp;y=4673801.325316111&amp;l=13&amp;v=2","FT")</f>
        <v>FT</v>
      </c>
      <c r="G7" s="23" t="s">
        <v>31</v>
      </c>
      <c r="H7" s="23" t="s">
        <v>24</v>
      </c>
      <c r="I7" s="2" t="s">
        <v>453</v>
      </c>
      <c r="J7" s="22" t="s">
        <v>38</v>
      </c>
      <c r="K7" s="47" t="s">
        <v>120</v>
      </c>
      <c r="L7" s="45"/>
      <c r="M7" s="46" t="s">
        <v>55</v>
      </c>
      <c r="N7" s="3" t="s">
        <v>34</v>
      </c>
      <c r="O7" s="47" t="s">
        <v>90</v>
      </c>
      <c r="P7" s="48">
        <v>10000</v>
      </c>
      <c r="Q7" s="2" t="s">
        <v>29</v>
      </c>
      <c r="R7" s="23" t="s">
        <v>92</v>
      </c>
      <c r="S7" s="30">
        <v>3000000</v>
      </c>
      <c r="T7" s="2" t="s">
        <v>28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25">
      <c r="A8" s="22" t="s">
        <v>389</v>
      </c>
      <c r="B8" s="2" t="s">
        <v>407</v>
      </c>
      <c r="C8" s="2" t="s">
        <v>411</v>
      </c>
      <c r="D8" s="46" t="s">
        <v>417</v>
      </c>
      <c r="E8" s="46" t="s">
        <v>433</v>
      </c>
      <c r="F8" s="24" t="str">
        <f>HYPERLINK("https://mapwv.gov/flood/map/?wkid=102100&amp;x=-8989315.381976267&amp;y=4673238.854547656&amp;l=13&amp;v=2","FT")</f>
        <v>FT</v>
      </c>
      <c r="G8" s="23" t="s">
        <v>31</v>
      </c>
      <c r="H8" s="23" t="s">
        <v>24</v>
      </c>
      <c r="I8" s="2" t="s">
        <v>450</v>
      </c>
      <c r="J8" s="22" t="s">
        <v>38</v>
      </c>
      <c r="K8" s="47" t="s">
        <v>83</v>
      </c>
      <c r="L8" s="45"/>
      <c r="M8" s="46" t="s">
        <v>27</v>
      </c>
      <c r="N8" s="3" t="s">
        <v>87</v>
      </c>
      <c r="O8" s="47" t="s">
        <v>90</v>
      </c>
      <c r="P8" s="46" t="s">
        <v>466</v>
      </c>
      <c r="Q8" s="2" t="s">
        <v>29</v>
      </c>
      <c r="R8" s="23" t="s">
        <v>92</v>
      </c>
      <c r="S8" s="30">
        <v>750000</v>
      </c>
      <c r="T8" s="2" t="s">
        <v>60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25">
      <c r="A9" s="22" t="s">
        <v>390</v>
      </c>
      <c r="B9" s="2" t="s">
        <v>407</v>
      </c>
      <c r="C9" s="2" t="s">
        <v>411</v>
      </c>
      <c r="D9" s="46" t="s">
        <v>418</v>
      </c>
      <c r="E9" s="46" t="s">
        <v>434</v>
      </c>
      <c r="F9" s="24" t="str">
        <f>HYPERLINK("https://mapwv.gov/flood/map/?wkid=102100&amp;x=-8988950.479357114&amp;y=4672790.542046037&amp;l=13&amp;v=2","FT")</f>
        <v>FT</v>
      </c>
      <c r="G9" s="23" t="s">
        <v>31</v>
      </c>
      <c r="H9" s="23" t="s">
        <v>24</v>
      </c>
      <c r="I9" s="2" t="s">
        <v>451</v>
      </c>
      <c r="J9" s="22" t="s">
        <v>38</v>
      </c>
      <c r="K9" s="47" t="s">
        <v>123</v>
      </c>
      <c r="L9" s="45" t="s">
        <v>26</v>
      </c>
      <c r="M9" s="46" t="s">
        <v>46</v>
      </c>
      <c r="N9" s="3" t="s">
        <v>34</v>
      </c>
      <c r="O9" s="47" t="s">
        <v>90</v>
      </c>
      <c r="P9" s="46" t="s">
        <v>467</v>
      </c>
      <c r="Q9" s="2" t="s">
        <v>29</v>
      </c>
      <c r="R9" s="23" t="s">
        <v>92</v>
      </c>
      <c r="S9" s="30">
        <v>469800</v>
      </c>
      <c r="T9" s="2" t="s">
        <v>30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25">
      <c r="A10" s="22" t="s">
        <v>391</v>
      </c>
      <c r="B10" s="2" t="s">
        <v>407</v>
      </c>
      <c r="C10" s="2" t="s">
        <v>411</v>
      </c>
      <c r="D10" s="46" t="s">
        <v>418</v>
      </c>
      <c r="E10" s="46" t="s">
        <v>435</v>
      </c>
      <c r="F10" s="24" t="str">
        <f>HYPERLINK("https://mapwv.gov/flood/map/?wkid=102100&amp;x=-8988976.593128543&amp;y=4672817.317002114&amp;l=13&amp;v=2","FT")</f>
        <v>FT</v>
      </c>
      <c r="G10" s="23" t="s">
        <v>31</v>
      </c>
      <c r="H10" s="23" t="s">
        <v>24</v>
      </c>
      <c r="I10" s="2" t="s">
        <v>451</v>
      </c>
      <c r="J10" s="22" t="s">
        <v>38</v>
      </c>
      <c r="K10" s="47" t="s">
        <v>123</v>
      </c>
      <c r="L10" s="45" t="s">
        <v>26</v>
      </c>
      <c r="M10" s="46" t="s">
        <v>46</v>
      </c>
      <c r="N10" s="3" t="s">
        <v>34</v>
      </c>
      <c r="O10" s="47" t="s">
        <v>90</v>
      </c>
      <c r="P10" s="46" t="s">
        <v>468</v>
      </c>
      <c r="Q10" s="2" t="s">
        <v>29</v>
      </c>
      <c r="R10" s="23" t="s">
        <v>92</v>
      </c>
      <c r="S10" s="30">
        <v>467600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25">
      <c r="A11" s="22" t="s">
        <v>392</v>
      </c>
      <c r="B11" s="2" t="s">
        <v>407</v>
      </c>
      <c r="C11" s="2" t="s">
        <v>411</v>
      </c>
      <c r="D11" s="46" t="s">
        <v>419</v>
      </c>
      <c r="E11" s="46" t="s">
        <v>436</v>
      </c>
      <c r="F11" s="24" t="str">
        <f>HYPERLINK("https://mapwv.gov/flood/map/?wkid=102100&amp;x=-8989153.497610535&amp;y=4673055.694072043&amp;l=13&amp;v=2","FT")</f>
        <v>FT</v>
      </c>
      <c r="G11" s="23" t="s">
        <v>31</v>
      </c>
      <c r="H11" s="23" t="s">
        <v>24</v>
      </c>
      <c r="I11" s="2" t="s">
        <v>452</v>
      </c>
      <c r="J11" s="22" t="s">
        <v>38</v>
      </c>
      <c r="K11" s="47" t="s">
        <v>128</v>
      </c>
      <c r="L11" s="45" t="s">
        <v>36</v>
      </c>
      <c r="M11" s="46" t="s">
        <v>46</v>
      </c>
      <c r="N11" s="3" t="s">
        <v>34</v>
      </c>
      <c r="O11" s="47" t="s">
        <v>91</v>
      </c>
      <c r="P11" s="46" t="s">
        <v>469</v>
      </c>
      <c r="Q11" s="2" t="s">
        <v>29</v>
      </c>
      <c r="R11" s="23" t="s">
        <v>92</v>
      </c>
      <c r="S11" s="30">
        <v>466900</v>
      </c>
      <c r="T11" s="2" t="s">
        <v>43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25">
      <c r="A12" s="22" t="s">
        <v>394</v>
      </c>
      <c r="B12" s="2" t="s">
        <v>409</v>
      </c>
      <c r="C12" s="2" t="s">
        <v>411</v>
      </c>
      <c r="D12" s="46" t="s">
        <v>421</v>
      </c>
      <c r="E12" s="46" t="s">
        <v>438</v>
      </c>
      <c r="F12" s="24" t="str">
        <f>HYPERLINK("https://mapwv.gov/flood/map/?wkid=102100&amp;x=-8986315.08948693&amp;y=4674476.151071611&amp;l=13&amp;v=2","FT")</f>
        <v>FT</v>
      </c>
      <c r="G12" s="23" t="s">
        <v>31</v>
      </c>
      <c r="H12" s="23" t="s">
        <v>24</v>
      </c>
      <c r="I12" s="2" t="s">
        <v>454</v>
      </c>
      <c r="J12" s="22" t="s">
        <v>38</v>
      </c>
      <c r="K12" s="47" t="s">
        <v>103</v>
      </c>
      <c r="L12" s="45" t="s">
        <v>56</v>
      </c>
      <c r="M12" s="46" t="s">
        <v>177</v>
      </c>
      <c r="N12" s="3" t="s">
        <v>41</v>
      </c>
      <c r="O12" s="47" t="s">
        <v>90</v>
      </c>
      <c r="P12" s="46" t="s">
        <v>470</v>
      </c>
      <c r="Q12" s="2" t="s">
        <v>29</v>
      </c>
      <c r="R12" s="23" t="s">
        <v>92</v>
      </c>
      <c r="S12" s="30">
        <v>325900</v>
      </c>
      <c r="T12" s="2" t="s">
        <v>30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25">
      <c r="A13" s="22" t="s">
        <v>395</v>
      </c>
      <c r="B13" s="2" t="s">
        <v>407</v>
      </c>
      <c r="C13" s="2" t="s">
        <v>412</v>
      </c>
      <c r="D13" s="46" t="s">
        <v>422</v>
      </c>
      <c r="E13" s="46" t="s">
        <v>439</v>
      </c>
      <c r="F13" s="24" t="str">
        <f>HYPERLINK("https://mapwv.gov/flood/map/?wkid=102100&amp;x=-8982980.52549481&amp;y=4660035.154215453&amp;l=13&amp;v=2","FT")</f>
        <v>FT</v>
      </c>
      <c r="G13" s="23" t="s">
        <v>37</v>
      </c>
      <c r="H13" s="23" t="s">
        <v>24</v>
      </c>
      <c r="I13" s="2" t="s">
        <v>455</v>
      </c>
      <c r="J13" s="22" t="s">
        <v>38</v>
      </c>
      <c r="K13" s="47" t="s">
        <v>100</v>
      </c>
      <c r="L13" s="45" t="s">
        <v>37</v>
      </c>
      <c r="M13" s="46" t="s">
        <v>40</v>
      </c>
      <c r="N13" s="3" t="s">
        <v>41</v>
      </c>
      <c r="O13" s="47" t="s">
        <v>90</v>
      </c>
      <c r="P13" s="46" t="s">
        <v>471</v>
      </c>
      <c r="Q13" s="2" t="s">
        <v>51</v>
      </c>
      <c r="R13" s="23" t="s">
        <v>108</v>
      </c>
      <c r="S13" s="30">
        <v>318800</v>
      </c>
      <c r="T13" s="2" t="s">
        <v>43</v>
      </c>
      <c r="U13" s="31">
        <v>3</v>
      </c>
      <c r="V13" s="31">
        <v>0</v>
      </c>
      <c r="W13" s="32">
        <v>0.13</v>
      </c>
      <c r="X13" s="33">
        <v>41444</v>
      </c>
    </row>
    <row r="14" spans="1:24" x14ac:dyDescent="0.25">
      <c r="A14" s="22" t="s">
        <v>396</v>
      </c>
      <c r="B14" s="2" t="s">
        <v>409</v>
      </c>
      <c r="C14" s="2" t="s">
        <v>411</v>
      </c>
      <c r="D14" s="46" t="s">
        <v>423</v>
      </c>
      <c r="E14" s="46" t="s">
        <v>440</v>
      </c>
      <c r="F14" s="24" t="str">
        <f>HYPERLINK("https://mapwv.gov/flood/map/?wkid=102100&amp;x=-8983938.038647711&amp;y=4673639.304484949&amp;l=13&amp;v=2","FT")</f>
        <v>FT</v>
      </c>
      <c r="G14" s="23" t="s">
        <v>31</v>
      </c>
      <c r="H14" s="23" t="s">
        <v>24</v>
      </c>
      <c r="I14" s="2" t="s">
        <v>456</v>
      </c>
      <c r="J14" s="22" t="s">
        <v>38</v>
      </c>
      <c r="K14" s="47" t="s">
        <v>464</v>
      </c>
      <c r="L14" s="45" t="s">
        <v>56</v>
      </c>
      <c r="M14" s="46" t="s">
        <v>465</v>
      </c>
      <c r="N14" s="3" t="s">
        <v>41</v>
      </c>
      <c r="O14" s="47" t="s">
        <v>91</v>
      </c>
      <c r="P14" s="46" t="s">
        <v>472</v>
      </c>
      <c r="Q14" s="2" t="s">
        <v>42</v>
      </c>
      <c r="R14" s="23" t="s">
        <v>93</v>
      </c>
      <c r="S14" s="30">
        <v>301600</v>
      </c>
      <c r="T14" s="2" t="s">
        <v>30</v>
      </c>
      <c r="U14" s="31">
        <v>0</v>
      </c>
      <c r="V14" s="31">
        <v>-4</v>
      </c>
      <c r="W14" s="32">
        <v>0</v>
      </c>
      <c r="X14" s="33">
        <v>0</v>
      </c>
    </row>
    <row r="15" spans="1:24" x14ac:dyDescent="0.25">
      <c r="A15" s="22" t="s">
        <v>397</v>
      </c>
      <c r="B15" s="2" t="s">
        <v>407</v>
      </c>
      <c r="C15" s="2" t="s">
        <v>413</v>
      </c>
      <c r="D15" s="46" t="s">
        <v>424</v>
      </c>
      <c r="E15" s="46" t="s">
        <v>441</v>
      </c>
      <c r="F15" s="24" t="str">
        <f>HYPERLINK("https://mapwv.gov/flood/map/?wkid=102100&amp;x=-9008296.921867037&amp;y=4681029.129620567&amp;l=13&amp;v=2","FT")</f>
        <v>FT</v>
      </c>
      <c r="G15" s="23" t="s">
        <v>37</v>
      </c>
      <c r="H15" s="23" t="s">
        <v>24</v>
      </c>
      <c r="I15" s="2" t="s">
        <v>457</v>
      </c>
      <c r="J15" s="22" t="s">
        <v>35</v>
      </c>
      <c r="K15" s="47" t="s">
        <v>75</v>
      </c>
      <c r="L15" s="45"/>
      <c r="M15" s="46" t="s">
        <v>55</v>
      </c>
      <c r="N15" s="3" t="s">
        <v>34</v>
      </c>
      <c r="O15" s="47" t="s">
        <v>90</v>
      </c>
      <c r="P15" s="46" t="s">
        <v>473</v>
      </c>
      <c r="Q15" s="2" t="s">
        <v>29</v>
      </c>
      <c r="R15" s="23" t="s">
        <v>92</v>
      </c>
      <c r="S15" s="30">
        <v>299185</v>
      </c>
      <c r="T15" s="2" t="s">
        <v>94</v>
      </c>
      <c r="U15" s="31">
        <v>2</v>
      </c>
      <c r="V15" s="31">
        <v>1</v>
      </c>
      <c r="W15" s="32">
        <v>0.11</v>
      </c>
      <c r="X15" s="33">
        <v>32910.35</v>
      </c>
    </row>
    <row r="16" spans="1:24" x14ac:dyDescent="0.25">
      <c r="A16" s="22" t="s">
        <v>398</v>
      </c>
      <c r="B16" s="2" t="s">
        <v>407</v>
      </c>
      <c r="C16" s="2" t="s">
        <v>411</v>
      </c>
      <c r="D16" s="46" t="s">
        <v>425</v>
      </c>
      <c r="E16" s="46" t="s">
        <v>442</v>
      </c>
      <c r="F16" s="24" t="str">
        <f>HYPERLINK("https://mapwv.gov/flood/map/?wkid=102100&amp;x=-8989030.682601204&amp;y=4672916.6527567925&amp;l=13&amp;v=2","FT")</f>
        <v>FT</v>
      </c>
      <c r="G16" s="23" t="s">
        <v>31</v>
      </c>
      <c r="H16" s="23" t="s">
        <v>24</v>
      </c>
      <c r="I16" s="2" t="s">
        <v>458</v>
      </c>
      <c r="J16" s="22" t="s">
        <v>38</v>
      </c>
      <c r="K16" s="47" t="s">
        <v>130</v>
      </c>
      <c r="L16" s="45" t="s">
        <v>36</v>
      </c>
      <c r="M16" s="46" t="s">
        <v>46</v>
      </c>
      <c r="N16" s="3" t="s">
        <v>34</v>
      </c>
      <c r="O16" s="47" t="s">
        <v>90</v>
      </c>
      <c r="P16" s="46" t="s">
        <v>474</v>
      </c>
      <c r="Q16" s="2" t="s">
        <v>29</v>
      </c>
      <c r="R16" s="23" t="s">
        <v>92</v>
      </c>
      <c r="S16" s="30">
        <v>296400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25">
      <c r="A17" s="22" t="s">
        <v>399</v>
      </c>
      <c r="B17" s="2" t="s">
        <v>410</v>
      </c>
      <c r="C17" s="2" t="s">
        <v>414</v>
      </c>
      <c r="D17" s="46" t="s">
        <v>426</v>
      </c>
      <c r="E17" s="46" t="s">
        <v>443</v>
      </c>
      <c r="F17" s="24" t="str">
        <f>HYPERLINK("https://mapwv.gov/flood/map/?wkid=102100&amp;x=-8978883.26324728&amp;y=4702058.23741302&amp;l=13&amp;v=2","FT")</f>
        <v>FT</v>
      </c>
      <c r="G17" s="23" t="s">
        <v>31</v>
      </c>
      <c r="H17" s="23" t="s">
        <v>24</v>
      </c>
      <c r="I17" s="2" t="s">
        <v>457</v>
      </c>
      <c r="J17" s="22" t="s">
        <v>38</v>
      </c>
      <c r="K17" s="47" t="s">
        <v>120</v>
      </c>
      <c r="L17" s="45"/>
      <c r="M17" s="46" t="s">
        <v>55</v>
      </c>
      <c r="N17" s="3" t="s">
        <v>34</v>
      </c>
      <c r="O17" s="47" t="s">
        <v>90</v>
      </c>
      <c r="P17" s="46" t="s">
        <v>475</v>
      </c>
      <c r="Q17" s="2" t="s">
        <v>29</v>
      </c>
      <c r="R17" s="23" t="s">
        <v>92</v>
      </c>
      <c r="S17" s="30">
        <v>288869</v>
      </c>
      <c r="T17" s="2" t="s">
        <v>94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25">
      <c r="A18" s="22" t="s">
        <v>400</v>
      </c>
      <c r="B18" s="2" t="s">
        <v>409</v>
      </c>
      <c r="C18" s="2" t="s">
        <v>411</v>
      </c>
      <c r="D18" s="46" t="s">
        <v>427</v>
      </c>
      <c r="E18" s="46" t="s">
        <v>444</v>
      </c>
      <c r="F18" s="24" t="str">
        <f>HYPERLINK("https://mapwv.gov/flood/map/?wkid=102100&amp;x=-8985646.913835673&amp;y=4674475.098130894&amp;l=13&amp;v=2","FT")</f>
        <v>FT</v>
      </c>
      <c r="G18" s="23" t="s">
        <v>31</v>
      </c>
      <c r="H18" s="23" t="s">
        <v>24</v>
      </c>
      <c r="I18" s="2" t="s">
        <v>459</v>
      </c>
      <c r="J18" s="22" t="s">
        <v>38</v>
      </c>
      <c r="K18" s="47" t="s">
        <v>82</v>
      </c>
      <c r="L18" s="45" t="s">
        <v>56</v>
      </c>
      <c r="M18" s="46" t="s">
        <v>46</v>
      </c>
      <c r="N18" s="3" t="s">
        <v>34</v>
      </c>
      <c r="O18" s="47" t="s">
        <v>90</v>
      </c>
      <c r="P18" s="46" t="s">
        <v>476</v>
      </c>
      <c r="Q18" s="2" t="s">
        <v>29</v>
      </c>
      <c r="R18" s="23" t="s">
        <v>92</v>
      </c>
      <c r="S18" s="30">
        <v>288200</v>
      </c>
      <c r="T18" s="2" t="s">
        <v>43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25">
      <c r="A19" s="22" t="s">
        <v>401</v>
      </c>
      <c r="B19" s="2" t="s">
        <v>407</v>
      </c>
      <c r="C19" s="2" t="s">
        <v>411</v>
      </c>
      <c r="D19" s="46" t="s">
        <v>428</v>
      </c>
      <c r="E19" s="46" t="s">
        <v>445</v>
      </c>
      <c r="F19" s="24" t="str">
        <f>HYPERLINK("https://mapwv.gov/flood/map/?wkid=102100&amp;x=-8988984.570171935&amp;y=4672845.78501781&amp;l=13&amp;v=2","FT")</f>
        <v>FT</v>
      </c>
      <c r="G19" s="23" t="s">
        <v>31</v>
      </c>
      <c r="H19" s="23" t="s">
        <v>24</v>
      </c>
      <c r="I19" s="2" t="s">
        <v>460</v>
      </c>
      <c r="J19" s="22" t="s">
        <v>25</v>
      </c>
      <c r="K19" s="47" t="s">
        <v>101</v>
      </c>
      <c r="L19" s="45" t="s">
        <v>56</v>
      </c>
      <c r="M19" s="46" t="s">
        <v>46</v>
      </c>
      <c r="N19" s="3" t="s">
        <v>34</v>
      </c>
      <c r="O19" s="47" t="s">
        <v>90</v>
      </c>
      <c r="P19" s="46" t="s">
        <v>477</v>
      </c>
      <c r="Q19" s="2" t="s">
        <v>29</v>
      </c>
      <c r="R19" s="23" t="s">
        <v>92</v>
      </c>
      <c r="S19" s="30">
        <v>260000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25">
      <c r="A20" s="22" t="s">
        <v>402</v>
      </c>
      <c r="B20" s="2" t="s">
        <v>410</v>
      </c>
      <c r="C20" s="2" t="s">
        <v>414</v>
      </c>
      <c r="D20" s="46" t="s">
        <v>429</v>
      </c>
      <c r="E20" s="46" t="s">
        <v>446</v>
      </c>
      <c r="F20" s="24" t="str">
        <f>HYPERLINK("https://mapwv.gov/flood/map/?wkid=102100&amp;x=-8978607.196810048&amp;y=4700999.143892036&amp;l=13&amp;v=2","FT")</f>
        <v>FT</v>
      </c>
      <c r="G20" s="23" t="s">
        <v>31</v>
      </c>
      <c r="H20" s="23" t="s">
        <v>24</v>
      </c>
      <c r="I20" s="2" t="s">
        <v>461</v>
      </c>
      <c r="J20" s="22" t="s">
        <v>38</v>
      </c>
      <c r="K20" s="47" t="s">
        <v>120</v>
      </c>
      <c r="L20" s="45"/>
      <c r="M20" s="46" t="s">
        <v>27</v>
      </c>
      <c r="N20" s="3" t="s">
        <v>87</v>
      </c>
      <c r="O20" s="47" t="s">
        <v>90</v>
      </c>
      <c r="P20" s="46" t="s">
        <v>478</v>
      </c>
      <c r="Q20" s="2" t="s">
        <v>29</v>
      </c>
      <c r="R20" s="23" t="s">
        <v>92</v>
      </c>
      <c r="S20" s="30">
        <v>250000</v>
      </c>
      <c r="T20" s="2" t="s">
        <v>60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25">
      <c r="A21" s="22" t="s">
        <v>403</v>
      </c>
      <c r="B21" s="2" t="s">
        <v>407</v>
      </c>
      <c r="C21" s="2" t="s">
        <v>412</v>
      </c>
      <c r="D21" s="46" t="s">
        <v>430</v>
      </c>
      <c r="E21" s="46" t="s">
        <v>447</v>
      </c>
      <c r="F21" s="24" t="str">
        <f>HYPERLINK("https://mapwv.gov/flood/map/?wkid=102100&amp;x=-8987577.096512796&amp;y=4661383.4980924735&amp;l=13&amp;v=2","FT")</f>
        <v>FT</v>
      </c>
      <c r="G21" s="23" t="s">
        <v>37</v>
      </c>
      <c r="H21" s="23" t="s">
        <v>24</v>
      </c>
      <c r="I21" s="2" t="s">
        <v>462</v>
      </c>
      <c r="J21" s="22" t="s">
        <v>38</v>
      </c>
      <c r="K21" s="47" t="s">
        <v>120</v>
      </c>
      <c r="L21" s="45"/>
      <c r="M21" s="46" t="s">
        <v>46</v>
      </c>
      <c r="N21" s="3" t="s">
        <v>34</v>
      </c>
      <c r="O21" s="47" t="s">
        <v>90</v>
      </c>
      <c r="P21" s="46" t="s">
        <v>479</v>
      </c>
      <c r="Q21" s="2" t="s">
        <v>29</v>
      </c>
      <c r="R21" s="23" t="s">
        <v>92</v>
      </c>
      <c r="S21" s="30">
        <v>232837</v>
      </c>
      <c r="T21" s="2" t="s">
        <v>94</v>
      </c>
      <c r="U21" s="31">
        <v>6</v>
      </c>
      <c r="V21" s="31">
        <v>5</v>
      </c>
      <c r="W21" s="32">
        <v>0.2</v>
      </c>
      <c r="X21" s="33">
        <v>46567.4</v>
      </c>
    </row>
    <row r="22" spans="1:24" x14ac:dyDescent="0.25">
      <c r="A22" s="22" t="s">
        <v>404</v>
      </c>
      <c r="B22" s="2" t="s">
        <v>407</v>
      </c>
      <c r="C22" s="2" t="s">
        <v>415</v>
      </c>
      <c r="D22" s="46" t="s">
        <v>431</v>
      </c>
      <c r="E22" s="46" t="s">
        <v>448</v>
      </c>
      <c r="F22" s="24" t="str">
        <f>HYPERLINK("https://mapwv.gov/flood/map/?wkid=102100&amp;x=-8981404.788306516&amp;y=4696790.03400247&amp;l=13&amp;v=2","FT")</f>
        <v>FT</v>
      </c>
      <c r="G22" s="23" t="s">
        <v>37</v>
      </c>
      <c r="H22" s="23" t="s">
        <v>24</v>
      </c>
      <c r="I22" s="2" t="s">
        <v>463</v>
      </c>
      <c r="J22" s="22" t="s">
        <v>25</v>
      </c>
      <c r="K22" s="47" t="s">
        <v>166</v>
      </c>
      <c r="L22" s="45" t="s">
        <v>45</v>
      </c>
      <c r="M22" s="46" t="s">
        <v>40</v>
      </c>
      <c r="N22" s="3" t="s">
        <v>41</v>
      </c>
      <c r="O22" s="47" t="s">
        <v>90</v>
      </c>
      <c r="P22" s="46" t="s">
        <v>480</v>
      </c>
      <c r="Q22" s="2" t="s">
        <v>51</v>
      </c>
      <c r="R22" s="23" t="s">
        <v>93</v>
      </c>
      <c r="S22" s="30">
        <v>216400</v>
      </c>
      <c r="T22" s="2" t="s">
        <v>43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25">
      <c r="A23" s="22" t="s">
        <v>405</v>
      </c>
      <c r="B23" s="2" t="s">
        <v>408</v>
      </c>
      <c r="C23" s="2" t="s">
        <v>416</v>
      </c>
      <c r="D23" s="46" t="s">
        <v>432</v>
      </c>
      <c r="E23" s="46" t="s">
        <v>449</v>
      </c>
      <c r="F23" s="24" t="str">
        <f>HYPERLINK("https://mapwv.gov/flood/map/?wkid=102100&amp;x=-8991354.846552223&amp;y=4675543.312495244&amp;l=13&amp;v=2","FT")</f>
        <v>FT</v>
      </c>
      <c r="G23" s="23" t="s">
        <v>31</v>
      </c>
      <c r="H23" s="23" t="s">
        <v>24</v>
      </c>
      <c r="I23" s="2"/>
      <c r="J23" s="22" t="s">
        <v>38</v>
      </c>
      <c r="K23" s="47" t="s">
        <v>76</v>
      </c>
      <c r="L23" s="45" t="s">
        <v>56</v>
      </c>
      <c r="M23" s="46" t="s">
        <v>40</v>
      </c>
      <c r="N23" s="3" t="s">
        <v>41</v>
      </c>
      <c r="O23" s="47" t="s">
        <v>90</v>
      </c>
      <c r="P23" s="46" t="s">
        <v>481</v>
      </c>
      <c r="Q23" s="2" t="s">
        <v>51</v>
      </c>
      <c r="R23" s="23" t="s">
        <v>108</v>
      </c>
      <c r="S23" s="30">
        <v>204900</v>
      </c>
      <c r="T23" s="2" t="s">
        <v>43</v>
      </c>
      <c r="U23" s="31">
        <v>0</v>
      </c>
      <c r="V23" s="31">
        <v>-3</v>
      </c>
      <c r="W23" s="32">
        <v>0</v>
      </c>
      <c r="X23" s="33">
        <v>0</v>
      </c>
    </row>
  </sheetData>
  <conditionalFormatting sqref="A7:A23">
    <cfRule type="duplicateValues" dxfId="7" priority="1"/>
  </conditionalFormatting>
  <hyperlinks>
    <hyperlink ref="J3" r:id="rId1" xr:uid="{2852960B-2C9F-4D73-8FD2-C637B4EEED9B}"/>
    <hyperlink ref="M3" r:id="rId2" xr:uid="{B4BCF0A6-B1FE-4610-B640-7577796776EA}"/>
    <hyperlink ref="Q3" r:id="rId3" xr:uid="{E1EC3B27-BE39-470A-BE2C-A4D743EF20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877C-26A9-4525-B4C9-ACA69760A94F}">
  <dimension ref="A1:Z61"/>
  <sheetViews>
    <sheetView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3.85546875" bestFit="1" customWidth="1"/>
    <col min="2" max="2" width="21.42578125" bestFit="1" customWidth="1"/>
    <col min="7" max="7" width="11.7109375" customWidth="1"/>
    <col min="13" max="13" width="10.42578125" customWidth="1"/>
    <col min="14" max="14" width="10.7109375" customWidth="1"/>
    <col min="17" max="17" width="10.85546875" customWidth="1"/>
    <col min="19" max="19" width="21.7109375" bestFit="1" customWidth="1"/>
    <col min="24" max="24" width="9.5703125" bestFit="1" customWidth="1"/>
    <col min="26" max="26" width="12.140625" bestFit="1" customWidth="1"/>
  </cols>
  <sheetData>
    <row r="1" spans="1:26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6" x14ac:dyDescent="0.25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6" x14ac:dyDescent="0.25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6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25">
      <c r="A5" s="1" t="s">
        <v>482</v>
      </c>
      <c r="F5" s="6"/>
      <c r="G5" s="6"/>
      <c r="H5" s="6"/>
      <c r="J5" s="6"/>
      <c r="K5" s="6"/>
      <c r="L5" s="6"/>
      <c r="O5" s="6"/>
      <c r="P5" s="6"/>
      <c r="R5" s="6"/>
      <c r="S5" s="34" t="s">
        <v>113</v>
      </c>
      <c r="U5" s="6"/>
      <c r="V5" s="6"/>
      <c r="W5" s="9"/>
      <c r="X5" s="10"/>
    </row>
    <row r="6" spans="1:26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25">
      <c r="A7" s="22" t="s">
        <v>483</v>
      </c>
      <c r="B7" s="2" t="s">
        <v>537</v>
      </c>
      <c r="C7" s="2" t="s">
        <v>540</v>
      </c>
      <c r="D7" s="46" t="s">
        <v>552</v>
      </c>
      <c r="E7" s="46" t="s">
        <v>606</v>
      </c>
      <c r="F7" s="24" t="str">
        <f>HYPERLINK("https://mapwv.gov/flood/map/?wkid=102100&amp;x=-8996706.042156905&amp;y=4712432.175081858&amp;l=13&amp;v=2","FT")</f>
        <v>FT</v>
      </c>
      <c r="G7" s="29" t="s">
        <v>53</v>
      </c>
      <c r="H7" s="29" t="s">
        <v>24</v>
      </c>
      <c r="I7" s="2" t="s">
        <v>660</v>
      </c>
      <c r="J7" s="22" t="s">
        <v>25</v>
      </c>
      <c r="K7" s="47" t="s">
        <v>140</v>
      </c>
      <c r="L7" s="45" t="s">
        <v>26</v>
      </c>
      <c r="M7" s="46" t="s">
        <v>59</v>
      </c>
      <c r="N7" s="3" t="s">
        <v>86</v>
      </c>
      <c r="O7" s="47" t="s">
        <v>90</v>
      </c>
      <c r="P7" s="46" t="s">
        <v>718</v>
      </c>
      <c r="Q7" s="46" t="s">
        <v>29</v>
      </c>
      <c r="R7" s="23" t="s">
        <v>92</v>
      </c>
      <c r="S7" s="30">
        <v>14000000</v>
      </c>
      <c r="T7" s="2" t="s">
        <v>60</v>
      </c>
      <c r="U7" s="31">
        <v>2.8826904</v>
      </c>
      <c r="V7" s="31">
        <v>1.8826904296875</v>
      </c>
      <c r="W7" s="32">
        <v>6.7653808593750003E-2</v>
      </c>
      <c r="X7" s="33">
        <v>947153.3203125</v>
      </c>
    </row>
    <row r="8" spans="1:26" x14ac:dyDescent="0.25">
      <c r="A8" s="22" t="s">
        <v>759</v>
      </c>
      <c r="B8" s="2" t="s">
        <v>537</v>
      </c>
      <c r="C8" s="2" t="s">
        <v>540</v>
      </c>
      <c r="D8" s="46" t="s">
        <v>760</v>
      </c>
      <c r="E8" s="46" t="s">
        <v>761</v>
      </c>
      <c r="F8" s="24" t="str">
        <f>HYPERLINK("https://mapwv.gov/flood/map/?wkid=102100&amp;x=-8998171.038827077&amp;y=4712191.5881876275&amp;l=13&amp;v=2","FT")</f>
        <v>FT</v>
      </c>
      <c r="G8" s="29" t="s">
        <v>31</v>
      </c>
      <c r="H8" s="29" t="s">
        <v>24</v>
      </c>
      <c r="I8" s="2" t="s">
        <v>672</v>
      </c>
      <c r="J8" s="22" t="s">
        <v>38</v>
      </c>
      <c r="K8" s="47" t="s">
        <v>132</v>
      </c>
      <c r="L8" s="45" t="s">
        <v>26</v>
      </c>
      <c r="M8" s="46" t="s">
        <v>55</v>
      </c>
      <c r="N8" s="3" t="s">
        <v>34</v>
      </c>
      <c r="O8" s="47" t="s">
        <v>91</v>
      </c>
      <c r="P8" s="48">
        <v>11000</v>
      </c>
      <c r="Q8" s="46" t="s">
        <v>29</v>
      </c>
      <c r="R8" s="23" t="s">
        <v>92</v>
      </c>
      <c r="S8" s="30">
        <v>3300000</v>
      </c>
      <c r="T8" s="2" t="s">
        <v>28</v>
      </c>
      <c r="U8" s="31">
        <v>1.8102417</v>
      </c>
      <c r="V8" s="31">
        <v>0.81024169921875</v>
      </c>
      <c r="W8" s="32">
        <v>9.2921752929687504E-2</v>
      </c>
      <c r="X8" s="33">
        <v>306641.78466796875</v>
      </c>
      <c r="Z8" s="52"/>
    </row>
    <row r="9" spans="1:26" x14ac:dyDescent="0.25">
      <c r="A9" s="22" t="s">
        <v>484</v>
      </c>
      <c r="B9" s="2" t="s">
        <v>537</v>
      </c>
      <c r="C9" s="2" t="s">
        <v>540</v>
      </c>
      <c r="D9" s="46" t="s">
        <v>553</v>
      </c>
      <c r="E9" s="46" t="s">
        <v>607</v>
      </c>
      <c r="F9" s="24" t="str">
        <f>HYPERLINK("https://mapwv.gov/flood/map/?wkid=102100&amp;x=-8996757.421445245&amp;y=4712728.05176947&amp;l=13&amp;v=2","FT")</f>
        <v>FT</v>
      </c>
      <c r="G9" s="29" t="s">
        <v>71</v>
      </c>
      <c r="H9" s="29" t="s">
        <v>24</v>
      </c>
      <c r="I9" s="2" t="s">
        <v>661</v>
      </c>
      <c r="J9" s="22" t="s">
        <v>38</v>
      </c>
      <c r="K9" s="47" t="s">
        <v>129</v>
      </c>
      <c r="L9" s="45" t="s">
        <v>49</v>
      </c>
      <c r="M9" s="46" t="s">
        <v>155</v>
      </c>
      <c r="N9" s="3" t="s">
        <v>41</v>
      </c>
      <c r="O9" s="47" t="s">
        <v>90</v>
      </c>
      <c r="P9" s="46" t="s">
        <v>719</v>
      </c>
      <c r="Q9" s="46" t="s">
        <v>29</v>
      </c>
      <c r="R9" s="23" t="s">
        <v>92</v>
      </c>
      <c r="S9" s="30">
        <v>1349000</v>
      </c>
      <c r="T9" s="2" t="s">
        <v>43</v>
      </c>
      <c r="U9" s="31">
        <v>0</v>
      </c>
      <c r="V9" s="31">
        <v>-1</v>
      </c>
      <c r="W9" s="32">
        <v>0</v>
      </c>
      <c r="X9" s="33">
        <v>0</v>
      </c>
    </row>
    <row r="10" spans="1:26" x14ac:dyDescent="0.25">
      <c r="A10" s="22" t="s">
        <v>485</v>
      </c>
      <c r="B10" s="2" t="s">
        <v>537</v>
      </c>
      <c r="C10" s="2" t="s">
        <v>540</v>
      </c>
      <c r="D10" s="46" t="s">
        <v>554</v>
      </c>
      <c r="E10" s="46" t="s">
        <v>608</v>
      </c>
      <c r="F10" s="24" t="str">
        <f>HYPERLINK("https://mapwv.gov/flood/map/?wkid=102100&amp;x=-8998686.30814085&amp;y=4712009.400690458&amp;l=13&amp;v=2","FT")</f>
        <v>FT</v>
      </c>
      <c r="G10" s="29" t="s">
        <v>31</v>
      </c>
      <c r="H10" s="29" t="s">
        <v>24</v>
      </c>
      <c r="I10" s="2" t="s">
        <v>181</v>
      </c>
      <c r="J10" s="22" t="s">
        <v>38</v>
      </c>
      <c r="K10" s="47" t="s">
        <v>106</v>
      </c>
      <c r="L10" s="45" t="s">
        <v>71</v>
      </c>
      <c r="M10" s="46" t="s">
        <v>57</v>
      </c>
      <c r="N10" s="3" t="s">
        <v>88</v>
      </c>
      <c r="O10" s="47" t="s">
        <v>90</v>
      </c>
      <c r="P10" s="46" t="s">
        <v>720</v>
      </c>
      <c r="Q10" s="46" t="s">
        <v>29</v>
      </c>
      <c r="R10" s="23" t="s">
        <v>92</v>
      </c>
      <c r="S10" s="30">
        <v>874500</v>
      </c>
      <c r="T10" s="2" t="s">
        <v>43</v>
      </c>
      <c r="U10" s="31">
        <v>0.23376464999999999</v>
      </c>
      <c r="V10" s="31">
        <v>-0.7662353515625</v>
      </c>
      <c r="W10" s="32">
        <v>0</v>
      </c>
      <c r="X10" s="33">
        <v>0</v>
      </c>
    </row>
    <row r="11" spans="1:26" x14ac:dyDescent="0.25">
      <c r="A11" s="22" t="s">
        <v>486</v>
      </c>
      <c r="B11" s="2" t="s">
        <v>538</v>
      </c>
      <c r="C11" s="2" t="s">
        <v>540</v>
      </c>
      <c r="D11" s="46" t="s">
        <v>555</v>
      </c>
      <c r="E11" s="46" t="s">
        <v>609</v>
      </c>
      <c r="F11" s="24" t="str">
        <f>HYPERLINK("https://mapwv.gov/flood/map/?wkid=102100&amp;x=-8987499.97347902&amp;y=4705692.549926513&amp;l=13&amp;v=2","FT")</f>
        <v>FT</v>
      </c>
      <c r="G11" s="29" t="s">
        <v>53</v>
      </c>
      <c r="H11" s="29" t="s">
        <v>24</v>
      </c>
      <c r="I11" s="2" t="s">
        <v>662</v>
      </c>
      <c r="J11" s="22" t="s">
        <v>25</v>
      </c>
      <c r="K11" s="47" t="s">
        <v>83</v>
      </c>
      <c r="L11" s="45" t="s">
        <v>36</v>
      </c>
      <c r="M11" s="46" t="s">
        <v>33</v>
      </c>
      <c r="N11" s="3" t="s">
        <v>89</v>
      </c>
      <c r="O11" s="47" t="s">
        <v>90</v>
      </c>
      <c r="P11" s="46" t="s">
        <v>721</v>
      </c>
      <c r="Q11" s="46" t="s">
        <v>29</v>
      </c>
      <c r="R11" s="23" t="s">
        <v>92</v>
      </c>
      <c r="S11" s="30">
        <v>866200</v>
      </c>
      <c r="T11" s="2" t="s">
        <v>30</v>
      </c>
      <c r="U11" s="31">
        <v>0</v>
      </c>
      <c r="V11" s="31">
        <v>-1</v>
      </c>
      <c r="W11" s="32">
        <v>0</v>
      </c>
      <c r="X11" s="33">
        <v>0</v>
      </c>
    </row>
    <row r="12" spans="1:26" x14ac:dyDescent="0.25">
      <c r="A12" s="22" t="s">
        <v>487</v>
      </c>
      <c r="B12" s="2" t="s">
        <v>537</v>
      </c>
      <c r="C12" s="2" t="s">
        <v>540</v>
      </c>
      <c r="D12" s="46" t="s">
        <v>556</v>
      </c>
      <c r="E12" s="46" t="s">
        <v>610</v>
      </c>
      <c r="F12" s="24" t="str">
        <f>HYPERLINK("https://mapwv.gov/flood/map/?wkid=102100&amp;x=-8998709.481630567&amp;y=4712136.013078299&amp;l=13&amp;v=2","FT")</f>
        <v>FT</v>
      </c>
      <c r="G12" s="29" t="s">
        <v>31</v>
      </c>
      <c r="H12" s="29" t="s">
        <v>24</v>
      </c>
      <c r="I12" s="2" t="s">
        <v>663</v>
      </c>
      <c r="J12" s="22" t="s">
        <v>38</v>
      </c>
      <c r="K12" s="47" t="s">
        <v>120</v>
      </c>
      <c r="L12" s="45" t="s">
        <v>26</v>
      </c>
      <c r="M12" s="46" t="s">
        <v>57</v>
      </c>
      <c r="N12" s="3" t="s">
        <v>88</v>
      </c>
      <c r="O12" s="47" t="s">
        <v>90</v>
      </c>
      <c r="P12" s="46" t="s">
        <v>722</v>
      </c>
      <c r="Q12" s="46" t="s">
        <v>29</v>
      </c>
      <c r="R12" s="23" t="s">
        <v>92</v>
      </c>
      <c r="S12" s="30">
        <v>818145</v>
      </c>
      <c r="T12" s="2" t="s">
        <v>94</v>
      </c>
      <c r="U12" s="31">
        <v>3.0639647999999998E-2</v>
      </c>
      <c r="V12" s="31">
        <v>-0.9693603515625</v>
      </c>
      <c r="W12" s="32">
        <v>0</v>
      </c>
      <c r="X12" s="33">
        <v>0</v>
      </c>
    </row>
    <row r="13" spans="1:26" x14ac:dyDescent="0.25">
      <c r="A13" s="22" t="s">
        <v>488</v>
      </c>
      <c r="B13" s="2" t="s">
        <v>538</v>
      </c>
      <c r="C13" s="2" t="s">
        <v>541</v>
      </c>
      <c r="D13" s="46" t="s">
        <v>557</v>
      </c>
      <c r="E13" s="46" t="s">
        <v>611</v>
      </c>
      <c r="F13" s="24" t="str">
        <f>HYPERLINK("https://mapwv.gov/flood/map/?wkid=102100&amp;x=-8985698.925752679&amp;y=4722515.249523477&amp;l=13&amp;v=2","FT")</f>
        <v>FT</v>
      </c>
      <c r="G13" s="29" t="s">
        <v>31</v>
      </c>
      <c r="H13" s="29" t="s">
        <v>24</v>
      </c>
      <c r="I13" s="2" t="s">
        <v>664</v>
      </c>
      <c r="J13" s="22" t="s">
        <v>25</v>
      </c>
      <c r="K13" s="47" t="s">
        <v>102</v>
      </c>
      <c r="L13" s="45" t="s">
        <v>37</v>
      </c>
      <c r="M13" s="46" t="s">
        <v>40</v>
      </c>
      <c r="N13" s="3" t="s">
        <v>41</v>
      </c>
      <c r="O13" s="47" t="s">
        <v>91</v>
      </c>
      <c r="P13" s="46" t="s">
        <v>723</v>
      </c>
      <c r="Q13" s="46" t="s">
        <v>51</v>
      </c>
      <c r="R13" s="23" t="s">
        <v>93</v>
      </c>
      <c r="S13" s="30">
        <v>798200</v>
      </c>
      <c r="T13" s="2" t="s">
        <v>43</v>
      </c>
      <c r="U13" s="31">
        <v>5.3901978000000002</v>
      </c>
      <c r="V13" s="31">
        <v>1.39019775390625</v>
      </c>
      <c r="W13" s="32">
        <v>0.127803955078125</v>
      </c>
      <c r="X13" s="33">
        <v>102013.116943359</v>
      </c>
    </row>
    <row r="14" spans="1:26" x14ac:dyDescent="0.25">
      <c r="A14" s="22" t="s">
        <v>489</v>
      </c>
      <c r="B14" s="2" t="s">
        <v>538</v>
      </c>
      <c r="C14" s="2" t="s">
        <v>542</v>
      </c>
      <c r="D14" s="46" t="s">
        <v>558</v>
      </c>
      <c r="E14" s="46" t="s">
        <v>612</v>
      </c>
      <c r="F14" s="24" t="str">
        <f>HYPERLINK("https://mapwv.gov/flood/map/?wkid=102100&amp;x=-9009940.42557459&amp;y=4700310.464994864&amp;l=13&amp;v=2","FT")</f>
        <v>FT</v>
      </c>
      <c r="G14" s="29" t="s">
        <v>31</v>
      </c>
      <c r="H14" s="29" t="s">
        <v>24</v>
      </c>
      <c r="I14" s="2" t="s">
        <v>665</v>
      </c>
      <c r="J14" s="22" t="s">
        <v>38</v>
      </c>
      <c r="K14" s="47" t="s">
        <v>710</v>
      </c>
      <c r="L14" s="45" t="s">
        <v>52</v>
      </c>
      <c r="M14" s="46" t="s">
        <v>27</v>
      </c>
      <c r="N14" s="3" t="s">
        <v>87</v>
      </c>
      <c r="O14" s="47" t="s">
        <v>91</v>
      </c>
      <c r="P14" s="46" t="s">
        <v>724</v>
      </c>
      <c r="Q14" s="46" t="s">
        <v>29</v>
      </c>
      <c r="R14" s="23" t="s">
        <v>92</v>
      </c>
      <c r="S14" s="30">
        <v>703600</v>
      </c>
      <c r="T14" s="2" t="s">
        <v>43</v>
      </c>
      <c r="U14" s="31">
        <v>0.23114013999999999</v>
      </c>
      <c r="V14" s="31">
        <v>-0.76885986328125</v>
      </c>
      <c r="W14" s="32">
        <v>0</v>
      </c>
      <c r="X14" s="33">
        <v>0</v>
      </c>
    </row>
    <row r="15" spans="1:26" x14ac:dyDescent="0.25">
      <c r="A15" s="22" t="s">
        <v>490</v>
      </c>
      <c r="B15" s="2" t="s">
        <v>537</v>
      </c>
      <c r="C15" s="2" t="s">
        <v>540</v>
      </c>
      <c r="D15" s="46" t="s">
        <v>559</v>
      </c>
      <c r="E15" s="46" t="s">
        <v>613</v>
      </c>
      <c r="F15" s="24" t="str">
        <f>HYPERLINK("https://mapwv.gov/flood/map/?wkid=102100&amp;x=-8998772.954779707&amp;y=4712127.647630076&amp;l=13&amp;v=2","FT")</f>
        <v>FT</v>
      </c>
      <c r="G15" s="29" t="s">
        <v>31</v>
      </c>
      <c r="H15" s="29" t="s">
        <v>24</v>
      </c>
      <c r="I15" s="2" t="s">
        <v>666</v>
      </c>
      <c r="J15" s="22" t="s">
        <v>38</v>
      </c>
      <c r="K15" s="47" t="s">
        <v>125</v>
      </c>
      <c r="L15" s="45" t="s">
        <v>56</v>
      </c>
      <c r="M15" s="46" t="s">
        <v>55</v>
      </c>
      <c r="N15" s="3" t="s">
        <v>34</v>
      </c>
      <c r="O15" s="47" t="s">
        <v>91</v>
      </c>
      <c r="P15" s="46" t="s">
        <v>725</v>
      </c>
      <c r="Q15" s="46" t="s">
        <v>29</v>
      </c>
      <c r="R15" s="23" t="s">
        <v>92</v>
      </c>
      <c r="S15" s="30">
        <v>428400</v>
      </c>
      <c r="T15" s="2" t="s">
        <v>43</v>
      </c>
      <c r="U15" s="31">
        <v>1</v>
      </c>
      <c r="V15" s="31">
        <v>0</v>
      </c>
      <c r="W15" s="32">
        <v>0.02</v>
      </c>
      <c r="X15" s="33">
        <v>8568</v>
      </c>
    </row>
    <row r="16" spans="1:26" x14ac:dyDescent="0.25">
      <c r="A16" s="22" t="s">
        <v>491</v>
      </c>
      <c r="B16" s="2" t="s">
        <v>537</v>
      </c>
      <c r="C16" s="2" t="s">
        <v>540</v>
      </c>
      <c r="D16" s="46" t="s">
        <v>560</v>
      </c>
      <c r="E16" s="46" t="s">
        <v>614</v>
      </c>
      <c r="F16" s="24" t="str">
        <f>HYPERLINK("https://mapwv.gov/flood/map/?wkid=102100&amp;x=-8998711.430500891&amp;y=4712073.238611661&amp;l=13&amp;v=2","FT")</f>
        <v>FT</v>
      </c>
      <c r="G16" s="29" t="s">
        <v>31</v>
      </c>
      <c r="H16" s="29" t="s">
        <v>24</v>
      </c>
      <c r="I16" s="2" t="s">
        <v>667</v>
      </c>
      <c r="J16" s="22" t="s">
        <v>38</v>
      </c>
      <c r="K16" s="47" t="s">
        <v>711</v>
      </c>
      <c r="L16" s="45" t="s">
        <v>37</v>
      </c>
      <c r="M16" s="46" t="s">
        <v>27</v>
      </c>
      <c r="N16" s="3" t="s">
        <v>87</v>
      </c>
      <c r="O16" s="47" t="s">
        <v>91</v>
      </c>
      <c r="P16" s="46" t="s">
        <v>726</v>
      </c>
      <c r="Q16" s="46" t="s">
        <v>29</v>
      </c>
      <c r="R16" s="23" t="s">
        <v>92</v>
      </c>
      <c r="S16" s="30">
        <v>403200</v>
      </c>
      <c r="T16" s="2" t="s">
        <v>43</v>
      </c>
      <c r="U16" s="31">
        <v>0.68469239999999998</v>
      </c>
      <c r="V16" s="31">
        <v>-0.3153076171875</v>
      </c>
      <c r="W16" s="32">
        <v>0</v>
      </c>
      <c r="X16" s="33">
        <v>0</v>
      </c>
    </row>
    <row r="17" spans="1:24" x14ac:dyDescent="0.25">
      <c r="A17" s="22" t="s">
        <v>492</v>
      </c>
      <c r="B17" s="2" t="s">
        <v>537</v>
      </c>
      <c r="C17" s="2" t="s">
        <v>540</v>
      </c>
      <c r="D17" s="46" t="s">
        <v>561</v>
      </c>
      <c r="E17" s="46" t="s">
        <v>615</v>
      </c>
      <c r="F17" s="24" t="str">
        <f>HYPERLINK("https://mapwv.gov/flood/map/?wkid=102100&amp;x=-8998755.9034167&amp;y=4712120.248730589&amp;l=13&amp;v=2","FT")</f>
        <v>FT</v>
      </c>
      <c r="G17" s="29" t="s">
        <v>31</v>
      </c>
      <c r="H17" s="29" t="s">
        <v>24</v>
      </c>
      <c r="I17" s="2" t="s">
        <v>666</v>
      </c>
      <c r="J17" s="22" t="s">
        <v>38</v>
      </c>
      <c r="K17" s="47" t="s">
        <v>152</v>
      </c>
      <c r="L17" s="45" t="s">
        <v>49</v>
      </c>
      <c r="M17" s="46" t="s">
        <v>157</v>
      </c>
      <c r="N17" s="3" t="s">
        <v>34</v>
      </c>
      <c r="O17" s="47" t="s">
        <v>90</v>
      </c>
      <c r="P17" s="46" t="s">
        <v>727</v>
      </c>
      <c r="Q17" s="46" t="s">
        <v>29</v>
      </c>
      <c r="R17" s="23" t="s">
        <v>92</v>
      </c>
      <c r="S17" s="30">
        <v>395400</v>
      </c>
      <c r="T17" s="2" t="s">
        <v>43</v>
      </c>
      <c r="U17" s="31">
        <v>4.2907714999999999E-2</v>
      </c>
      <c r="V17" s="31">
        <v>-0.95709228515625</v>
      </c>
      <c r="W17" s="32">
        <v>0</v>
      </c>
      <c r="X17" s="33">
        <v>0</v>
      </c>
    </row>
    <row r="18" spans="1:24" x14ac:dyDescent="0.25">
      <c r="A18" s="22" t="s">
        <v>493</v>
      </c>
      <c r="B18" s="2" t="s">
        <v>537</v>
      </c>
      <c r="C18" s="2" t="s">
        <v>540</v>
      </c>
      <c r="D18" s="46" t="s">
        <v>562</v>
      </c>
      <c r="E18" s="46" t="s">
        <v>616</v>
      </c>
      <c r="F18" s="24" t="str">
        <f>HYPERLINK("https://mapwv.gov/flood/map/?wkid=102100&amp;x=-8996580.79515066&amp;y=4712871.608165127&amp;l=13&amp;v=2","FT")</f>
        <v>FT</v>
      </c>
      <c r="G18" s="29" t="s">
        <v>31</v>
      </c>
      <c r="H18" s="29" t="s">
        <v>24</v>
      </c>
      <c r="I18" s="2" t="s">
        <v>668</v>
      </c>
      <c r="J18" s="22" t="s">
        <v>25</v>
      </c>
      <c r="K18" s="47" t="s">
        <v>122</v>
      </c>
      <c r="L18" s="45" t="s">
        <v>44</v>
      </c>
      <c r="M18" s="46" t="s">
        <v>46</v>
      </c>
      <c r="N18" s="3" t="s">
        <v>34</v>
      </c>
      <c r="O18" s="47" t="s">
        <v>90</v>
      </c>
      <c r="P18" s="46" t="s">
        <v>728</v>
      </c>
      <c r="Q18" s="46" t="s">
        <v>29</v>
      </c>
      <c r="R18" s="23" t="s">
        <v>92</v>
      </c>
      <c r="S18" s="30">
        <v>388300</v>
      </c>
      <c r="T18" s="2" t="s">
        <v>43</v>
      </c>
      <c r="U18" s="31">
        <v>0.31970215000000002</v>
      </c>
      <c r="V18" s="31">
        <v>-0.6802978515625</v>
      </c>
      <c r="W18" s="32">
        <v>3.1970214843750002E-3</v>
      </c>
      <c r="X18" s="33">
        <v>1241.40344238281</v>
      </c>
    </row>
    <row r="19" spans="1:24" x14ac:dyDescent="0.25">
      <c r="A19" s="22" t="s">
        <v>494</v>
      </c>
      <c r="B19" s="2" t="s">
        <v>537</v>
      </c>
      <c r="C19" s="2" t="s">
        <v>540</v>
      </c>
      <c r="D19" s="46" t="s">
        <v>563</v>
      </c>
      <c r="E19" s="46" t="s">
        <v>617</v>
      </c>
      <c r="F19" s="24" t="str">
        <f>HYPERLINK("https://mapwv.gov/flood/map/?wkid=102100&amp;x=-8996624.622302104&amp;y=4712940.372912619&amp;l=13&amp;v=2","FT")</f>
        <v>FT</v>
      </c>
      <c r="G19" s="29" t="s">
        <v>31</v>
      </c>
      <c r="H19" s="29" t="s">
        <v>24</v>
      </c>
      <c r="I19" s="2" t="s">
        <v>669</v>
      </c>
      <c r="J19" s="22" t="s">
        <v>38</v>
      </c>
      <c r="K19" s="47" t="s">
        <v>123</v>
      </c>
      <c r="L19" s="45" t="s">
        <v>56</v>
      </c>
      <c r="M19" s="46" t="s">
        <v>46</v>
      </c>
      <c r="N19" s="3" t="s">
        <v>34</v>
      </c>
      <c r="O19" s="47" t="s">
        <v>90</v>
      </c>
      <c r="P19" s="46" t="s">
        <v>729</v>
      </c>
      <c r="Q19" s="46" t="s">
        <v>29</v>
      </c>
      <c r="R19" s="23" t="s">
        <v>92</v>
      </c>
      <c r="S19" s="30">
        <v>367400</v>
      </c>
      <c r="T19" s="2" t="s">
        <v>43</v>
      </c>
      <c r="U19" s="31">
        <v>0.32305908</v>
      </c>
      <c r="V19" s="31">
        <v>-0.67694091796875</v>
      </c>
      <c r="W19" s="32">
        <v>3.2305908203125E-3</v>
      </c>
      <c r="X19" s="33">
        <v>1186.91906738281</v>
      </c>
    </row>
    <row r="20" spans="1:24" x14ac:dyDescent="0.25">
      <c r="A20" s="22" t="s">
        <v>495</v>
      </c>
      <c r="B20" s="2" t="s">
        <v>537</v>
      </c>
      <c r="C20" s="2" t="s">
        <v>540</v>
      </c>
      <c r="D20" s="46" t="s">
        <v>564</v>
      </c>
      <c r="E20" s="46" t="s">
        <v>618</v>
      </c>
      <c r="F20" s="24" t="str">
        <f>HYPERLINK("https://mapwv.gov/flood/map/?wkid=102100&amp;x=-8998836.698880482&amp;y=4712197.773299701&amp;l=13&amp;v=2","FT")</f>
        <v>FT</v>
      </c>
      <c r="G20" s="29" t="s">
        <v>31</v>
      </c>
      <c r="H20" s="29" t="s">
        <v>24</v>
      </c>
      <c r="I20" s="2" t="s">
        <v>670</v>
      </c>
      <c r="J20" s="22" t="s">
        <v>25</v>
      </c>
      <c r="K20" s="47" t="s">
        <v>97</v>
      </c>
      <c r="L20" s="45" t="s">
        <v>71</v>
      </c>
      <c r="M20" s="46" t="s">
        <v>46</v>
      </c>
      <c r="N20" s="3" t="s">
        <v>34</v>
      </c>
      <c r="O20" s="47" t="s">
        <v>90</v>
      </c>
      <c r="P20" s="46" t="s">
        <v>730</v>
      </c>
      <c r="Q20" s="46" t="s">
        <v>29</v>
      </c>
      <c r="R20" s="23" t="s">
        <v>92</v>
      </c>
      <c r="S20" s="30">
        <v>332700</v>
      </c>
      <c r="T20" s="2" t="s">
        <v>43</v>
      </c>
      <c r="U20" s="31">
        <v>2.9238281000000002</v>
      </c>
      <c r="V20" s="31">
        <v>1.923828125</v>
      </c>
      <c r="W20" s="32">
        <v>0.13619140625000001</v>
      </c>
      <c r="X20" s="33">
        <v>45310.880859375</v>
      </c>
    </row>
    <row r="21" spans="1:24" x14ac:dyDescent="0.25">
      <c r="A21" s="22" t="s">
        <v>496</v>
      </c>
      <c r="B21" s="2" t="s">
        <v>539</v>
      </c>
      <c r="C21" s="2" t="s">
        <v>543</v>
      </c>
      <c r="D21" s="46" t="s">
        <v>565</v>
      </c>
      <c r="E21" s="46" t="s">
        <v>619</v>
      </c>
      <c r="F21" s="24" t="str">
        <f>HYPERLINK("https://mapwv.gov/flood/map/?wkid=102100&amp;x=-8989242.860556284&amp;y=4709468.071987979&amp;l=13&amp;v=2","FT")</f>
        <v>FT</v>
      </c>
      <c r="G21" s="29" t="s">
        <v>31</v>
      </c>
      <c r="H21" s="29" t="s">
        <v>24</v>
      </c>
      <c r="I21" s="2" t="s">
        <v>671</v>
      </c>
      <c r="J21" s="22" t="s">
        <v>25</v>
      </c>
      <c r="K21" s="47" t="s">
        <v>74</v>
      </c>
      <c r="L21" s="45" t="s">
        <v>49</v>
      </c>
      <c r="M21" s="46" t="s">
        <v>57</v>
      </c>
      <c r="N21" s="3" t="s">
        <v>88</v>
      </c>
      <c r="O21" s="47" t="s">
        <v>90</v>
      </c>
      <c r="P21" s="46" t="s">
        <v>731</v>
      </c>
      <c r="Q21" s="46" t="s">
        <v>29</v>
      </c>
      <c r="R21" s="23" t="s">
        <v>92</v>
      </c>
      <c r="S21" s="30">
        <v>311500</v>
      </c>
      <c r="T21" s="2" t="s">
        <v>43</v>
      </c>
      <c r="U21" s="31">
        <v>0.73059079999999998</v>
      </c>
      <c r="V21" s="31">
        <v>-0.2694091796875</v>
      </c>
      <c r="W21" s="32">
        <v>0</v>
      </c>
      <c r="X21" s="33">
        <v>0</v>
      </c>
    </row>
    <row r="22" spans="1:24" x14ac:dyDescent="0.25">
      <c r="A22" s="22" t="s">
        <v>497</v>
      </c>
      <c r="B22" s="2" t="s">
        <v>537</v>
      </c>
      <c r="C22" s="2" t="s">
        <v>540</v>
      </c>
      <c r="D22" s="46" t="s">
        <v>566</v>
      </c>
      <c r="E22" s="46" t="s">
        <v>620</v>
      </c>
      <c r="F22" s="24" t="str">
        <f>HYPERLINK("https://mapwv.gov/flood/map/?wkid=102100&amp;x=-8998685.158767108&amp;y=4712178.927466727&amp;l=13&amp;v=2","FT")</f>
        <v>FT</v>
      </c>
      <c r="G22" s="29" t="s">
        <v>71</v>
      </c>
      <c r="H22" s="29" t="s">
        <v>24</v>
      </c>
      <c r="I22" s="2" t="s">
        <v>672</v>
      </c>
      <c r="J22" s="22" t="s">
        <v>38</v>
      </c>
      <c r="K22" s="47" t="s">
        <v>120</v>
      </c>
      <c r="L22" s="45"/>
      <c r="M22" s="46" t="s">
        <v>63</v>
      </c>
      <c r="N22" s="3" t="s">
        <v>87</v>
      </c>
      <c r="O22" s="47" t="s">
        <v>90</v>
      </c>
      <c r="P22" s="46" t="s">
        <v>732</v>
      </c>
      <c r="Q22" s="46" t="s">
        <v>29</v>
      </c>
      <c r="R22" s="23" t="s">
        <v>92</v>
      </c>
      <c r="S22" s="30">
        <v>231674</v>
      </c>
      <c r="T22" s="2" t="s">
        <v>94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25">
      <c r="A23" s="22" t="s">
        <v>498</v>
      </c>
      <c r="B23" s="2" t="s">
        <v>537</v>
      </c>
      <c r="C23" s="2" t="s">
        <v>540</v>
      </c>
      <c r="D23" s="46" t="s">
        <v>567</v>
      </c>
      <c r="E23" s="46" t="s">
        <v>621</v>
      </c>
      <c r="F23" s="24" t="str">
        <f>HYPERLINK("https://mapwv.gov/flood/map/?wkid=102100&amp;x=-8996629.47471871&amp;y=4712794.073582727&amp;l=13&amp;v=2","FT")</f>
        <v>FT</v>
      </c>
      <c r="G23" s="29" t="s">
        <v>31</v>
      </c>
      <c r="H23" s="29" t="s">
        <v>24</v>
      </c>
      <c r="I23" s="2" t="s">
        <v>673</v>
      </c>
      <c r="J23" s="22" t="s">
        <v>38</v>
      </c>
      <c r="K23" s="47" t="s">
        <v>111</v>
      </c>
      <c r="L23" s="45" t="s">
        <v>44</v>
      </c>
      <c r="M23" s="46" t="s">
        <v>157</v>
      </c>
      <c r="N23" s="3" t="s">
        <v>34</v>
      </c>
      <c r="O23" s="47" t="s">
        <v>90</v>
      </c>
      <c r="P23" s="46" t="s">
        <v>140</v>
      </c>
      <c r="Q23" s="46" t="s">
        <v>29</v>
      </c>
      <c r="R23" s="23" t="s">
        <v>92</v>
      </c>
      <c r="S23" s="30">
        <v>219500</v>
      </c>
      <c r="T23" s="2" t="s">
        <v>43</v>
      </c>
      <c r="U23" s="31">
        <v>1</v>
      </c>
      <c r="V23" s="31">
        <v>0</v>
      </c>
      <c r="W23" s="32">
        <v>0</v>
      </c>
      <c r="X23" s="33">
        <v>0</v>
      </c>
    </row>
    <row r="24" spans="1:24" x14ac:dyDescent="0.25">
      <c r="A24" s="22" t="s">
        <v>499</v>
      </c>
      <c r="B24" s="2" t="s">
        <v>537</v>
      </c>
      <c r="C24" s="2" t="s">
        <v>540</v>
      </c>
      <c r="D24" s="46" t="s">
        <v>568</v>
      </c>
      <c r="E24" s="46" t="s">
        <v>622</v>
      </c>
      <c r="F24" s="24" t="str">
        <f>HYPERLINK("https://mapwv.gov/flood/map/?wkid=102100&amp;x=-8998718.248040468&amp;y=4712143.37406595&amp;l=13&amp;v=2","FT")</f>
        <v>FT</v>
      </c>
      <c r="G24" s="29" t="s">
        <v>31</v>
      </c>
      <c r="H24" s="29" t="s">
        <v>24</v>
      </c>
      <c r="I24" s="2" t="s">
        <v>674</v>
      </c>
      <c r="J24" s="22" t="s">
        <v>38</v>
      </c>
      <c r="K24" s="47" t="s">
        <v>133</v>
      </c>
      <c r="L24" s="45" t="s">
        <v>44</v>
      </c>
      <c r="M24" s="46" t="s">
        <v>57</v>
      </c>
      <c r="N24" s="3" t="s">
        <v>88</v>
      </c>
      <c r="O24" s="47" t="s">
        <v>90</v>
      </c>
      <c r="P24" s="46" t="s">
        <v>733</v>
      </c>
      <c r="Q24" s="46" t="s">
        <v>29</v>
      </c>
      <c r="R24" s="23" t="s">
        <v>92</v>
      </c>
      <c r="S24" s="30">
        <v>216400</v>
      </c>
      <c r="T24" s="2" t="s">
        <v>43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25">
      <c r="A25" s="22" t="s">
        <v>500</v>
      </c>
      <c r="B25" s="2" t="s">
        <v>538</v>
      </c>
      <c r="C25" s="2" t="s">
        <v>544</v>
      </c>
      <c r="D25" s="46" t="s">
        <v>569</v>
      </c>
      <c r="E25" s="46" t="s">
        <v>623</v>
      </c>
      <c r="F25" s="24" t="str">
        <f>HYPERLINK("https://mapwv.gov/flood/map/?wkid=102100&amp;x=-8997634.618921371&amp;y=4728090.481609557&amp;l=13&amp;v=2","FT")</f>
        <v>FT</v>
      </c>
      <c r="G25" s="29" t="s">
        <v>37</v>
      </c>
      <c r="H25" s="29" t="s">
        <v>24</v>
      </c>
      <c r="I25" s="2" t="s">
        <v>675</v>
      </c>
      <c r="J25" s="22" t="s">
        <v>38</v>
      </c>
      <c r="K25" s="47" t="s">
        <v>120</v>
      </c>
      <c r="L25" s="45" t="s">
        <v>52</v>
      </c>
      <c r="M25" s="46" t="s">
        <v>57</v>
      </c>
      <c r="N25" s="3" t="s">
        <v>88</v>
      </c>
      <c r="O25" s="47" t="s">
        <v>90</v>
      </c>
      <c r="P25" s="46" t="s">
        <v>180</v>
      </c>
      <c r="Q25" s="46" t="s">
        <v>29</v>
      </c>
      <c r="R25" s="23" t="s">
        <v>92</v>
      </c>
      <c r="S25" s="30">
        <v>187680</v>
      </c>
      <c r="T25" s="2" t="s">
        <v>94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25">
      <c r="A26" s="22" t="s">
        <v>501</v>
      </c>
      <c r="B26" s="2" t="s">
        <v>538</v>
      </c>
      <c r="C26" s="2" t="s">
        <v>545</v>
      </c>
      <c r="D26" s="46" t="s">
        <v>570</v>
      </c>
      <c r="E26" s="46" t="s">
        <v>624</v>
      </c>
      <c r="F26" s="24" t="str">
        <f>HYPERLINK("https://mapwv.gov/flood/map/?wkid=102100&amp;x=-9016312.588556996&amp;y=4700285.630717381&amp;l=13&amp;v=2","FT")</f>
        <v>FT</v>
      </c>
      <c r="G26" s="29" t="s">
        <v>31</v>
      </c>
      <c r="H26" s="29" t="s">
        <v>24</v>
      </c>
      <c r="I26" s="2" t="s">
        <v>676</v>
      </c>
      <c r="J26" s="22" t="s">
        <v>25</v>
      </c>
      <c r="K26" s="47" t="s">
        <v>82</v>
      </c>
      <c r="L26" s="45" t="s">
        <v>26</v>
      </c>
      <c r="M26" s="46" t="s">
        <v>40</v>
      </c>
      <c r="N26" s="3" t="s">
        <v>41</v>
      </c>
      <c r="O26" s="47" t="s">
        <v>90</v>
      </c>
      <c r="P26" s="46" t="s">
        <v>184</v>
      </c>
      <c r="Q26" s="46" t="s">
        <v>51</v>
      </c>
      <c r="R26" s="23" t="s">
        <v>93</v>
      </c>
      <c r="S26" s="30">
        <v>183500</v>
      </c>
      <c r="T26" s="2" t="s">
        <v>43</v>
      </c>
      <c r="U26" s="31">
        <v>2.5864867999999999</v>
      </c>
      <c r="V26" s="31">
        <v>-1.41351318359375</v>
      </c>
      <c r="W26" s="32">
        <v>1.7594604492187499E-2</v>
      </c>
      <c r="X26" s="33">
        <v>3228.6099243163999</v>
      </c>
    </row>
    <row r="27" spans="1:24" x14ac:dyDescent="0.25">
      <c r="A27" s="22" t="s">
        <v>502</v>
      </c>
      <c r="B27" s="2" t="s">
        <v>538</v>
      </c>
      <c r="C27" s="2" t="s">
        <v>540</v>
      </c>
      <c r="D27" s="46" t="s">
        <v>571</v>
      </c>
      <c r="E27" s="46" t="s">
        <v>625</v>
      </c>
      <c r="F27" s="24" t="str">
        <f>HYPERLINK("https://mapwv.gov/flood/map/?wkid=102100&amp;x=-8990472.208002023&amp;y=4709506.13304601&amp;l=13&amp;v=2","FT")</f>
        <v>FT</v>
      </c>
      <c r="G27" s="29" t="s">
        <v>71</v>
      </c>
      <c r="H27" s="29" t="s">
        <v>24</v>
      </c>
      <c r="I27" s="2" t="s">
        <v>677</v>
      </c>
      <c r="J27" s="22" t="s">
        <v>38</v>
      </c>
      <c r="K27" s="47" t="s">
        <v>152</v>
      </c>
      <c r="L27" s="45" t="s">
        <v>26</v>
      </c>
      <c r="M27" s="46" t="s">
        <v>63</v>
      </c>
      <c r="N27" s="3" t="s">
        <v>87</v>
      </c>
      <c r="O27" s="47" t="s">
        <v>90</v>
      </c>
      <c r="P27" s="46" t="s">
        <v>734</v>
      </c>
      <c r="Q27" s="46" t="s">
        <v>29</v>
      </c>
      <c r="R27" s="23" t="s">
        <v>92</v>
      </c>
      <c r="S27" s="30">
        <v>177500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25">
      <c r="A28" s="22" t="s">
        <v>503</v>
      </c>
      <c r="B28" s="2" t="s">
        <v>538</v>
      </c>
      <c r="C28" s="2" t="s">
        <v>413</v>
      </c>
      <c r="D28" s="46" t="s">
        <v>572</v>
      </c>
      <c r="E28" s="46" t="s">
        <v>626</v>
      </c>
      <c r="F28" s="24" t="str">
        <f>HYPERLINK("https://mapwv.gov/flood/map/?wkid=102100&amp;x=-9014771.917008303&amp;y=4695047.681610422&amp;l=13&amp;v=2","FT")</f>
        <v>FT</v>
      </c>
      <c r="G28" s="29" t="s">
        <v>37</v>
      </c>
      <c r="H28" s="29" t="s">
        <v>24</v>
      </c>
      <c r="I28" s="2" t="s">
        <v>678</v>
      </c>
      <c r="J28" s="22" t="s">
        <v>25</v>
      </c>
      <c r="K28" s="47" t="s">
        <v>102</v>
      </c>
      <c r="L28" s="45" t="s">
        <v>26</v>
      </c>
      <c r="M28" s="46" t="s">
        <v>57</v>
      </c>
      <c r="N28" s="3" t="s">
        <v>88</v>
      </c>
      <c r="O28" s="47" t="s">
        <v>90</v>
      </c>
      <c r="P28" s="46" t="s">
        <v>735</v>
      </c>
      <c r="Q28" s="46" t="s">
        <v>29</v>
      </c>
      <c r="R28" s="23" t="s">
        <v>92</v>
      </c>
      <c r="S28" s="30">
        <v>173700</v>
      </c>
      <c r="T28" s="2" t="s">
        <v>43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25">
      <c r="A29" s="22" t="s">
        <v>504</v>
      </c>
      <c r="B29" s="2" t="s">
        <v>538</v>
      </c>
      <c r="C29" s="2" t="s">
        <v>540</v>
      </c>
      <c r="D29" s="46" t="s">
        <v>573</v>
      </c>
      <c r="E29" s="46" t="s">
        <v>627</v>
      </c>
      <c r="F29" s="24" t="str">
        <f>HYPERLINK("https://mapwv.gov/flood/map/?wkid=102100&amp;x=-8993885.53699041&amp;y=4711529.741440527&amp;l=13&amp;v=2","FT")</f>
        <v>FT</v>
      </c>
      <c r="G29" s="29" t="s">
        <v>31</v>
      </c>
      <c r="H29" s="29" t="s">
        <v>24</v>
      </c>
      <c r="I29" s="2" t="s">
        <v>679</v>
      </c>
      <c r="J29" s="22" t="s">
        <v>25</v>
      </c>
      <c r="K29" s="47" t="s">
        <v>73</v>
      </c>
      <c r="L29" s="45" t="s">
        <v>44</v>
      </c>
      <c r="M29" s="46" t="s">
        <v>40</v>
      </c>
      <c r="N29" s="3" t="s">
        <v>41</v>
      </c>
      <c r="O29" s="47" t="s">
        <v>90</v>
      </c>
      <c r="P29" s="46" t="s">
        <v>736</v>
      </c>
      <c r="Q29" s="46" t="s">
        <v>42</v>
      </c>
      <c r="R29" s="23" t="s">
        <v>93</v>
      </c>
      <c r="S29" s="30">
        <v>167900</v>
      </c>
      <c r="T29" s="2" t="s">
        <v>43</v>
      </c>
      <c r="U29" s="31">
        <v>1.6785277999999999</v>
      </c>
      <c r="V29" s="31">
        <v>-2.32147216796875</v>
      </c>
      <c r="W29" s="32">
        <v>9.4993896484375007E-2</v>
      </c>
      <c r="X29" s="33">
        <v>15949.475219726501</v>
      </c>
    </row>
    <row r="30" spans="1:24" x14ac:dyDescent="0.25">
      <c r="A30" s="22" t="s">
        <v>505</v>
      </c>
      <c r="B30" s="2" t="s">
        <v>537</v>
      </c>
      <c r="C30" s="2" t="s">
        <v>540</v>
      </c>
      <c r="D30" s="46" t="s">
        <v>574</v>
      </c>
      <c r="E30" s="46" t="s">
        <v>628</v>
      </c>
      <c r="F30" s="24" t="str">
        <f>HYPERLINK("https://mapwv.gov/flood/map/?wkid=102100&amp;x=-8998972.758682827&amp;y=4712450.534091272&amp;l=13&amp;v=2","FT")</f>
        <v>FT</v>
      </c>
      <c r="G30" s="29" t="s">
        <v>31</v>
      </c>
      <c r="H30" s="29" t="s">
        <v>24</v>
      </c>
      <c r="I30" s="2" t="s">
        <v>680</v>
      </c>
      <c r="J30" s="22" t="s">
        <v>25</v>
      </c>
      <c r="K30" s="47" t="s">
        <v>82</v>
      </c>
      <c r="L30" s="45" t="s">
        <v>48</v>
      </c>
      <c r="M30" s="46" t="s">
        <v>62</v>
      </c>
      <c r="N30" s="3" t="s">
        <v>34</v>
      </c>
      <c r="O30" s="47" t="s">
        <v>90</v>
      </c>
      <c r="P30" s="46" t="s">
        <v>187</v>
      </c>
      <c r="Q30" s="46" t="s">
        <v>29</v>
      </c>
      <c r="R30" s="23" t="s">
        <v>92</v>
      </c>
      <c r="S30" s="30">
        <v>167300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25">
      <c r="A31" s="22" t="s">
        <v>506</v>
      </c>
      <c r="B31" s="2" t="s">
        <v>537</v>
      </c>
      <c r="C31" s="2" t="s">
        <v>540</v>
      </c>
      <c r="D31" s="46" t="s">
        <v>575</v>
      </c>
      <c r="E31" s="46" t="s">
        <v>629</v>
      </c>
      <c r="F31" s="24" t="str">
        <f>HYPERLINK("https://mapwv.gov/flood/map/?wkid=102100&amp;x=-8996612.021158384&amp;y=4713036.208857874&amp;l=13&amp;v=2","FT")</f>
        <v>FT</v>
      </c>
      <c r="G31" s="29" t="s">
        <v>31</v>
      </c>
      <c r="H31" s="29" t="s">
        <v>24</v>
      </c>
      <c r="I31" s="2" t="s">
        <v>681</v>
      </c>
      <c r="J31" s="22" t="s">
        <v>25</v>
      </c>
      <c r="K31" s="47" t="s">
        <v>72</v>
      </c>
      <c r="L31" s="45" t="s">
        <v>49</v>
      </c>
      <c r="M31" s="46" t="s">
        <v>50</v>
      </c>
      <c r="N31" s="3" t="s">
        <v>34</v>
      </c>
      <c r="O31" s="47" t="s">
        <v>90</v>
      </c>
      <c r="P31" s="46" t="s">
        <v>737</v>
      </c>
      <c r="Q31" s="46" t="s">
        <v>29</v>
      </c>
      <c r="R31" s="23" t="s">
        <v>92</v>
      </c>
      <c r="S31" s="30">
        <v>164500</v>
      </c>
      <c r="T31" s="2" t="s">
        <v>43</v>
      </c>
      <c r="U31" s="31">
        <v>1.4727783000000001</v>
      </c>
      <c r="V31" s="31">
        <v>0.4727783203125</v>
      </c>
      <c r="W31" s="32">
        <v>4.7822265624999999E-2</v>
      </c>
      <c r="X31" s="33">
        <v>7866.7626953125</v>
      </c>
    </row>
    <row r="32" spans="1:24" x14ac:dyDescent="0.25">
      <c r="A32" s="22" t="s">
        <v>507</v>
      </c>
      <c r="B32" s="2" t="s">
        <v>537</v>
      </c>
      <c r="C32" s="2" t="s">
        <v>540</v>
      </c>
      <c r="D32" s="46" t="s">
        <v>576</v>
      </c>
      <c r="E32" s="46" t="s">
        <v>630</v>
      </c>
      <c r="F32" s="24" t="str">
        <f>HYPERLINK("https://mapwv.gov/flood/map/?wkid=102100&amp;x=-8998862.916067718&amp;y=4712118.399078108&amp;l=13&amp;v=2","FT")</f>
        <v>FT</v>
      </c>
      <c r="G32" s="29" t="s">
        <v>31</v>
      </c>
      <c r="H32" s="29" t="s">
        <v>24</v>
      </c>
      <c r="I32" s="2" t="s">
        <v>681</v>
      </c>
      <c r="J32" s="22" t="s">
        <v>38</v>
      </c>
      <c r="K32" s="47" t="s">
        <v>712</v>
      </c>
      <c r="L32" s="45" t="s">
        <v>716</v>
      </c>
      <c r="M32" s="46" t="s">
        <v>55</v>
      </c>
      <c r="N32" s="3" t="s">
        <v>34</v>
      </c>
      <c r="O32" s="47" t="s">
        <v>91</v>
      </c>
      <c r="P32" s="46" t="s">
        <v>738</v>
      </c>
      <c r="Q32" s="46" t="s">
        <v>29</v>
      </c>
      <c r="R32" s="23" t="s">
        <v>92</v>
      </c>
      <c r="S32" s="30">
        <v>163400</v>
      </c>
      <c r="T32" s="2" t="s">
        <v>43</v>
      </c>
      <c r="U32" s="31">
        <v>4.0877074999999996</v>
      </c>
      <c r="V32" s="31">
        <v>3.08770751953125</v>
      </c>
      <c r="W32" s="32">
        <v>0.22526245117187499</v>
      </c>
      <c r="X32" s="33">
        <v>36807.884521484302</v>
      </c>
    </row>
    <row r="33" spans="1:24" x14ac:dyDescent="0.25">
      <c r="A33" s="22" t="s">
        <v>508</v>
      </c>
      <c r="B33" s="2" t="s">
        <v>538</v>
      </c>
      <c r="C33" s="2" t="s">
        <v>542</v>
      </c>
      <c r="D33" s="46" t="s">
        <v>577</v>
      </c>
      <c r="E33" s="46" t="s">
        <v>631</v>
      </c>
      <c r="F33" s="24" t="str">
        <f>HYPERLINK("https://mapwv.gov/flood/map/?wkid=102100&amp;x=-9009880.679068042&amp;y=4700370.5950183375&amp;l=13&amp;v=2","FT")</f>
        <v>FT</v>
      </c>
      <c r="G33" s="29" t="s">
        <v>31</v>
      </c>
      <c r="H33" s="29" t="s">
        <v>24</v>
      </c>
      <c r="I33" s="2" t="s">
        <v>682</v>
      </c>
      <c r="J33" s="22" t="s">
        <v>38</v>
      </c>
      <c r="K33" s="47" t="s">
        <v>96</v>
      </c>
      <c r="L33" s="45" t="s">
        <v>49</v>
      </c>
      <c r="M33" s="46" t="s">
        <v>40</v>
      </c>
      <c r="N33" s="3" t="s">
        <v>41</v>
      </c>
      <c r="O33" s="47" t="s">
        <v>90</v>
      </c>
      <c r="P33" s="46" t="s">
        <v>739</v>
      </c>
      <c r="Q33" s="46" t="s">
        <v>42</v>
      </c>
      <c r="R33" s="23" t="s">
        <v>93</v>
      </c>
      <c r="S33" s="30">
        <v>162900</v>
      </c>
      <c r="T33" s="2" t="s">
        <v>43</v>
      </c>
      <c r="U33" s="31">
        <v>3.3752440000000002E-2</v>
      </c>
      <c r="V33" s="31">
        <v>-3.96624755859375</v>
      </c>
      <c r="W33" s="32">
        <v>0</v>
      </c>
      <c r="X33" s="33">
        <v>0</v>
      </c>
    </row>
    <row r="34" spans="1:24" x14ac:dyDescent="0.25">
      <c r="A34" s="22" t="s">
        <v>509</v>
      </c>
      <c r="B34" s="2" t="s">
        <v>537</v>
      </c>
      <c r="C34" s="2" t="s">
        <v>546</v>
      </c>
      <c r="D34" s="46" t="s">
        <v>578</v>
      </c>
      <c r="E34" s="46" t="s">
        <v>632</v>
      </c>
      <c r="F34" s="24" t="str">
        <f>HYPERLINK("https://mapwv.gov/flood/map/?wkid=102100&amp;x=-8998780.654860206&amp;y=4712302.4108837&amp;l=13&amp;v=2","FT")</f>
        <v>FT</v>
      </c>
      <c r="G34" s="29" t="s">
        <v>31</v>
      </c>
      <c r="H34" s="29" t="s">
        <v>24</v>
      </c>
      <c r="I34" s="2" t="s">
        <v>683</v>
      </c>
      <c r="J34" s="22" t="s">
        <v>25</v>
      </c>
      <c r="K34" s="47" t="s">
        <v>128</v>
      </c>
      <c r="L34" s="45" t="s">
        <v>26</v>
      </c>
      <c r="M34" s="46" t="s">
        <v>46</v>
      </c>
      <c r="N34" s="3" t="s">
        <v>34</v>
      </c>
      <c r="O34" s="47" t="s">
        <v>91</v>
      </c>
      <c r="P34" s="46" t="s">
        <v>740</v>
      </c>
      <c r="Q34" s="46" t="s">
        <v>29</v>
      </c>
      <c r="R34" s="23" t="s">
        <v>92</v>
      </c>
      <c r="S34" s="30">
        <v>162000</v>
      </c>
      <c r="T34" s="2" t="s">
        <v>43</v>
      </c>
      <c r="U34" s="31">
        <v>0</v>
      </c>
      <c r="V34" s="31">
        <v>-1</v>
      </c>
      <c r="W34" s="32">
        <v>0</v>
      </c>
      <c r="X34" s="33">
        <v>0</v>
      </c>
    </row>
    <row r="35" spans="1:24" x14ac:dyDescent="0.25">
      <c r="A35" s="22" t="s">
        <v>510</v>
      </c>
      <c r="B35" s="2" t="s">
        <v>538</v>
      </c>
      <c r="C35" s="2" t="s">
        <v>547</v>
      </c>
      <c r="D35" s="46" t="s">
        <v>579</v>
      </c>
      <c r="E35" s="46" t="s">
        <v>633</v>
      </c>
      <c r="F35" s="24" t="str">
        <f>HYPERLINK("https://mapwv.gov/flood/map/?wkid=102100&amp;x=-8990959.171329634&amp;y=4716029.387464247&amp;l=13&amp;v=2","FT")</f>
        <v>FT</v>
      </c>
      <c r="G35" s="29" t="s">
        <v>37</v>
      </c>
      <c r="H35" s="29" t="s">
        <v>24</v>
      </c>
      <c r="I35" s="2" t="s">
        <v>684</v>
      </c>
      <c r="J35" s="22" t="s">
        <v>38</v>
      </c>
      <c r="K35" s="47" t="s">
        <v>107</v>
      </c>
      <c r="L35" s="45" t="s">
        <v>26</v>
      </c>
      <c r="M35" s="46" t="s">
        <v>40</v>
      </c>
      <c r="N35" s="3" t="s">
        <v>41</v>
      </c>
      <c r="O35" s="47" t="s">
        <v>91</v>
      </c>
      <c r="P35" s="46" t="s">
        <v>741</v>
      </c>
      <c r="Q35" s="46" t="s">
        <v>51</v>
      </c>
      <c r="R35" s="23" t="s">
        <v>108</v>
      </c>
      <c r="S35" s="30">
        <v>161100</v>
      </c>
      <c r="T35" s="2" t="s">
        <v>43</v>
      </c>
      <c r="U35" s="31">
        <v>0</v>
      </c>
      <c r="V35" s="31">
        <v>-3</v>
      </c>
      <c r="W35" s="32">
        <v>0</v>
      </c>
      <c r="X35" s="33">
        <v>0</v>
      </c>
    </row>
    <row r="36" spans="1:24" x14ac:dyDescent="0.25">
      <c r="A36" s="22" t="s">
        <v>511</v>
      </c>
      <c r="B36" s="2" t="s">
        <v>538</v>
      </c>
      <c r="C36" s="2" t="s">
        <v>542</v>
      </c>
      <c r="D36" s="46" t="s">
        <v>580</v>
      </c>
      <c r="E36" s="46" t="s">
        <v>634</v>
      </c>
      <c r="F36" s="24" t="str">
        <f>HYPERLINK("https://mapwv.gov/flood/map/?wkid=102100&amp;x=-9009751.502372455&amp;y=4700325.793783113&amp;l=13&amp;v=2","FT")</f>
        <v>FT</v>
      </c>
      <c r="G36" s="29" t="s">
        <v>31</v>
      </c>
      <c r="H36" s="29" t="s">
        <v>24</v>
      </c>
      <c r="I36" s="2" t="s">
        <v>685</v>
      </c>
      <c r="J36" s="22" t="s">
        <v>38</v>
      </c>
      <c r="K36" s="47" t="s">
        <v>126</v>
      </c>
      <c r="L36" s="45" t="s">
        <v>39</v>
      </c>
      <c r="M36" s="46" t="s">
        <v>27</v>
      </c>
      <c r="N36" s="3" t="s">
        <v>87</v>
      </c>
      <c r="O36" s="47" t="s">
        <v>90</v>
      </c>
      <c r="P36" s="46" t="s">
        <v>742</v>
      </c>
      <c r="Q36" s="46" t="s">
        <v>29</v>
      </c>
      <c r="R36" s="23" t="s">
        <v>92</v>
      </c>
      <c r="S36" s="30">
        <v>156700</v>
      </c>
      <c r="T36" s="2" t="s">
        <v>43</v>
      </c>
      <c r="U36" s="31">
        <v>1.4379272000000001</v>
      </c>
      <c r="V36" s="31">
        <v>0.43792724609375</v>
      </c>
      <c r="W36" s="32">
        <v>2.18963623046875E-2</v>
      </c>
      <c r="X36" s="33">
        <v>3431.1599731445299</v>
      </c>
    </row>
    <row r="37" spans="1:24" x14ac:dyDescent="0.25">
      <c r="A37" s="22" t="s">
        <v>512</v>
      </c>
      <c r="B37" s="2" t="s">
        <v>538</v>
      </c>
      <c r="C37" s="2" t="s">
        <v>540</v>
      </c>
      <c r="D37" s="46" t="s">
        <v>581</v>
      </c>
      <c r="E37" s="46" t="s">
        <v>635</v>
      </c>
      <c r="F37" s="24" t="str">
        <f>HYPERLINK("https://mapwv.gov/flood/map/?wkid=102100&amp;x=-8993931.421548685&amp;y=4711593.965145443&amp;l=13&amp;v=2","FT")</f>
        <v>FT</v>
      </c>
      <c r="G37" s="29" t="s">
        <v>31</v>
      </c>
      <c r="H37" s="29" t="s">
        <v>24</v>
      </c>
      <c r="I37" s="2" t="s">
        <v>686</v>
      </c>
      <c r="J37" s="22" t="s">
        <v>25</v>
      </c>
      <c r="K37" s="47" t="s">
        <v>101</v>
      </c>
      <c r="L37" s="45" t="s">
        <v>44</v>
      </c>
      <c r="M37" s="46" t="s">
        <v>40</v>
      </c>
      <c r="N37" s="3" t="s">
        <v>41</v>
      </c>
      <c r="O37" s="47" t="s">
        <v>90</v>
      </c>
      <c r="P37" s="46" t="s">
        <v>743</v>
      </c>
      <c r="Q37" s="46" t="s">
        <v>51</v>
      </c>
      <c r="R37" s="23" t="s">
        <v>93</v>
      </c>
      <c r="S37" s="30">
        <v>152500</v>
      </c>
      <c r="T37" s="2" t="s">
        <v>43</v>
      </c>
      <c r="U37" s="31">
        <v>0.37280273000000003</v>
      </c>
      <c r="V37" s="31">
        <v>-3.627197265625</v>
      </c>
      <c r="W37" s="32">
        <v>0</v>
      </c>
      <c r="X37" s="33">
        <v>0</v>
      </c>
    </row>
    <row r="38" spans="1:24" x14ac:dyDescent="0.25">
      <c r="A38" s="22" t="s">
        <v>513</v>
      </c>
      <c r="B38" s="2" t="s">
        <v>538</v>
      </c>
      <c r="C38" s="2" t="s">
        <v>540</v>
      </c>
      <c r="D38" s="46" t="s">
        <v>582</v>
      </c>
      <c r="E38" s="46" t="s">
        <v>636</v>
      </c>
      <c r="F38" s="24" t="str">
        <f>HYPERLINK("https://mapwv.gov/flood/map/?wkid=102100&amp;x=-8993813.525858972&amp;y=4711520.590310786&amp;l=13&amp;v=2","FT")</f>
        <v>FT</v>
      </c>
      <c r="G38" s="29" t="s">
        <v>31</v>
      </c>
      <c r="H38" s="29" t="s">
        <v>24</v>
      </c>
      <c r="I38" s="2" t="s">
        <v>687</v>
      </c>
      <c r="J38" s="22" t="s">
        <v>25</v>
      </c>
      <c r="K38" s="47" t="s">
        <v>72</v>
      </c>
      <c r="L38" s="45" t="s">
        <v>45</v>
      </c>
      <c r="M38" s="46" t="s">
        <v>40</v>
      </c>
      <c r="N38" s="3" t="s">
        <v>41</v>
      </c>
      <c r="O38" s="47" t="s">
        <v>90</v>
      </c>
      <c r="P38" s="46" t="s">
        <v>744</v>
      </c>
      <c r="Q38" s="46" t="s">
        <v>51</v>
      </c>
      <c r="R38" s="23" t="s">
        <v>93</v>
      </c>
      <c r="S38" s="30">
        <v>146800</v>
      </c>
      <c r="T38" s="2" t="s">
        <v>43</v>
      </c>
      <c r="U38" s="31">
        <v>0.25238037000000002</v>
      </c>
      <c r="V38" s="31">
        <v>-3.74761962890625</v>
      </c>
      <c r="W38" s="32">
        <v>0</v>
      </c>
      <c r="X38" s="33">
        <v>0</v>
      </c>
    </row>
    <row r="39" spans="1:24" x14ac:dyDescent="0.25">
      <c r="A39" s="22" t="s">
        <v>514</v>
      </c>
      <c r="B39" s="2" t="s">
        <v>537</v>
      </c>
      <c r="C39" s="2" t="s">
        <v>540</v>
      </c>
      <c r="D39" s="46" t="s">
        <v>583</v>
      </c>
      <c r="E39" s="46" t="s">
        <v>637</v>
      </c>
      <c r="F39" s="24" t="str">
        <f>HYPERLINK("https://mapwv.gov/flood/map/?wkid=102100&amp;x=-8998599.922991483&amp;y=4712032.561120282&amp;l=13&amp;v=2","FT")</f>
        <v>FT</v>
      </c>
      <c r="G39" s="29" t="s">
        <v>31</v>
      </c>
      <c r="H39" s="29" t="s">
        <v>24</v>
      </c>
      <c r="I39" s="2" t="s">
        <v>688</v>
      </c>
      <c r="J39" s="22" t="s">
        <v>38</v>
      </c>
      <c r="K39" s="47" t="s">
        <v>713</v>
      </c>
      <c r="L39" s="45" t="s">
        <v>26</v>
      </c>
      <c r="M39" s="46" t="s">
        <v>27</v>
      </c>
      <c r="N39" s="3" t="s">
        <v>87</v>
      </c>
      <c r="O39" s="47" t="s">
        <v>90</v>
      </c>
      <c r="P39" s="46" t="s">
        <v>478</v>
      </c>
      <c r="Q39" s="46" t="s">
        <v>29</v>
      </c>
      <c r="R39" s="23" t="s">
        <v>92</v>
      </c>
      <c r="S39" s="30">
        <v>145500</v>
      </c>
      <c r="T39" s="2" t="s">
        <v>43</v>
      </c>
      <c r="U39" s="31">
        <v>6.3110349999999996E-2</v>
      </c>
      <c r="V39" s="31">
        <v>-0.9368896484375</v>
      </c>
      <c r="W39" s="32">
        <v>0</v>
      </c>
      <c r="X39" s="33">
        <v>0</v>
      </c>
    </row>
    <row r="40" spans="1:24" x14ac:dyDescent="0.25">
      <c r="A40" s="22" t="s">
        <v>515</v>
      </c>
      <c r="B40" s="2" t="s">
        <v>537</v>
      </c>
      <c r="C40" s="2" t="s">
        <v>540</v>
      </c>
      <c r="D40" s="46" t="s">
        <v>584</v>
      </c>
      <c r="E40" s="46" t="s">
        <v>638</v>
      </c>
      <c r="F40" s="24" t="str">
        <f>HYPERLINK("https://mapwv.gov/flood/map/?wkid=102100&amp;x=-8998444.613154873&amp;y=4712011.917192631&amp;l=13&amp;v=2","FT")</f>
        <v>FT</v>
      </c>
      <c r="G40" s="29" t="s">
        <v>31</v>
      </c>
      <c r="H40" s="29" t="s">
        <v>24</v>
      </c>
      <c r="I40" s="2" t="s">
        <v>689</v>
      </c>
      <c r="J40" s="22" t="s">
        <v>38</v>
      </c>
      <c r="K40" s="47" t="s">
        <v>120</v>
      </c>
      <c r="L40" s="45"/>
      <c r="M40" s="46" t="s">
        <v>50</v>
      </c>
      <c r="N40" s="3" t="s">
        <v>34</v>
      </c>
      <c r="O40" s="47" t="s">
        <v>90</v>
      </c>
      <c r="P40" s="46" t="s">
        <v>745</v>
      </c>
      <c r="Q40" s="46" t="s">
        <v>29</v>
      </c>
      <c r="R40" s="23" t="s">
        <v>92</v>
      </c>
      <c r="S40" s="30">
        <v>144564</v>
      </c>
      <c r="T40" s="2" t="s">
        <v>94</v>
      </c>
      <c r="U40" s="31">
        <v>0.71514889999999998</v>
      </c>
      <c r="V40" s="31">
        <v>-0.28485107421875</v>
      </c>
      <c r="W40" s="32">
        <v>7.1514892578125001E-3</v>
      </c>
      <c r="X40" s="33">
        <v>1033.8478930664</v>
      </c>
    </row>
    <row r="41" spans="1:24" x14ac:dyDescent="0.25">
      <c r="A41" s="22" t="s">
        <v>516</v>
      </c>
      <c r="B41" s="2" t="s">
        <v>538</v>
      </c>
      <c r="C41" s="2" t="s">
        <v>541</v>
      </c>
      <c r="D41" s="46" t="s">
        <v>585</v>
      </c>
      <c r="E41" s="46" t="s">
        <v>639</v>
      </c>
      <c r="F41" s="24" t="str">
        <f>HYPERLINK("https://mapwv.gov/flood/map/?wkid=102100&amp;x=-8990466.110476911&amp;y=4724537.990087128&amp;l=13&amp;v=2","FT")</f>
        <v>FT</v>
      </c>
      <c r="G41" s="29" t="s">
        <v>71</v>
      </c>
      <c r="H41" s="29" t="s">
        <v>24</v>
      </c>
      <c r="I41" s="2" t="s">
        <v>690</v>
      </c>
      <c r="J41" s="22" t="s">
        <v>38</v>
      </c>
      <c r="K41" s="47" t="s">
        <v>120</v>
      </c>
      <c r="L41" s="45"/>
      <c r="M41" s="46" t="s">
        <v>63</v>
      </c>
      <c r="N41" s="3" t="s">
        <v>87</v>
      </c>
      <c r="O41" s="47" t="s">
        <v>90</v>
      </c>
      <c r="P41" s="46" t="s">
        <v>179</v>
      </c>
      <c r="Q41" s="46" t="s">
        <v>29</v>
      </c>
      <c r="R41" s="23" t="s">
        <v>92</v>
      </c>
      <c r="S41" s="30">
        <v>139005</v>
      </c>
      <c r="T41" s="2" t="s">
        <v>94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25">
      <c r="A42" s="22" t="s">
        <v>517</v>
      </c>
      <c r="B42" s="2" t="s">
        <v>537</v>
      </c>
      <c r="C42" s="2" t="s">
        <v>540</v>
      </c>
      <c r="D42" s="46" t="s">
        <v>586</v>
      </c>
      <c r="E42" s="46" t="s">
        <v>640</v>
      </c>
      <c r="F42" s="24" t="str">
        <f>HYPERLINK("https://mapwv.gov/flood/map/?wkid=102100&amp;x=-8998808.196749376&amp;y=4712189.29374384&amp;l=13&amp;v=2","FT")</f>
        <v>FT</v>
      </c>
      <c r="G42" s="29" t="s">
        <v>31</v>
      </c>
      <c r="H42" s="29" t="s">
        <v>24</v>
      </c>
      <c r="I42" s="2" t="s">
        <v>691</v>
      </c>
      <c r="J42" s="22" t="s">
        <v>38</v>
      </c>
      <c r="K42" s="47" t="s">
        <v>106</v>
      </c>
      <c r="L42" s="45" t="s">
        <v>52</v>
      </c>
      <c r="M42" s="46" t="s">
        <v>55</v>
      </c>
      <c r="N42" s="3" t="s">
        <v>34</v>
      </c>
      <c r="O42" s="47" t="s">
        <v>91</v>
      </c>
      <c r="P42" s="46" t="s">
        <v>731</v>
      </c>
      <c r="Q42" s="46" t="s">
        <v>29</v>
      </c>
      <c r="R42" s="23" t="s">
        <v>92</v>
      </c>
      <c r="S42" s="30">
        <v>138800</v>
      </c>
      <c r="T42" s="2" t="s">
        <v>30</v>
      </c>
      <c r="U42" s="31">
        <v>2.9985352000000001</v>
      </c>
      <c r="V42" s="31">
        <v>1.99853515625</v>
      </c>
      <c r="W42" s="32">
        <v>0.15992675781249902</v>
      </c>
      <c r="X42" s="33">
        <v>22197.833984374902</v>
      </c>
    </row>
    <row r="43" spans="1:24" x14ac:dyDescent="0.25">
      <c r="A43" s="22" t="s">
        <v>518</v>
      </c>
      <c r="B43" s="2" t="s">
        <v>538</v>
      </c>
      <c r="C43" s="2" t="s">
        <v>548</v>
      </c>
      <c r="D43" s="46" t="s">
        <v>587</v>
      </c>
      <c r="E43" s="46" t="s">
        <v>641</v>
      </c>
      <c r="F43" s="24" t="str">
        <f>HYPERLINK("https://mapwv.gov/flood/map/?wkid=102100&amp;x=-9002294.33937142&amp;y=4709795.903624107&amp;l=13&amp;v=2","FT")</f>
        <v>FT</v>
      </c>
      <c r="G43" s="29" t="s">
        <v>37</v>
      </c>
      <c r="H43" s="29" t="s">
        <v>24</v>
      </c>
      <c r="I43" s="2" t="s">
        <v>692</v>
      </c>
      <c r="J43" s="22" t="s">
        <v>38</v>
      </c>
      <c r="K43" s="47" t="s">
        <v>711</v>
      </c>
      <c r="L43" s="45" t="s">
        <v>44</v>
      </c>
      <c r="M43" s="46" t="s">
        <v>40</v>
      </c>
      <c r="N43" s="3" t="s">
        <v>41</v>
      </c>
      <c r="O43" s="47" t="s">
        <v>90</v>
      </c>
      <c r="P43" s="46" t="s">
        <v>746</v>
      </c>
      <c r="Q43" s="46" t="s">
        <v>42</v>
      </c>
      <c r="R43" s="23" t="s">
        <v>93</v>
      </c>
      <c r="S43" s="30">
        <v>137000</v>
      </c>
      <c r="T43" s="2" t="s">
        <v>43</v>
      </c>
      <c r="U43" s="31">
        <v>0</v>
      </c>
      <c r="V43" s="31">
        <v>-4</v>
      </c>
      <c r="W43" s="32">
        <v>0</v>
      </c>
      <c r="X43" s="33">
        <v>0</v>
      </c>
    </row>
    <row r="44" spans="1:24" x14ac:dyDescent="0.25">
      <c r="A44" s="22" t="s">
        <v>519</v>
      </c>
      <c r="B44" s="2" t="s">
        <v>538</v>
      </c>
      <c r="C44" s="2" t="s">
        <v>540</v>
      </c>
      <c r="D44" s="46" t="s">
        <v>588</v>
      </c>
      <c r="E44" s="46" t="s">
        <v>642</v>
      </c>
      <c r="F44" s="24" t="str">
        <f>HYPERLINK("https://mapwv.gov/flood/map/?wkid=102100&amp;x=-9007584.336306803&amp;y=4715548.296283354&amp;l=13&amp;v=2","FT")</f>
        <v>FT</v>
      </c>
      <c r="G44" s="29" t="s">
        <v>31</v>
      </c>
      <c r="H44" s="29" t="s">
        <v>24</v>
      </c>
      <c r="I44" s="2" t="s">
        <v>693</v>
      </c>
      <c r="J44" s="22" t="s">
        <v>38</v>
      </c>
      <c r="K44" s="47" t="s">
        <v>96</v>
      </c>
      <c r="L44" s="45" t="s">
        <v>36</v>
      </c>
      <c r="M44" s="46" t="s">
        <v>46</v>
      </c>
      <c r="N44" s="3" t="s">
        <v>34</v>
      </c>
      <c r="O44" s="47" t="s">
        <v>90</v>
      </c>
      <c r="P44" s="46" t="s">
        <v>747</v>
      </c>
      <c r="Q44" s="46" t="s">
        <v>29</v>
      </c>
      <c r="R44" s="23" t="s">
        <v>92</v>
      </c>
      <c r="S44" s="30">
        <v>134300</v>
      </c>
      <c r="T44" s="2" t="s">
        <v>43</v>
      </c>
      <c r="U44" s="31">
        <v>1.8323364</v>
      </c>
      <c r="V44" s="31">
        <v>0.83233642578125</v>
      </c>
      <c r="W44" s="32">
        <v>7.6586914062499997E-2</v>
      </c>
      <c r="X44" s="33">
        <v>10285.622558593701</v>
      </c>
    </row>
    <row r="45" spans="1:24" x14ac:dyDescent="0.25">
      <c r="A45" s="22" t="s">
        <v>520</v>
      </c>
      <c r="B45" s="2" t="s">
        <v>539</v>
      </c>
      <c r="C45" s="2" t="s">
        <v>543</v>
      </c>
      <c r="D45" s="46" t="s">
        <v>589</v>
      </c>
      <c r="E45" s="46" t="s">
        <v>643</v>
      </c>
      <c r="F45" s="24" t="str">
        <f>HYPERLINK("https://mapwv.gov/flood/map/?wkid=102100&amp;x=-8988662.121244347&amp;y=4709444.3329717815&amp;l=13&amp;v=2","FT")</f>
        <v>FT</v>
      </c>
      <c r="G45" s="29" t="s">
        <v>31</v>
      </c>
      <c r="H45" s="29" t="s">
        <v>24</v>
      </c>
      <c r="I45" s="2" t="s">
        <v>694</v>
      </c>
      <c r="J45" s="22" t="s">
        <v>38</v>
      </c>
      <c r="K45" s="47" t="s">
        <v>123</v>
      </c>
      <c r="L45" s="45" t="s">
        <v>26</v>
      </c>
      <c r="M45" s="46" t="s">
        <v>55</v>
      </c>
      <c r="N45" s="3" t="s">
        <v>34</v>
      </c>
      <c r="O45" s="47" t="s">
        <v>90</v>
      </c>
      <c r="P45" s="46" t="s">
        <v>169</v>
      </c>
      <c r="Q45" s="46" t="s">
        <v>29</v>
      </c>
      <c r="R45" s="23" t="s">
        <v>92</v>
      </c>
      <c r="S45" s="30">
        <v>128600</v>
      </c>
      <c r="T45" s="2" t="s">
        <v>43</v>
      </c>
      <c r="U45" s="31">
        <v>0.17492675999999999</v>
      </c>
      <c r="V45" s="31">
        <v>-0.8250732421875</v>
      </c>
      <c r="W45" s="32">
        <v>3.49853515625E-3</v>
      </c>
      <c r="X45" s="33">
        <v>449.91162109375</v>
      </c>
    </row>
    <row r="46" spans="1:24" x14ac:dyDescent="0.25">
      <c r="A46" s="22" t="s">
        <v>521</v>
      </c>
      <c r="B46" s="2" t="s">
        <v>538</v>
      </c>
      <c r="C46" s="2" t="s">
        <v>549</v>
      </c>
      <c r="D46" s="46" t="s">
        <v>590</v>
      </c>
      <c r="E46" s="46" t="s">
        <v>644</v>
      </c>
      <c r="F46" s="24" t="str">
        <f>HYPERLINK("https://mapwv.gov/flood/map/?wkid=102100&amp;x=-8995516.34649115&amp;y=4728510.6037791325&amp;l=13&amp;v=2","FT")</f>
        <v>FT</v>
      </c>
      <c r="G46" s="29" t="s">
        <v>37</v>
      </c>
      <c r="H46" s="29" t="s">
        <v>24</v>
      </c>
      <c r="I46" s="2" t="s">
        <v>695</v>
      </c>
      <c r="J46" s="22" t="s">
        <v>25</v>
      </c>
      <c r="K46" s="47" t="s">
        <v>79</v>
      </c>
      <c r="L46" s="45" t="s">
        <v>56</v>
      </c>
      <c r="M46" s="46" t="s">
        <v>717</v>
      </c>
      <c r="N46" s="3" t="s">
        <v>41</v>
      </c>
      <c r="O46" s="47" t="s">
        <v>90</v>
      </c>
      <c r="P46" s="46" t="s">
        <v>139</v>
      </c>
      <c r="Q46" s="46" t="s">
        <v>51</v>
      </c>
      <c r="R46" s="23" t="s">
        <v>93</v>
      </c>
      <c r="S46" s="30">
        <v>126100</v>
      </c>
      <c r="T46" s="2" t="s">
        <v>43</v>
      </c>
      <c r="U46" s="31">
        <v>0</v>
      </c>
      <c r="V46" s="31">
        <v>-4</v>
      </c>
      <c r="W46" s="32">
        <v>0</v>
      </c>
      <c r="X46" s="33">
        <v>0</v>
      </c>
    </row>
    <row r="47" spans="1:24" x14ac:dyDescent="0.25">
      <c r="A47" s="22" t="s">
        <v>522</v>
      </c>
      <c r="B47" s="2" t="s">
        <v>537</v>
      </c>
      <c r="C47" s="2" t="s">
        <v>540</v>
      </c>
      <c r="D47" s="46" t="s">
        <v>591</v>
      </c>
      <c r="E47" s="46" t="s">
        <v>645</v>
      </c>
      <c r="F47" s="24" t="str">
        <f>HYPERLINK("https://mapwv.gov/flood/map/?wkid=102100&amp;x=-8998781.451573797&amp;y=4712054.156599381&amp;l=13&amp;v=2","FT")</f>
        <v>FT</v>
      </c>
      <c r="G47" s="29" t="s">
        <v>31</v>
      </c>
      <c r="H47" s="29" t="s">
        <v>24</v>
      </c>
      <c r="I47" s="2" t="s">
        <v>696</v>
      </c>
      <c r="J47" s="22" t="s">
        <v>38</v>
      </c>
      <c r="K47" s="47" t="s">
        <v>104</v>
      </c>
      <c r="L47" s="45" t="s">
        <v>26</v>
      </c>
      <c r="M47" s="46" t="s">
        <v>61</v>
      </c>
      <c r="N47" s="3" t="s">
        <v>41</v>
      </c>
      <c r="O47" s="47" t="s">
        <v>91</v>
      </c>
      <c r="P47" s="46" t="s">
        <v>748</v>
      </c>
      <c r="Q47" s="46" t="s">
        <v>29</v>
      </c>
      <c r="R47" s="23" t="s">
        <v>92</v>
      </c>
      <c r="S47" s="30">
        <v>122200</v>
      </c>
      <c r="T47" s="2" t="s">
        <v>43</v>
      </c>
      <c r="U47" s="31">
        <v>2.2630005</v>
      </c>
      <c r="V47" s="31">
        <v>1.26300048828125</v>
      </c>
      <c r="W47" s="32">
        <v>3.5260009765625003E-2</v>
      </c>
      <c r="X47" s="33">
        <v>4308.7731933593705</v>
      </c>
    </row>
    <row r="48" spans="1:24" x14ac:dyDescent="0.25">
      <c r="A48" s="22" t="s">
        <v>523</v>
      </c>
      <c r="B48" s="2" t="s">
        <v>537</v>
      </c>
      <c r="C48" s="2" t="s">
        <v>540</v>
      </c>
      <c r="D48" s="46" t="s">
        <v>592</v>
      </c>
      <c r="E48" s="46" t="s">
        <v>646</v>
      </c>
      <c r="F48" s="24" t="str">
        <f>HYPERLINK("https://mapwv.gov/flood/map/?wkid=102100&amp;x=-8998650.10370286&amp;y=4711991.4899675865&amp;l=13&amp;v=2","FT")</f>
        <v>FT</v>
      </c>
      <c r="G48" s="29" t="s">
        <v>31</v>
      </c>
      <c r="H48" s="29" t="s">
        <v>24</v>
      </c>
      <c r="I48" s="2" t="s">
        <v>697</v>
      </c>
      <c r="J48" s="22" t="s">
        <v>38</v>
      </c>
      <c r="K48" s="47" t="s">
        <v>464</v>
      </c>
      <c r="L48" s="45" t="s">
        <v>45</v>
      </c>
      <c r="M48" s="46" t="s">
        <v>40</v>
      </c>
      <c r="N48" s="3" t="s">
        <v>41</v>
      </c>
      <c r="O48" s="47" t="s">
        <v>91</v>
      </c>
      <c r="P48" s="46" t="s">
        <v>746</v>
      </c>
      <c r="Q48" s="46" t="s">
        <v>42</v>
      </c>
      <c r="R48" s="23" t="s">
        <v>93</v>
      </c>
      <c r="S48" s="30">
        <v>121900</v>
      </c>
      <c r="T48" s="2" t="s">
        <v>43</v>
      </c>
      <c r="U48" s="31">
        <v>0.69781493999999999</v>
      </c>
      <c r="V48" s="31">
        <v>-3.30218505859375</v>
      </c>
      <c r="W48" s="32">
        <v>0.04</v>
      </c>
      <c r="X48" s="33">
        <v>4876</v>
      </c>
    </row>
    <row r="49" spans="1:24" x14ac:dyDescent="0.25">
      <c r="A49" s="22" t="s">
        <v>524</v>
      </c>
      <c r="B49" s="2" t="s">
        <v>537</v>
      </c>
      <c r="C49" s="2" t="s">
        <v>540</v>
      </c>
      <c r="D49" s="46" t="s">
        <v>593</v>
      </c>
      <c r="E49" s="46" t="s">
        <v>647</v>
      </c>
      <c r="F49" s="24" t="str">
        <f>HYPERLINK("https://mapwv.gov/flood/map/?wkid=102100&amp;x=-8998617.60909822&amp;y=4711959.49322203&amp;l=13&amp;v=2","FT")</f>
        <v>FT</v>
      </c>
      <c r="G49" s="29" t="s">
        <v>31</v>
      </c>
      <c r="H49" s="29" t="s">
        <v>24</v>
      </c>
      <c r="I49" s="2" t="s">
        <v>698</v>
      </c>
      <c r="J49" s="22" t="s">
        <v>38</v>
      </c>
      <c r="K49" s="47" t="s">
        <v>183</v>
      </c>
      <c r="L49" s="45" t="s">
        <v>56</v>
      </c>
      <c r="M49" s="46" t="s">
        <v>40</v>
      </c>
      <c r="N49" s="3" t="s">
        <v>41</v>
      </c>
      <c r="O49" s="47" t="s">
        <v>91</v>
      </c>
      <c r="P49" s="46" t="s">
        <v>749</v>
      </c>
      <c r="Q49" s="46" t="s">
        <v>42</v>
      </c>
      <c r="R49" s="23" t="s">
        <v>93</v>
      </c>
      <c r="S49" s="30">
        <v>117600</v>
      </c>
      <c r="T49" s="2" t="s">
        <v>43</v>
      </c>
      <c r="U49" s="31">
        <v>3.1146240000000001</v>
      </c>
      <c r="V49" s="31">
        <v>-0.8853759765625</v>
      </c>
      <c r="W49" s="32">
        <v>0.14573120117187499</v>
      </c>
      <c r="X49" s="33">
        <v>17137.9892578125</v>
      </c>
    </row>
    <row r="50" spans="1:24" x14ac:dyDescent="0.25">
      <c r="A50" s="22" t="s">
        <v>525</v>
      </c>
      <c r="B50" s="2" t="s">
        <v>538</v>
      </c>
      <c r="C50" s="2" t="s">
        <v>547</v>
      </c>
      <c r="D50" s="46" t="s">
        <v>594</v>
      </c>
      <c r="E50" s="46" t="s">
        <v>648</v>
      </c>
      <c r="F50" s="24" t="str">
        <f>HYPERLINK("https://mapwv.gov/flood/map/?wkid=102100&amp;x=-8990356.566086717&amp;y=4716173.396877435&amp;l=13&amp;v=2","FT")</f>
        <v>FT</v>
      </c>
      <c r="G50" s="29" t="s">
        <v>37</v>
      </c>
      <c r="H50" s="29" t="s">
        <v>24</v>
      </c>
      <c r="I50" s="2" t="s">
        <v>699</v>
      </c>
      <c r="J50" s="22" t="s">
        <v>25</v>
      </c>
      <c r="K50" s="47" t="s">
        <v>124</v>
      </c>
      <c r="L50" s="45" t="s">
        <v>56</v>
      </c>
      <c r="M50" s="46" t="s">
        <v>40</v>
      </c>
      <c r="N50" s="3" t="s">
        <v>41</v>
      </c>
      <c r="O50" s="47" t="s">
        <v>90</v>
      </c>
      <c r="P50" s="46" t="s">
        <v>140</v>
      </c>
      <c r="Q50" s="46" t="s">
        <v>51</v>
      </c>
      <c r="R50" s="23" t="s">
        <v>93</v>
      </c>
      <c r="S50" s="30">
        <v>113600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25">
      <c r="A51" s="22" t="s">
        <v>526</v>
      </c>
      <c r="B51" s="2" t="s">
        <v>538</v>
      </c>
      <c r="C51" s="2" t="s">
        <v>547</v>
      </c>
      <c r="D51" s="46" t="s">
        <v>595</v>
      </c>
      <c r="E51" s="46" t="s">
        <v>649</v>
      </c>
      <c r="F51" s="24" t="str">
        <f>HYPERLINK("https://mapwv.gov/flood/map/?wkid=102100&amp;x=-8992843.975729525&amp;y=4715590.524359477&amp;l=13&amp;v=2","FT")</f>
        <v>FT</v>
      </c>
      <c r="G51" s="29" t="s">
        <v>37</v>
      </c>
      <c r="H51" s="29" t="s">
        <v>24</v>
      </c>
      <c r="I51" s="2" t="s">
        <v>700</v>
      </c>
      <c r="J51" s="22" t="s">
        <v>38</v>
      </c>
      <c r="K51" s="47" t="s">
        <v>182</v>
      </c>
      <c r="L51" s="45" t="s">
        <v>56</v>
      </c>
      <c r="M51" s="46" t="s">
        <v>40</v>
      </c>
      <c r="N51" s="3" t="s">
        <v>41</v>
      </c>
      <c r="O51" s="47" t="s">
        <v>90</v>
      </c>
      <c r="P51" s="46" t="s">
        <v>750</v>
      </c>
      <c r="Q51" s="46" t="s">
        <v>42</v>
      </c>
      <c r="R51" s="23" t="s">
        <v>93</v>
      </c>
      <c r="S51" s="30">
        <v>113500</v>
      </c>
      <c r="T51" s="2" t="s">
        <v>43</v>
      </c>
      <c r="U51" s="31">
        <v>0</v>
      </c>
      <c r="V51" s="31">
        <v>-4</v>
      </c>
      <c r="W51" s="32">
        <v>0</v>
      </c>
      <c r="X51" s="33">
        <v>0</v>
      </c>
    </row>
    <row r="52" spans="1:24" x14ac:dyDescent="0.25">
      <c r="A52" s="22" t="s">
        <v>527</v>
      </c>
      <c r="B52" s="2" t="s">
        <v>538</v>
      </c>
      <c r="C52" s="2" t="s">
        <v>542</v>
      </c>
      <c r="D52" s="46" t="s">
        <v>596</v>
      </c>
      <c r="E52" s="46" t="s">
        <v>650</v>
      </c>
      <c r="F52" s="24" t="str">
        <f>HYPERLINK("https://mapwv.gov/flood/map/?wkid=102100&amp;x=-9008585.349554487&amp;y=4696318.902206924&amp;l=13&amp;v=2","FT")</f>
        <v>FT</v>
      </c>
      <c r="G52" s="29" t="s">
        <v>37</v>
      </c>
      <c r="H52" s="29" t="s">
        <v>24</v>
      </c>
      <c r="I52" s="2" t="s">
        <v>701</v>
      </c>
      <c r="J52" s="22" t="s">
        <v>38</v>
      </c>
      <c r="K52" s="47" t="s">
        <v>714</v>
      </c>
      <c r="L52" s="45" t="s">
        <v>49</v>
      </c>
      <c r="M52" s="46" t="s">
        <v>40</v>
      </c>
      <c r="N52" s="3" t="s">
        <v>41</v>
      </c>
      <c r="O52" s="47" t="s">
        <v>90</v>
      </c>
      <c r="P52" s="46" t="s">
        <v>751</v>
      </c>
      <c r="Q52" s="46" t="s">
        <v>42</v>
      </c>
      <c r="R52" s="23" t="s">
        <v>93</v>
      </c>
      <c r="S52" s="30">
        <v>112600</v>
      </c>
      <c r="T52" s="2" t="s">
        <v>43</v>
      </c>
      <c r="U52" s="31">
        <v>9</v>
      </c>
      <c r="V52" s="31">
        <v>5</v>
      </c>
      <c r="W52" s="32">
        <v>0.59</v>
      </c>
      <c r="X52" s="33">
        <v>66434</v>
      </c>
    </row>
    <row r="53" spans="1:24" x14ac:dyDescent="0.25">
      <c r="A53" s="22" t="s">
        <v>528</v>
      </c>
      <c r="B53" s="2" t="s">
        <v>537</v>
      </c>
      <c r="C53" s="2" t="s">
        <v>550</v>
      </c>
      <c r="D53" s="46" t="s">
        <v>597</v>
      </c>
      <c r="E53" s="46" t="s">
        <v>651</v>
      </c>
      <c r="F53" s="24" t="str">
        <f>HYPERLINK("https://mapwv.gov/flood/map/?wkid=102100&amp;x=-8999200.905641496&amp;y=4712044.745832725&amp;l=13&amp;v=2","FT")</f>
        <v>FT</v>
      </c>
      <c r="G53" s="29" t="s">
        <v>31</v>
      </c>
      <c r="H53" s="29" t="s">
        <v>24</v>
      </c>
      <c r="I53" s="2" t="s">
        <v>681</v>
      </c>
      <c r="J53" s="22" t="s">
        <v>38</v>
      </c>
      <c r="K53" s="47" t="s">
        <v>106</v>
      </c>
      <c r="L53" s="45" t="s">
        <v>36</v>
      </c>
      <c r="M53" s="46" t="s">
        <v>46</v>
      </c>
      <c r="N53" s="3" t="s">
        <v>34</v>
      </c>
      <c r="O53" s="47" t="s">
        <v>159</v>
      </c>
      <c r="P53" s="46" t="s">
        <v>752</v>
      </c>
      <c r="Q53" s="46" t="s">
        <v>29</v>
      </c>
      <c r="R53" s="23" t="s">
        <v>92</v>
      </c>
      <c r="S53" s="30">
        <v>110900</v>
      </c>
      <c r="T53" s="2" t="s">
        <v>43</v>
      </c>
      <c r="U53" s="31">
        <v>8.1416629999999994</v>
      </c>
      <c r="V53" s="31">
        <v>7.14166259765625</v>
      </c>
      <c r="W53" s="32">
        <v>0.26566650390625002</v>
      </c>
      <c r="X53" s="33">
        <v>29462.4152832031</v>
      </c>
    </row>
    <row r="54" spans="1:24" x14ac:dyDescent="0.25">
      <c r="A54" s="22" t="s">
        <v>529</v>
      </c>
      <c r="B54" s="2" t="s">
        <v>537</v>
      </c>
      <c r="C54" s="2" t="s">
        <v>540</v>
      </c>
      <c r="D54" s="46" t="s">
        <v>598</v>
      </c>
      <c r="E54" s="46" t="s">
        <v>652</v>
      </c>
      <c r="F54" s="24" t="str">
        <f>HYPERLINK("https://mapwv.gov/flood/map/?wkid=102100&amp;x=-8998718.843265787&amp;y=4711973.254429069&amp;l=13&amp;v=2","FT")</f>
        <v>FT</v>
      </c>
      <c r="G54" s="29" t="s">
        <v>31</v>
      </c>
      <c r="H54" s="29" t="s">
        <v>24</v>
      </c>
      <c r="I54" s="2" t="s">
        <v>702</v>
      </c>
      <c r="J54" s="22" t="s">
        <v>38</v>
      </c>
      <c r="K54" s="47" t="s">
        <v>133</v>
      </c>
      <c r="L54" s="45" t="s">
        <v>37</v>
      </c>
      <c r="M54" s="46" t="s">
        <v>57</v>
      </c>
      <c r="N54" s="3" t="s">
        <v>88</v>
      </c>
      <c r="O54" s="47" t="s">
        <v>90</v>
      </c>
      <c r="P54" s="46" t="s">
        <v>753</v>
      </c>
      <c r="Q54" s="46" t="s">
        <v>29</v>
      </c>
      <c r="R54" s="23" t="s">
        <v>92</v>
      </c>
      <c r="S54" s="30">
        <v>110800</v>
      </c>
      <c r="T54" s="2" t="s">
        <v>43</v>
      </c>
      <c r="U54" s="31">
        <v>1.4853516</v>
      </c>
      <c r="V54" s="31">
        <v>0.4853515625</v>
      </c>
      <c r="W54" s="32">
        <v>4.8535156250000003E-2</v>
      </c>
      <c r="X54" s="33">
        <v>5377.6953125</v>
      </c>
    </row>
    <row r="55" spans="1:24" x14ac:dyDescent="0.25">
      <c r="A55" s="22" t="s">
        <v>530</v>
      </c>
      <c r="B55" s="2" t="s">
        <v>538</v>
      </c>
      <c r="C55" s="2" t="s">
        <v>551</v>
      </c>
      <c r="D55" s="46" t="s">
        <v>599</v>
      </c>
      <c r="E55" s="46" t="s">
        <v>653</v>
      </c>
      <c r="F55" s="24" t="str">
        <f>HYPERLINK("https://mapwv.gov/flood/map/?wkid=102100&amp;x=-8997309.092009863&amp;y=4727905.844025978&amp;l=13&amp;v=2","FT")</f>
        <v>FT</v>
      </c>
      <c r="G55" s="29" t="s">
        <v>37</v>
      </c>
      <c r="H55" s="29" t="s">
        <v>24</v>
      </c>
      <c r="I55" s="2" t="s">
        <v>703</v>
      </c>
      <c r="J55" s="22" t="s">
        <v>38</v>
      </c>
      <c r="K55" s="47" t="s">
        <v>173</v>
      </c>
      <c r="L55" s="45" t="s">
        <v>49</v>
      </c>
      <c r="M55" s="46" t="s">
        <v>40</v>
      </c>
      <c r="N55" s="3" t="s">
        <v>41</v>
      </c>
      <c r="O55" s="47" t="s">
        <v>90</v>
      </c>
      <c r="P55" s="46" t="s">
        <v>754</v>
      </c>
      <c r="Q55" s="46" t="s">
        <v>51</v>
      </c>
      <c r="R55" s="23" t="s">
        <v>108</v>
      </c>
      <c r="S55" s="30">
        <v>110000</v>
      </c>
      <c r="T55" s="2" t="s">
        <v>43</v>
      </c>
      <c r="U55" s="31">
        <v>0</v>
      </c>
      <c r="V55" s="31">
        <v>-3</v>
      </c>
      <c r="W55" s="32">
        <v>0</v>
      </c>
      <c r="X55" s="33">
        <v>0</v>
      </c>
    </row>
    <row r="56" spans="1:24" x14ac:dyDescent="0.25">
      <c r="A56" s="22" t="s">
        <v>531</v>
      </c>
      <c r="B56" s="2" t="s">
        <v>538</v>
      </c>
      <c r="C56" s="2" t="s">
        <v>540</v>
      </c>
      <c r="D56" s="46" t="s">
        <v>600</v>
      </c>
      <c r="E56" s="46" t="s">
        <v>654</v>
      </c>
      <c r="F56" s="24" t="str">
        <f>HYPERLINK("https://mapwv.gov/flood/map/?wkid=102100&amp;x=-9005501.784297423&amp;y=4715000.492466821&amp;l=13&amp;v=2","FT")</f>
        <v>FT</v>
      </c>
      <c r="G56" s="29" t="s">
        <v>31</v>
      </c>
      <c r="H56" s="29" t="s">
        <v>24</v>
      </c>
      <c r="I56" s="2" t="s">
        <v>704</v>
      </c>
      <c r="J56" s="22" t="s">
        <v>38</v>
      </c>
      <c r="K56" s="47" t="s">
        <v>148</v>
      </c>
      <c r="L56" s="45" t="s">
        <v>47</v>
      </c>
      <c r="M56" s="46" t="s">
        <v>40</v>
      </c>
      <c r="N56" s="3" t="s">
        <v>41</v>
      </c>
      <c r="O56" s="47" t="s">
        <v>90</v>
      </c>
      <c r="P56" s="46" t="s">
        <v>755</v>
      </c>
      <c r="Q56" s="46" t="s">
        <v>42</v>
      </c>
      <c r="R56" s="23" t="s">
        <v>93</v>
      </c>
      <c r="S56" s="30">
        <v>107500</v>
      </c>
      <c r="T56" s="2" t="s">
        <v>43</v>
      </c>
      <c r="U56" s="31">
        <v>0.92315674000000003</v>
      </c>
      <c r="V56" s="31">
        <v>-3.07684326171875</v>
      </c>
      <c r="W56" s="32">
        <v>0</v>
      </c>
      <c r="X56" s="33">
        <v>0</v>
      </c>
    </row>
    <row r="57" spans="1:24" x14ac:dyDescent="0.25">
      <c r="A57" s="22" t="s">
        <v>532</v>
      </c>
      <c r="B57" s="2" t="s">
        <v>538</v>
      </c>
      <c r="C57" s="2" t="s">
        <v>540</v>
      </c>
      <c r="D57" s="46" t="s">
        <v>601</v>
      </c>
      <c r="E57" s="46" t="s">
        <v>655</v>
      </c>
      <c r="F57" s="24" t="str">
        <f>HYPERLINK("https://mapwv.gov/flood/map/?wkid=102100&amp;x=-9007527.367332878&amp;y=4715583.977286172&amp;l=13&amp;v=2","FT")</f>
        <v>FT</v>
      </c>
      <c r="G57" s="29" t="s">
        <v>31</v>
      </c>
      <c r="H57" s="29" t="s">
        <v>24</v>
      </c>
      <c r="I57" s="2" t="s">
        <v>705</v>
      </c>
      <c r="J57" s="22" t="s">
        <v>25</v>
      </c>
      <c r="K57" s="47" t="s">
        <v>78</v>
      </c>
      <c r="L57" s="45" t="s">
        <v>26</v>
      </c>
      <c r="M57" s="46" t="s">
        <v>40</v>
      </c>
      <c r="N57" s="3" t="s">
        <v>41</v>
      </c>
      <c r="O57" s="47" t="s">
        <v>90</v>
      </c>
      <c r="P57" s="46" t="s">
        <v>136</v>
      </c>
      <c r="Q57" s="46" t="s">
        <v>51</v>
      </c>
      <c r="R57" s="23" t="s">
        <v>93</v>
      </c>
      <c r="S57" s="30">
        <v>103800</v>
      </c>
      <c r="T57" s="2" t="s">
        <v>43</v>
      </c>
      <c r="U57" s="31">
        <v>0.32781981999999998</v>
      </c>
      <c r="V57" s="31">
        <v>-3.67218017578125</v>
      </c>
      <c r="W57" s="32">
        <v>0</v>
      </c>
      <c r="X57" s="33">
        <v>0</v>
      </c>
    </row>
    <row r="58" spans="1:24" x14ac:dyDescent="0.25">
      <c r="A58" s="22" t="s">
        <v>533</v>
      </c>
      <c r="B58" s="2" t="s">
        <v>538</v>
      </c>
      <c r="C58" s="2" t="s">
        <v>547</v>
      </c>
      <c r="D58" s="46" t="s">
        <v>602</v>
      </c>
      <c r="E58" s="46" t="s">
        <v>656</v>
      </c>
      <c r="F58" s="24" t="str">
        <f>HYPERLINK("https://mapwv.gov/flood/map/?wkid=102100&amp;x=-8989887.76431139&amp;y=4717007.2077533&amp;l=13&amp;v=2","FT")</f>
        <v>FT</v>
      </c>
      <c r="G58" s="29" t="s">
        <v>37</v>
      </c>
      <c r="H58" s="29" t="s">
        <v>24</v>
      </c>
      <c r="I58" s="2" t="s">
        <v>706</v>
      </c>
      <c r="J58" s="22" t="s">
        <v>25</v>
      </c>
      <c r="K58" s="47" t="s">
        <v>74</v>
      </c>
      <c r="L58" s="45" t="s">
        <v>56</v>
      </c>
      <c r="M58" s="46" t="s">
        <v>40</v>
      </c>
      <c r="N58" s="3" t="s">
        <v>41</v>
      </c>
      <c r="O58" s="47" t="s">
        <v>90</v>
      </c>
      <c r="P58" s="46" t="s">
        <v>136</v>
      </c>
      <c r="Q58" s="46" t="s">
        <v>51</v>
      </c>
      <c r="R58" s="23" t="s">
        <v>93</v>
      </c>
      <c r="S58" s="30">
        <v>103800</v>
      </c>
      <c r="T58" s="2" t="s">
        <v>43</v>
      </c>
      <c r="U58" s="31">
        <v>0</v>
      </c>
      <c r="V58" s="31">
        <v>-4</v>
      </c>
      <c r="W58" s="32">
        <v>0</v>
      </c>
      <c r="X58" s="33">
        <v>0</v>
      </c>
    </row>
    <row r="59" spans="1:24" x14ac:dyDescent="0.25">
      <c r="A59" s="22" t="s">
        <v>534</v>
      </c>
      <c r="B59" s="2" t="s">
        <v>537</v>
      </c>
      <c r="C59" s="2" t="s">
        <v>540</v>
      </c>
      <c r="D59" s="46" t="s">
        <v>603</v>
      </c>
      <c r="E59" s="46" t="s">
        <v>657</v>
      </c>
      <c r="F59" s="24" t="str">
        <f>HYPERLINK("https://mapwv.gov/flood/map/?wkid=102100&amp;x=-8998773.203578765&amp;y=4712217.191027027&amp;l=13&amp;v=2","FT")</f>
        <v>FT</v>
      </c>
      <c r="G59" s="29" t="s">
        <v>31</v>
      </c>
      <c r="H59" s="29" t="s">
        <v>24</v>
      </c>
      <c r="I59" s="2" t="s">
        <v>707</v>
      </c>
      <c r="J59" s="22" t="s">
        <v>38</v>
      </c>
      <c r="K59" s="47" t="s">
        <v>150</v>
      </c>
      <c r="L59" s="45" t="s">
        <v>48</v>
      </c>
      <c r="M59" s="46" t="s">
        <v>55</v>
      </c>
      <c r="N59" s="3" t="s">
        <v>34</v>
      </c>
      <c r="O59" s="47" t="s">
        <v>90</v>
      </c>
      <c r="P59" s="46" t="s">
        <v>756</v>
      </c>
      <c r="Q59" s="46" t="s">
        <v>29</v>
      </c>
      <c r="R59" s="23" t="s">
        <v>92</v>
      </c>
      <c r="S59" s="30">
        <v>102900</v>
      </c>
      <c r="T59" s="2" t="s">
        <v>43</v>
      </c>
      <c r="U59" s="31">
        <v>0.50006103999999996</v>
      </c>
      <c r="V59" s="31">
        <v>-0.49993896484375</v>
      </c>
      <c r="W59" s="32">
        <v>1.0001220703125001E-2</v>
      </c>
      <c r="X59" s="33">
        <v>1029.12561035156</v>
      </c>
    </row>
    <row r="60" spans="1:24" x14ac:dyDescent="0.25">
      <c r="A60" s="22" t="s">
        <v>535</v>
      </c>
      <c r="B60" s="2" t="s">
        <v>538</v>
      </c>
      <c r="C60" s="2" t="s">
        <v>548</v>
      </c>
      <c r="D60" s="46" t="s">
        <v>604</v>
      </c>
      <c r="E60" s="46" t="s">
        <v>658</v>
      </c>
      <c r="F60" s="24" t="str">
        <f>HYPERLINK("https://mapwv.gov/flood/map/?wkid=102100&amp;x=-8999121.572915826&amp;y=4700127.4472890105&amp;l=13&amp;v=2","FT")</f>
        <v>FT</v>
      </c>
      <c r="G60" s="29" t="s">
        <v>37</v>
      </c>
      <c r="H60" s="29" t="s">
        <v>24</v>
      </c>
      <c r="I60" s="2" t="s">
        <v>708</v>
      </c>
      <c r="J60" s="22" t="s">
        <v>38</v>
      </c>
      <c r="K60" s="47" t="s">
        <v>129</v>
      </c>
      <c r="L60" s="45" t="s">
        <v>44</v>
      </c>
      <c r="M60" s="46" t="s">
        <v>40</v>
      </c>
      <c r="N60" s="3" t="s">
        <v>41</v>
      </c>
      <c r="O60" s="47" t="s">
        <v>90</v>
      </c>
      <c r="P60" s="46" t="s">
        <v>757</v>
      </c>
      <c r="Q60" s="46" t="s">
        <v>51</v>
      </c>
      <c r="R60" s="23" t="s">
        <v>108</v>
      </c>
      <c r="S60" s="30">
        <v>102100</v>
      </c>
      <c r="T60" s="2" t="s">
        <v>43</v>
      </c>
      <c r="U60" s="31">
        <v>6</v>
      </c>
      <c r="V60" s="31">
        <v>3</v>
      </c>
      <c r="W60" s="32">
        <v>0.4</v>
      </c>
      <c r="X60" s="33">
        <v>40840</v>
      </c>
    </row>
    <row r="61" spans="1:24" x14ac:dyDescent="0.25">
      <c r="A61" s="22" t="s">
        <v>536</v>
      </c>
      <c r="B61" s="2" t="s">
        <v>537</v>
      </c>
      <c r="C61" s="2" t="s">
        <v>540</v>
      </c>
      <c r="D61" s="46" t="s">
        <v>605</v>
      </c>
      <c r="E61" s="46" t="s">
        <v>659</v>
      </c>
      <c r="F61" s="24" t="str">
        <f>HYPERLINK("https://mapwv.gov/flood/map/?wkid=102100&amp;x=-8998630.362415683&amp;y=4711976.230001682&amp;l=13&amp;v=2","FT")</f>
        <v>FT</v>
      </c>
      <c r="G61" s="29" t="s">
        <v>31</v>
      </c>
      <c r="H61" s="29" t="s">
        <v>24</v>
      </c>
      <c r="I61" s="2" t="s">
        <v>709</v>
      </c>
      <c r="J61" s="22" t="s">
        <v>38</v>
      </c>
      <c r="K61" s="47" t="s">
        <v>715</v>
      </c>
      <c r="L61" s="45" t="s">
        <v>56</v>
      </c>
      <c r="M61" s="46" t="s">
        <v>40</v>
      </c>
      <c r="N61" s="3" t="s">
        <v>41</v>
      </c>
      <c r="O61" s="47" t="s">
        <v>91</v>
      </c>
      <c r="P61" s="46" t="s">
        <v>758</v>
      </c>
      <c r="Q61" s="46" t="s">
        <v>42</v>
      </c>
      <c r="R61" s="23" t="s">
        <v>93</v>
      </c>
      <c r="S61" s="30">
        <v>101200</v>
      </c>
      <c r="T61" s="2" t="s">
        <v>43</v>
      </c>
      <c r="U61" s="31">
        <v>1.7438965</v>
      </c>
      <c r="V61" s="31">
        <v>-2.256103515625</v>
      </c>
      <c r="W61" s="32">
        <v>6.9755859375000007E-2</v>
      </c>
      <c r="X61" s="33">
        <v>7059.29296875</v>
      </c>
    </row>
  </sheetData>
  <conditionalFormatting sqref="A7 A9:A61">
    <cfRule type="duplicateValues" dxfId="6" priority="3"/>
  </conditionalFormatting>
  <conditionalFormatting sqref="A8">
    <cfRule type="duplicateValues" dxfId="5" priority="1"/>
  </conditionalFormatting>
  <hyperlinks>
    <hyperlink ref="J3" r:id="rId1" xr:uid="{B5E869D0-CB1C-45B7-9905-308704730E43}"/>
    <hyperlink ref="M3" r:id="rId2" xr:uid="{3DC22F37-7134-4273-9A66-9ED075B1B793}"/>
    <hyperlink ref="Q3" r:id="rId3" xr:uid="{07AD576B-CD75-4D36-AF8F-176DA71B77D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93F8-ED77-4CB2-A38C-F403A9BFBF44}">
  <dimension ref="A1:X72"/>
  <sheetViews>
    <sheetView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3.85546875" bestFit="1" customWidth="1"/>
    <col min="2" max="2" width="10.42578125" customWidth="1"/>
    <col min="7" max="7" width="11.28515625" customWidth="1"/>
    <col min="13" max="13" width="10.28515625" customWidth="1"/>
    <col min="14" max="14" width="10.140625" customWidth="1"/>
    <col min="17" max="17" width="11.1406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762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763</v>
      </c>
      <c r="B7" s="2" t="s">
        <v>829</v>
      </c>
      <c r="C7" s="2" t="s">
        <v>832</v>
      </c>
      <c r="D7" s="46" t="s">
        <v>837</v>
      </c>
      <c r="E7" s="46" t="s">
        <v>902</v>
      </c>
      <c r="F7" s="24" t="str">
        <f>HYPERLINK("https://mapwv.gov/flood/map/?wkid=102100&amp;x=-8951653.88472905&amp;y=4723953.344831851&amp;l=13&amp;v=2","FT")</f>
        <v>FT</v>
      </c>
      <c r="G7" s="29" t="s">
        <v>37</v>
      </c>
      <c r="H7" s="29" t="s">
        <v>24</v>
      </c>
      <c r="I7" s="2" t="s">
        <v>967</v>
      </c>
      <c r="J7" s="22" t="s">
        <v>25</v>
      </c>
      <c r="K7" s="47" t="s">
        <v>174</v>
      </c>
      <c r="L7" s="45" t="s">
        <v>49</v>
      </c>
      <c r="M7" s="46" t="s">
        <v>61</v>
      </c>
      <c r="N7" s="3" t="s">
        <v>41</v>
      </c>
      <c r="O7" s="47" t="s">
        <v>158</v>
      </c>
      <c r="P7" s="46" t="s">
        <v>1025</v>
      </c>
      <c r="Q7" s="46" t="s">
        <v>29</v>
      </c>
      <c r="R7" s="23" t="s">
        <v>92</v>
      </c>
      <c r="S7" s="30">
        <v>5212900</v>
      </c>
      <c r="T7" s="2" t="s">
        <v>43</v>
      </c>
      <c r="U7" s="31">
        <v>4</v>
      </c>
      <c r="V7" s="31">
        <v>3</v>
      </c>
      <c r="W7" s="32">
        <v>0.06</v>
      </c>
      <c r="X7" s="33">
        <v>312774</v>
      </c>
    </row>
    <row r="8" spans="1:24" x14ac:dyDescent="0.25">
      <c r="A8" s="22" t="s">
        <v>764</v>
      </c>
      <c r="B8" s="2" t="s">
        <v>830</v>
      </c>
      <c r="C8" s="2" t="s">
        <v>833</v>
      </c>
      <c r="D8" s="46" t="s">
        <v>838</v>
      </c>
      <c r="E8" s="46" t="s">
        <v>903</v>
      </c>
      <c r="F8" s="24" t="str">
        <f>HYPERLINK("https://mapwv.gov/flood/map/?wkid=102100&amp;x=-8960360.108855765&amp;y=4728495.968963497&amp;l=13&amp;v=2","FT")</f>
        <v>FT</v>
      </c>
      <c r="G8" s="29" t="s">
        <v>37</v>
      </c>
      <c r="H8" s="29" t="s">
        <v>24</v>
      </c>
      <c r="I8" s="2" t="s">
        <v>968</v>
      </c>
      <c r="J8" s="22" t="s">
        <v>38</v>
      </c>
      <c r="K8" s="47" t="s">
        <v>130</v>
      </c>
      <c r="L8" s="45" t="s">
        <v>56</v>
      </c>
      <c r="M8" s="46" t="s">
        <v>1024</v>
      </c>
      <c r="N8" s="3" t="s">
        <v>34</v>
      </c>
      <c r="O8" s="47" t="s">
        <v>90</v>
      </c>
      <c r="P8" s="46" t="s">
        <v>1026</v>
      </c>
      <c r="Q8" s="46" t="s">
        <v>29</v>
      </c>
      <c r="R8" s="23" t="s">
        <v>92</v>
      </c>
      <c r="S8" s="30">
        <v>5176300</v>
      </c>
      <c r="T8" s="2" t="s">
        <v>30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25">
      <c r="A9" s="22" t="s">
        <v>765</v>
      </c>
      <c r="B9" s="2" t="s">
        <v>830</v>
      </c>
      <c r="C9" s="2" t="s">
        <v>832</v>
      </c>
      <c r="D9" s="46" t="s">
        <v>839</v>
      </c>
      <c r="E9" s="46" t="s">
        <v>904</v>
      </c>
      <c r="F9" s="24" t="str">
        <f>HYPERLINK("https://mapwv.gov/flood/map/?wkid=102100&amp;x=-8956965.31845878&amp;y=4727289.022812465&amp;l=13&amp;v=2","FT")</f>
        <v>FT</v>
      </c>
      <c r="G9" s="29" t="s">
        <v>31</v>
      </c>
      <c r="H9" s="29" t="s">
        <v>24</v>
      </c>
      <c r="I9" s="2" t="s">
        <v>969</v>
      </c>
      <c r="J9" s="22" t="s">
        <v>38</v>
      </c>
      <c r="K9" s="47" t="s">
        <v>148</v>
      </c>
      <c r="L9" s="45"/>
      <c r="M9" s="46" t="s">
        <v>59</v>
      </c>
      <c r="N9" s="3" t="s">
        <v>86</v>
      </c>
      <c r="O9" s="47" t="s">
        <v>90</v>
      </c>
      <c r="P9" s="46" t="s">
        <v>1027</v>
      </c>
      <c r="Q9" s="46" t="s">
        <v>29</v>
      </c>
      <c r="R9" s="23" t="s">
        <v>92</v>
      </c>
      <c r="S9" s="30">
        <v>3862810</v>
      </c>
      <c r="T9" s="2" t="s">
        <v>30</v>
      </c>
      <c r="U9" s="31">
        <v>1</v>
      </c>
      <c r="V9" s="31">
        <v>0</v>
      </c>
      <c r="W9" s="32">
        <v>0</v>
      </c>
      <c r="X9" s="33">
        <v>0</v>
      </c>
    </row>
    <row r="10" spans="1:24" x14ac:dyDescent="0.25">
      <c r="A10" s="22" t="s">
        <v>766</v>
      </c>
      <c r="B10" s="2" t="s">
        <v>829</v>
      </c>
      <c r="C10" s="2" t="s">
        <v>834</v>
      </c>
      <c r="D10" s="46" t="s">
        <v>840</v>
      </c>
      <c r="E10" s="46" t="s">
        <v>905</v>
      </c>
      <c r="F10" s="24" t="str">
        <f>HYPERLINK("https://mapwv.gov/flood/map/?wkid=102100&amp;x=-8951792.981104467&amp;y=4724533.233270906&amp;l=13&amp;v=2","FT")</f>
        <v>FT</v>
      </c>
      <c r="G10" s="29" t="s">
        <v>37</v>
      </c>
      <c r="H10" s="29" t="s">
        <v>24</v>
      </c>
      <c r="I10" s="2" t="s">
        <v>970</v>
      </c>
      <c r="J10" s="22" t="s">
        <v>25</v>
      </c>
      <c r="K10" s="47" t="s">
        <v>72</v>
      </c>
      <c r="L10" s="45" t="s">
        <v>36</v>
      </c>
      <c r="M10" s="46" t="s">
        <v>46</v>
      </c>
      <c r="N10" s="3" t="s">
        <v>34</v>
      </c>
      <c r="O10" s="47" t="s">
        <v>90</v>
      </c>
      <c r="P10" s="46" t="s">
        <v>1028</v>
      </c>
      <c r="Q10" s="46" t="s">
        <v>29</v>
      </c>
      <c r="R10" s="23" t="s">
        <v>92</v>
      </c>
      <c r="S10" s="30">
        <v>3370000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25">
      <c r="A11" s="22" t="s">
        <v>767</v>
      </c>
      <c r="B11" s="2" t="s">
        <v>830</v>
      </c>
      <c r="C11" s="2" t="s">
        <v>144</v>
      </c>
      <c r="D11" s="46" t="s">
        <v>841</v>
      </c>
      <c r="E11" s="46" t="s">
        <v>906</v>
      </c>
      <c r="F11" s="24" t="str">
        <f>HYPERLINK("https://mapwv.gov/flood/map/?wkid=102100&amp;x=-8957734.846610216&amp;y=4726807.954524908&amp;l=13&amp;v=2","FT")</f>
        <v>FT</v>
      </c>
      <c r="G11" s="29" t="s">
        <v>31</v>
      </c>
      <c r="H11" s="29" t="s">
        <v>24</v>
      </c>
      <c r="I11" s="2" t="s">
        <v>971</v>
      </c>
      <c r="J11" s="22" t="s">
        <v>38</v>
      </c>
      <c r="K11" s="47" t="s">
        <v>153</v>
      </c>
      <c r="L11" s="45" t="s">
        <v>36</v>
      </c>
      <c r="M11" s="46" t="s">
        <v>154</v>
      </c>
      <c r="N11" s="3" t="s">
        <v>41</v>
      </c>
      <c r="O11" s="47" t="s">
        <v>160</v>
      </c>
      <c r="P11" s="46" t="s">
        <v>1029</v>
      </c>
      <c r="Q11" s="46" t="s">
        <v>29</v>
      </c>
      <c r="R11" s="23" t="s">
        <v>92</v>
      </c>
      <c r="S11" s="30">
        <v>1432200</v>
      </c>
      <c r="T11" s="2" t="s">
        <v>43</v>
      </c>
      <c r="U11" s="31">
        <v>1.8172607000000001</v>
      </c>
      <c r="V11" s="31">
        <v>0.8172607421875</v>
      </c>
      <c r="W11" s="32">
        <v>0.158172607421875</v>
      </c>
      <c r="X11" s="33">
        <v>226534.808349609</v>
      </c>
    </row>
    <row r="12" spans="1:24" x14ac:dyDescent="0.25">
      <c r="A12" s="22" t="s">
        <v>768</v>
      </c>
      <c r="B12" s="2" t="s">
        <v>829</v>
      </c>
      <c r="C12" s="2" t="s">
        <v>234</v>
      </c>
      <c r="D12" s="46" t="s">
        <v>842</v>
      </c>
      <c r="E12" s="46" t="s">
        <v>907</v>
      </c>
      <c r="F12" s="24" t="str">
        <f>HYPERLINK("https://mapwv.gov/flood/map/?wkid=102100&amp;x=-8949507.467058009&amp;y=4735528.370327305&amp;l=13&amp;v=2","FT")</f>
        <v>FT</v>
      </c>
      <c r="G12" s="29" t="s">
        <v>37</v>
      </c>
      <c r="H12" s="29" t="s">
        <v>24</v>
      </c>
      <c r="I12" s="2" t="s">
        <v>972</v>
      </c>
      <c r="J12" s="22" t="s">
        <v>25</v>
      </c>
      <c r="K12" s="47" t="s">
        <v>127</v>
      </c>
      <c r="L12" s="45" t="s">
        <v>47</v>
      </c>
      <c r="M12" s="46" t="s">
        <v>62</v>
      </c>
      <c r="N12" s="3" t="s">
        <v>34</v>
      </c>
      <c r="O12" s="47" t="s">
        <v>90</v>
      </c>
      <c r="P12" s="46" t="s">
        <v>1030</v>
      </c>
      <c r="Q12" s="46" t="s">
        <v>29</v>
      </c>
      <c r="R12" s="23" t="s">
        <v>92</v>
      </c>
      <c r="S12" s="30">
        <v>1369800</v>
      </c>
      <c r="T12" s="2" t="s">
        <v>43</v>
      </c>
      <c r="U12" s="31">
        <v>9</v>
      </c>
      <c r="V12" s="31">
        <v>8</v>
      </c>
      <c r="W12" s="32">
        <v>0.25</v>
      </c>
      <c r="X12" s="33">
        <v>342450</v>
      </c>
    </row>
    <row r="13" spans="1:24" x14ac:dyDescent="0.25">
      <c r="A13" s="22" t="s">
        <v>769</v>
      </c>
      <c r="B13" s="2" t="s">
        <v>830</v>
      </c>
      <c r="C13" s="2" t="s">
        <v>832</v>
      </c>
      <c r="D13" s="46" t="s">
        <v>843</v>
      </c>
      <c r="E13" s="46" t="s">
        <v>908</v>
      </c>
      <c r="F13" s="24" t="str">
        <f>HYPERLINK("https://mapwv.gov/flood/map/?wkid=102100&amp;x=-8957333.887162723&amp;y=4727119.085101131&amp;l=13&amp;v=2","FT")</f>
        <v>FT</v>
      </c>
      <c r="G13" s="29" t="s">
        <v>71</v>
      </c>
      <c r="H13" s="29" t="s">
        <v>24</v>
      </c>
      <c r="I13" s="2" t="s">
        <v>973</v>
      </c>
      <c r="J13" s="22" t="s">
        <v>38</v>
      </c>
      <c r="K13" s="47" t="s">
        <v>84</v>
      </c>
      <c r="L13" s="45" t="s">
        <v>37</v>
      </c>
      <c r="M13" s="46" t="s">
        <v>59</v>
      </c>
      <c r="N13" s="3" t="s">
        <v>86</v>
      </c>
      <c r="O13" s="47" t="s">
        <v>91</v>
      </c>
      <c r="P13" s="46" t="s">
        <v>170</v>
      </c>
      <c r="Q13" s="46" t="s">
        <v>29</v>
      </c>
      <c r="R13" s="23" t="s">
        <v>92</v>
      </c>
      <c r="S13" s="30">
        <v>942660</v>
      </c>
      <c r="T13" s="2" t="s">
        <v>30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25">
      <c r="A14" s="22" t="s">
        <v>770</v>
      </c>
      <c r="B14" s="2" t="s">
        <v>829</v>
      </c>
      <c r="C14" s="2" t="s">
        <v>144</v>
      </c>
      <c r="D14" s="46" t="s">
        <v>844</v>
      </c>
      <c r="E14" s="46" t="s">
        <v>909</v>
      </c>
      <c r="F14" s="24" t="str">
        <f>HYPERLINK("https://mapwv.gov/flood/map/?wkid=102100&amp;x=-8958447.761898782&amp;y=4726178.72631639&amp;l=13&amp;v=2","FT")</f>
        <v>FT</v>
      </c>
      <c r="G14" s="29" t="s">
        <v>31</v>
      </c>
      <c r="H14" s="29" t="s">
        <v>146</v>
      </c>
      <c r="I14" s="2" t="s">
        <v>974</v>
      </c>
      <c r="J14" s="22" t="s">
        <v>25</v>
      </c>
      <c r="K14" s="47" t="s">
        <v>72</v>
      </c>
      <c r="L14" s="45" t="s">
        <v>26</v>
      </c>
      <c r="M14" s="46" t="s">
        <v>156</v>
      </c>
      <c r="N14" s="3" t="s">
        <v>41</v>
      </c>
      <c r="O14" s="47" t="s">
        <v>91</v>
      </c>
      <c r="P14" s="46" t="s">
        <v>1031</v>
      </c>
      <c r="Q14" s="46" t="s">
        <v>42</v>
      </c>
      <c r="R14" s="23" t="s">
        <v>93</v>
      </c>
      <c r="S14" s="30">
        <v>858400</v>
      </c>
      <c r="T14" s="2" t="s">
        <v>43</v>
      </c>
      <c r="U14" s="31">
        <v>1</v>
      </c>
      <c r="V14" s="31">
        <v>-3</v>
      </c>
      <c r="W14" s="32">
        <v>0</v>
      </c>
      <c r="X14" s="33">
        <v>0</v>
      </c>
    </row>
    <row r="15" spans="1:24" x14ac:dyDescent="0.25">
      <c r="A15" s="22" t="s">
        <v>771</v>
      </c>
      <c r="B15" s="2" t="s">
        <v>829</v>
      </c>
      <c r="C15" s="2" t="s">
        <v>541</v>
      </c>
      <c r="D15" s="46" t="s">
        <v>845</v>
      </c>
      <c r="E15" s="46" t="s">
        <v>910</v>
      </c>
      <c r="F15" s="24" t="str">
        <f>HYPERLINK("https://mapwv.gov/flood/map/?wkid=102100&amp;x=-8978832.775962021&amp;y=4727159.367128587&amp;l=13&amp;v=2","FT")</f>
        <v>FT</v>
      </c>
      <c r="G15" s="29" t="s">
        <v>37</v>
      </c>
      <c r="H15" s="29" t="s">
        <v>24</v>
      </c>
      <c r="I15" s="2" t="s">
        <v>975</v>
      </c>
      <c r="J15" s="22" t="s">
        <v>38</v>
      </c>
      <c r="K15" s="47" t="s">
        <v>81</v>
      </c>
      <c r="L15" s="45" t="s">
        <v>52</v>
      </c>
      <c r="M15" s="46" t="s">
        <v>27</v>
      </c>
      <c r="N15" s="3" t="s">
        <v>87</v>
      </c>
      <c r="O15" s="47" t="s">
        <v>90</v>
      </c>
      <c r="P15" s="46" t="s">
        <v>1032</v>
      </c>
      <c r="Q15" s="46" t="s">
        <v>29</v>
      </c>
      <c r="R15" s="23" t="s">
        <v>92</v>
      </c>
      <c r="S15" s="30">
        <v>814407</v>
      </c>
      <c r="T15" s="2" t="s">
        <v>30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25">
      <c r="A16" s="22" t="s">
        <v>772</v>
      </c>
      <c r="B16" s="2" t="s">
        <v>829</v>
      </c>
      <c r="C16" s="2" t="s">
        <v>832</v>
      </c>
      <c r="D16" s="46" t="s">
        <v>846</v>
      </c>
      <c r="E16" s="46" t="s">
        <v>911</v>
      </c>
      <c r="F16" s="24" t="str">
        <f>HYPERLINK("https://mapwv.gov/flood/map/?wkid=102100&amp;x=-8955520.284935528&amp;y=4727088.296758957&amp;l=13&amp;v=2","FT")</f>
        <v>FT</v>
      </c>
      <c r="G16" s="29" t="s">
        <v>31</v>
      </c>
      <c r="H16" s="29" t="s">
        <v>24</v>
      </c>
      <c r="I16" s="2" t="s">
        <v>976</v>
      </c>
      <c r="J16" s="22" t="s">
        <v>38</v>
      </c>
      <c r="K16" s="47" t="s">
        <v>104</v>
      </c>
      <c r="L16" s="45" t="s">
        <v>36</v>
      </c>
      <c r="M16" s="46" t="s">
        <v>27</v>
      </c>
      <c r="N16" s="3" t="s">
        <v>87</v>
      </c>
      <c r="O16" s="47" t="s">
        <v>90</v>
      </c>
      <c r="P16" s="46" t="s">
        <v>1033</v>
      </c>
      <c r="Q16" s="46" t="s">
        <v>29</v>
      </c>
      <c r="R16" s="23" t="s">
        <v>92</v>
      </c>
      <c r="S16" s="30">
        <v>731900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25">
      <c r="A17" s="22" t="s">
        <v>773</v>
      </c>
      <c r="B17" s="2" t="s">
        <v>829</v>
      </c>
      <c r="C17" s="2" t="s">
        <v>234</v>
      </c>
      <c r="D17" s="46" t="s">
        <v>847</v>
      </c>
      <c r="E17" s="46" t="s">
        <v>912</v>
      </c>
      <c r="F17" s="24" t="str">
        <f>HYPERLINK("https://mapwv.gov/flood/map/?wkid=102100&amp;x=-8949480.927600851&amp;y=4736392.151586267&amp;l=13&amp;v=2","FT")</f>
        <v>FT</v>
      </c>
      <c r="G17" s="29" t="s">
        <v>37</v>
      </c>
      <c r="H17" s="29" t="s">
        <v>24</v>
      </c>
      <c r="I17" s="2" t="s">
        <v>977</v>
      </c>
      <c r="J17" s="22" t="s">
        <v>25</v>
      </c>
      <c r="K17" s="47" t="s">
        <v>102</v>
      </c>
      <c r="L17" s="45" t="s">
        <v>26</v>
      </c>
      <c r="M17" s="46" t="s">
        <v>33</v>
      </c>
      <c r="N17" s="3" t="s">
        <v>89</v>
      </c>
      <c r="O17" s="47" t="s">
        <v>91</v>
      </c>
      <c r="P17" s="46" t="s">
        <v>1034</v>
      </c>
      <c r="Q17" s="46" t="s">
        <v>29</v>
      </c>
      <c r="R17" s="23" t="s">
        <v>92</v>
      </c>
      <c r="S17" s="30">
        <v>684400</v>
      </c>
      <c r="T17" s="2" t="s">
        <v>30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25">
      <c r="A18" s="22" t="s">
        <v>774</v>
      </c>
      <c r="B18" s="2" t="s">
        <v>829</v>
      </c>
      <c r="C18" s="2" t="s">
        <v>234</v>
      </c>
      <c r="D18" s="46" t="s">
        <v>848</v>
      </c>
      <c r="E18" s="46" t="s">
        <v>913</v>
      </c>
      <c r="F18" s="24" t="str">
        <f>HYPERLINK("https://mapwv.gov/flood/map/?wkid=102100&amp;x=-8949602.395087741&amp;y=4736261.9594893735&amp;l=13&amp;v=2","FT")</f>
        <v>FT</v>
      </c>
      <c r="G18" s="29" t="s">
        <v>37</v>
      </c>
      <c r="H18" s="29" t="s">
        <v>24</v>
      </c>
      <c r="I18" s="2" t="s">
        <v>977</v>
      </c>
      <c r="J18" s="22" t="s">
        <v>25</v>
      </c>
      <c r="K18" s="47" t="s">
        <v>102</v>
      </c>
      <c r="L18" s="45" t="s">
        <v>26</v>
      </c>
      <c r="M18" s="46" t="s">
        <v>33</v>
      </c>
      <c r="N18" s="3" t="s">
        <v>89</v>
      </c>
      <c r="O18" s="47" t="s">
        <v>91</v>
      </c>
      <c r="P18" s="46" t="s">
        <v>1035</v>
      </c>
      <c r="Q18" s="46" t="s">
        <v>29</v>
      </c>
      <c r="R18" s="23" t="s">
        <v>92</v>
      </c>
      <c r="S18" s="30">
        <v>671700</v>
      </c>
      <c r="T18" s="2" t="s">
        <v>30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25">
      <c r="A19" s="22" t="s">
        <v>775</v>
      </c>
      <c r="B19" s="2" t="s">
        <v>829</v>
      </c>
      <c r="C19" s="2" t="s">
        <v>234</v>
      </c>
      <c r="D19" s="46" t="s">
        <v>849</v>
      </c>
      <c r="E19" s="46" t="s">
        <v>914</v>
      </c>
      <c r="F19" s="24" t="str">
        <f>HYPERLINK("https://mapwv.gov/flood/map/?wkid=102100&amp;x=-8949119.473325565&amp;y=4735797.974789898&amp;l=13&amp;v=2","FT")</f>
        <v>FT</v>
      </c>
      <c r="G19" s="29" t="s">
        <v>37</v>
      </c>
      <c r="H19" s="29" t="s">
        <v>24</v>
      </c>
      <c r="I19" s="2" t="s">
        <v>978</v>
      </c>
      <c r="J19" s="22" t="s">
        <v>38</v>
      </c>
      <c r="K19" s="47" t="s">
        <v>125</v>
      </c>
      <c r="L19" s="45" t="s">
        <v>44</v>
      </c>
      <c r="M19" s="46" t="s">
        <v>61</v>
      </c>
      <c r="N19" s="3" t="s">
        <v>41</v>
      </c>
      <c r="O19" s="47" t="s">
        <v>91</v>
      </c>
      <c r="P19" s="46" t="s">
        <v>1036</v>
      </c>
      <c r="Q19" s="46" t="s">
        <v>29</v>
      </c>
      <c r="R19" s="23" t="s">
        <v>92</v>
      </c>
      <c r="S19" s="30">
        <v>653400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25">
      <c r="A20" s="22" t="s">
        <v>776</v>
      </c>
      <c r="B20" s="2" t="s">
        <v>830</v>
      </c>
      <c r="C20" s="2" t="s">
        <v>833</v>
      </c>
      <c r="D20" s="46" t="s">
        <v>850</v>
      </c>
      <c r="E20" s="46" t="s">
        <v>915</v>
      </c>
      <c r="F20" s="24" t="str">
        <f>HYPERLINK("https://mapwv.gov/flood/map/?wkid=102100&amp;x=-8958008.825139081&amp;y=4727483.055043452&amp;l=13&amp;v=2","FT")</f>
        <v>FT</v>
      </c>
      <c r="G20" s="29" t="s">
        <v>31</v>
      </c>
      <c r="H20" s="29" t="s">
        <v>24</v>
      </c>
      <c r="I20" s="2" t="s">
        <v>979</v>
      </c>
      <c r="J20" s="22" t="s">
        <v>25</v>
      </c>
      <c r="K20" s="47" t="s">
        <v>168</v>
      </c>
      <c r="L20" s="45" t="s">
        <v>45</v>
      </c>
      <c r="M20" s="46" t="s">
        <v>57</v>
      </c>
      <c r="N20" s="3" t="s">
        <v>88</v>
      </c>
      <c r="O20" s="47" t="s">
        <v>90</v>
      </c>
      <c r="P20" s="46" t="s">
        <v>1037</v>
      </c>
      <c r="Q20" s="46" t="s">
        <v>29</v>
      </c>
      <c r="R20" s="23" t="s">
        <v>92</v>
      </c>
      <c r="S20" s="30">
        <v>647800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25">
      <c r="A21" s="22" t="s">
        <v>777</v>
      </c>
      <c r="B21" s="2" t="s">
        <v>829</v>
      </c>
      <c r="C21" s="2" t="s">
        <v>832</v>
      </c>
      <c r="D21" s="46" t="s">
        <v>851</v>
      </c>
      <c r="E21" s="46" t="s">
        <v>916</v>
      </c>
      <c r="F21" s="24" t="str">
        <f>HYPERLINK("https://mapwv.gov/flood/map/?wkid=102100&amp;x=-8955566.032793464&amp;y=4726990.990161472&amp;l=13&amp;v=2","FT")</f>
        <v>FT</v>
      </c>
      <c r="G21" s="29" t="s">
        <v>31</v>
      </c>
      <c r="H21" s="29" t="s">
        <v>24</v>
      </c>
      <c r="I21" s="2" t="s">
        <v>976</v>
      </c>
      <c r="J21" s="22" t="s">
        <v>25</v>
      </c>
      <c r="K21" s="47" t="s">
        <v>127</v>
      </c>
      <c r="L21" s="45" t="s">
        <v>37</v>
      </c>
      <c r="M21" s="46" t="s">
        <v>46</v>
      </c>
      <c r="N21" s="3" t="s">
        <v>34</v>
      </c>
      <c r="O21" s="47" t="s">
        <v>90</v>
      </c>
      <c r="P21" s="46" t="s">
        <v>732</v>
      </c>
      <c r="Q21" s="46" t="s">
        <v>29</v>
      </c>
      <c r="R21" s="23" t="s">
        <v>92</v>
      </c>
      <c r="S21" s="30">
        <v>645200</v>
      </c>
      <c r="T21" s="2" t="s">
        <v>43</v>
      </c>
      <c r="U21" s="31">
        <v>1.5170897999999999</v>
      </c>
      <c r="V21" s="31">
        <v>0.51708984375</v>
      </c>
      <c r="W21" s="32">
        <v>5.1367187500000001E-2</v>
      </c>
      <c r="X21" s="33">
        <v>33142.109375</v>
      </c>
    </row>
    <row r="22" spans="1:24" x14ac:dyDescent="0.25">
      <c r="A22" s="22" t="s">
        <v>778</v>
      </c>
      <c r="B22" s="2" t="s">
        <v>830</v>
      </c>
      <c r="C22" s="2" t="s">
        <v>832</v>
      </c>
      <c r="D22" s="46" t="s">
        <v>852</v>
      </c>
      <c r="E22" s="46" t="s">
        <v>917</v>
      </c>
      <c r="F22" s="24" t="str">
        <f>HYPERLINK("https://mapwv.gov/flood/map/?wkid=102100&amp;x=-8957037.578834558&amp;y=4727220.071663835&amp;l=13&amp;v=2","FT")</f>
        <v>FT</v>
      </c>
      <c r="G22" s="29" t="s">
        <v>31</v>
      </c>
      <c r="H22" s="29" t="s">
        <v>24</v>
      </c>
      <c r="I22" s="2" t="s">
        <v>969</v>
      </c>
      <c r="J22" s="22" t="s">
        <v>25</v>
      </c>
      <c r="K22" s="47" t="s">
        <v>74</v>
      </c>
      <c r="L22" s="45"/>
      <c r="M22" s="46" t="s">
        <v>59</v>
      </c>
      <c r="N22" s="3" t="s">
        <v>86</v>
      </c>
      <c r="O22" s="47" t="s">
        <v>90</v>
      </c>
      <c r="P22" s="46" t="s">
        <v>1038</v>
      </c>
      <c r="Q22" s="46" t="s">
        <v>29</v>
      </c>
      <c r="R22" s="23" t="s">
        <v>92</v>
      </c>
      <c r="S22" s="30">
        <v>641100</v>
      </c>
      <c r="T22" s="2" t="s">
        <v>43</v>
      </c>
      <c r="U22" s="31">
        <v>0.20465088000000001</v>
      </c>
      <c r="V22" s="31">
        <v>-0.79534912109375</v>
      </c>
      <c r="W22" s="32">
        <v>0</v>
      </c>
      <c r="X22" s="33">
        <v>0</v>
      </c>
    </row>
    <row r="23" spans="1:24" x14ac:dyDescent="0.25">
      <c r="A23" s="22" t="s">
        <v>779</v>
      </c>
      <c r="B23" s="2" t="s">
        <v>829</v>
      </c>
      <c r="C23" s="2" t="s">
        <v>833</v>
      </c>
      <c r="D23" s="46" t="s">
        <v>853</v>
      </c>
      <c r="E23" s="46" t="s">
        <v>918</v>
      </c>
      <c r="F23" s="24" t="str">
        <f>HYPERLINK("https://mapwv.gov/flood/map/?wkid=102100&amp;x=-8960822.659596413&amp;y=4728202.1940628&amp;l=13&amp;v=2","FT")</f>
        <v>FT</v>
      </c>
      <c r="G23" s="29" t="s">
        <v>37</v>
      </c>
      <c r="H23" s="29" t="s">
        <v>24</v>
      </c>
      <c r="I23" s="2" t="s">
        <v>980</v>
      </c>
      <c r="J23" s="22" t="s">
        <v>38</v>
      </c>
      <c r="K23" s="47" t="s">
        <v>77</v>
      </c>
      <c r="L23" s="45" t="s">
        <v>26</v>
      </c>
      <c r="M23" s="46" t="s">
        <v>156</v>
      </c>
      <c r="N23" s="3" t="s">
        <v>41</v>
      </c>
      <c r="O23" s="47" t="s">
        <v>90</v>
      </c>
      <c r="P23" s="46" t="s">
        <v>1039</v>
      </c>
      <c r="Q23" s="46" t="s">
        <v>29</v>
      </c>
      <c r="R23" s="23" t="s">
        <v>92</v>
      </c>
      <c r="S23" s="30">
        <v>630700</v>
      </c>
      <c r="T23" s="2" t="s">
        <v>43</v>
      </c>
      <c r="U23" s="31">
        <v>2</v>
      </c>
      <c r="V23" s="31">
        <v>1</v>
      </c>
      <c r="W23" s="32">
        <v>0.16</v>
      </c>
      <c r="X23" s="33">
        <v>100912</v>
      </c>
    </row>
    <row r="24" spans="1:24" x14ac:dyDescent="0.25">
      <c r="A24" s="22" t="s">
        <v>780</v>
      </c>
      <c r="B24" s="2" t="s">
        <v>829</v>
      </c>
      <c r="C24" s="2" t="s">
        <v>835</v>
      </c>
      <c r="D24" s="46" t="s">
        <v>854</v>
      </c>
      <c r="E24" s="46" t="s">
        <v>919</v>
      </c>
      <c r="F24" s="24" t="str">
        <f>HYPERLINK("https://mapwv.gov/flood/map/?wkid=102100&amp;x=-8948923.704753987&amp;y=4736466.432918588&amp;l=13&amp;v=2","FT")</f>
        <v>FT</v>
      </c>
      <c r="G24" s="29" t="s">
        <v>37</v>
      </c>
      <c r="H24" s="29" t="s">
        <v>24</v>
      </c>
      <c r="I24" s="2" t="s">
        <v>981</v>
      </c>
      <c r="J24" s="22" t="s">
        <v>25</v>
      </c>
      <c r="K24" s="47" t="s">
        <v>114</v>
      </c>
      <c r="L24" s="45" t="s">
        <v>48</v>
      </c>
      <c r="M24" s="46" t="s">
        <v>50</v>
      </c>
      <c r="N24" s="3" t="s">
        <v>34</v>
      </c>
      <c r="O24" s="47" t="s">
        <v>91</v>
      </c>
      <c r="P24" s="46" t="s">
        <v>1040</v>
      </c>
      <c r="Q24" s="46" t="s">
        <v>29</v>
      </c>
      <c r="R24" s="23" t="s">
        <v>92</v>
      </c>
      <c r="S24" s="30">
        <v>623800</v>
      </c>
      <c r="T24" s="2" t="s">
        <v>30</v>
      </c>
      <c r="U24" s="31">
        <v>1</v>
      </c>
      <c r="V24" s="31">
        <v>0</v>
      </c>
      <c r="W24" s="32">
        <v>0.01</v>
      </c>
      <c r="X24" s="33">
        <v>6238</v>
      </c>
    </row>
    <row r="25" spans="1:24" x14ac:dyDescent="0.25">
      <c r="A25" s="22" t="s">
        <v>781</v>
      </c>
      <c r="B25" s="2" t="s">
        <v>829</v>
      </c>
      <c r="C25" s="2" t="s">
        <v>234</v>
      </c>
      <c r="D25" s="46" t="s">
        <v>855</v>
      </c>
      <c r="E25" s="46" t="s">
        <v>920</v>
      </c>
      <c r="F25" s="24" t="str">
        <f>HYPERLINK("https://mapwv.gov/flood/map/?wkid=102100&amp;x=-8949554.00350322&amp;y=4736586.264196001&amp;l=13&amp;v=2","FT")</f>
        <v>FT</v>
      </c>
      <c r="G25" s="29" t="s">
        <v>37</v>
      </c>
      <c r="H25" s="29" t="s">
        <v>24</v>
      </c>
      <c r="I25" s="2" t="s">
        <v>982</v>
      </c>
      <c r="J25" s="22" t="s">
        <v>25</v>
      </c>
      <c r="K25" s="47" t="s">
        <v>131</v>
      </c>
      <c r="L25" s="45" t="s">
        <v>32</v>
      </c>
      <c r="M25" s="46" t="s">
        <v>33</v>
      </c>
      <c r="N25" s="3" t="s">
        <v>89</v>
      </c>
      <c r="O25" s="47" t="s">
        <v>90</v>
      </c>
      <c r="P25" s="46" t="s">
        <v>1041</v>
      </c>
      <c r="Q25" s="46" t="s">
        <v>29</v>
      </c>
      <c r="R25" s="23" t="s">
        <v>92</v>
      </c>
      <c r="S25" s="30">
        <v>588100</v>
      </c>
      <c r="T25" s="2" t="s">
        <v>43</v>
      </c>
      <c r="U25" s="31">
        <v>3</v>
      </c>
      <c r="V25" s="31">
        <v>2</v>
      </c>
      <c r="W25" s="32">
        <v>0.14000000000000001</v>
      </c>
      <c r="X25" s="33">
        <v>82334</v>
      </c>
    </row>
    <row r="26" spans="1:24" x14ac:dyDescent="0.25">
      <c r="A26" s="22" t="s">
        <v>782</v>
      </c>
      <c r="B26" s="2" t="s">
        <v>830</v>
      </c>
      <c r="C26" s="2" t="s">
        <v>833</v>
      </c>
      <c r="D26" s="46" t="s">
        <v>856</v>
      </c>
      <c r="E26" s="46" t="s">
        <v>921</v>
      </c>
      <c r="F26" s="24" t="str">
        <f>HYPERLINK("https://mapwv.gov/flood/map/?wkid=102100&amp;x=-8957740.892149122&amp;y=4727535.474931423&amp;l=13&amp;v=2","FT")</f>
        <v>FT</v>
      </c>
      <c r="G26" s="29" t="s">
        <v>31</v>
      </c>
      <c r="H26" s="29" t="s">
        <v>24</v>
      </c>
      <c r="I26" s="2" t="s">
        <v>165</v>
      </c>
      <c r="J26" s="22" t="s">
        <v>25</v>
      </c>
      <c r="K26" s="47" t="s">
        <v>82</v>
      </c>
      <c r="L26" s="45" t="s">
        <v>48</v>
      </c>
      <c r="M26" s="46" t="s">
        <v>46</v>
      </c>
      <c r="N26" s="3" t="s">
        <v>34</v>
      </c>
      <c r="O26" s="47" t="s">
        <v>90</v>
      </c>
      <c r="P26" s="46" t="s">
        <v>1042</v>
      </c>
      <c r="Q26" s="46" t="s">
        <v>29</v>
      </c>
      <c r="R26" s="23" t="s">
        <v>92</v>
      </c>
      <c r="S26" s="30">
        <v>567300</v>
      </c>
      <c r="T26" s="2" t="s">
        <v>43</v>
      </c>
      <c r="U26" s="31">
        <v>2.2060547000000001</v>
      </c>
      <c r="V26" s="31">
        <v>1.2060546875</v>
      </c>
      <c r="W26" s="32">
        <v>0.10030273437499999</v>
      </c>
      <c r="X26" s="33">
        <v>56901.7412109375</v>
      </c>
    </row>
    <row r="27" spans="1:24" x14ac:dyDescent="0.25">
      <c r="A27" s="22" t="s">
        <v>783</v>
      </c>
      <c r="B27" s="2" t="s">
        <v>829</v>
      </c>
      <c r="C27" s="2" t="s">
        <v>832</v>
      </c>
      <c r="D27" s="46" t="s">
        <v>857</v>
      </c>
      <c r="E27" s="46" t="s">
        <v>922</v>
      </c>
      <c r="F27" s="24" t="str">
        <f>HYPERLINK("https://mapwv.gov/flood/map/?wkid=102100&amp;x=-8952488.620609932&amp;y=4724462.012397636&amp;l=13&amp;v=2","FT")</f>
        <v>FT</v>
      </c>
      <c r="G27" s="29" t="s">
        <v>37</v>
      </c>
      <c r="H27" s="29" t="s">
        <v>24</v>
      </c>
      <c r="I27" s="2" t="s">
        <v>983</v>
      </c>
      <c r="J27" s="22" t="s">
        <v>25</v>
      </c>
      <c r="K27" s="47" t="s">
        <v>109</v>
      </c>
      <c r="L27" s="45" t="s">
        <v>48</v>
      </c>
      <c r="M27" s="46" t="s">
        <v>61</v>
      </c>
      <c r="N27" s="3" t="s">
        <v>41</v>
      </c>
      <c r="O27" s="47" t="s">
        <v>91</v>
      </c>
      <c r="P27" s="46" t="s">
        <v>1043</v>
      </c>
      <c r="Q27" s="46" t="s">
        <v>29</v>
      </c>
      <c r="R27" s="23" t="s">
        <v>92</v>
      </c>
      <c r="S27" s="30">
        <v>553200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25">
      <c r="A28" s="22" t="s">
        <v>784</v>
      </c>
      <c r="B28" s="2" t="s">
        <v>829</v>
      </c>
      <c r="C28" s="2" t="s">
        <v>234</v>
      </c>
      <c r="D28" s="46" t="s">
        <v>858</v>
      </c>
      <c r="E28" s="46" t="s">
        <v>923</v>
      </c>
      <c r="F28" s="24" t="str">
        <f>HYPERLINK("https://mapwv.gov/flood/map/?wkid=102100&amp;x=-8949008.171311932&amp;y=4735178.439840494&amp;l=13&amp;v=2","FT")</f>
        <v>FT</v>
      </c>
      <c r="G28" s="29" t="s">
        <v>37</v>
      </c>
      <c r="H28" s="29" t="s">
        <v>24</v>
      </c>
      <c r="I28" s="2" t="s">
        <v>984</v>
      </c>
      <c r="J28" s="22" t="s">
        <v>25</v>
      </c>
      <c r="K28" s="47" t="s">
        <v>109</v>
      </c>
      <c r="L28" s="45" t="s">
        <v>48</v>
      </c>
      <c r="M28" s="46" t="s">
        <v>55</v>
      </c>
      <c r="N28" s="3" t="s">
        <v>34</v>
      </c>
      <c r="O28" s="47" t="s">
        <v>90</v>
      </c>
      <c r="P28" s="46" t="s">
        <v>1044</v>
      </c>
      <c r="Q28" s="46" t="s">
        <v>29</v>
      </c>
      <c r="R28" s="23" t="s">
        <v>92</v>
      </c>
      <c r="S28" s="30">
        <v>512700</v>
      </c>
      <c r="T28" s="2" t="s">
        <v>43</v>
      </c>
      <c r="U28" s="31">
        <v>1</v>
      </c>
      <c r="V28" s="31">
        <v>0</v>
      </c>
      <c r="W28" s="32">
        <v>0.02</v>
      </c>
      <c r="X28" s="33">
        <v>10254</v>
      </c>
    </row>
    <row r="29" spans="1:24" x14ac:dyDescent="0.25">
      <c r="A29" s="22" t="s">
        <v>785</v>
      </c>
      <c r="B29" s="2" t="s">
        <v>829</v>
      </c>
      <c r="C29" s="2" t="s">
        <v>234</v>
      </c>
      <c r="D29" s="46" t="s">
        <v>859</v>
      </c>
      <c r="E29" s="46" t="s">
        <v>924</v>
      </c>
      <c r="F29" s="24" t="str">
        <f>HYPERLINK("https://mapwv.gov/flood/map/?wkid=102100&amp;x=-8949600.730527395&amp;y=4736415.31159158&amp;l=13&amp;v=2","FT")</f>
        <v>FT</v>
      </c>
      <c r="G29" s="29" t="s">
        <v>37</v>
      </c>
      <c r="H29" s="29" t="s">
        <v>24</v>
      </c>
      <c r="I29" s="2" t="s">
        <v>985</v>
      </c>
      <c r="J29" s="22" t="s">
        <v>25</v>
      </c>
      <c r="K29" s="47" t="s">
        <v>122</v>
      </c>
      <c r="L29" s="45" t="s">
        <v>45</v>
      </c>
      <c r="M29" s="46" t="s">
        <v>62</v>
      </c>
      <c r="N29" s="3" t="s">
        <v>34</v>
      </c>
      <c r="O29" s="47" t="s">
        <v>91</v>
      </c>
      <c r="P29" s="46" t="s">
        <v>187</v>
      </c>
      <c r="Q29" s="46" t="s">
        <v>29</v>
      </c>
      <c r="R29" s="23" t="s">
        <v>92</v>
      </c>
      <c r="S29" s="30">
        <v>511600</v>
      </c>
      <c r="T29" s="2" t="s">
        <v>30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25">
      <c r="A30" s="22" t="s">
        <v>786</v>
      </c>
      <c r="B30" s="2" t="s">
        <v>829</v>
      </c>
      <c r="C30" s="2" t="s">
        <v>171</v>
      </c>
      <c r="D30" s="46" t="s">
        <v>860</v>
      </c>
      <c r="E30" s="46" t="s">
        <v>925</v>
      </c>
      <c r="F30" s="24" t="str">
        <f>HYPERLINK("https://mapwv.gov/flood/map/?wkid=102100&amp;x=-8951041.836476374&amp;y=4736902.594191585&amp;l=13&amp;v=2","FT")</f>
        <v>FT</v>
      </c>
      <c r="G30" s="29" t="s">
        <v>37</v>
      </c>
      <c r="H30" s="29" t="s">
        <v>24</v>
      </c>
      <c r="I30" s="2" t="s">
        <v>986</v>
      </c>
      <c r="J30" s="22" t="s">
        <v>25</v>
      </c>
      <c r="K30" s="47" t="s">
        <v>166</v>
      </c>
      <c r="L30" s="45" t="s">
        <v>26</v>
      </c>
      <c r="M30" s="46" t="s">
        <v>46</v>
      </c>
      <c r="N30" s="3" t="s">
        <v>34</v>
      </c>
      <c r="O30" s="47" t="s">
        <v>90</v>
      </c>
      <c r="P30" s="46" t="s">
        <v>1045</v>
      </c>
      <c r="Q30" s="46" t="s">
        <v>29</v>
      </c>
      <c r="R30" s="23" t="s">
        <v>92</v>
      </c>
      <c r="S30" s="30">
        <v>463800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25">
      <c r="A31" s="22" t="s">
        <v>787</v>
      </c>
      <c r="B31" s="2" t="s">
        <v>829</v>
      </c>
      <c r="C31" s="2" t="s">
        <v>145</v>
      </c>
      <c r="D31" s="46" t="s">
        <v>861</v>
      </c>
      <c r="E31" s="46" t="s">
        <v>926</v>
      </c>
      <c r="F31" s="24" t="str">
        <f>HYPERLINK("https://mapwv.gov/flood/map/?wkid=102100&amp;x=-8955384.427845977&amp;y=4727179.277888256&amp;l=13&amp;v=2","FT")</f>
        <v>FT</v>
      </c>
      <c r="G31" s="29" t="s">
        <v>31</v>
      </c>
      <c r="H31" s="29" t="s">
        <v>24</v>
      </c>
      <c r="I31" s="2" t="s">
        <v>987</v>
      </c>
      <c r="J31" s="22" t="s">
        <v>38</v>
      </c>
      <c r="K31" s="47" t="s">
        <v>125</v>
      </c>
      <c r="L31" s="45" t="s">
        <v>52</v>
      </c>
      <c r="M31" s="46" t="s">
        <v>55</v>
      </c>
      <c r="N31" s="3" t="s">
        <v>34</v>
      </c>
      <c r="O31" s="47" t="s">
        <v>90</v>
      </c>
      <c r="P31" s="46" t="s">
        <v>1046</v>
      </c>
      <c r="Q31" s="46" t="s">
        <v>29</v>
      </c>
      <c r="R31" s="23" t="s">
        <v>92</v>
      </c>
      <c r="S31" s="30">
        <v>440600</v>
      </c>
      <c r="T31" s="2" t="s">
        <v>30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25">
      <c r="A32" s="22" t="s">
        <v>788</v>
      </c>
      <c r="B32" s="2" t="s">
        <v>831</v>
      </c>
      <c r="C32" s="2" t="s">
        <v>234</v>
      </c>
      <c r="D32" s="46" t="s">
        <v>862</v>
      </c>
      <c r="E32" s="46" t="s">
        <v>927</v>
      </c>
      <c r="F32" s="24" t="str">
        <f>HYPERLINK("https://mapwv.gov/flood/map/?wkid=102100&amp;x=-8950952.748601088&amp;y=4737075.348565261&amp;l=13&amp;v=2","FT")</f>
        <v>FT</v>
      </c>
      <c r="G32" s="29" t="s">
        <v>37</v>
      </c>
      <c r="H32" s="29" t="s">
        <v>24</v>
      </c>
      <c r="I32" s="2" t="s">
        <v>988</v>
      </c>
      <c r="J32" s="22" t="s">
        <v>25</v>
      </c>
      <c r="K32" s="47" t="s">
        <v>174</v>
      </c>
      <c r="L32" s="45" t="s">
        <v>26</v>
      </c>
      <c r="M32" s="46" t="s">
        <v>46</v>
      </c>
      <c r="N32" s="3" t="s">
        <v>34</v>
      </c>
      <c r="O32" s="47" t="s">
        <v>90</v>
      </c>
      <c r="P32" s="46" t="s">
        <v>1047</v>
      </c>
      <c r="Q32" s="46" t="s">
        <v>29</v>
      </c>
      <c r="R32" s="23" t="s">
        <v>92</v>
      </c>
      <c r="S32" s="30">
        <v>427100</v>
      </c>
      <c r="T32" s="2" t="s">
        <v>30</v>
      </c>
      <c r="U32" s="31">
        <v>6</v>
      </c>
      <c r="V32" s="31">
        <v>5</v>
      </c>
      <c r="W32" s="32">
        <v>0.2</v>
      </c>
      <c r="X32" s="33">
        <v>85420</v>
      </c>
    </row>
    <row r="33" spans="1:24" x14ac:dyDescent="0.25">
      <c r="A33" s="22" t="s">
        <v>789</v>
      </c>
      <c r="B33" s="2" t="s">
        <v>829</v>
      </c>
      <c r="C33" s="2" t="s">
        <v>832</v>
      </c>
      <c r="D33" s="46" t="s">
        <v>863</v>
      </c>
      <c r="E33" s="46" t="s">
        <v>928</v>
      </c>
      <c r="F33" s="24" t="str">
        <f>HYPERLINK("https://mapwv.gov/flood/map/?wkid=102100&amp;x=-8952419.817149619&amp;y=4724404.541026907&amp;l=13&amp;v=2","FT")</f>
        <v>FT</v>
      </c>
      <c r="G33" s="29" t="s">
        <v>37</v>
      </c>
      <c r="H33" s="29" t="s">
        <v>24</v>
      </c>
      <c r="I33" s="2" t="s">
        <v>989</v>
      </c>
      <c r="J33" s="22" t="s">
        <v>25</v>
      </c>
      <c r="K33" s="47" t="s">
        <v>149</v>
      </c>
      <c r="L33" s="45" t="s">
        <v>49</v>
      </c>
      <c r="M33" s="46" t="s">
        <v>50</v>
      </c>
      <c r="N33" s="3" t="s">
        <v>34</v>
      </c>
      <c r="O33" s="47" t="s">
        <v>90</v>
      </c>
      <c r="P33" s="46" t="s">
        <v>1048</v>
      </c>
      <c r="Q33" s="46" t="s">
        <v>29</v>
      </c>
      <c r="R33" s="23" t="s">
        <v>92</v>
      </c>
      <c r="S33" s="30">
        <v>412300</v>
      </c>
      <c r="T33" s="2" t="s">
        <v>43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25">
      <c r="A34" s="22" t="s">
        <v>790</v>
      </c>
      <c r="B34" s="2" t="s">
        <v>830</v>
      </c>
      <c r="C34" s="2" t="s">
        <v>833</v>
      </c>
      <c r="D34" s="46" t="s">
        <v>864</v>
      </c>
      <c r="E34" s="46" t="s">
        <v>929</v>
      </c>
      <c r="F34" s="24" t="str">
        <f>HYPERLINK("https://mapwv.gov/flood/map/?wkid=102100&amp;x=-8957983.509194447&amp;y=4727465.91599009&amp;l=13&amp;v=2","FT")</f>
        <v>FT</v>
      </c>
      <c r="G34" s="29" t="s">
        <v>31</v>
      </c>
      <c r="H34" s="29" t="s">
        <v>24</v>
      </c>
      <c r="I34" s="2" t="s">
        <v>990</v>
      </c>
      <c r="J34" s="22" t="s">
        <v>25</v>
      </c>
      <c r="K34" s="47" t="s">
        <v>115</v>
      </c>
      <c r="L34" s="45" t="s">
        <v>44</v>
      </c>
      <c r="M34" s="46" t="s">
        <v>63</v>
      </c>
      <c r="N34" s="3" t="s">
        <v>87</v>
      </c>
      <c r="O34" s="47" t="s">
        <v>90</v>
      </c>
      <c r="P34" s="46" t="s">
        <v>1049</v>
      </c>
      <c r="Q34" s="46" t="s">
        <v>29</v>
      </c>
      <c r="R34" s="23" t="s">
        <v>92</v>
      </c>
      <c r="S34" s="30">
        <v>400900</v>
      </c>
      <c r="T34" s="2" t="s">
        <v>43</v>
      </c>
      <c r="U34" s="31">
        <v>0</v>
      </c>
      <c r="V34" s="31">
        <v>-1</v>
      </c>
      <c r="W34" s="32">
        <v>0</v>
      </c>
      <c r="X34" s="33">
        <v>0</v>
      </c>
    </row>
    <row r="35" spans="1:24" x14ac:dyDescent="0.25">
      <c r="A35" s="22" t="s">
        <v>791</v>
      </c>
      <c r="B35" s="2" t="s">
        <v>831</v>
      </c>
      <c r="C35" s="2" t="s">
        <v>234</v>
      </c>
      <c r="D35" s="46" t="s">
        <v>865</v>
      </c>
      <c r="E35" s="46" t="s">
        <v>930</v>
      </c>
      <c r="F35" s="24" t="str">
        <f>HYPERLINK("https://mapwv.gov/flood/map/?wkid=102100&amp;x=-8950743.771860605&amp;y=4737125.79652713&amp;l=13&amp;v=2","FT")</f>
        <v>FT</v>
      </c>
      <c r="G35" s="29" t="s">
        <v>37</v>
      </c>
      <c r="H35" s="29" t="s">
        <v>24</v>
      </c>
      <c r="I35" s="2" t="s">
        <v>991</v>
      </c>
      <c r="J35" s="22" t="s">
        <v>25</v>
      </c>
      <c r="K35" s="47" t="s">
        <v>149</v>
      </c>
      <c r="L35" s="45"/>
      <c r="M35" s="46" t="s">
        <v>63</v>
      </c>
      <c r="N35" s="3" t="s">
        <v>87</v>
      </c>
      <c r="O35" s="47" t="s">
        <v>90</v>
      </c>
      <c r="P35" s="46" t="s">
        <v>1050</v>
      </c>
      <c r="Q35" s="46" t="s">
        <v>29</v>
      </c>
      <c r="R35" s="23" t="s">
        <v>92</v>
      </c>
      <c r="S35" s="30">
        <v>399770</v>
      </c>
      <c r="T35" s="2" t="s">
        <v>30</v>
      </c>
      <c r="U35" s="31">
        <v>1</v>
      </c>
      <c r="V35" s="31">
        <v>0</v>
      </c>
      <c r="W35" s="32">
        <v>0</v>
      </c>
      <c r="X35" s="33">
        <v>0</v>
      </c>
    </row>
    <row r="36" spans="1:24" x14ac:dyDescent="0.25">
      <c r="A36" s="22" t="s">
        <v>792</v>
      </c>
      <c r="B36" s="2" t="s">
        <v>830</v>
      </c>
      <c r="C36" s="2" t="s">
        <v>833</v>
      </c>
      <c r="D36" s="46" t="s">
        <v>866</v>
      </c>
      <c r="E36" s="46" t="s">
        <v>931</v>
      </c>
      <c r="F36" s="24" t="str">
        <f>HYPERLINK("https://mapwv.gov/flood/map/?wkid=102100&amp;x=-8957947.660533547&amp;y=4727712.986140063&amp;l=13&amp;v=2","FT")</f>
        <v>FT</v>
      </c>
      <c r="G36" s="29" t="s">
        <v>31</v>
      </c>
      <c r="H36" s="29" t="s">
        <v>24</v>
      </c>
      <c r="I36" s="2" t="s">
        <v>992</v>
      </c>
      <c r="J36" s="22" t="s">
        <v>35</v>
      </c>
      <c r="K36" s="47" t="s">
        <v>75</v>
      </c>
      <c r="L36" s="45"/>
      <c r="M36" s="46" t="s">
        <v>57</v>
      </c>
      <c r="N36" s="3" t="s">
        <v>88</v>
      </c>
      <c r="O36" s="47" t="s">
        <v>90</v>
      </c>
      <c r="P36" s="46" t="s">
        <v>1051</v>
      </c>
      <c r="Q36" s="46" t="s">
        <v>29</v>
      </c>
      <c r="R36" s="23" t="s">
        <v>92</v>
      </c>
      <c r="S36" s="30">
        <v>398300</v>
      </c>
      <c r="T36" s="2" t="s">
        <v>30</v>
      </c>
      <c r="U36" s="31">
        <v>0.40148926000000001</v>
      </c>
      <c r="V36" s="31">
        <v>-0.5985107421875</v>
      </c>
      <c r="W36" s="32">
        <v>0</v>
      </c>
      <c r="X36" s="33">
        <v>0</v>
      </c>
    </row>
    <row r="37" spans="1:24" x14ac:dyDescent="0.25">
      <c r="A37" s="22" t="s">
        <v>793</v>
      </c>
      <c r="B37" s="2" t="s">
        <v>829</v>
      </c>
      <c r="C37" s="2" t="s">
        <v>144</v>
      </c>
      <c r="D37" s="46" t="s">
        <v>867</v>
      </c>
      <c r="E37" s="46" t="s">
        <v>932</v>
      </c>
      <c r="F37" s="24" t="str">
        <f>HYPERLINK("https://mapwv.gov/flood/map/?wkid=102100&amp;x=-8958570.132520705&amp;y=4726562.441740885&amp;l=13&amp;v=2","FT")</f>
        <v>FT</v>
      </c>
      <c r="G37" s="29" t="s">
        <v>31</v>
      </c>
      <c r="H37" s="29" t="s">
        <v>146</v>
      </c>
      <c r="I37" s="2" t="s">
        <v>993</v>
      </c>
      <c r="J37" s="22" t="s">
        <v>25</v>
      </c>
      <c r="K37" s="47" t="s">
        <v>124</v>
      </c>
      <c r="L37" s="45" t="s">
        <v>47</v>
      </c>
      <c r="M37" s="46" t="s">
        <v>40</v>
      </c>
      <c r="N37" s="3" t="s">
        <v>41</v>
      </c>
      <c r="O37" s="47" t="s">
        <v>91</v>
      </c>
      <c r="P37" s="46" t="s">
        <v>1052</v>
      </c>
      <c r="Q37" s="46" t="s">
        <v>51</v>
      </c>
      <c r="R37" s="23" t="s">
        <v>93</v>
      </c>
      <c r="S37" s="30">
        <v>374100</v>
      </c>
      <c r="T37" s="2" t="s">
        <v>43</v>
      </c>
      <c r="U37" s="31">
        <v>1</v>
      </c>
      <c r="V37" s="31">
        <v>-3</v>
      </c>
      <c r="W37" s="32">
        <v>0</v>
      </c>
      <c r="X37" s="33">
        <v>0</v>
      </c>
    </row>
    <row r="38" spans="1:24" x14ac:dyDescent="0.25">
      <c r="A38" s="22" t="s">
        <v>794</v>
      </c>
      <c r="B38" s="2" t="s">
        <v>829</v>
      </c>
      <c r="C38" s="2" t="s">
        <v>832</v>
      </c>
      <c r="D38" s="46" t="s">
        <v>868</v>
      </c>
      <c r="E38" s="46" t="s">
        <v>933</v>
      </c>
      <c r="F38" s="24" t="str">
        <f>HYPERLINK("https://mapwv.gov/flood/map/?wkid=102100&amp;x=-8952009.722045474&amp;y=4724147.246406039&amp;l=13&amp;v=2","FT")</f>
        <v>FT</v>
      </c>
      <c r="G38" s="29" t="s">
        <v>37</v>
      </c>
      <c r="H38" s="29" t="s">
        <v>24</v>
      </c>
      <c r="I38" s="2" t="s">
        <v>994</v>
      </c>
      <c r="J38" s="22" t="s">
        <v>38</v>
      </c>
      <c r="K38" s="47" t="s">
        <v>186</v>
      </c>
      <c r="L38" s="45" t="s">
        <v>32</v>
      </c>
      <c r="M38" s="46" t="s">
        <v>61</v>
      </c>
      <c r="N38" s="3" t="s">
        <v>41</v>
      </c>
      <c r="O38" s="47" t="s">
        <v>91</v>
      </c>
      <c r="P38" s="46" t="s">
        <v>1053</v>
      </c>
      <c r="Q38" s="46" t="s">
        <v>29</v>
      </c>
      <c r="R38" s="23" t="s">
        <v>92</v>
      </c>
      <c r="S38" s="30">
        <v>362900</v>
      </c>
      <c r="T38" s="2" t="s">
        <v>30</v>
      </c>
      <c r="U38" s="31">
        <v>0</v>
      </c>
      <c r="V38" s="31">
        <v>-1</v>
      </c>
      <c r="W38" s="32">
        <v>0</v>
      </c>
      <c r="X38" s="33">
        <v>0</v>
      </c>
    </row>
    <row r="39" spans="1:24" x14ac:dyDescent="0.25">
      <c r="A39" s="22" t="s">
        <v>795</v>
      </c>
      <c r="B39" s="2" t="s">
        <v>829</v>
      </c>
      <c r="C39" s="2" t="s">
        <v>833</v>
      </c>
      <c r="D39" s="46" t="s">
        <v>869</v>
      </c>
      <c r="E39" s="46" t="s">
        <v>934</v>
      </c>
      <c r="F39" s="24" t="str">
        <f>HYPERLINK("https://mapwv.gov/flood/map/?wkid=102100&amp;x=-8960449.021514177&amp;y=4728325.4016756145&amp;l=13&amp;v=2","FT")</f>
        <v>FT</v>
      </c>
      <c r="G39" s="29" t="s">
        <v>37</v>
      </c>
      <c r="H39" s="29" t="s">
        <v>24</v>
      </c>
      <c r="I39" s="2" t="s">
        <v>968</v>
      </c>
      <c r="J39" s="22" t="s">
        <v>25</v>
      </c>
      <c r="K39" s="47" t="s">
        <v>149</v>
      </c>
      <c r="L39" s="45" t="s">
        <v>56</v>
      </c>
      <c r="M39" s="46" t="s">
        <v>54</v>
      </c>
      <c r="N39" s="3" t="s">
        <v>34</v>
      </c>
      <c r="O39" s="47" t="s">
        <v>90</v>
      </c>
      <c r="P39" s="46" t="s">
        <v>1054</v>
      </c>
      <c r="Q39" s="46" t="s">
        <v>29</v>
      </c>
      <c r="R39" s="23" t="s">
        <v>92</v>
      </c>
      <c r="S39" s="30">
        <v>349600</v>
      </c>
      <c r="T39" s="2" t="s">
        <v>30</v>
      </c>
      <c r="U39" s="31">
        <v>7</v>
      </c>
      <c r="V39" s="31">
        <v>6</v>
      </c>
      <c r="W39" s="32">
        <v>0.17</v>
      </c>
      <c r="X39" s="33">
        <v>59432</v>
      </c>
    </row>
    <row r="40" spans="1:24" x14ac:dyDescent="0.25">
      <c r="A40" s="22" t="s">
        <v>796</v>
      </c>
      <c r="B40" s="2" t="s">
        <v>829</v>
      </c>
      <c r="C40" s="2" t="s">
        <v>836</v>
      </c>
      <c r="D40" s="46" t="s">
        <v>870</v>
      </c>
      <c r="E40" s="46" t="s">
        <v>935</v>
      </c>
      <c r="F40" s="24" t="str">
        <f>HYPERLINK("https://mapwv.gov/flood/map/?wkid=102100&amp;x=-8947193.003264781&amp;y=4719507.036388524&amp;l=13&amp;v=2","FT")</f>
        <v>FT</v>
      </c>
      <c r="G40" s="29" t="s">
        <v>37</v>
      </c>
      <c r="H40" s="29" t="s">
        <v>24</v>
      </c>
      <c r="I40" s="2" t="s">
        <v>995</v>
      </c>
      <c r="J40" s="22" t="s">
        <v>25</v>
      </c>
      <c r="K40" s="47" t="s">
        <v>128</v>
      </c>
      <c r="L40" s="45" t="s">
        <v>49</v>
      </c>
      <c r="M40" s="46" t="s">
        <v>40</v>
      </c>
      <c r="N40" s="3" t="s">
        <v>41</v>
      </c>
      <c r="O40" s="47" t="s">
        <v>90</v>
      </c>
      <c r="P40" s="46" t="s">
        <v>1055</v>
      </c>
      <c r="Q40" s="46" t="s">
        <v>42</v>
      </c>
      <c r="R40" s="23" t="s">
        <v>93</v>
      </c>
      <c r="S40" s="30">
        <v>343600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25">
      <c r="A41" s="22" t="s">
        <v>797</v>
      </c>
      <c r="B41" s="2" t="s">
        <v>829</v>
      </c>
      <c r="C41" s="2" t="s">
        <v>234</v>
      </c>
      <c r="D41" s="46" t="s">
        <v>871</v>
      </c>
      <c r="E41" s="46" t="s">
        <v>936</v>
      </c>
      <c r="F41" s="24" t="str">
        <f>HYPERLINK("https://mapwv.gov/flood/map/?wkid=102100&amp;x=-8949514.146672737&amp;y=4735787.55047658&amp;l=13&amp;v=2","FT")</f>
        <v>FT</v>
      </c>
      <c r="G41" s="29" t="s">
        <v>37</v>
      </c>
      <c r="H41" s="29" t="s">
        <v>24</v>
      </c>
      <c r="I41" s="2" t="s">
        <v>996</v>
      </c>
      <c r="J41" s="22" t="s">
        <v>38</v>
      </c>
      <c r="K41" s="47" t="s">
        <v>126</v>
      </c>
      <c r="L41" s="45" t="s">
        <v>56</v>
      </c>
      <c r="M41" s="46" t="s">
        <v>105</v>
      </c>
      <c r="N41" s="3" t="s">
        <v>34</v>
      </c>
      <c r="O41" s="47" t="s">
        <v>90</v>
      </c>
      <c r="P41" s="46" t="s">
        <v>1056</v>
      </c>
      <c r="Q41" s="46" t="s">
        <v>29</v>
      </c>
      <c r="R41" s="23" t="s">
        <v>92</v>
      </c>
      <c r="S41" s="30">
        <v>340300</v>
      </c>
      <c r="T41" s="2" t="s">
        <v>43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25">
      <c r="A42" s="22" t="s">
        <v>798</v>
      </c>
      <c r="B42" s="2" t="s">
        <v>830</v>
      </c>
      <c r="C42" s="2" t="s">
        <v>833</v>
      </c>
      <c r="D42" s="46" t="s">
        <v>872</v>
      </c>
      <c r="E42" s="46" t="s">
        <v>921</v>
      </c>
      <c r="F42" s="24" t="str">
        <f>HYPERLINK("https://mapwv.gov/flood/map/?wkid=102100&amp;x=-8957757.21036196&amp;y=4727440.694691019&amp;l=13&amp;v=2","FT")</f>
        <v>FT</v>
      </c>
      <c r="G42" s="29" t="s">
        <v>31</v>
      </c>
      <c r="H42" s="29" t="s">
        <v>24</v>
      </c>
      <c r="I42" s="2" t="s">
        <v>997</v>
      </c>
      <c r="J42" s="22" t="s">
        <v>38</v>
      </c>
      <c r="K42" s="47" t="s">
        <v>84</v>
      </c>
      <c r="L42" s="45" t="s">
        <v>26</v>
      </c>
      <c r="M42" s="46" t="s">
        <v>54</v>
      </c>
      <c r="N42" s="3" t="s">
        <v>34</v>
      </c>
      <c r="O42" s="47" t="s">
        <v>91</v>
      </c>
      <c r="P42" s="46" t="s">
        <v>1057</v>
      </c>
      <c r="Q42" s="46" t="s">
        <v>29</v>
      </c>
      <c r="R42" s="23" t="s">
        <v>92</v>
      </c>
      <c r="S42" s="30">
        <v>323000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25">
      <c r="A43" s="22" t="s">
        <v>799</v>
      </c>
      <c r="B43" s="2" t="s">
        <v>829</v>
      </c>
      <c r="C43" s="2" t="s">
        <v>144</v>
      </c>
      <c r="D43" s="46" t="s">
        <v>873</v>
      </c>
      <c r="E43" s="46" t="s">
        <v>937</v>
      </c>
      <c r="F43" s="24" t="str">
        <f>HYPERLINK("https://mapwv.gov/flood/map/?wkid=102100&amp;x=-8956906.028918743&amp;y=4729959.747645875&amp;l=13&amp;v=2","FT")</f>
        <v>FT</v>
      </c>
      <c r="G43" s="29" t="s">
        <v>31</v>
      </c>
      <c r="H43" s="29" t="s">
        <v>24</v>
      </c>
      <c r="I43" s="2" t="s">
        <v>998</v>
      </c>
      <c r="J43" s="22" t="s">
        <v>38</v>
      </c>
      <c r="K43" s="47" t="s">
        <v>123</v>
      </c>
      <c r="L43" s="45" t="s">
        <v>48</v>
      </c>
      <c r="M43" s="46" t="s">
        <v>62</v>
      </c>
      <c r="N43" s="3" t="s">
        <v>34</v>
      </c>
      <c r="O43" s="47" t="s">
        <v>90</v>
      </c>
      <c r="P43" s="46" t="s">
        <v>1058</v>
      </c>
      <c r="Q43" s="46" t="s">
        <v>29</v>
      </c>
      <c r="R43" s="23" t="s">
        <v>92</v>
      </c>
      <c r="S43" s="30">
        <v>321300</v>
      </c>
      <c r="T43" s="2" t="s">
        <v>30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25">
      <c r="A44" s="22" t="s">
        <v>800</v>
      </c>
      <c r="B44" s="2" t="s">
        <v>830</v>
      </c>
      <c r="C44" s="2" t="s">
        <v>144</v>
      </c>
      <c r="D44" s="46" t="s">
        <v>874</v>
      </c>
      <c r="E44" s="46" t="s">
        <v>938</v>
      </c>
      <c r="F44" s="24" t="str">
        <f>HYPERLINK("https://mapwv.gov/flood/map/?wkid=102100&amp;x=-8957781.117335802&amp;y=4726837.78037456&amp;l=13&amp;v=2","FT")</f>
        <v>FT</v>
      </c>
      <c r="G44" s="29" t="s">
        <v>53</v>
      </c>
      <c r="H44" s="29" t="s">
        <v>24</v>
      </c>
      <c r="I44" s="2" t="s">
        <v>999</v>
      </c>
      <c r="J44" s="22" t="s">
        <v>38</v>
      </c>
      <c r="K44" s="47" t="s">
        <v>107</v>
      </c>
      <c r="L44" s="45" t="s">
        <v>52</v>
      </c>
      <c r="M44" s="46" t="s">
        <v>156</v>
      </c>
      <c r="N44" s="3" t="s">
        <v>41</v>
      </c>
      <c r="O44" s="47" t="s">
        <v>91</v>
      </c>
      <c r="P44" s="46" t="s">
        <v>1059</v>
      </c>
      <c r="Q44" s="46" t="s">
        <v>42</v>
      </c>
      <c r="R44" s="23" t="s">
        <v>93</v>
      </c>
      <c r="S44" s="30">
        <v>308400</v>
      </c>
      <c r="T44" s="2" t="s">
        <v>43</v>
      </c>
      <c r="U44" s="31">
        <v>0.53021240000000003</v>
      </c>
      <c r="V44" s="31">
        <v>-3.46978759765625</v>
      </c>
      <c r="W44" s="32">
        <v>0</v>
      </c>
      <c r="X44" s="33">
        <v>0</v>
      </c>
    </row>
    <row r="45" spans="1:24" x14ac:dyDescent="0.25">
      <c r="A45" s="22" t="s">
        <v>801</v>
      </c>
      <c r="B45" s="2" t="s">
        <v>829</v>
      </c>
      <c r="C45" s="2" t="s">
        <v>144</v>
      </c>
      <c r="D45" s="46" t="s">
        <v>875</v>
      </c>
      <c r="E45" s="46" t="s">
        <v>939</v>
      </c>
      <c r="F45" s="24" t="str">
        <f>HYPERLINK("https://mapwv.gov/flood/map/?wkid=102100&amp;x=-8955150.915955761&amp;y=4703637.128360974&amp;l=13&amp;v=2","FT")</f>
        <v>FT</v>
      </c>
      <c r="G45" s="29" t="s">
        <v>37</v>
      </c>
      <c r="H45" s="29" t="s">
        <v>24</v>
      </c>
      <c r="I45" s="2" t="s">
        <v>1000</v>
      </c>
      <c r="J45" s="22" t="s">
        <v>25</v>
      </c>
      <c r="K45" s="47" t="s">
        <v>96</v>
      </c>
      <c r="L45" s="45"/>
      <c r="M45" s="46" t="s">
        <v>63</v>
      </c>
      <c r="N45" s="3" t="s">
        <v>87</v>
      </c>
      <c r="O45" s="47" t="s">
        <v>90</v>
      </c>
      <c r="P45" s="46" t="s">
        <v>1060</v>
      </c>
      <c r="Q45" s="46" t="s">
        <v>29</v>
      </c>
      <c r="R45" s="23" t="s">
        <v>92</v>
      </c>
      <c r="S45" s="30">
        <v>298790</v>
      </c>
      <c r="T45" s="2" t="s">
        <v>30</v>
      </c>
      <c r="U45" s="31">
        <v>1</v>
      </c>
      <c r="V45" s="31">
        <v>0</v>
      </c>
      <c r="W45" s="32">
        <v>0</v>
      </c>
      <c r="X45" s="33">
        <v>0</v>
      </c>
    </row>
    <row r="46" spans="1:24" x14ac:dyDescent="0.25">
      <c r="A46" s="22" t="s">
        <v>802</v>
      </c>
      <c r="B46" s="2" t="s">
        <v>829</v>
      </c>
      <c r="C46" s="2" t="s">
        <v>832</v>
      </c>
      <c r="D46" s="46" t="s">
        <v>876</v>
      </c>
      <c r="E46" s="46" t="s">
        <v>940</v>
      </c>
      <c r="F46" s="24" t="str">
        <f>HYPERLINK("https://mapwv.gov/flood/map/?wkid=102100&amp;x=-8954566.471485902&amp;y=4726245.01433987&amp;l=13&amp;v=2","FT")</f>
        <v>FT</v>
      </c>
      <c r="G46" s="29" t="s">
        <v>37</v>
      </c>
      <c r="H46" s="29" t="s">
        <v>24</v>
      </c>
      <c r="I46" s="2" t="s">
        <v>1001</v>
      </c>
      <c r="J46" s="22" t="s">
        <v>25</v>
      </c>
      <c r="K46" s="47" t="s">
        <v>121</v>
      </c>
      <c r="L46" s="45" t="s">
        <v>56</v>
      </c>
      <c r="M46" s="46" t="s">
        <v>62</v>
      </c>
      <c r="N46" s="3" t="s">
        <v>34</v>
      </c>
      <c r="O46" s="47" t="s">
        <v>90</v>
      </c>
      <c r="P46" s="46" t="s">
        <v>1061</v>
      </c>
      <c r="Q46" s="46" t="s">
        <v>29</v>
      </c>
      <c r="R46" s="23" t="s">
        <v>92</v>
      </c>
      <c r="S46" s="30">
        <v>294600</v>
      </c>
      <c r="T46" s="2" t="s">
        <v>43</v>
      </c>
      <c r="U46" s="31">
        <v>0</v>
      </c>
      <c r="V46" s="31">
        <v>-1</v>
      </c>
      <c r="W46" s="32">
        <v>0</v>
      </c>
      <c r="X46" s="33">
        <v>0</v>
      </c>
    </row>
    <row r="47" spans="1:24" x14ac:dyDescent="0.25">
      <c r="A47" s="22" t="s">
        <v>803</v>
      </c>
      <c r="B47" s="2" t="s">
        <v>830</v>
      </c>
      <c r="C47" s="2" t="s">
        <v>832</v>
      </c>
      <c r="D47" s="46" t="s">
        <v>877</v>
      </c>
      <c r="E47" s="46" t="s">
        <v>941</v>
      </c>
      <c r="F47" s="24" t="str">
        <f>HYPERLINK("https://mapwv.gov/flood/map/?wkid=102100&amp;x=-8957027.636556879&amp;y=4727426.447103385&amp;l=13&amp;v=2","FT")</f>
        <v>FT</v>
      </c>
      <c r="G47" s="29" t="s">
        <v>31</v>
      </c>
      <c r="H47" s="29" t="s">
        <v>24</v>
      </c>
      <c r="I47" s="2" t="s">
        <v>1002</v>
      </c>
      <c r="J47" s="22" t="s">
        <v>25</v>
      </c>
      <c r="K47" s="47" t="s">
        <v>128</v>
      </c>
      <c r="L47" s="45" t="s">
        <v>47</v>
      </c>
      <c r="M47" s="46" t="s">
        <v>40</v>
      </c>
      <c r="N47" s="3" t="s">
        <v>41</v>
      </c>
      <c r="O47" s="47" t="s">
        <v>91</v>
      </c>
      <c r="P47" s="46" t="s">
        <v>1062</v>
      </c>
      <c r="Q47" s="46" t="s">
        <v>42</v>
      </c>
      <c r="R47" s="23" t="s">
        <v>93</v>
      </c>
      <c r="S47" s="30">
        <v>293900</v>
      </c>
      <c r="T47" s="2" t="s">
        <v>43</v>
      </c>
      <c r="U47" s="31">
        <v>7.8125E-3</v>
      </c>
      <c r="V47" s="31">
        <v>-3.9921875</v>
      </c>
      <c r="W47" s="32">
        <v>0.04</v>
      </c>
      <c r="X47" s="33">
        <v>11756</v>
      </c>
    </row>
    <row r="48" spans="1:24" x14ac:dyDescent="0.25">
      <c r="A48" s="22" t="s">
        <v>804</v>
      </c>
      <c r="B48" s="2" t="s">
        <v>830</v>
      </c>
      <c r="C48" s="2" t="s">
        <v>832</v>
      </c>
      <c r="D48" s="46" t="s">
        <v>878</v>
      </c>
      <c r="E48" s="46" t="s">
        <v>942</v>
      </c>
      <c r="F48" s="24" t="str">
        <f>HYPERLINK("https://mapwv.gov/flood/map/?wkid=102100&amp;x=-8956199.728679601&amp;y=4726916.673298193&amp;l=13&amp;v=2","FT")</f>
        <v>FT</v>
      </c>
      <c r="G48" s="29" t="s">
        <v>31</v>
      </c>
      <c r="H48" s="29" t="s">
        <v>24</v>
      </c>
      <c r="I48" s="2" t="s">
        <v>1003</v>
      </c>
      <c r="J48" s="22" t="s">
        <v>25</v>
      </c>
      <c r="K48" s="47" t="s">
        <v>124</v>
      </c>
      <c r="L48" s="45" t="s">
        <v>44</v>
      </c>
      <c r="M48" s="46" t="s">
        <v>50</v>
      </c>
      <c r="N48" s="3" t="s">
        <v>34</v>
      </c>
      <c r="O48" s="47" t="s">
        <v>90</v>
      </c>
      <c r="P48" s="46" t="s">
        <v>1063</v>
      </c>
      <c r="Q48" s="46" t="s">
        <v>29</v>
      </c>
      <c r="R48" s="23" t="s">
        <v>92</v>
      </c>
      <c r="S48" s="30">
        <v>291600</v>
      </c>
      <c r="T48" s="2" t="s">
        <v>43</v>
      </c>
      <c r="U48" s="31">
        <v>0.20465088000000001</v>
      </c>
      <c r="V48" s="31">
        <v>-0.79534912109375</v>
      </c>
      <c r="W48" s="32">
        <v>2.0465087890625001E-3</v>
      </c>
      <c r="X48" s="33">
        <v>596.761962890625</v>
      </c>
    </row>
    <row r="49" spans="1:24" x14ac:dyDescent="0.25">
      <c r="A49" s="22" t="s">
        <v>805</v>
      </c>
      <c r="B49" s="2" t="s">
        <v>829</v>
      </c>
      <c r="C49" s="2" t="s">
        <v>234</v>
      </c>
      <c r="D49" s="46" t="s">
        <v>879</v>
      </c>
      <c r="E49" s="46" t="s">
        <v>943</v>
      </c>
      <c r="F49" s="24" t="str">
        <f>HYPERLINK("https://mapwv.gov/flood/map/?wkid=102100&amp;x=-8949843.884466622&amp;y=4736870.912172301&amp;l=13&amp;v=2","FT")</f>
        <v>FT</v>
      </c>
      <c r="G49" s="29" t="s">
        <v>37</v>
      </c>
      <c r="H49" s="29" t="s">
        <v>24</v>
      </c>
      <c r="I49" s="2" t="s">
        <v>1004</v>
      </c>
      <c r="J49" s="22" t="s">
        <v>25</v>
      </c>
      <c r="K49" s="47" t="s">
        <v>124</v>
      </c>
      <c r="L49" s="45" t="s">
        <v>56</v>
      </c>
      <c r="M49" s="46" t="s">
        <v>54</v>
      </c>
      <c r="N49" s="3" t="s">
        <v>34</v>
      </c>
      <c r="O49" s="47" t="s">
        <v>90</v>
      </c>
      <c r="P49" s="46" t="s">
        <v>1064</v>
      </c>
      <c r="Q49" s="46" t="s">
        <v>29</v>
      </c>
      <c r="R49" s="23" t="s">
        <v>92</v>
      </c>
      <c r="S49" s="30">
        <v>291200</v>
      </c>
      <c r="T49" s="2" t="s">
        <v>43</v>
      </c>
      <c r="U49" s="31">
        <v>2</v>
      </c>
      <c r="V49" s="31">
        <v>1</v>
      </c>
      <c r="W49" s="32">
        <v>0.11</v>
      </c>
      <c r="X49" s="33">
        <v>32032</v>
      </c>
    </row>
    <row r="50" spans="1:24" x14ac:dyDescent="0.25">
      <c r="A50" s="22" t="s">
        <v>806</v>
      </c>
      <c r="B50" s="2" t="s">
        <v>829</v>
      </c>
      <c r="C50" s="2" t="s">
        <v>543</v>
      </c>
      <c r="D50" s="46" t="s">
        <v>880</v>
      </c>
      <c r="E50" s="46" t="s">
        <v>944</v>
      </c>
      <c r="F50" s="24" t="str">
        <f>HYPERLINK("https://mapwv.gov/flood/map/?wkid=102100&amp;x=-8967352.622409804&amp;y=4719170.174439974&amp;l=13&amp;v=2","FT")</f>
        <v>FT</v>
      </c>
      <c r="G50" s="29" t="s">
        <v>37</v>
      </c>
      <c r="H50" s="29" t="s">
        <v>24</v>
      </c>
      <c r="I50" s="2" t="s">
        <v>1005</v>
      </c>
      <c r="J50" s="22" t="s">
        <v>25</v>
      </c>
      <c r="K50" s="47" t="s">
        <v>95</v>
      </c>
      <c r="L50" s="45" t="s">
        <v>47</v>
      </c>
      <c r="M50" s="46" t="s">
        <v>40</v>
      </c>
      <c r="N50" s="3" t="s">
        <v>41</v>
      </c>
      <c r="O50" s="47" t="s">
        <v>91</v>
      </c>
      <c r="P50" s="46" t="s">
        <v>1065</v>
      </c>
      <c r="Q50" s="46" t="s">
        <v>51</v>
      </c>
      <c r="R50" s="23" t="s">
        <v>93</v>
      </c>
      <c r="S50" s="30">
        <v>283500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25">
      <c r="A51" s="22" t="s">
        <v>807</v>
      </c>
      <c r="B51" s="2" t="s">
        <v>829</v>
      </c>
      <c r="C51" s="2" t="s">
        <v>835</v>
      </c>
      <c r="D51" s="46" t="s">
        <v>881</v>
      </c>
      <c r="E51" s="46" t="s">
        <v>945</v>
      </c>
      <c r="F51" s="24" t="str">
        <f>HYPERLINK("https://mapwv.gov/flood/map/?wkid=102100&amp;x=-8949056.259884804&amp;y=4736384.729063246&amp;l=13&amp;v=2","FT")</f>
        <v>FT</v>
      </c>
      <c r="G51" s="29" t="s">
        <v>37</v>
      </c>
      <c r="H51" s="29" t="s">
        <v>24</v>
      </c>
      <c r="I51" s="2" t="s">
        <v>981</v>
      </c>
      <c r="J51" s="22" t="s">
        <v>38</v>
      </c>
      <c r="K51" s="47" t="s">
        <v>125</v>
      </c>
      <c r="L51" s="45" t="s">
        <v>48</v>
      </c>
      <c r="M51" s="46" t="s">
        <v>50</v>
      </c>
      <c r="N51" s="3" t="s">
        <v>34</v>
      </c>
      <c r="O51" s="47" t="s">
        <v>91</v>
      </c>
      <c r="P51" s="46" t="s">
        <v>1066</v>
      </c>
      <c r="Q51" s="46" t="s">
        <v>29</v>
      </c>
      <c r="R51" s="23" t="s">
        <v>92</v>
      </c>
      <c r="S51" s="30">
        <v>283490</v>
      </c>
      <c r="T51" s="2" t="s">
        <v>30</v>
      </c>
      <c r="U51" s="31">
        <v>1</v>
      </c>
      <c r="V51" s="31">
        <v>0</v>
      </c>
      <c r="W51" s="32">
        <v>0.01</v>
      </c>
      <c r="X51" s="33">
        <v>2834.9</v>
      </c>
    </row>
    <row r="52" spans="1:24" x14ac:dyDescent="0.25">
      <c r="A52" s="22" t="s">
        <v>808</v>
      </c>
      <c r="B52" s="2" t="s">
        <v>829</v>
      </c>
      <c r="C52" s="2" t="s">
        <v>835</v>
      </c>
      <c r="D52" s="46" t="s">
        <v>882</v>
      </c>
      <c r="E52" s="46" t="s">
        <v>946</v>
      </c>
      <c r="F52" s="24" t="str">
        <f>HYPERLINK("https://mapwv.gov/flood/map/?wkid=102100&amp;x=-8942998.34314198&amp;y=4734295.00680297&amp;l=13&amp;v=2","FT")</f>
        <v>FT</v>
      </c>
      <c r="G52" s="29" t="s">
        <v>37</v>
      </c>
      <c r="H52" s="29" t="s">
        <v>24</v>
      </c>
      <c r="I52" s="2" t="s">
        <v>1006</v>
      </c>
      <c r="J52" s="22" t="s">
        <v>25</v>
      </c>
      <c r="K52" s="47" t="s">
        <v>79</v>
      </c>
      <c r="L52" s="45" t="s">
        <v>44</v>
      </c>
      <c r="M52" s="46" t="s">
        <v>40</v>
      </c>
      <c r="N52" s="3" t="s">
        <v>41</v>
      </c>
      <c r="O52" s="47" t="s">
        <v>90</v>
      </c>
      <c r="P52" s="46" t="s">
        <v>1067</v>
      </c>
      <c r="Q52" s="46" t="s">
        <v>51</v>
      </c>
      <c r="R52" s="23" t="s">
        <v>93</v>
      </c>
      <c r="S52" s="30">
        <v>280600</v>
      </c>
      <c r="T52" s="2" t="s">
        <v>43</v>
      </c>
      <c r="U52" s="31">
        <v>0</v>
      </c>
      <c r="V52" s="31">
        <v>-4</v>
      </c>
      <c r="W52" s="32">
        <v>0</v>
      </c>
      <c r="X52" s="33">
        <v>0</v>
      </c>
    </row>
    <row r="53" spans="1:24" x14ac:dyDescent="0.25">
      <c r="A53" s="22" t="s">
        <v>809</v>
      </c>
      <c r="B53" s="2" t="s">
        <v>829</v>
      </c>
      <c r="C53" s="2" t="s">
        <v>144</v>
      </c>
      <c r="D53" s="46" t="s">
        <v>883</v>
      </c>
      <c r="E53" s="46" t="s">
        <v>947</v>
      </c>
      <c r="F53" s="24" t="str">
        <f>HYPERLINK("https://mapwv.gov/flood/map/?wkid=102100&amp;x=-8958550.304181682&amp;y=4725368.5653883265&amp;l=13&amp;v=2","FT")</f>
        <v>FT</v>
      </c>
      <c r="G53" s="29" t="s">
        <v>31</v>
      </c>
      <c r="H53" s="29" t="s">
        <v>146</v>
      </c>
      <c r="I53" s="2" t="s">
        <v>1007</v>
      </c>
      <c r="J53" s="22" t="s">
        <v>25</v>
      </c>
      <c r="K53" s="47" t="s">
        <v>74</v>
      </c>
      <c r="L53" s="45" t="s">
        <v>52</v>
      </c>
      <c r="M53" s="46" t="s">
        <v>33</v>
      </c>
      <c r="N53" s="3" t="s">
        <v>89</v>
      </c>
      <c r="O53" s="47" t="s">
        <v>90</v>
      </c>
      <c r="P53" s="46" t="s">
        <v>1068</v>
      </c>
      <c r="Q53" s="46" t="s">
        <v>29</v>
      </c>
      <c r="R53" s="23" t="s">
        <v>92</v>
      </c>
      <c r="S53" s="30">
        <v>268000</v>
      </c>
      <c r="T53" s="2" t="s">
        <v>43</v>
      </c>
      <c r="U53" s="31">
        <v>1</v>
      </c>
      <c r="V53" s="31">
        <v>0</v>
      </c>
      <c r="W53" s="32">
        <v>0.01</v>
      </c>
      <c r="X53" s="33">
        <v>2680</v>
      </c>
    </row>
    <row r="54" spans="1:24" x14ac:dyDescent="0.25">
      <c r="A54" s="22" t="s">
        <v>810</v>
      </c>
      <c r="B54" s="2" t="s">
        <v>829</v>
      </c>
      <c r="C54" s="2" t="s">
        <v>234</v>
      </c>
      <c r="D54" s="46" t="s">
        <v>884</v>
      </c>
      <c r="E54" s="46" t="s">
        <v>948</v>
      </c>
      <c r="F54" s="24" t="str">
        <f>HYPERLINK("https://mapwv.gov/flood/map/?wkid=102100&amp;x=-8949737.694132688&amp;y=4736718.140893849&amp;l=13&amp;v=2","FT")</f>
        <v>FT</v>
      </c>
      <c r="G54" s="29" t="s">
        <v>37</v>
      </c>
      <c r="H54" s="29" t="s">
        <v>24</v>
      </c>
      <c r="I54" s="2" t="s">
        <v>1008</v>
      </c>
      <c r="J54" s="22" t="s">
        <v>38</v>
      </c>
      <c r="K54" s="47" t="s">
        <v>77</v>
      </c>
      <c r="L54" s="45" t="s">
        <v>36</v>
      </c>
      <c r="M54" s="46" t="s">
        <v>62</v>
      </c>
      <c r="N54" s="3" t="s">
        <v>34</v>
      </c>
      <c r="O54" s="47" t="s">
        <v>90</v>
      </c>
      <c r="P54" s="46" t="s">
        <v>1069</v>
      </c>
      <c r="Q54" s="46" t="s">
        <v>29</v>
      </c>
      <c r="R54" s="23" t="s">
        <v>92</v>
      </c>
      <c r="S54" s="30">
        <v>267800</v>
      </c>
      <c r="T54" s="2" t="s">
        <v>43</v>
      </c>
      <c r="U54" s="31">
        <v>3</v>
      </c>
      <c r="V54" s="31">
        <v>2</v>
      </c>
      <c r="W54" s="32">
        <v>0.08</v>
      </c>
      <c r="X54" s="33">
        <v>21424</v>
      </c>
    </row>
    <row r="55" spans="1:24" x14ac:dyDescent="0.25">
      <c r="A55" s="22" t="s">
        <v>811</v>
      </c>
      <c r="B55" s="2" t="s">
        <v>829</v>
      </c>
      <c r="C55" s="2" t="s">
        <v>836</v>
      </c>
      <c r="D55" s="46" t="s">
        <v>885</v>
      </c>
      <c r="E55" s="46" t="s">
        <v>949</v>
      </c>
      <c r="F55" s="24" t="str">
        <f>HYPERLINK("https://mapwv.gov/flood/map/?wkid=102100&amp;x=-8947343.460239511&amp;y=4719775.68586069&amp;l=13&amp;v=2","FT")</f>
        <v>FT</v>
      </c>
      <c r="G55" s="29" t="s">
        <v>37</v>
      </c>
      <c r="H55" s="29" t="s">
        <v>24</v>
      </c>
      <c r="I55" s="2" t="s">
        <v>1009</v>
      </c>
      <c r="J55" s="22" t="s">
        <v>25</v>
      </c>
      <c r="K55" s="47" t="s">
        <v>124</v>
      </c>
      <c r="L55" s="45" t="s">
        <v>45</v>
      </c>
      <c r="M55" s="46" t="s">
        <v>40</v>
      </c>
      <c r="N55" s="3" t="s">
        <v>41</v>
      </c>
      <c r="O55" s="47" t="s">
        <v>90</v>
      </c>
      <c r="P55" s="46" t="s">
        <v>1070</v>
      </c>
      <c r="Q55" s="46" t="s">
        <v>42</v>
      </c>
      <c r="R55" s="23" t="s">
        <v>93</v>
      </c>
      <c r="S55" s="30">
        <v>259700</v>
      </c>
      <c r="T55" s="2" t="s">
        <v>43</v>
      </c>
      <c r="U55" s="31">
        <v>0</v>
      </c>
      <c r="V55" s="31">
        <v>-4</v>
      </c>
      <c r="W55" s="32">
        <v>0</v>
      </c>
      <c r="X55" s="33">
        <v>0</v>
      </c>
    </row>
    <row r="56" spans="1:24" x14ac:dyDescent="0.25">
      <c r="A56" s="22" t="s">
        <v>812</v>
      </c>
      <c r="B56" s="2" t="s">
        <v>829</v>
      </c>
      <c r="C56" s="2" t="s">
        <v>836</v>
      </c>
      <c r="D56" s="46" t="s">
        <v>886</v>
      </c>
      <c r="E56" s="46" t="s">
        <v>950</v>
      </c>
      <c r="F56" s="24" t="str">
        <f>HYPERLINK("https://mapwv.gov/flood/map/?wkid=102100&amp;x=-8947110.049650038&amp;y=4719433.491303478&amp;l=13&amp;v=2","FT")</f>
        <v>FT</v>
      </c>
      <c r="G56" s="29" t="s">
        <v>37</v>
      </c>
      <c r="H56" s="29" t="s">
        <v>24</v>
      </c>
      <c r="I56" s="2" t="s">
        <v>1010</v>
      </c>
      <c r="J56" s="22" t="s">
        <v>25</v>
      </c>
      <c r="K56" s="47" t="s">
        <v>128</v>
      </c>
      <c r="L56" s="45" t="s">
        <v>37</v>
      </c>
      <c r="M56" s="46" t="s">
        <v>40</v>
      </c>
      <c r="N56" s="3" t="s">
        <v>41</v>
      </c>
      <c r="O56" s="47" t="s">
        <v>90</v>
      </c>
      <c r="P56" s="46" t="s">
        <v>1071</v>
      </c>
      <c r="Q56" s="46" t="s">
        <v>42</v>
      </c>
      <c r="R56" s="23" t="s">
        <v>93</v>
      </c>
      <c r="S56" s="30">
        <v>259200</v>
      </c>
      <c r="T56" s="2" t="s">
        <v>43</v>
      </c>
      <c r="U56" s="31">
        <v>0</v>
      </c>
      <c r="V56" s="31">
        <v>-4</v>
      </c>
      <c r="W56" s="32">
        <v>0</v>
      </c>
      <c r="X56" s="33">
        <v>0</v>
      </c>
    </row>
    <row r="57" spans="1:24" x14ac:dyDescent="0.25">
      <c r="A57" s="22" t="s">
        <v>813</v>
      </c>
      <c r="B57" s="2" t="s">
        <v>829</v>
      </c>
      <c r="C57" s="2" t="s">
        <v>832</v>
      </c>
      <c r="D57" s="46" t="s">
        <v>887</v>
      </c>
      <c r="E57" s="46" t="s">
        <v>951</v>
      </c>
      <c r="F57" s="24" t="str">
        <f>HYPERLINK("https://mapwv.gov/flood/map/?wkid=102100&amp;x=-8953517.533082359&amp;y=4725342.84233995&amp;l=13&amp;v=2","FT")</f>
        <v>FT</v>
      </c>
      <c r="G57" s="29" t="s">
        <v>37</v>
      </c>
      <c r="H57" s="29" t="s">
        <v>24</v>
      </c>
      <c r="I57" s="2" t="s">
        <v>1011</v>
      </c>
      <c r="J57" s="22" t="s">
        <v>25</v>
      </c>
      <c r="K57" s="47" t="s">
        <v>103</v>
      </c>
      <c r="L57" s="45" t="s">
        <v>56</v>
      </c>
      <c r="M57" s="46" t="s">
        <v>62</v>
      </c>
      <c r="N57" s="3" t="s">
        <v>34</v>
      </c>
      <c r="O57" s="47" t="s">
        <v>90</v>
      </c>
      <c r="P57" s="46" t="s">
        <v>185</v>
      </c>
      <c r="Q57" s="46" t="s">
        <v>29</v>
      </c>
      <c r="R57" s="23" t="s">
        <v>92</v>
      </c>
      <c r="S57" s="30">
        <v>258200</v>
      </c>
      <c r="T57" s="2" t="s">
        <v>43</v>
      </c>
      <c r="U57" s="31">
        <v>7</v>
      </c>
      <c r="V57" s="31">
        <v>6</v>
      </c>
      <c r="W57" s="32">
        <v>0.19</v>
      </c>
      <c r="X57" s="33">
        <v>49058</v>
      </c>
    </row>
    <row r="58" spans="1:24" x14ac:dyDescent="0.25">
      <c r="A58" s="22" t="s">
        <v>814</v>
      </c>
      <c r="B58" s="2" t="s">
        <v>829</v>
      </c>
      <c r="C58" s="2" t="s">
        <v>144</v>
      </c>
      <c r="D58" s="46" t="s">
        <v>888</v>
      </c>
      <c r="E58" s="46" t="s">
        <v>952</v>
      </c>
      <c r="F58" s="24" t="str">
        <f>HYPERLINK("https://mapwv.gov/flood/map/?wkid=102100&amp;x=-8956968.443753483&amp;y=4732660.500519561&amp;l=13&amp;v=2","FT")</f>
        <v>FT</v>
      </c>
      <c r="G58" s="29" t="s">
        <v>31</v>
      </c>
      <c r="H58" s="29" t="s">
        <v>24</v>
      </c>
      <c r="I58" s="2" t="s">
        <v>1012</v>
      </c>
      <c r="J58" s="22" t="s">
        <v>25</v>
      </c>
      <c r="K58" s="47" t="s">
        <v>114</v>
      </c>
      <c r="L58" s="45" t="s">
        <v>44</v>
      </c>
      <c r="M58" s="46" t="s">
        <v>40</v>
      </c>
      <c r="N58" s="3" t="s">
        <v>41</v>
      </c>
      <c r="O58" s="47" t="s">
        <v>90</v>
      </c>
      <c r="P58" s="46" t="s">
        <v>1072</v>
      </c>
      <c r="Q58" s="46" t="s">
        <v>42</v>
      </c>
      <c r="R58" s="23" t="s">
        <v>93</v>
      </c>
      <c r="S58" s="30">
        <v>257000</v>
      </c>
      <c r="T58" s="2" t="s">
        <v>43</v>
      </c>
      <c r="U58" s="31">
        <v>0</v>
      </c>
      <c r="V58" s="31">
        <v>-4</v>
      </c>
      <c r="W58" s="32">
        <v>0</v>
      </c>
      <c r="X58" s="33">
        <v>0</v>
      </c>
    </row>
    <row r="59" spans="1:24" x14ac:dyDescent="0.25">
      <c r="A59" s="22" t="s">
        <v>815</v>
      </c>
      <c r="B59" s="2" t="s">
        <v>829</v>
      </c>
      <c r="C59" s="2" t="s">
        <v>832</v>
      </c>
      <c r="D59" s="46" t="s">
        <v>889</v>
      </c>
      <c r="E59" s="46" t="s">
        <v>953</v>
      </c>
      <c r="F59" s="24" t="str">
        <f>HYPERLINK("https://mapwv.gov/flood/map/?wkid=102100&amp;x=-8948367.853029288&amp;y=4722019.540037244&amp;l=13&amp;v=2","FT")</f>
        <v>FT</v>
      </c>
      <c r="G59" s="29" t="s">
        <v>37</v>
      </c>
      <c r="H59" s="29" t="s">
        <v>24</v>
      </c>
      <c r="I59" s="2" t="s">
        <v>1013</v>
      </c>
      <c r="J59" s="22" t="s">
        <v>25</v>
      </c>
      <c r="K59" s="47" t="s">
        <v>114</v>
      </c>
      <c r="L59" s="45" t="s">
        <v>26</v>
      </c>
      <c r="M59" s="46" t="s">
        <v>57</v>
      </c>
      <c r="N59" s="3" t="s">
        <v>88</v>
      </c>
      <c r="O59" s="47" t="s">
        <v>90</v>
      </c>
      <c r="P59" s="46" t="s">
        <v>1073</v>
      </c>
      <c r="Q59" s="46" t="s">
        <v>29</v>
      </c>
      <c r="R59" s="23" t="s">
        <v>92</v>
      </c>
      <c r="S59" s="30">
        <v>250800</v>
      </c>
      <c r="T59" s="2" t="s">
        <v>43</v>
      </c>
      <c r="U59" s="31">
        <v>3</v>
      </c>
      <c r="V59" s="31">
        <v>2</v>
      </c>
      <c r="W59" s="32">
        <v>0.11</v>
      </c>
      <c r="X59" s="33">
        <v>27588</v>
      </c>
    </row>
    <row r="60" spans="1:24" x14ac:dyDescent="0.25">
      <c r="A60" s="22" t="s">
        <v>816</v>
      </c>
      <c r="B60" s="2" t="s">
        <v>829</v>
      </c>
      <c r="C60" s="2" t="s">
        <v>144</v>
      </c>
      <c r="D60" s="46" t="s">
        <v>890</v>
      </c>
      <c r="E60" s="46" t="s">
        <v>954</v>
      </c>
      <c r="F60" s="24" t="str">
        <f>HYPERLINK("https://mapwv.gov/flood/map/?wkid=102100&amp;x=-8958565.939449444&amp;y=4726630.994448577&amp;l=13&amp;v=2","FT")</f>
        <v>FT</v>
      </c>
      <c r="G60" s="29" t="s">
        <v>31</v>
      </c>
      <c r="H60" s="29" t="s">
        <v>146</v>
      </c>
      <c r="I60" s="2" t="s">
        <v>1014</v>
      </c>
      <c r="J60" s="22" t="s">
        <v>25</v>
      </c>
      <c r="K60" s="47" t="s">
        <v>78</v>
      </c>
      <c r="L60" s="45" t="s">
        <v>47</v>
      </c>
      <c r="M60" s="46" t="s">
        <v>40</v>
      </c>
      <c r="N60" s="3" t="s">
        <v>41</v>
      </c>
      <c r="O60" s="47" t="s">
        <v>90</v>
      </c>
      <c r="P60" s="46" t="s">
        <v>1074</v>
      </c>
      <c r="Q60" s="46" t="s">
        <v>51</v>
      </c>
      <c r="R60" s="23" t="s">
        <v>93</v>
      </c>
      <c r="S60" s="30">
        <v>248600</v>
      </c>
      <c r="T60" s="2" t="s">
        <v>43</v>
      </c>
      <c r="U60" s="31">
        <v>4.5230712999999998</v>
      </c>
      <c r="V60" s="31">
        <v>0.5230712890625</v>
      </c>
      <c r="W60" s="32">
        <v>0.18230712890625</v>
      </c>
      <c r="X60" s="33">
        <v>45321.552246093699</v>
      </c>
    </row>
    <row r="61" spans="1:24" x14ac:dyDescent="0.25">
      <c r="A61" s="22" t="s">
        <v>817</v>
      </c>
      <c r="B61" s="2" t="s">
        <v>830</v>
      </c>
      <c r="C61" s="2" t="s">
        <v>832</v>
      </c>
      <c r="D61" s="46" t="s">
        <v>891</v>
      </c>
      <c r="E61" s="46" t="s">
        <v>955</v>
      </c>
      <c r="F61" s="24" t="str">
        <f>HYPERLINK("https://mapwv.gov/flood/map/?wkid=102100&amp;x=-8957182.744571246&amp;y=4727457.570846844&amp;l=13&amp;v=2","FT")</f>
        <v>FT</v>
      </c>
      <c r="G61" s="29" t="s">
        <v>31</v>
      </c>
      <c r="H61" s="29" t="s">
        <v>24</v>
      </c>
      <c r="I61" s="2" t="s">
        <v>1015</v>
      </c>
      <c r="J61" s="22" t="s">
        <v>38</v>
      </c>
      <c r="K61" s="47" t="s">
        <v>173</v>
      </c>
      <c r="L61" s="45" t="s">
        <v>26</v>
      </c>
      <c r="M61" s="46" t="s">
        <v>57</v>
      </c>
      <c r="N61" s="3" t="s">
        <v>88</v>
      </c>
      <c r="O61" s="47" t="s">
        <v>90</v>
      </c>
      <c r="P61" s="46" t="s">
        <v>481</v>
      </c>
      <c r="Q61" s="46" t="s">
        <v>29</v>
      </c>
      <c r="R61" s="23" t="s">
        <v>92</v>
      </c>
      <c r="S61" s="30">
        <v>238960</v>
      </c>
      <c r="T61" s="2" t="s">
        <v>30</v>
      </c>
      <c r="U61" s="31">
        <v>0.3031006</v>
      </c>
      <c r="V61" s="31">
        <v>-0.6968994140625</v>
      </c>
      <c r="W61" s="32">
        <v>0</v>
      </c>
      <c r="X61" s="33">
        <v>0</v>
      </c>
    </row>
    <row r="62" spans="1:24" x14ac:dyDescent="0.25">
      <c r="A62" s="22" t="s">
        <v>818</v>
      </c>
      <c r="B62" s="2" t="s">
        <v>829</v>
      </c>
      <c r="C62" s="2" t="s">
        <v>234</v>
      </c>
      <c r="D62" s="46" t="s">
        <v>892</v>
      </c>
      <c r="E62" s="46" t="s">
        <v>956</v>
      </c>
      <c r="F62" s="24" t="str">
        <f>HYPERLINK("https://mapwv.gov/flood/map/?wkid=102100&amp;x=-8949281.603484731&amp;y=4736051.712083722&amp;l=13&amp;v=2","FT")</f>
        <v>FT</v>
      </c>
      <c r="G62" s="29" t="s">
        <v>37</v>
      </c>
      <c r="H62" s="29" t="s">
        <v>24</v>
      </c>
      <c r="I62" s="2" t="s">
        <v>982</v>
      </c>
      <c r="J62" s="22" t="s">
        <v>25</v>
      </c>
      <c r="K62" s="47" t="s">
        <v>102</v>
      </c>
      <c r="L62" s="45" t="s">
        <v>45</v>
      </c>
      <c r="M62" s="46" t="s">
        <v>55</v>
      </c>
      <c r="N62" s="3" t="s">
        <v>34</v>
      </c>
      <c r="O62" s="47" t="s">
        <v>91</v>
      </c>
      <c r="P62" s="46" t="s">
        <v>1075</v>
      </c>
      <c r="Q62" s="46" t="s">
        <v>29</v>
      </c>
      <c r="R62" s="23" t="s">
        <v>92</v>
      </c>
      <c r="S62" s="30">
        <v>237400</v>
      </c>
      <c r="T62" s="2" t="s">
        <v>43</v>
      </c>
      <c r="U62" s="31">
        <v>3</v>
      </c>
      <c r="V62" s="31">
        <v>2</v>
      </c>
      <c r="W62" s="32">
        <v>0.16</v>
      </c>
      <c r="X62" s="33">
        <v>37984</v>
      </c>
    </row>
    <row r="63" spans="1:24" x14ac:dyDescent="0.25">
      <c r="A63" s="22" t="s">
        <v>819</v>
      </c>
      <c r="B63" s="2" t="s">
        <v>829</v>
      </c>
      <c r="C63" s="2" t="s">
        <v>832</v>
      </c>
      <c r="D63" s="46" t="s">
        <v>893</v>
      </c>
      <c r="E63" s="46" t="s">
        <v>957</v>
      </c>
      <c r="F63" s="24" t="str">
        <f>HYPERLINK("https://mapwv.gov/flood/map/?wkid=102100&amp;x=-8950467.27673201&amp;y=4723425.503966268&amp;l=13&amp;v=2","FT")</f>
        <v>FT</v>
      </c>
      <c r="G63" s="29" t="s">
        <v>37</v>
      </c>
      <c r="H63" s="29" t="s">
        <v>24</v>
      </c>
      <c r="I63" s="2" t="s">
        <v>1016</v>
      </c>
      <c r="J63" s="22" t="s">
        <v>38</v>
      </c>
      <c r="K63" s="47" t="s">
        <v>173</v>
      </c>
      <c r="L63" s="45" t="s">
        <v>26</v>
      </c>
      <c r="M63" s="46" t="s">
        <v>62</v>
      </c>
      <c r="N63" s="3" t="s">
        <v>34</v>
      </c>
      <c r="O63" s="47" t="s">
        <v>90</v>
      </c>
      <c r="P63" s="46" t="s">
        <v>1076</v>
      </c>
      <c r="Q63" s="46" t="s">
        <v>29</v>
      </c>
      <c r="R63" s="23" t="s">
        <v>92</v>
      </c>
      <c r="S63" s="30">
        <v>232900</v>
      </c>
      <c r="T63" s="2" t="s">
        <v>43</v>
      </c>
      <c r="U63" s="31">
        <v>0</v>
      </c>
      <c r="V63" s="31">
        <v>-1</v>
      </c>
      <c r="W63" s="32">
        <v>0</v>
      </c>
      <c r="X63" s="33">
        <v>0</v>
      </c>
    </row>
    <row r="64" spans="1:24" x14ac:dyDescent="0.25">
      <c r="A64" s="22" t="s">
        <v>820</v>
      </c>
      <c r="B64" s="2" t="s">
        <v>830</v>
      </c>
      <c r="C64" s="2" t="s">
        <v>832</v>
      </c>
      <c r="D64" s="46" t="s">
        <v>894</v>
      </c>
      <c r="E64" s="46" t="s">
        <v>958</v>
      </c>
      <c r="F64" s="24" t="str">
        <f>HYPERLINK("https://mapwv.gov/flood/map/?wkid=102100&amp;x=-8957213.531312259&amp;y=4727672.64027995&amp;l=13&amp;v=2","FT")</f>
        <v>FT</v>
      </c>
      <c r="G64" s="29" t="s">
        <v>31</v>
      </c>
      <c r="H64" s="29" t="s">
        <v>24</v>
      </c>
      <c r="I64" s="2" t="s">
        <v>1017</v>
      </c>
      <c r="J64" s="22" t="s">
        <v>25</v>
      </c>
      <c r="K64" s="47" t="s">
        <v>72</v>
      </c>
      <c r="L64" s="45" t="s">
        <v>56</v>
      </c>
      <c r="M64" s="46" t="s">
        <v>54</v>
      </c>
      <c r="N64" s="3" t="s">
        <v>34</v>
      </c>
      <c r="O64" s="47" t="s">
        <v>91</v>
      </c>
      <c r="P64" s="46" t="s">
        <v>1077</v>
      </c>
      <c r="Q64" s="46" t="s">
        <v>29</v>
      </c>
      <c r="R64" s="23" t="s">
        <v>92</v>
      </c>
      <c r="S64" s="30">
        <v>221600</v>
      </c>
      <c r="T64" s="2" t="s">
        <v>43</v>
      </c>
      <c r="U64" s="31">
        <v>0</v>
      </c>
      <c r="V64" s="31">
        <v>-1</v>
      </c>
      <c r="W64" s="32">
        <v>0</v>
      </c>
      <c r="X64" s="33">
        <v>0</v>
      </c>
    </row>
    <row r="65" spans="1:24" x14ac:dyDescent="0.25">
      <c r="A65" s="22" t="s">
        <v>821</v>
      </c>
      <c r="B65" s="2" t="s">
        <v>829</v>
      </c>
      <c r="C65" s="2" t="s">
        <v>541</v>
      </c>
      <c r="D65" s="46" t="s">
        <v>895</v>
      </c>
      <c r="E65" s="46" t="s">
        <v>959</v>
      </c>
      <c r="F65" s="24" t="str">
        <f>HYPERLINK("https://mapwv.gov/flood/map/?wkid=102100&amp;x=-8973816.4651192&amp;y=4728776.26118128&amp;l=13&amp;v=2","FT")</f>
        <v>FT</v>
      </c>
      <c r="G65" s="29" t="s">
        <v>37</v>
      </c>
      <c r="H65" s="29" t="s">
        <v>24</v>
      </c>
      <c r="I65" s="2" t="s">
        <v>1018</v>
      </c>
      <c r="J65" s="22" t="s">
        <v>38</v>
      </c>
      <c r="K65" s="47" t="s">
        <v>106</v>
      </c>
      <c r="L65" s="45" t="s">
        <v>36</v>
      </c>
      <c r="M65" s="46" t="s">
        <v>40</v>
      </c>
      <c r="N65" s="3" t="s">
        <v>41</v>
      </c>
      <c r="O65" s="47" t="s">
        <v>91</v>
      </c>
      <c r="P65" s="46" t="s">
        <v>1078</v>
      </c>
      <c r="Q65" s="46" t="s">
        <v>42</v>
      </c>
      <c r="R65" s="23" t="s">
        <v>93</v>
      </c>
      <c r="S65" s="30">
        <v>221400</v>
      </c>
      <c r="T65" s="2" t="s">
        <v>43</v>
      </c>
      <c r="U65" s="31">
        <v>0</v>
      </c>
      <c r="V65" s="31">
        <v>-4</v>
      </c>
      <c r="W65" s="32">
        <v>0</v>
      </c>
      <c r="X65" s="33">
        <v>0</v>
      </c>
    </row>
    <row r="66" spans="1:24" x14ac:dyDescent="0.25">
      <c r="A66" s="22" t="s">
        <v>822</v>
      </c>
      <c r="B66" s="2" t="s">
        <v>830</v>
      </c>
      <c r="C66" s="2" t="s">
        <v>144</v>
      </c>
      <c r="D66" s="46" t="s">
        <v>896</v>
      </c>
      <c r="E66" s="46" t="s">
        <v>960</v>
      </c>
      <c r="F66" s="24" t="str">
        <f>HYPERLINK("https://mapwv.gov/flood/map/?wkid=102100&amp;x=-8957168.751377298&amp;y=4727721.149468536&amp;l=13&amp;v=2","FT")</f>
        <v>FT</v>
      </c>
      <c r="G66" s="29" t="s">
        <v>31</v>
      </c>
      <c r="H66" s="29" t="s">
        <v>146</v>
      </c>
      <c r="I66" s="2" t="s">
        <v>1019</v>
      </c>
      <c r="J66" s="22" t="s">
        <v>38</v>
      </c>
      <c r="K66" s="47" t="s">
        <v>107</v>
      </c>
      <c r="L66" s="45" t="s">
        <v>44</v>
      </c>
      <c r="M66" s="46" t="s">
        <v>40</v>
      </c>
      <c r="N66" s="3" t="s">
        <v>41</v>
      </c>
      <c r="O66" s="47" t="s">
        <v>91</v>
      </c>
      <c r="P66" s="46" t="s">
        <v>1079</v>
      </c>
      <c r="Q66" s="46" t="s">
        <v>42</v>
      </c>
      <c r="R66" s="23" t="s">
        <v>93</v>
      </c>
      <c r="S66" s="30">
        <v>219200</v>
      </c>
      <c r="T66" s="2" t="s">
        <v>43</v>
      </c>
      <c r="U66" s="31">
        <v>1</v>
      </c>
      <c r="V66" s="31">
        <v>-3</v>
      </c>
      <c r="W66" s="32">
        <v>0.04</v>
      </c>
      <c r="X66" s="33">
        <v>8768</v>
      </c>
    </row>
    <row r="67" spans="1:24" x14ac:dyDescent="0.25">
      <c r="A67" s="22" t="s">
        <v>823</v>
      </c>
      <c r="B67" s="2" t="s">
        <v>829</v>
      </c>
      <c r="C67" s="2" t="s">
        <v>144</v>
      </c>
      <c r="D67" s="46" t="s">
        <v>897</v>
      </c>
      <c r="E67" s="46" t="s">
        <v>961</v>
      </c>
      <c r="F67" s="24" t="str">
        <f>HYPERLINK("https://mapwv.gov/flood/map/?wkid=102100&amp;x=-8954225.364298461&amp;y=4703470.181135396&amp;l=13&amp;v=2","FT")</f>
        <v>FT</v>
      </c>
      <c r="G67" s="29" t="s">
        <v>37</v>
      </c>
      <c r="H67" s="29" t="s">
        <v>24</v>
      </c>
      <c r="I67" s="2" t="s">
        <v>1020</v>
      </c>
      <c r="J67" s="22" t="s">
        <v>25</v>
      </c>
      <c r="K67" s="47" t="s">
        <v>98</v>
      </c>
      <c r="L67" s="45" t="s">
        <v>49</v>
      </c>
      <c r="M67" s="46" t="s">
        <v>40</v>
      </c>
      <c r="N67" s="3" t="s">
        <v>41</v>
      </c>
      <c r="O67" s="47" t="s">
        <v>90</v>
      </c>
      <c r="P67" s="46" t="s">
        <v>757</v>
      </c>
      <c r="Q67" s="46" t="s">
        <v>42</v>
      </c>
      <c r="R67" s="23" t="s">
        <v>93</v>
      </c>
      <c r="S67" s="30">
        <v>214200</v>
      </c>
      <c r="T67" s="2" t="s">
        <v>43</v>
      </c>
      <c r="U67" s="31">
        <v>0</v>
      </c>
      <c r="V67" s="31">
        <v>-4</v>
      </c>
      <c r="W67" s="32">
        <v>0</v>
      </c>
      <c r="X67" s="33">
        <v>0</v>
      </c>
    </row>
    <row r="68" spans="1:24" x14ac:dyDescent="0.25">
      <c r="A68" s="22" t="s">
        <v>824</v>
      </c>
      <c r="B68" s="2" t="s">
        <v>829</v>
      </c>
      <c r="C68" s="2" t="s">
        <v>234</v>
      </c>
      <c r="D68" s="46" t="s">
        <v>859</v>
      </c>
      <c r="E68" s="46" t="s">
        <v>962</v>
      </c>
      <c r="F68" s="24" t="str">
        <f>HYPERLINK("https://mapwv.gov/flood/map/?wkid=102100&amp;x=-8949636.111869073&amp;y=4736428.084403826&amp;l=13&amp;v=2","FT")</f>
        <v>FT</v>
      </c>
      <c r="G68" s="29" t="s">
        <v>37</v>
      </c>
      <c r="H68" s="29" t="s">
        <v>24</v>
      </c>
      <c r="I68" s="2" t="s">
        <v>985</v>
      </c>
      <c r="J68" s="22" t="s">
        <v>25</v>
      </c>
      <c r="K68" s="47" t="s">
        <v>78</v>
      </c>
      <c r="L68" s="45" t="s">
        <v>45</v>
      </c>
      <c r="M68" s="46" t="s">
        <v>62</v>
      </c>
      <c r="N68" s="3" t="s">
        <v>34</v>
      </c>
      <c r="O68" s="47" t="s">
        <v>91</v>
      </c>
      <c r="P68" s="46" t="s">
        <v>1080</v>
      </c>
      <c r="Q68" s="46" t="s">
        <v>29</v>
      </c>
      <c r="R68" s="23" t="s">
        <v>92</v>
      </c>
      <c r="S68" s="30">
        <v>212700</v>
      </c>
      <c r="T68" s="2" t="s">
        <v>30</v>
      </c>
      <c r="U68" s="31">
        <v>0</v>
      </c>
      <c r="V68" s="31">
        <v>-1</v>
      </c>
      <c r="W68" s="32">
        <v>0</v>
      </c>
      <c r="X68" s="33">
        <v>0</v>
      </c>
    </row>
    <row r="69" spans="1:24" x14ac:dyDescent="0.25">
      <c r="A69" s="22" t="s">
        <v>825</v>
      </c>
      <c r="B69" s="2" t="s">
        <v>829</v>
      </c>
      <c r="C69" s="2" t="s">
        <v>832</v>
      </c>
      <c r="D69" s="46" t="s">
        <v>898</v>
      </c>
      <c r="E69" s="46" t="s">
        <v>963</v>
      </c>
      <c r="F69" s="24" t="str">
        <f>HYPERLINK("https://mapwv.gov/flood/map/?wkid=102100&amp;x=-8951227.110736914&amp;y=4723678.413394461&amp;l=13&amp;v=2","FT")</f>
        <v>FT</v>
      </c>
      <c r="G69" s="29" t="s">
        <v>37</v>
      </c>
      <c r="H69" s="29" t="s">
        <v>24</v>
      </c>
      <c r="I69" s="2" t="s">
        <v>1021</v>
      </c>
      <c r="J69" s="22" t="s">
        <v>25</v>
      </c>
      <c r="K69" s="47" t="s">
        <v>96</v>
      </c>
      <c r="L69" s="45" t="s">
        <v>26</v>
      </c>
      <c r="M69" s="46" t="s">
        <v>57</v>
      </c>
      <c r="N69" s="3" t="s">
        <v>88</v>
      </c>
      <c r="O69" s="47" t="s">
        <v>90</v>
      </c>
      <c r="P69" s="46" t="s">
        <v>1081</v>
      </c>
      <c r="Q69" s="46" t="s">
        <v>29</v>
      </c>
      <c r="R69" s="23" t="s">
        <v>92</v>
      </c>
      <c r="S69" s="30">
        <v>209790</v>
      </c>
      <c r="T69" s="2" t="s">
        <v>30</v>
      </c>
      <c r="U69" s="31">
        <v>4</v>
      </c>
      <c r="V69" s="31">
        <v>3</v>
      </c>
      <c r="W69" s="32">
        <v>0.11</v>
      </c>
      <c r="X69" s="33">
        <v>23076.9</v>
      </c>
    </row>
    <row r="70" spans="1:24" x14ac:dyDescent="0.25">
      <c r="A70" s="22" t="s">
        <v>826</v>
      </c>
      <c r="B70" s="2" t="s">
        <v>829</v>
      </c>
      <c r="C70" s="2" t="s">
        <v>145</v>
      </c>
      <c r="D70" s="46" t="s">
        <v>899</v>
      </c>
      <c r="E70" s="46" t="s">
        <v>964</v>
      </c>
      <c r="F70" s="24" t="str">
        <f>HYPERLINK("https://mapwv.gov/flood/map/?wkid=102100&amp;x=-8955419.90547901&amp;y=4727179.320024137&amp;l=13&amp;v=2","FT")</f>
        <v>FT</v>
      </c>
      <c r="G70" s="29" t="s">
        <v>31</v>
      </c>
      <c r="H70" s="29" t="s">
        <v>24</v>
      </c>
      <c r="I70" s="2" t="s">
        <v>147</v>
      </c>
      <c r="J70" s="22" t="s">
        <v>25</v>
      </c>
      <c r="K70" s="47" t="s">
        <v>121</v>
      </c>
      <c r="L70" s="45" t="s">
        <v>36</v>
      </c>
      <c r="M70" s="46" t="s">
        <v>46</v>
      </c>
      <c r="N70" s="3" t="s">
        <v>34</v>
      </c>
      <c r="O70" s="47" t="s">
        <v>90</v>
      </c>
      <c r="P70" s="46" t="s">
        <v>1082</v>
      </c>
      <c r="Q70" s="46" t="s">
        <v>29</v>
      </c>
      <c r="R70" s="23" t="s">
        <v>92</v>
      </c>
      <c r="S70" s="30">
        <v>207200</v>
      </c>
      <c r="T70" s="2" t="s">
        <v>43</v>
      </c>
      <c r="U70" s="31">
        <v>0</v>
      </c>
      <c r="V70" s="31">
        <v>-1</v>
      </c>
      <c r="W70" s="32">
        <v>0</v>
      </c>
      <c r="X70" s="33">
        <v>0</v>
      </c>
    </row>
    <row r="71" spans="1:24" x14ac:dyDescent="0.25">
      <c r="A71" s="22" t="s">
        <v>827</v>
      </c>
      <c r="B71" s="2" t="s">
        <v>829</v>
      </c>
      <c r="C71" s="2" t="s">
        <v>832</v>
      </c>
      <c r="D71" s="46" t="s">
        <v>900</v>
      </c>
      <c r="E71" s="46" t="s">
        <v>965</v>
      </c>
      <c r="F71" s="24" t="str">
        <f>HYPERLINK("https://mapwv.gov/flood/map/?wkid=102100&amp;x=-8949639.858994456&amp;y=4722980.137203538&amp;l=13&amp;v=2","FT")</f>
        <v>FT</v>
      </c>
      <c r="G71" s="29" t="s">
        <v>37</v>
      </c>
      <c r="H71" s="29" t="s">
        <v>24</v>
      </c>
      <c r="I71" s="2" t="s">
        <v>1022</v>
      </c>
      <c r="J71" s="22" t="s">
        <v>25</v>
      </c>
      <c r="K71" s="47" t="s">
        <v>111</v>
      </c>
      <c r="L71" s="45" t="s">
        <v>56</v>
      </c>
      <c r="M71" s="46" t="s">
        <v>40</v>
      </c>
      <c r="N71" s="3" t="s">
        <v>41</v>
      </c>
      <c r="O71" s="47" t="s">
        <v>90</v>
      </c>
      <c r="P71" s="46" t="s">
        <v>1083</v>
      </c>
      <c r="Q71" s="46" t="s">
        <v>42</v>
      </c>
      <c r="R71" s="23" t="s">
        <v>93</v>
      </c>
      <c r="S71" s="30">
        <v>202800</v>
      </c>
      <c r="T71" s="2" t="s">
        <v>43</v>
      </c>
      <c r="U71" s="31">
        <v>0</v>
      </c>
      <c r="V71" s="31">
        <v>-4</v>
      </c>
      <c r="W71" s="32">
        <v>0</v>
      </c>
      <c r="X71" s="33">
        <v>0</v>
      </c>
    </row>
    <row r="72" spans="1:24" x14ac:dyDescent="0.25">
      <c r="A72" s="22" t="s">
        <v>828</v>
      </c>
      <c r="B72" s="2" t="s">
        <v>829</v>
      </c>
      <c r="C72" s="2" t="s">
        <v>144</v>
      </c>
      <c r="D72" s="46" t="s">
        <v>901</v>
      </c>
      <c r="E72" s="46" t="s">
        <v>966</v>
      </c>
      <c r="F72" s="24" t="str">
        <f>HYPERLINK("https://mapwv.gov/flood/map/?wkid=102100&amp;x=-8956142.174944384&amp;y=4739330.625755429&amp;l=13&amp;v=2","FT")</f>
        <v>FT</v>
      </c>
      <c r="G72" s="29" t="s">
        <v>31</v>
      </c>
      <c r="H72" s="29" t="s">
        <v>24</v>
      </c>
      <c r="I72" s="2" t="s">
        <v>1023</v>
      </c>
      <c r="J72" s="22" t="s">
        <v>25</v>
      </c>
      <c r="K72" s="47" t="s">
        <v>166</v>
      </c>
      <c r="L72" s="45" t="s">
        <v>45</v>
      </c>
      <c r="M72" s="46" t="s">
        <v>40</v>
      </c>
      <c r="N72" s="3" t="s">
        <v>41</v>
      </c>
      <c r="O72" s="47" t="s">
        <v>90</v>
      </c>
      <c r="P72" s="46" t="s">
        <v>137</v>
      </c>
      <c r="Q72" s="46" t="s">
        <v>51</v>
      </c>
      <c r="R72" s="23" t="s">
        <v>93</v>
      </c>
      <c r="S72" s="30">
        <v>201800</v>
      </c>
      <c r="T72" s="2" t="s">
        <v>43</v>
      </c>
      <c r="U72" s="31">
        <v>1</v>
      </c>
      <c r="V72" s="31">
        <v>-3</v>
      </c>
      <c r="W72" s="32">
        <v>0</v>
      </c>
      <c r="X72" s="33">
        <v>0</v>
      </c>
    </row>
  </sheetData>
  <conditionalFormatting sqref="A7:A72">
    <cfRule type="duplicateValues" dxfId="4" priority="1"/>
  </conditionalFormatting>
  <hyperlinks>
    <hyperlink ref="J3" r:id="rId1" xr:uid="{CB09E442-074F-4A4C-B67B-DF5D9AD14848}"/>
    <hyperlink ref="M3" r:id="rId2" xr:uid="{32BFC485-2E17-45C7-BDB4-0F5AED230D15}"/>
    <hyperlink ref="Q3" r:id="rId3" xr:uid="{6DB82AAF-6595-4F14-9DD7-24374B8544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9574-367E-496D-ADD4-237DC3CC1AAB}">
  <dimension ref="A1:X70"/>
  <sheetViews>
    <sheetView workbookViewId="0">
      <selection activeCell="B3" sqref="B3"/>
    </sheetView>
  </sheetViews>
  <sheetFormatPr defaultRowHeight="15" x14ac:dyDescent="0.25"/>
  <cols>
    <col min="1" max="1" width="33.85546875" bestFit="1" customWidth="1"/>
    <col min="2" max="2" width="10.7109375" customWidth="1"/>
    <col min="7" max="7" width="10.85546875" customWidth="1"/>
    <col min="13" max="14" width="10.7109375" customWidth="1"/>
    <col min="17" max="17" width="10.57031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1084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5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1085</v>
      </c>
      <c r="B7" s="2" t="s">
        <v>1147</v>
      </c>
      <c r="C7" s="46" t="s">
        <v>1152</v>
      </c>
      <c r="D7" s="2" t="s">
        <v>1171</v>
      </c>
      <c r="E7" s="46" t="s">
        <v>1230</v>
      </c>
      <c r="F7" s="24" t="str">
        <f>HYPERLINK("https://mapwv.gov/flood/map/?wkid=102100&amp;x=-8902114.269978292&amp;y=4706849.878545119&amp;l=13&amp;v=2","FT")</f>
        <v>FT</v>
      </c>
      <c r="G7" s="29" t="s">
        <v>37</v>
      </c>
      <c r="H7" s="29" t="s">
        <v>24</v>
      </c>
      <c r="I7" s="46" t="s">
        <v>58</v>
      </c>
      <c r="J7" s="22" t="s">
        <v>38</v>
      </c>
      <c r="K7" s="47" t="s">
        <v>167</v>
      </c>
      <c r="L7" s="45"/>
      <c r="M7" s="46" t="s">
        <v>59</v>
      </c>
      <c r="N7" s="3" t="s">
        <v>86</v>
      </c>
      <c r="O7" s="47" t="s">
        <v>90</v>
      </c>
      <c r="P7" s="46" t="s">
        <v>1346</v>
      </c>
      <c r="Q7" s="46" t="s">
        <v>29</v>
      </c>
      <c r="R7" s="23" t="s">
        <v>92</v>
      </c>
      <c r="S7" s="30">
        <v>5521655</v>
      </c>
      <c r="T7" s="2" t="s">
        <v>60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25">
      <c r="A8" s="22" t="s">
        <v>1400</v>
      </c>
      <c r="B8" s="2" t="s">
        <v>1148</v>
      </c>
      <c r="C8" s="46" t="s">
        <v>164</v>
      </c>
      <c r="D8" s="2" t="s">
        <v>1401</v>
      </c>
      <c r="E8" s="46" t="s">
        <v>1402</v>
      </c>
      <c r="F8" s="24" t="str">
        <f>HYPERLINK("https://www.mapwv.gov/flood/map/?wkid=102100&amp;x=-8901554&amp;y=4683012&amp;l=13&amp;v=2","FT")</f>
        <v>FT</v>
      </c>
      <c r="G8" s="29" t="s">
        <v>53</v>
      </c>
      <c r="H8" s="29" t="s">
        <v>24</v>
      </c>
      <c r="I8" s="46" t="s">
        <v>1403</v>
      </c>
      <c r="J8" s="22" t="s">
        <v>25</v>
      </c>
      <c r="K8" s="47">
        <v>9999</v>
      </c>
      <c r="L8" s="45"/>
      <c r="M8" s="46" t="s">
        <v>27</v>
      </c>
      <c r="N8" s="3" t="s">
        <v>87</v>
      </c>
      <c r="O8" s="47">
        <v>1</v>
      </c>
      <c r="P8" s="48">
        <v>6800</v>
      </c>
      <c r="Q8" s="46" t="s">
        <v>29</v>
      </c>
      <c r="R8" s="23" t="s">
        <v>92</v>
      </c>
      <c r="S8" s="30">
        <v>4000000</v>
      </c>
      <c r="T8" s="2" t="s">
        <v>28</v>
      </c>
      <c r="U8" s="31">
        <v>3.5</v>
      </c>
      <c r="V8" s="31">
        <v>2.5</v>
      </c>
      <c r="W8" s="32"/>
      <c r="X8" s="33"/>
    </row>
    <row r="9" spans="1:24" x14ac:dyDescent="0.25">
      <c r="A9" s="22" t="s">
        <v>1086</v>
      </c>
      <c r="B9" s="2" t="s">
        <v>1148</v>
      </c>
      <c r="C9" s="46" t="s">
        <v>164</v>
      </c>
      <c r="D9" s="2" t="s">
        <v>1172</v>
      </c>
      <c r="E9" s="46" t="s">
        <v>1231</v>
      </c>
      <c r="F9" s="24" t="str">
        <f>HYPERLINK("https://mapwv.gov/flood/map/?wkid=102100&amp;x=-8891807.78364363&amp;y=4697997.936046031&amp;l=13&amp;v=2","FT")</f>
        <v>FT</v>
      </c>
      <c r="G9" s="29" t="s">
        <v>53</v>
      </c>
      <c r="H9" s="29" t="s">
        <v>24</v>
      </c>
      <c r="I9" s="46" t="s">
        <v>1404</v>
      </c>
      <c r="J9" s="22" t="s">
        <v>110</v>
      </c>
      <c r="K9" s="47" t="s">
        <v>98</v>
      </c>
      <c r="L9" s="45" t="s">
        <v>36</v>
      </c>
      <c r="M9" s="46" t="s">
        <v>33</v>
      </c>
      <c r="N9" s="3" t="s">
        <v>89</v>
      </c>
      <c r="O9" s="47" t="s">
        <v>90</v>
      </c>
      <c r="P9" s="46" t="s">
        <v>1347</v>
      </c>
      <c r="Q9" s="46" t="s">
        <v>29</v>
      </c>
      <c r="R9" s="23" t="s">
        <v>92</v>
      </c>
      <c r="S9" s="30">
        <v>2549900</v>
      </c>
      <c r="T9" s="2" t="s">
        <v>43</v>
      </c>
      <c r="U9" s="31">
        <v>1.5161133</v>
      </c>
      <c r="V9" s="31">
        <v>0.51611328125</v>
      </c>
      <c r="W9" s="32">
        <v>5.1289062500000003E-2</v>
      </c>
      <c r="X9" s="33">
        <v>130781.98046875</v>
      </c>
    </row>
    <row r="10" spans="1:24" x14ac:dyDescent="0.25">
      <c r="A10" s="22" t="s">
        <v>1087</v>
      </c>
      <c r="B10" s="2" t="s">
        <v>1149</v>
      </c>
      <c r="C10" s="46" t="s">
        <v>164</v>
      </c>
      <c r="D10" s="2" t="s">
        <v>1173</v>
      </c>
      <c r="E10" s="46" t="s">
        <v>1232</v>
      </c>
      <c r="F10" s="24" t="str">
        <f>HYPERLINK("https://mapwv.gov/flood/map/?wkid=102100&amp;x=-8889791.375226647&amp;y=4710455.996885699&amp;l=13&amp;v=2","FT")</f>
        <v>FT</v>
      </c>
      <c r="G10" s="29" t="s">
        <v>31</v>
      </c>
      <c r="H10" s="29" t="s">
        <v>24</v>
      </c>
      <c r="I10" s="46" t="s">
        <v>1292</v>
      </c>
      <c r="J10" s="22" t="s">
        <v>25</v>
      </c>
      <c r="K10" s="47" t="s">
        <v>166</v>
      </c>
      <c r="L10" s="45" t="s">
        <v>26</v>
      </c>
      <c r="M10" s="46" t="s">
        <v>33</v>
      </c>
      <c r="N10" s="3" t="s">
        <v>89</v>
      </c>
      <c r="O10" s="47" t="s">
        <v>90</v>
      </c>
      <c r="P10" s="46" t="s">
        <v>1348</v>
      </c>
      <c r="Q10" s="46" t="s">
        <v>29</v>
      </c>
      <c r="R10" s="23" t="s">
        <v>92</v>
      </c>
      <c r="S10" s="30">
        <v>2249700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25">
      <c r="A11" s="22" t="s">
        <v>1088</v>
      </c>
      <c r="B11" s="2" t="s">
        <v>1148</v>
      </c>
      <c r="C11" s="46" t="s">
        <v>1153</v>
      </c>
      <c r="D11" s="2" t="s">
        <v>1174</v>
      </c>
      <c r="E11" s="46" t="s">
        <v>1233</v>
      </c>
      <c r="F11" s="24" t="str">
        <f>HYPERLINK("https://mapwv.gov/flood/map/?wkid=102100&amp;x=-8888625.353097757&amp;y=4706666.952718607&amp;l=13&amp;v=2","FT")</f>
        <v>FT</v>
      </c>
      <c r="G11" s="29" t="s">
        <v>37</v>
      </c>
      <c r="H11" s="29" t="s">
        <v>24</v>
      </c>
      <c r="I11" s="46" t="s">
        <v>1293</v>
      </c>
      <c r="J11" s="22" t="s">
        <v>38</v>
      </c>
      <c r="K11" s="47" t="s">
        <v>81</v>
      </c>
      <c r="L11" s="45" t="s">
        <v>26</v>
      </c>
      <c r="M11" s="46" t="s">
        <v>46</v>
      </c>
      <c r="N11" s="3" t="s">
        <v>34</v>
      </c>
      <c r="O11" s="47" t="s">
        <v>90</v>
      </c>
      <c r="P11" s="46" t="s">
        <v>1349</v>
      </c>
      <c r="Q11" s="46" t="s">
        <v>29</v>
      </c>
      <c r="R11" s="23" t="s">
        <v>92</v>
      </c>
      <c r="S11" s="30">
        <v>2137800</v>
      </c>
      <c r="T11" s="2" t="s">
        <v>43</v>
      </c>
      <c r="U11" s="31">
        <v>8</v>
      </c>
      <c r="V11" s="31">
        <v>7</v>
      </c>
      <c r="W11" s="32">
        <v>0.26</v>
      </c>
      <c r="X11" s="33">
        <v>555828</v>
      </c>
    </row>
    <row r="12" spans="1:24" x14ac:dyDescent="0.25">
      <c r="A12" s="22" t="s">
        <v>1405</v>
      </c>
      <c r="B12" s="2" t="s">
        <v>1148</v>
      </c>
      <c r="C12" s="46" t="s">
        <v>1160</v>
      </c>
      <c r="D12" s="2" t="s">
        <v>1406</v>
      </c>
      <c r="E12" s="46" t="s">
        <v>1407</v>
      </c>
      <c r="F12" s="24" t="str">
        <f>HYPERLINK("https://www.mapwv.gov/flood/map/?wkid=102100&amp;x=-8903284&amp;y=4678519&amp;l=13&amp;v=2","FT")</f>
        <v>FT</v>
      </c>
      <c r="G12" s="29" t="s">
        <v>37</v>
      </c>
      <c r="H12" s="29" t="s">
        <v>24</v>
      </c>
      <c r="I12" s="46" t="s">
        <v>1408</v>
      </c>
      <c r="J12" s="22" t="s">
        <v>35</v>
      </c>
      <c r="K12" s="47" t="s">
        <v>75</v>
      </c>
      <c r="L12" s="45"/>
      <c r="M12" s="46" t="s">
        <v>27</v>
      </c>
      <c r="N12" s="3" t="s">
        <v>87</v>
      </c>
      <c r="O12" s="47" t="s">
        <v>90</v>
      </c>
      <c r="P12" s="48">
        <v>6500</v>
      </c>
      <c r="Q12" s="46" t="s">
        <v>29</v>
      </c>
      <c r="R12" s="23" t="s">
        <v>92</v>
      </c>
      <c r="S12" s="30">
        <v>1950000</v>
      </c>
      <c r="T12" s="2" t="s">
        <v>28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25">
      <c r="A13" s="22" t="s">
        <v>1089</v>
      </c>
      <c r="B13" s="2" t="s">
        <v>1150</v>
      </c>
      <c r="C13" s="46" t="s">
        <v>1154</v>
      </c>
      <c r="D13" s="2" t="s">
        <v>1175</v>
      </c>
      <c r="E13" s="46" t="s">
        <v>1234</v>
      </c>
      <c r="F13" s="24" t="str">
        <f>HYPERLINK("https://mapwv.gov/flood/map/?wkid=102100&amp;x=-8852349.163016077&amp;y=4710257.110998205&amp;l=13&amp;v=2","FT")</f>
        <v>FT</v>
      </c>
      <c r="G13" s="29" t="s">
        <v>37</v>
      </c>
      <c r="H13" s="29" t="s">
        <v>24</v>
      </c>
      <c r="I13" s="46" t="s">
        <v>58</v>
      </c>
      <c r="J13" s="22" t="s">
        <v>38</v>
      </c>
      <c r="K13" s="47" t="s">
        <v>133</v>
      </c>
      <c r="L13" s="45"/>
      <c r="M13" s="46" t="s">
        <v>59</v>
      </c>
      <c r="N13" s="3" t="s">
        <v>86</v>
      </c>
      <c r="O13" s="47" t="s">
        <v>90</v>
      </c>
      <c r="P13" s="46" t="s">
        <v>1350</v>
      </c>
      <c r="Q13" s="46" t="s">
        <v>29</v>
      </c>
      <c r="R13" s="23" t="s">
        <v>92</v>
      </c>
      <c r="S13" s="30">
        <v>1793230</v>
      </c>
      <c r="T13" s="2" t="s">
        <v>30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25">
      <c r="A14" s="22" t="s">
        <v>1090</v>
      </c>
      <c r="B14" s="2" t="s">
        <v>1148</v>
      </c>
      <c r="C14" s="46" t="s">
        <v>164</v>
      </c>
      <c r="D14" s="2" t="s">
        <v>1176</v>
      </c>
      <c r="E14" s="46" t="s">
        <v>1235</v>
      </c>
      <c r="F14" s="24" t="str">
        <f>HYPERLINK("https://mapwv.gov/flood/map/?wkid=102100&amp;x=-8891906.804557078&amp;y=4696395.929815691&amp;l=13&amp;v=2","FT")</f>
        <v>FT</v>
      </c>
      <c r="G14" s="29" t="s">
        <v>53</v>
      </c>
      <c r="H14" s="29" t="s">
        <v>24</v>
      </c>
      <c r="I14" s="46" t="s">
        <v>1294</v>
      </c>
      <c r="J14" s="22" t="s">
        <v>38</v>
      </c>
      <c r="K14" s="47" t="s">
        <v>104</v>
      </c>
      <c r="L14" s="45" t="s">
        <v>26</v>
      </c>
      <c r="M14" s="46" t="s">
        <v>62</v>
      </c>
      <c r="N14" s="3" t="s">
        <v>34</v>
      </c>
      <c r="O14" s="47" t="s">
        <v>90</v>
      </c>
      <c r="P14" s="46" t="s">
        <v>1351</v>
      </c>
      <c r="Q14" s="46" t="s">
        <v>29</v>
      </c>
      <c r="R14" s="23" t="s">
        <v>92</v>
      </c>
      <c r="S14" s="30">
        <v>1240100</v>
      </c>
      <c r="T14" s="2" t="s">
        <v>43</v>
      </c>
      <c r="U14" s="31">
        <v>0.20617675999999999</v>
      </c>
      <c r="V14" s="31">
        <v>-0.7938232421875</v>
      </c>
      <c r="W14" s="32">
        <v>0</v>
      </c>
      <c r="X14" s="33">
        <v>0</v>
      </c>
    </row>
    <row r="15" spans="1:24" x14ac:dyDescent="0.25">
      <c r="A15" s="22" t="s">
        <v>1091</v>
      </c>
      <c r="B15" s="2" t="s">
        <v>1148</v>
      </c>
      <c r="C15" s="46" t="s">
        <v>1155</v>
      </c>
      <c r="D15" s="2" t="s">
        <v>1177</v>
      </c>
      <c r="E15" s="46" t="s">
        <v>1236</v>
      </c>
      <c r="F15" s="24" t="str">
        <f>HYPERLINK("https://mapwv.gov/flood/map/?wkid=102100&amp;x=-8887534.779868828&amp;y=4709263.902839891&amp;l=13&amp;v=2","FT")</f>
        <v>FT</v>
      </c>
      <c r="G15" s="29" t="s">
        <v>37</v>
      </c>
      <c r="H15" s="29" t="s">
        <v>24</v>
      </c>
      <c r="I15" s="46" t="s">
        <v>1295</v>
      </c>
      <c r="J15" s="22" t="s">
        <v>38</v>
      </c>
      <c r="K15" s="47" t="s">
        <v>133</v>
      </c>
      <c r="L15" s="45" t="s">
        <v>26</v>
      </c>
      <c r="M15" s="46" t="s">
        <v>61</v>
      </c>
      <c r="N15" s="3" t="s">
        <v>41</v>
      </c>
      <c r="O15" s="47" t="s">
        <v>91</v>
      </c>
      <c r="P15" s="46" t="s">
        <v>1352</v>
      </c>
      <c r="Q15" s="46" t="s">
        <v>29</v>
      </c>
      <c r="R15" s="23" t="s">
        <v>92</v>
      </c>
      <c r="S15" s="30">
        <v>1078000</v>
      </c>
      <c r="T15" s="2" t="s">
        <v>30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25">
      <c r="A16" s="22" t="s">
        <v>1092</v>
      </c>
      <c r="B16" s="2" t="s">
        <v>1148</v>
      </c>
      <c r="C16" s="46" t="s">
        <v>411</v>
      </c>
      <c r="D16" s="2" t="s">
        <v>1178</v>
      </c>
      <c r="E16" s="46" t="s">
        <v>1237</v>
      </c>
      <c r="F16" s="24" t="str">
        <f>HYPERLINK("https://mapwv.gov/flood/map/?wkid=102100&amp;x=-8921999.162304832&amp;y=4655176.881135621&amp;l=13&amp;v=2","FT")</f>
        <v>FT</v>
      </c>
      <c r="G16" s="29" t="s">
        <v>37</v>
      </c>
      <c r="H16" s="29" t="s">
        <v>24</v>
      </c>
      <c r="I16" s="46" t="s">
        <v>1296</v>
      </c>
      <c r="J16" s="22" t="s">
        <v>25</v>
      </c>
      <c r="K16" s="47" t="s">
        <v>121</v>
      </c>
      <c r="L16" s="45" t="s">
        <v>175</v>
      </c>
      <c r="M16" s="46" t="s">
        <v>61</v>
      </c>
      <c r="N16" s="3" t="s">
        <v>41</v>
      </c>
      <c r="O16" s="47" t="s">
        <v>91</v>
      </c>
      <c r="P16" s="46" t="s">
        <v>1353</v>
      </c>
      <c r="Q16" s="46" t="s">
        <v>29</v>
      </c>
      <c r="R16" s="23" t="s">
        <v>92</v>
      </c>
      <c r="S16" s="30">
        <v>822200</v>
      </c>
      <c r="T16" s="2" t="s">
        <v>30</v>
      </c>
      <c r="U16" s="31">
        <v>6</v>
      </c>
      <c r="V16" s="31">
        <v>5</v>
      </c>
      <c r="W16" s="32">
        <v>0.09</v>
      </c>
      <c r="X16" s="33">
        <v>73998</v>
      </c>
    </row>
    <row r="17" spans="1:24" x14ac:dyDescent="0.25">
      <c r="A17" s="22" t="s">
        <v>1093</v>
      </c>
      <c r="B17" s="2" t="s">
        <v>1149</v>
      </c>
      <c r="C17" s="46" t="s">
        <v>1156</v>
      </c>
      <c r="D17" s="2" t="s">
        <v>1179</v>
      </c>
      <c r="E17" s="46" t="s">
        <v>1238</v>
      </c>
      <c r="F17" s="24" t="str">
        <f>HYPERLINK("https://mapwv.gov/flood/map/?wkid=102100&amp;x=-8888167.518629987&amp;y=4710010.85071321&amp;l=13&amp;v=2","FT")</f>
        <v>FT</v>
      </c>
      <c r="G17" s="29" t="s">
        <v>37</v>
      </c>
      <c r="H17" s="29" t="s">
        <v>24</v>
      </c>
      <c r="I17" s="46" t="s">
        <v>1297</v>
      </c>
      <c r="J17" s="22" t="s">
        <v>38</v>
      </c>
      <c r="K17" s="47" t="s">
        <v>133</v>
      </c>
      <c r="L17" s="45" t="s">
        <v>45</v>
      </c>
      <c r="M17" s="46" t="s">
        <v>46</v>
      </c>
      <c r="N17" s="3" t="s">
        <v>34</v>
      </c>
      <c r="O17" s="47" t="s">
        <v>90</v>
      </c>
      <c r="P17" s="46" t="s">
        <v>1354</v>
      </c>
      <c r="Q17" s="46" t="s">
        <v>29</v>
      </c>
      <c r="R17" s="23" t="s">
        <v>92</v>
      </c>
      <c r="S17" s="30">
        <v>807700</v>
      </c>
      <c r="T17" s="2" t="s">
        <v>43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25">
      <c r="A18" s="22" t="s">
        <v>1094</v>
      </c>
      <c r="B18" s="2" t="s">
        <v>1148</v>
      </c>
      <c r="C18" s="46" t="s">
        <v>1157</v>
      </c>
      <c r="D18" s="2" t="s">
        <v>1180</v>
      </c>
      <c r="E18" s="46" t="s">
        <v>1239</v>
      </c>
      <c r="F18" s="24" t="str">
        <f>HYPERLINK("https://mapwv.gov/flood/map/?wkid=102100&amp;x=-8893735.308679227&amp;y=4664437.87097561&amp;l=13&amp;v=2","FT")</f>
        <v>FT</v>
      </c>
      <c r="G18" s="29" t="s">
        <v>37</v>
      </c>
      <c r="H18" s="29" t="s">
        <v>24</v>
      </c>
      <c r="I18" s="46" t="s">
        <v>1298</v>
      </c>
      <c r="J18" s="22" t="s">
        <v>25</v>
      </c>
      <c r="K18" s="47" t="s">
        <v>82</v>
      </c>
      <c r="L18" s="45" t="s">
        <v>39</v>
      </c>
      <c r="M18" s="46" t="s">
        <v>40</v>
      </c>
      <c r="N18" s="3" t="s">
        <v>41</v>
      </c>
      <c r="O18" s="47" t="s">
        <v>91</v>
      </c>
      <c r="P18" s="46" t="s">
        <v>1355</v>
      </c>
      <c r="Q18" s="46" t="s">
        <v>51</v>
      </c>
      <c r="R18" s="23" t="s">
        <v>93</v>
      </c>
      <c r="S18" s="30">
        <v>658400</v>
      </c>
      <c r="T18" s="2" t="s">
        <v>43</v>
      </c>
      <c r="U18" s="31">
        <v>6</v>
      </c>
      <c r="V18" s="31">
        <v>2</v>
      </c>
      <c r="W18" s="32">
        <v>0.14000000000000001</v>
      </c>
      <c r="X18" s="33">
        <v>92176</v>
      </c>
    </row>
    <row r="19" spans="1:24" x14ac:dyDescent="0.25">
      <c r="A19" s="22" t="s">
        <v>1095</v>
      </c>
      <c r="B19" s="2" t="s">
        <v>1148</v>
      </c>
      <c r="C19" s="46" t="s">
        <v>1157</v>
      </c>
      <c r="D19" s="2" t="s">
        <v>1181</v>
      </c>
      <c r="E19" s="46" t="s">
        <v>1240</v>
      </c>
      <c r="F19" s="24" t="str">
        <f>HYPERLINK("https://mapwv.gov/flood/map/?wkid=102100&amp;x=-8893614.342352679&amp;y=4664339.631773317&amp;l=13&amp;v=2","FT")</f>
        <v>FT</v>
      </c>
      <c r="G19" s="29" t="s">
        <v>37</v>
      </c>
      <c r="H19" s="29" t="s">
        <v>24</v>
      </c>
      <c r="I19" s="46" t="s">
        <v>1299</v>
      </c>
      <c r="J19" s="22" t="s">
        <v>25</v>
      </c>
      <c r="K19" s="47" t="s">
        <v>82</v>
      </c>
      <c r="L19" s="45" t="s">
        <v>39</v>
      </c>
      <c r="M19" s="46" t="s">
        <v>40</v>
      </c>
      <c r="N19" s="3" t="s">
        <v>41</v>
      </c>
      <c r="O19" s="47" t="s">
        <v>91</v>
      </c>
      <c r="P19" s="46" t="s">
        <v>1356</v>
      </c>
      <c r="Q19" s="46" t="s">
        <v>51</v>
      </c>
      <c r="R19" s="23" t="s">
        <v>93</v>
      </c>
      <c r="S19" s="30">
        <v>564800</v>
      </c>
      <c r="T19" s="2" t="s">
        <v>43</v>
      </c>
      <c r="U19" s="31">
        <v>8</v>
      </c>
      <c r="V19" s="31">
        <v>4</v>
      </c>
      <c r="W19" s="32">
        <v>0.2</v>
      </c>
      <c r="X19" s="33">
        <v>112960</v>
      </c>
    </row>
    <row r="20" spans="1:24" x14ac:dyDescent="0.25">
      <c r="A20" s="22" t="s">
        <v>1096</v>
      </c>
      <c r="B20" s="2" t="s">
        <v>1148</v>
      </c>
      <c r="C20" s="46" t="s">
        <v>1158</v>
      </c>
      <c r="D20" s="2" t="s">
        <v>1182</v>
      </c>
      <c r="E20" s="46" t="s">
        <v>1241</v>
      </c>
      <c r="F20" s="24" t="str">
        <f>HYPERLINK("https://mapwv.gov/flood/map/?wkid=102100&amp;x=-8888503.482968269&amp;y=4707005.599460438&amp;l=13&amp;v=2","FT")</f>
        <v>FT</v>
      </c>
      <c r="G20" s="29" t="s">
        <v>37</v>
      </c>
      <c r="H20" s="29" t="s">
        <v>24</v>
      </c>
      <c r="I20" s="46" t="s">
        <v>1300</v>
      </c>
      <c r="J20" s="22" t="s">
        <v>38</v>
      </c>
      <c r="K20" s="47" t="s">
        <v>153</v>
      </c>
      <c r="L20" s="45" t="s">
        <v>56</v>
      </c>
      <c r="M20" s="46" t="s">
        <v>46</v>
      </c>
      <c r="N20" s="3" t="s">
        <v>34</v>
      </c>
      <c r="O20" s="47" t="s">
        <v>90</v>
      </c>
      <c r="P20" s="46" t="s">
        <v>1357</v>
      </c>
      <c r="Q20" s="46" t="s">
        <v>29</v>
      </c>
      <c r="R20" s="23" t="s">
        <v>92</v>
      </c>
      <c r="S20" s="30">
        <v>553000</v>
      </c>
      <c r="T20" s="2" t="s">
        <v>30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25">
      <c r="A21" s="22" t="s">
        <v>1097</v>
      </c>
      <c r="B21" s="2" t="s">
        <v>1150</v>
      </c>
      <c r="C21" s="46" t="s">
        <v>1154</v>
      </c>
      <c r="D21" s="2" t="s">
        <v>1175</v>
      </c>
      <c r="E21" s="46" t="s">
        <v>1242</v>
      </c>
      <c r="F21" s="24" t="str">
        <f>HYPERLINK("https://mapwv.gov/flood/map/?wkid=102100&amp;x=-8852271.151541444&amp;y=4710299.782362098&amp;l=13&amp;v=2","FT")</f>
        <v>FT</v>
      </c>
      <c r="G21" s="29" t="s">
        <v>37</v>
      </c>
      <c r="H21" s="29" t="s">
        <v>24</v>
      </c>
      <c r="I21" s="46" t="s">
        <v>58</v>
      </c>
      <c r="J21" s="22" t="s">
        <v>35</v>
      </c>
      <c r="K21" s="47" t="s">
        <v>75</v>
      </c>
      <c r="L21" s="45"/>
      <c r="M21" s="46" t="s">
        <v>27</v>
      </c>
      <c r="N21" s="3" t="s">
        <v>87</v>
      </c>
      <c r="O21" s="47" t="s">
        <v>90</v>
      </c>
      <c r="P21" s="46" t="s">
        <v>1358</v>
      </c>
      <c r="Q21" s="46" t="s">
        <v>29</v>
      </c>
      <c r="R21" s="23" t="s">
        <v>92</v>
      </c>
      <c r="S21" s="30">
        <v>493501</v>
      </c>
      <c r="T21" s="2" t="s">
        <v>94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25">
      <c r="A22" s="22" t="s">
        <v>1098</v>
      </c>
      <c r="B22" s="2" t="s">
        <v>1148</v>
      </c>
      <c r="C22" s="46" t="s">
        <v>1159</v>
      </c>
      <c r="D22" s="2" t="s">
        <v>1183</v>
      </c>
      <c r="E22" s="46" t="s">
        <v>1243</v>
      </c>
      <c r="F22" s="24" t="str">
        <f>HYPERLINK("https://mapwv.gov/flood/map/?wkid=102100&amp;x=-8889576.65696079&amp;y=4698137.967520639&amp;l=13&amp;v=2","FT")</f>
        <v>FT</v>
      </c>
      <c r="G22" s="29" t="s">
        <v>37</v>
      </c>
      <c r="H22" s="29" t="s">
        <v>24</v>
      </c>
      <c r="I22" s="46" t="s">
        <v>1301</v>
      </c>
      <c r="J22" s="22" t="s">
        <v>25</v>
      </c>
      <c r="K22" s="47" t="s">
        <v>78</v>
      </c>
      <c r="L22" s="45" t="s">
        <v>47</v>
      </c>
      <c r="M22" s="46" t="s">
        <v>40</v>
      </c>
      <c r="N22" s="3" t="s">
        <v>41</v>
      </c>
      <c r="O22" s="47" t="s">
        <v>90</v>
      </c>
      <c r="P22" s="46" t="s">
        <v>1359</v>
      </c>
      <c r="Q22" s="46" t="s">
        <v>51</v>
      </c>
      <c r="R22" s="23" t="s">
        <v>93</v>
      </c>
      <c r="S22" s="30">
        <v>489100</v>
      </c>
      <c r="T22" s="2" t="s">
        <v>43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25">
      <c r="A23" s="22" t="s">
        <v>1099</v>
      </c>
      <c r="B23" s="2" t="s">
        <v>1149</v>
      </c>
      <c r="C23" s="46" t="s">
        <v>164</v>
      </c>
      <c r="D23" s="2" t="s">
        <v>1184</v>
      </c>
      <c r="E23" s="46" t="s">
        <v>1244</v>
      </c>
      <c r="F23" s="24" t="str">
        <f>HYPERLINK("https://mapwv.gov/flood/map/?wkid=102100&amp;x=-8890150.984604014&amp;y=4709968.589618697&amp;l=13&amp;v=2","FT")</f>
        <v>FT</v>
      </c>
      <c r="G23" s="29" t="s">
        <v>31</v>
      </c>
      <c r="H23" s="29" t="s">
        <v>24</v>
      </c>
      <c r="I23" s="46" t="s">
        <v>1302</v>
      </c>
      <c r="J23" s="22" t="s">
        <v>25</v>
      </c>
      <c r="K23" s="47" t="s">
        <v>128</v>
      </c>
      <c r="L23" s="45" t="s">
        <v>52</v>
      </c>
      <c r="M23" s="46" t="s">
        <v>33</v>
      </c>
      <c r="N23" s="3" t="s">
        <v>89</v>
      </c>
      <c r="O23" s="47" t="s">
        <v>90</v>
      </c>
      <c r="P23" s="46" t="s">
        <v>1360</v>
      </c>
      <c r="Q23" s="46" t="s">
        <v>29</v>
      </c>
      <c r="R23" s="23" t="s">
        <v>92</v>
      </c>
      <c r="S23" s="30">
        <v>468200</v>
      </c>
      <c r="T23" s="2" t="s">
        <v>30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25">
      <c r="A24" s="22" t="s">
        <v>1100</v>
      </c>
      <c r="B24" s="2" t="s">
        <v>1148</v>
      </c>
      <c r="C24" s="46" t="s">
        <v>1160</v>
      </c>
      <c r="D24" s="2" t="s">
        <v>1185</v>
      </c>
      <c r="E24" s="46" t="s">
        <v>1245</v>
      </c>
      <c r="F24" s="24" t="str">
        <f>HYPERLINK("https://mapwv.gov/flood/map/?wkid=102100&amp;x=-8902676.192511424&amp;y=4676069.02456888&amp;l=13&amp;v=2","FT")</f>
        <v>FT</v>
      </c>
      <c r="G24" s="29" t="s">
        <v>37</v>
      </c>
      <c r="H24" s="29" t="s">
        <v>24</v>
      </c>
      <c r="I24" s="46" t="s">
        <v>1303</v>
      </c>
      <c r="J24" s="22" t="s">
        <v>25</v>
      </c>
      <c r="K24" s="47" t="s">
        <v>140</v>
      </c>
      <c r="L24" s="45" t="s">
        <v>39</v>
      </c>
      <c r="M24" s="46" t="s">
        <v>40</v>
      </c>
      <c r="N24" s="3" t="s">
        <v>41</v>
      </c>
      <c r="O24" s="47" t="s">
        <v>91</v>
      </c>
      <c r="P24" s="46" t="s">
        <v>1361</v>
      </c>
      <c r="Q24" s="46" t="s">
        <v>51</v>
      </c>
      <c r="R24" s="23" t="s">
        <v>93</v>
      </c>
      <c r="S24" s="30">
        <v>464600</v>
      </c>
      <c r="T24" s="2" t="s">
        <v>43</v>
      </c>
      <c r="U24" s="31">
        <v>0</v>
      </c>
      <c r="V24" s="31">
        <v>-4</v>
      </c>
      <c r="W24" s="32">
        <v>0</v>
      </c>
      <c r="X24" s="33">
        <v>0</v>
      </c>
    </row>
    <row r="25" spans="1:24" x14ac:dyDescent="0.25">
      <c r="A25" s="22" t="s">
        <v>1101</v>
      </c>
      <c r="B25" s="2" t="s">
        <v>1149</v>
      </c>
      <c r="C25" s="46" t="s">
        <v>1161</v>
      </c>
      <c r="D25" s="2" t="s">
        <v>1186</v>
      </c>
      <c r="E25" s="46" t="s">
        <v>1246</v>
      </c>
      <c r="F25" s="24" t="str">
        <f>HYPERLINK("https://mapwv.gov/flood/map/?wkid=102100&amp;x=-8888226.881418245&amp;y=4710835.308899178&amp;l=13&amp;v=2","FT")</f>
        <v>FT</v>
      </c>
      <c r="G25" s="29" t="s">
        <v>37</v>
      </c>
      <c r="H25" s="29" t="s">
        <v>24</v>
      </c>
      <c r="I25" s="46" t="s">
        <v>1304</v>
      </c>
      <c r="J25" s="22" t="s">
        <v>38</v>
      </c>
      <c r="K25" s="47" t="s">
        <v>1342</v>
      </c>
      <c r="L25" s="45" t="s">
        <v>26</v>
      </c>
      <c r="M25" s="46" t="s">
        <v>46</v>
      </c>
      <c r="N25" s="3" t="s">
        <v>34</v>
      </c>
      <c r="O25" s="47" t="s">
        <v>90</v>
      </c>
      <c r="P25" s="46" t="s">
        <v>1362</v>
      </c>
      <c r="Q25" s="46" t="s">
        <v>29</v>
      </c>
      <c r="R25" s="23" t="s">
        <v>92</v>
      </c>
      <c r="S25" s="30">
        <v>461000</v>
      </c>
      <c r="T25" s="2" t="s">
        <v>30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25">
      <c r="A26" s="22" t="s">
        <v>1102</v>
      </c>
      <c r="B26" s="2" t="s">
        <v>1148</v>
      </c>
      <c r="C26" s="46" t="s">
        <v>164</v>
      </c>
      <c r="D26" s="2" t="s">
        <v>1187</v>
      </c>
      <c r="E26" s="46" t="s">
        <v>1247</v>
      </c>
      <c r="F26" s="24" t="str">
        <f>HYPERLINK("https://mapwv.gov/flood/map/?wkid=102100&amp;x=-8891864.908687482&amp;y=4696760.464213343&amp;l=13&amp;v=2","FT")</f>
        <v>FT</v>
      </c>
      <c r="G26" s="29" t="s">
        <v>31</v>
      </c>
      <c r="H26" s="29" t="s">
        <v>24</v>
      </c>
      <c r="I26" s="46" t="s">
        <v>1305</v>
      </c>
      <c r="J26" s="22" t="s">
        <v>38</v>
      </c>
      <c r="K26" s="47" t="s">
        <v>138</v>
      </c>
      <c r="L26" s="45" t="s">
        <v>36</v>
      </c>
      <c r="M26" s="46" t="s">
        <v>717</v>
      </c>
      <c r="N26" s="3" t="s">
        <v>41</v>
      </c>
      <c r="O26" s="47" t="s">
        <v>90</v>
      </c>
      <c r="P26" s="46" t="s">
        <v>1363</v>
      </c>
      <c r="Q26" s="46" t="s">
        <v>51</v>
      </c>
      <c r="R26" s="23" t="s">
        <v>108</v>
      </c>
      <c r="S26" s="30">
        <v>458000</v>
      </c>
      <c r="T26" s="2" t="s">
        <v>43</v>
      </c>
      <c r="U26" s="31">
        <v>1.4835205</v>
      </c>
      <c r="V26" s="31">
        <v>-1.5164794921875</v>
      </c>
      <c r="W26" s="32">
        <v>0</v>
      </c>
      <c r="X26" s="33">
        <v>0</v>
      </c>
    </row>
    <row r="27" spans="1:24" x14ac:dyDescent="0.25">
      <c r="A27" s="22" t="s">
        <v>1103</v>
      </c>
      <c r="B27" s="2" t="s">
        <v>1148</v>
      </c>
      <c r="C27" s="46" t="s">
        <v>164</v>
      </c>
      <c r="D27" s="2" t="s">
        <v>1188</v>
      </c>
      <c r="E27" s="46" t="s">
        <v>1248</v>
      </c>
      <c r="F27" s="24" t="str">
        <f>HYPERLINK("https://mapwv.gov/flood/map/?wkid=102100&amp;x=-8895296.47036131&amp;y=4712235.72066188&amp;l=13&amp;v=2","FT")</f>
        <v>FT</v>
      </c>
      <c r="G27" s="29" t="s">
        <v>37</v>
      </c>
      <c r="H27" s="29" t="s">
        <v>24</v>
      </c>
      <c r="I27" s="46" t="s">
        <v>1306</v>
      </c>
      <c r="J27" s="22" t="s">
        <v>35</v>
      </c>
      <c r="K27" s="47" t="s">
        <v>75</v>
      </c>
      <c r="L27" s="45"/>
      <c r="M27" s="46" t="s">
        <v>33</v>
      </c>
      <c r="N27" s="3" t="s">
        <v>89</v>
      </c>
      <c r="O27" s="47" t="s">
        <v>90</v>
      </c>
      <c r="P27" s="46" t="s">
        <v>1364</v>
      </c>
      <c r="Q27" s="46" t="s">
        <v>29</v>
      </c>
      <c r="R27" s="23" t="s">
        <v>92</v>
      </c>
      <c r="S27" s="30">
        <v>455530</v>
      </c>
      <c r="T27" s="2" t="s">
        <v>30</v>
      </c>
      <c r="U27" s="31">
        <v>15</v>
      </c>
      <c r="V27" s="31">
        <v>14</v>
      </c>
      <c r="W27" s="32">
        <v>0.5</v>
      </c>
      <c r="X27" s="33">
        <v>227765</v>
      </c>
    </row>
    <row r="28" spans="1:24" x14ac:dyDescent="0.25">
      <c r="A28" s="22" t="s">
        <v>1104</v>
      </c>
      <c r="B28" s="2" t="s">
        <v>1151</v>
      </c>
      <c r="C28" s="46" t="s">
        <v>1159</v>
      </c>
      <c r="D28" s="2" t="s">
        <v>1189</v>
      </c>
      <c r="E28" s="46" t="s">
        <v>1249</v>
      </c>
      <c r="F28" s="24" t="str">
        <f>HYPERLINK("https://mapwv.gov/flood/map/?wkid=102100&amp;x=-8891087.830291573&amp;y=4698576.791625934&amp;l=13&amp;v=2","FT")</f>
        <v>FT</v>
      </c>
      <c r="G28" s="29" t="s">
        <v>37</v>
      </c>
      <c r="H28" s="29" t="s">
        <v>24</v>
      </c>
      <c r="I28" s="46" t="s">
        <v>1307</v>
      </c>
      <c r="J28" s="22" t="s">
        <v>38</v>
      </c>
      <c r="K28" s="47" t="s">
        <v>151</v>
      </c>
      <c r="L28" s="45" t="s">
        <v>26</v>
      </c>
      <c r="M28" s="46" t="s">
        <v>156</v>
      </c>
      <c r="N28" s="3" t="s">
        <v>41</v>
      </c>
      <c r="O28" s="47" t="s">
        <v>91</v>
      </c>
      <c r="P28" s="46" t="s">
        <v>1365</v>
      </c>
      <c r="Q28" s="46" t="s">
        <v>42</v>
      </c>
      <c r="R28" s="23" t="s">
        <v>93</v>
      </c>
      <c r="S28" s="30">
        <v>441200</v>
      </c>
      <c r="T28" s="2" t="s">
        <v>30</v>
      </c>
      <c r="U28" s="31">
        <v>0</v>
      </c>
      <c r="V28" s="31">
        <v>-4</v>
      </c>
      <c r="W28" s="32">
        <v>0</v>
      </c>
      <c r="X28" s="33">
        <v>0</v>
      </c>
    </row>
    <row r="29" spans="1:24" x14ac:dyDescent="0.25">
      <c r="A29" s="22" t="s">
        <v>1105</v>
      </c>
      <c r="B29" s="2" t="s">
        <v>1148</v>
      </c>
      <c r="C29" s="46" t="s">
        <v>1155</v>
      </c>
      <c r="D29" s="2" t="s">
        <v>1190</v>
      </c>
      <c r="E29" s="46" t="s">
        <v>1250</v>
      </c>
      <c r="F29" s="24" t="str">
        <f>HYPERLINK("https://mapwv.gov/flood/map/?wkid=102100&amp;x=-8887710.909121886&amp;y=4709560.670233231&amp;l=13&amp;v=2","FT")</f>
        <v>FT</v>
      </c>
      <c r="G29" s="29" t="s">
        <v>37</v>
      </c>
      <c r="H29" s="29" t="s">
        <v>24</v>
      </c>
      <c r="I29" s="46" t="s">
        <v>1308</v>
      </c>
      <c r="J29" s="22" t="s">
        <v>25</v>
      </c>
      <c r="K29" s="47" t="s">
        <v>78</v>
      </c>
      <c r="L29" s="45" t="s">
        <v>52</v>
      </c>
      <c r="M29" s="46" t="s">
        <v>46</v>
      </c>
      <c r="N29" s="3" t="s">
        <v>34</v>
      </c>
      <c r="O29" s="47" t="s">
        <v>91</v>
      </c>
      <c r="P29" s="46" t="s">
        <v>1366</v>
      </c>
      <c r="Q29" s="46" t="s">
        <v>29</v>
      </c>
      <c r="R29" s="23" t="s">
        <v>92</v>
      </c>
      <c r="S29" s="30">
        <v>425000</v>
      </c>
      <c r="T29" s="2" t="s">
        <v>30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25">
      <c r="A30" s="22" t="s">
        <v>1106</v>
      </c>
      <c r="B30" s="2" t="s">
        <v>1148</v>
      </c>
      <c r="C30" s="46" t="s">
        <v>1162</v>
      </c>
      <c r="D30" s="2" t="s">
        <v>1191</v>
      </c>
      <c r="E30" s="46" t="s">
        <v>1251</v>
      </c>
      <c r="F30" s="24" t="str">
        <f>HYPERLINK("https://mapwv.gov/flood/map/?wkid=102100&amp;x=-8920315.101455878&amp;y=4681134.230803356&amp;l=13&amp;v=2","FT")</f>
        <v>FT</v>
      </c>
      <c r="G30" s="29" t="s">
        <v>37</v>
      </c>
      <c r="H30" s="29" t="s">
        <v>24</v>
      </c>
      <c r="I30" s="46" t="s">
        <v>1309</v>
      </c>
      <c r="J30" s="22" t="s">
        <v>38</v>
      </c>
      <c r="K30" s="47" t="s">
        <v>1343</v>
      </c>
      <c r="L30" s="45" t="s">
        <v>26</v>
      </c>
      <c r="M30" s="46" t="s">
        <v>1345</v>
      </c>
      <c r="N30" s="3" t="s">
        <v>89</v>
      </c>
      <c r="O30" s="47" t="s">
        <v>90</v>
      </c>
      <c r="P30" s="46" t="s">
        <v>1060</v>
      </c>
      <c r="Q30" s="46" t="s">
        <v>51</v>
      </c>
      <c r="R30" s="23" t="s">
        <v>108</v>
      </c>
      <c r="S30" s="30">
        <v>403113</v>
      </c>
      <c r="T30" s="2" t="s">
        <v>94</v>
      </c>
      <c r="U30" s="31">
        <v>0</v>
      </c>
      <c r="V30" s="31">
        <v>-3</v>
      </c>
      <c r="W30" s="32">
        <v>0</v>
      </c>
      <c r="X30" s="33">
        <v>0</v>
      </c>
    </row>
    <row r="31" spans="1:24" x14ac:dyDescent="0.25">
      <c r="A31" s="22" t="s">
        <v>1107</v>
      </c>
      <c r="B31" s="2" t="s">
        <v>1148</v>
      </c>
      <c r="C31" s="46" t="s">
        <v>1157</v>
      </c>
      <c r="D31" s="2" t="s">
        <v>1192</v>
      </c>
      <c r="E31" s="46" t="s">
        <v>1252</v>
      </c>
      <c r="F31" s="24" t="str">
        <f>HYPERLINK("https://mapwv.gov/flood/map/?wkid=102100&amp;x=-8894008.462887261&amp;y=4664515.216672765&amp;l=13&amp;v=2","FT")</f>
        <v>FT</v>
      </c>
      <c r="G31" s="29" t="s">
        <v>37</v>
      </c>
      <c r="H31" s="29" t="s">
        <v>24</v>
      </c>
      <c r="I31" s="46" t="s">
        <v>1310</v>
      </c>
      <c r="J31" s="22" t="s">
        <v>25</v>
      </c>
      <c r="K31" s="47" t="s">
        <v>102</v>
      </c>
      <c r="L31" s="45" t="s">
        <v>39</v>
      </c>
      <c r="M31" s="46" t="s">
        <v>40</v>
      </c>
      <c r="N31" s="3" t="s">
        <v>41</v>
      </c>
      <c r="O31" s="47" t="s">
        <v>90</v>
      </c>
      <c r="P31" s="46" t="s">
        <v>1367</v>
      </c>
      <c r="Q31" s="46" t="s">
        <v>51</v>
      </c>
      <c r="R31" s="23" t="s">
        <v>93</v>
      </c>
      <c r="S31" s="30">
        <v>402300</v>
      </c>
      <c r="T31" s="2" t="s">
        <v>43</v>
      </c>
      <c r="U31" s="31">
        <v>5</v>
      </c>
      <c r="V31" s="31">
        <v>1</v>
      </c>
      <c r="W31" s="32">
        <v>0.23</v>
      </c>
      <c r="X31" s="33">
        <v>92529</v>
      </c>
    </row>
    <row r="32" spans="1:24" x14ac:dyDescent="0.25">
      <c r="A32" s="22" t="s">
        <v>1108</v>
      </c>
      <c r="B32" s="2" t="s">
        <v>1148</v>
      </c>
      <c r="C32" s="46" t="s">
        <v>1157</v>
      </c>
      <c r="D32" s="2" t="s">
        <v>1193</v>
      </c>
      <c r="E32" s="46" t="s">
        <v>1253</v>
      </c>
      <c r="F32" s="24" t="str">
        <f>HYPERLINK("https://mapwv.gov/flood/map/?wkid=102100&amp;x=-8893887.033805586&amp;y=4664529.079021839&amp;l=13&amp;v=2","FT")</f>
        <v>FT</v>
      </c>
      <c r="G32" s="29" t="s">
        <v>37</v>
      </c>
      <c r="H32" s="29" t="s">
        <v>24</v>
      </c>
      <c r="I32" s="46" t="s">
        <v>1311</v>
      </c>
      <c r="J32" s="22" t="s">
        <v>25</v>
      </c>
      <c r="K32" s="47" t="s">
        <v>82</v>
      </c>
      <c r="L32" s="45" t="s">
        <v>39</v>
      </c>
      <c r="M32" s="46" t="s">
        <v>40</v>
      </c>
      <c r="N32" s="3" t="s">
        <v>41</v>
      </c>
      <c r="O32" s="47" t="s">
        <v>91</v>
      </c>
      <c r="P32" s="46" t="s">
        <v>1368</v>
      </c>
      <c r="Q32" s="46" t="s">
        <v>51</v>
      </c>
      <c r="R32" s="23" t="s">
        <v>93</v>
      </c>
      <c r="S32" s="30">
        <v>399100</v>
      </c>
      <c r="T32" s="2" t="s">
        <v>43</v>
      </c>
      <c r="U32" s="31">
        <v>8</v>
      </c>
      <c r="V32" s="31">
        <v>4</v>
      </c>
      <c r="W32" s="32">
        <v>0.2</v>
      </c>
      <c r="X32" s="33">
        <v>79820</v>
      </c>
    </row>
    <row r="33" spans="1:24" x14ac:dyDescent="0.25">
      <c r="A33" s="22" t="s">
        <v>1109</v>
      </c>
      <c r="B33" s="2" t="s">
        <v>1148</v>
      </c>
      <c r="C33" s="46" t="s">
        <v>164</v>
      </c>
      <c r="D33" s="2" t="s">
        <v>1194</v>
      </c>
      <c r="E33" s="46" t="s">
        <v>1254</v>
      </c>
      <c r="F33" s="24" t="str">
        <f>HYPERLINK("https://mapwv.gov/flood/map/?wkid=102100&amp;x=-8909470.153950004&amp;y=4656221.403807518&amp;l=13&amp;v=2","FT")</f>
        <v>FT</v>
      </c>
      <c r="G33" s="29" t="s">
        <v>37</v>
      </c>
      <c r="H33" s="29" t="s">
        <v>24</v>
      </c>
      <c r="I33" s="46" t="s">
        <v>1312</v>
      </c>
      <c r="J33" s="22" t="s">
        <v>35</v>
      </c>
      <c r="K33" s="47" t="s">
        <v>75</v>
      </c>
      <c r="L33" s="45"/>
      <c r="M33" s="46" t="s">
        <v>46</v>
      </c>
      <c r="N33" s="3" t="s">
        <v>34</v>
      </c>
      <c r="O33" s="47" t="s">
        <v>90</v>
      </c>
      <c r="P33" s="46" t="s">
        <v>1369</v>
      </c>
      <c r="Q33" s="46" t="s">
        <v>29</v>
      </c>
      <c r="R33" s="23" t="s">
        <v>92</v>
      </c>
      <c r="S33" s="30">
        <v>368362</v>
      </c>
      <c r="T33" s="2" t="s">
        <v>94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25">
      <c r="A34" s="22" t="s">
        <v>1110</v>
      </c>
      <c r="B34" s="2" t="s">
        <v>1148</v>
      </c>
      <c r="C34" s="46" t="s">
        <v>1153</v>
      </c>
      <c r="D34" s="2" t="s">
        <v>1195</v>
      </c>
      <c r="E34" s="46" t="s">
        <v>1255</v>
      </c>
      <c r="F34" s="24" t="str">
        <f>HYPERLINK("https://mapwv.gov/flood/map/?wkid=102100&amp;x=-8889392.323572583&amp;y=4706873.876537016&amp;l=13&amp;v=2","FT")</f>
        <v>FT</v>
      </c>
      <c r="G34" s="29" t="s">
        <v>37</v>
      </c>
      <c r="H34" s="29" t="s">
        <v>24</v>
      </c>
      <c r="I34" s="46" t="s">
        <v>1313</v>
      </c>
      <c r="J34" s="22" t="s">
        <v>38</v>
      </c>
      <c r="K34" s="47" t="s">
        <v>84</v>
      </c>
      <c r="L34" s="45" t="s">
        <v>37</v>
      </c>
      <c r="M34" s="46" t="s">
        <v>40</v>
      </c>
      <c r="N34" s="3" t="s">
        <v>41</v>
      </c>
      <c r="O34" s="47" t="s">
        <v>90</v>
      </c>
      <c r="P34" s="46" t="s">
        <v>1370</v>
      </c>
      <c r="Q34" s="46" t="s">
        <v>42</v>
      </c>
      <c r="R34" s="23" t="s">
        <v>93</v>
      </c>
      <c r="S34" s="30">
        <v>358900</v>
      </c>
      <c r="T34" s="2" t="s">
        <v>43</v>
      </c>
      <c r="U34" s="31">
        <v>2</v>
      </c>
      <c r="V34" s="31">
        <v>-2</v>
      </c>
      <c r="W34" s="32">
        <v>0.14000000000000001</v>
      </c>
      <c r="X34" s="33">
        <v>50246</v>
      </c>
    </row>
    <row r="35" spans="1:24" x14ac:dyDescent="0.25">
      <c r="A35" s="22" t="s">
        <v>1111</v>
      </c>
      <c r="B35" s="2" t="s">
        <v>1148</v>
      </c>
      <c r="C35" s="46" t="s">
        <v>1157</v>
      </c>
      <c r="D35" s="2" t="s">
        <v>1196</v>
      </c>
      <c r="E35" s="46" t="s">
        <v>1256</v>
      </c>
      <c r="F35" s="24" t="str">
        <f>HYPERLINK("https://mapwv.gov/flood/map/?wkid=102100&amp;x=-8873362.520613017&amp;y=4723261.035114281&amp;l=13&amp;v=2","FT")</f>
        <v>FT</v>
      </c>
      <c r="G35" s="29" t="s">
        <v>37</v>
      </c>
      <c r="H35" s="29" t="s">
        <v>24</v>
      </c>
      <c r="I35" s="46" t="s">
        <v>1314</v>
      </c>
      <c r="J35" s="22" t="s">
        <v>25</v>
      </c>
      <c r="K35" s="47" t="s">
        <v>127</v>
      </c>
      <c r="L35" s="45" t="s">
        <v>37</v>
      </c>
      <c r="M35" s="46" t="s">
        <v>40</v>
      </c>
      <c r="N35" s="3" t="s">
        <v>41</v>
      </c>
      <c r="O35" s="47" t="s">
        <v>90</v>
      </c>
      <c r="P35" s="46" t="s">
        <v>1371</v>
      </c>
      <c r="Q35" s="46" t="s">
        <v>51</v>
      </c>
      <c r="R35" s="23" t="s">
        <v>93</v>
      </c>
      <c r="S35" s="30">
        <v>356600</v>
      </c>
      <c r="T35" s="2" t="s">
        <v>43</v>
      </c>
      <c r="U35" s="31">
        <v>5</v>
      </c>
      <c r="V35" s="31">
        <v>1</v>
      </c>
      <c r="W35" s="32">
        <v>0.23</v>
      </c>
      <c r="X35" s="33">
        <v>82018</v>
      </c>
    </row>
    <row r="36" spans="1:24" x14ac:dyDescent="0.25">
      <c r="A36" s="22" t="s">
        <v>1112</v>
      </c>
      <c r="B36" s="2" t="s">
        <v>1148</v>
      </c>
      <c r="C36" s="46" t="s">
        <v>1153</v>
      </c>
      <c r="D36" s="2" t="s">
        <v>1197</v>
      </c>
      <c r="E36" s="46" t="s">
        <v>1257</v>
      </c>
      <c r="F36" s="24" t="str">
        <f>HYPERLINK("https://mapwv.gov/flood/map/?wkid=102100&amp;x=-8888526.759762475&amp;y=4706530.809190493&amp;l=13&amp;v=2","FT")</f>
        <v>FT</v>
      </c>
      <c r="G36" s="29" t="s">
        <v>37</v>
      </c>
      <c r="H36" s="29" t="s">
        <v>24</v>
      </c>
      <c r="I36" s="46" t="s">
        <v>1313</v>
      </c>
      <c r="J36" s="22" t="s">
        <v>38</v>
      </c>
      <c r="K36" s="47" t="s">
        <v>106</v>
      </c>
      <c r="L36" s="45" t="s">
        <v>48</v>
      </c>
      <c r="M36" s="46" t="s">
        <v>46</v>
      </c>
      <c r="N36" s="3" t="s">
        <v>34</v>
      </c>
      <c r="O36" s="47" t="s">
        <v>91</v>
      </c>
      <c r="P36" s="46" t="s">
        <v>1372</v>
      </c>
      <c r="Q36" s="46" t="s">
        <v>29</v>
      </c>
      <c r="R36" s="23" t="s">
        <v>92</v>
      </c>
      <c r="S36" s="30">
        <v>353500</v>
      </c>
      <c r="T36" s="2" t="s">
        <v>30</v>
      </c>
      <c r="U36" s="31">
        <v>1</v>
      </c>
      <c r="V36" s="31">
        <v>0</v>
      </c>
      <c r="W36" s="32">
        <v>0.01</v>
      </c>
      <c r="X36" s="33">
        <v>3535</v>
      </c>
    </row>
    <row r="37" spans="1:24" x14ac:dyDescent="0.25">
      <c r="A37" s="22" t="s">
        <v>1113</v>
      </c>
      <c r="B37" s="2" t="s">
        <v>1149</v>
      </c>
      <c r="C37" s="46" t="s">
        <v>164</v>
      </c>
      <c r="D37" s="2" t="s">
        <v>1198</v>
      </c>
      <c r="E37" s="46" t="s">
        <v>1258</v>
      </c>
      <c r="F37" s="24" t="str">
        <f>HYPERLINK("https://mapwv.gov/flood/map/?wkid=102100&amp;x=-8888376.37158319&amp;y=4709763.894197077&amp;l=13&amp;v=2","FT")</f>
        <v>FT</v>
      </c>
      <c r="G37" s="29" t="s">
        <v>37</v>
      </c>
      <c r="H37" s="29" t="s">
        <v>24</v>
      </c>
      <c r="I37" s="46" t="s">
        <v>1315</v>
      </c>
      <c r="J37" s="22" t="s">
        <v>35</v>
      </c>
      <c r="K37" s="47" t="s">
        <v>75</v>
      </c>
      <c r="L37" s="45"/>
      <c r="M37" s="46" t="s">
        <v>55</v>
      </c>
      <c r="N37" s="3" t="s">
        <v>34</v>
      </c>
      <c r="O37" s="47" t="s">
        <v>90</v>
      </c>
      <c r="P37" s="46" t="s">
        <v>1373</v>
      </c>
      <c r="Q37" s="46" t="s">
        <v>29</v>
      </c>
      <c r="R37" s="23" t="s">
        <v>92</v>
      </c>
      <c r="S37" s="30">
        <v>335729</v>
      </c>
      <c r="T37" s="2" t="s">
        <v>94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25">
      <c r="A38" s="22" t="s">
        <v>1114</v>
      </c>
      <c r="B38" s="2" t="s">
        <v>1148</v>
      </c>
      <c r="C38" s="46" t="s">
        <v>164</v>
      </c>
      <c r="D38" s="2" t="s">
        <v>1199</v>
      </c>
      <c r="E38" s="46" t="s">
        <v>1259</v>
      </c>
      <c r="F38" s="24" t="str">
        <f>HYPERLINK("https://mapwv.gov/flood/map/?wkid=102100&amp;x=-8890787.671867505&amp;y=4701238.2781815585&amp;l=13&amp;v=2","FT")</f>
        <v>FT</v>
      </c>
      <c r="G38" s="29" t="s">
        <v>53</v>
      </c>
      <c r="H38" s="29" t="s">
        <v>24</v>
      </c>
      <c r="I38" s="46" t="s">
        <v>1316</v>
      </c>
      <c r="J38" s="22" t="s">
        <v>110</v>
      </c>
      <c r="K38" s="47" t="s">
        <v>83</v>
      </c>
      <c r="L38" s="45" t="s">
        <v>36</v>
      </c>
      <c r="M38" s="46" t="s">
        <v>62</v>
      </c>
      <c r="N38" s="3" t="s">
        <v>34</v>
      </c>
      <c r="O38" s="47" t="s">
        <v>90</v>
      </c>
      <c r="P38" s="46" t="s">
        <v>1374</v>
      </c>
      <c r="Q38" s="46" t="s">
        <v>29</v>
      </c>
      <c r="R38" s="23" t="s">
        <v>92</v>
      </c>
      <c r="S38" s="30">
        <v>328000</v>
      </c>
      <c r="T38" s="2" t="s">
        <v>43</v>
      </c>
      <c r="U38" s="31">
        <v>1</v>
      </c>
      <c r="V38" s="31">
        <v>0</v>
      </c>
      <c r="W38" s="32">
        <v>0</v>
      </c>
      <c r="X38" s="33">
        <v>0</v>
      </c>
    </row>
    <row r="39" spans="1:24" x14ac:dyDescent="0.25">
      <c r="A39" s="22" t="s">
        <v>1115</v>
      </c>
      <c r="B39" s="2" t="s">
        <v>1148</v>
      </c>
      <c r="C39" s="46" t="s">
        <v>164</v>
      </c>
      <c r="D39" s="2" t="s">
        <v>1200</v>
      </c>
      <c r="E39" s="46" t="s">
        <v>1260</v>
      </c>
      <c r="F39" s="24" t="str">
        <f>HYPERLINK("https://mapwv.gov/flood/map/?wkid=102100&amp;x=-8911185.798587525&amp;y=4650550.827548266&amp;l=13&amp;v=2","FT")</f>
        <v>FT</v>
      </c>
      <c r="G39" s="29" t="s">
        <v>37</v>
      </c>
      <c r="H39" s="29" t="s">
        <v>24</v>
      </c>
      <c r="I39" s="46" t="s">
        <v>1317</v>
      </c>
      <c r="J39" s="22" t="s">
        <v>25</v>
      </c>
      <c r="K39" s="47" t="s">
        <v>109</v>
      </c>
      <c r="L39" s="45" t="s">
        <v>56</v>
      </c>
      <c r="M39" s="46" t="s">
        <v>61</v>
      </c>
      <c r="N39" s="3" t="s">
        <v>41</v>
      </c>
      <c r="O39" s="47" t="s">
        <v>91</v>
      </c>
      <c r="P39" s="46" t="s">
        <v>162</v>
      </c>
      <c r="Q39" s="46" t="s">
        <v>29</v>
      </c>
      <c r="R39" s="23" t="s">
        <v>92</v>
      </c>
      <c r="S39" s="30">
        <v>323800</v>
      </c>
      <c r="T39" s="2" t="s">
        <v>43</v>
      </c>
      <c r="U39" s="31">
        <v>9</v>
      </c>
      <c r="V39" s="31">
        <v>8</v>
      </c>
      <c r="W39" s="32">
        <v>0.18</v>
      </c>
      <c r="X39" s="33">
        <v>58284</v>
      </c>
    </row>
    <row r="40" spans="1:24" x14ac:dyDescent="0.25">
      <c r="A40" s="22" t="s">
        <v>1116</v>
      </c>
      <c r="B40" s="2" t="s">
        <v>1148</v>
      </c>
      <c r="C40" s="46" t="s">
        <v>1163</v>
      </c>
      <c r="D40" s="2" t="s">
        <v>1201</v>
      </c>
      <c r="E40" s="46" t="s">
        <v>1261</v>
      </c>
      <c r="F40" s="24" t="str">
        <f>HYPERLINK("https://mapwv.gov/flood/map/?wkid=102100&amp;x=-8883050.905252412&amp;y=4730022.790825539&amp;l=13&amp;v=2","FT")</f>
        <v>FT</v>
      </c>
      <c r="G40" s="29" t="s">
        <v>37</v>
      </c>
      <c r="H40" s="29" t="s">
        <v>24</v>
      </c>
      <c r="I40" s="46" t="s">
        <v>1318</v>
      </c>
      <c r="J40" s="22" t="s">
        <v>25</v>
      </c>
      <c r="K40" s="47" t="s">
        <v>95</v>
      </c>
      <c r="L40" s="45" t="s">
        <v>49</v>
      </c>
      <c r="M40" s="46" t="s">
        <v>40</v>
      </c>
      <c r="N40" s="3" t="s">
        <v>41</v>
      </c>
      <c r="O40" s="47" t="s">
        <v>90</v>
      </c>
      <c r="P40" s="46" t="s">
        <v>1375</v>
      </c>
      <c r="Q40" s="46" t="s">
        <v>42</v>
      </c>
      <c r="R40" s="23" t="s">
        <v>93</v>
      </c>
      <c r="S40" s="30">
        <v>304200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25">
      <c r="A41" s="22" t="s">
        <v>1117</v>
      </c>
      <c r="B41" s="2" t="s">
        <v>1148</v>
      </c>
      <c r="C41" s="46" t="s">
        <v>1164</v>
      </c>
      <c r="D41" s="2" t="s">
        <v>1202</v>
      </c>
      <c r="E41" s="46" t="s">
        <v>1262</v>
      </c>
      <c r="F41" s="24" t="str">
        <f>HYPERLINK("https://mapwv.gov/flood/map/?wkid=102100&amp;x=-8906270.276745625&amp;y=4672855.990858825&amp;l=13&amp;v=2","FT")</f>
        <v>FT</v>
      </c>
      <c r="G41" s="29" t="s">
        <v>37</v>
      </c>
      <c r="H41" s="29" t="s">
        <v>24</v>
      </c>
      <c r="I41" s="46" t="s">
        <v>1319</v>
      </c>
      <c r="J41" s="22" t="s">
        <v>35</v>
      </c>
      <c r="K41" s="47" t="s">
        <v>75</v>
      </c>
      <c r="L41" s="45"/>
      <c r="M41" s="46" t="s">
        <v>59</v>
      </c>
      <c r="N41" s="3" t="s">
        <v>86</v>
      </c>
      <c r="O41" s="47" t="s">
        <v>90</v>
      </c>
      <c r="P41" s="46" t="s">
        <v>188</v>
      </c>
      <c r="Q41" s="46" t="s">
        <v>29</v>
      </c>
      <c r="R41" s="23" t="s">
        <v>92</v>
      </c>
      <c r="S41" s="30">
        <v>302600</v>
      </c>
      <c r="T41" s="2" t="s">
        <v>94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25">
      <c r="A42" s="22" t="s">
        <v>1118</v>
      </c>
      <c r="B42" s="2" t="s">
        <v>1148</v>
      </c>
      <c r="C42" s="46" t="s">
        <v>1165</v>
      </c>
      <c r="D42" s="2" t="s">
        <v>1203</v>
      </c>
      <c r="E42" s="46" t="s">
        <v>1263</v>
      </c>
      <c r="F42" s="24" t="str">
        <f>HYPERLINK("https://mapwv.gov/flood/map/?wkid=102100&amp;x=-8887319.498548988&amp;y=4696077.569030861&amp;l=13&amp;v=2","FT")</f>
        <v>FT</v>
      </c>
      <c r="G42" s="29" t="s">
        <v>37</v>
      </c>
      <c r="H42" s="29" t="s">
        <v>24</v>
      </c>
      <c r="I42" s="46" t="s">
        <v>1320</v>
      </c>
      <c r="J42" s="22" t="s">
        <v>35</v>
      </c>
      <c r="K42" s="47" t="s">
        <v>75</v>
      </c>
      <c r="L42" s="45"/>
      <c r="M42" s="46" t="s">
        <v>85</v>
      </c>
      <c r="N42" s="3" t="s">
        <v>89</v>
      </c>
      <c r="O42" s="47" t="s">
        <v>90</v>
      </c>
      <c r="P42" s="46" t="s">
        <v>1376</v>
      </c>
      <c r="Q42" s="46" t="s">
        <v>29</v>
      </c>
      <c r="R42" s="23" t="s">
        <v>92</v>
      </c>
      <c r="S42" s="30">
        <v>298026</v>
      </c>
      <c r="T42" s="2" t="s">
        <v>94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25">
      <c r="A43" s="22" t="s">
        <v>1119</v>
      </c>
      <c r="B43" s="2" t="s">
        <v>1148</v>
      </c>
      <c r="C43" s="46" t="s">
        <v>164</v>
      </c>
      <c r="D43" s="2" t="s">
        <v>1204</v>
      </c>
      <c r="E43" s="46" t="s">
        <v>1264</v>
      </c>
      <c r="F43" s="24" t="str">
        <f>HYPERLINK("https://mapwv.gov/flood/map/?wkid=102100&amp;x=-8891826.74035103&amp;y=4696927.664826244&amp;l=13&amp;v=2","FT")</f>
        <v>FT</v>
      </c>
      <c r="G43" s="29" t="s">
        <v>53</v>
      </c>
      <c r="H43" s="29" t="s">
        <v>24</v>
      </c>
      <c r="I43" s="46" t="s">
        <v>1305</v>
      </c>
      <c r="J43" s="22" t="s">
        <v>110</v>
      </c>
      <c r="K43" s="47" t="s">
        <v>97</v>
      </c>
      <c r="L43" s="45"/>
      <c r="M43" s="46" t="s">
        <v>717</v>
      </c>
      <c r="N43" s="3" t="s">
        <v>41</v>
      </c>
      <c r="O43" s="47" t="s">
        <v>90</v>
      </c>
      <c r="P43" s="46" t="s">
        <v>1377</v>
      </c>
      <c r="Q43" s="46" t="s">
        <v>51</v>
      </c>
      <c r="R43" s="23" t="s">
        <v>108</v>
      </c>
      <c r="S43" s="30">
        <v>281500</v>
      </c>
      <c r="T43" s="2" t="s">
        <v>43</v>
      </c>
      <c r="U43" s="31">
        <v>1.5007324</v>
      </c>
      <c r="V43" s="31">
        <v>-1.499267578125</v>
      </c>
      <c r="W43" s="32">
        <v>0</v>
      </c>
      <c r="X43" s="33">
        <v>0</v>
      </c>
    </row>
    <row r="44" spans="1:24" x14ac:dyDescent="0.25">
      <c r="A44" s="22" t="s">
        <v>1120</v>
      </c>
      <c r="B44" s="2" t="s">
        <v>1148</v>
      </c>
      <c r="C44" s="46" t="s">
        <v>164</v>
      </c>
      <c r="D44" s="2" t="s">
        <v>1205</v>
      </c>
      <c r="E44" s="46" t="s">
        <v>1265</v>
      </c>
      <c r="F44" s="24" t="str">
        <f>HYPERLINK("https://mapwv.gov/flood/map/?wkid=102100&amp;x=-8899475.33803323&amp;y=4688297.492762996&amp;l=13&amp;v=2","FT")</f>
        <v>FT</v>
      </c>
      <c r="G44" s="29" t="s">
        <v>31</v>
      </c>
      <c r="H44" s="29" t="s">
        <v>24</v>
      </c>
      <c r="I44" s="46" t="s">
        <v>1321</v>
      </c>
      <c r="J44" s="22" t="s">
        <v>38</v>
      </c>
      <c r="K44" s="47" t="s">
        <v>111</v>
      </c>
      <c r="L44" s="45" t="s">
        <v>26</v>
      </c>
      <c r="M44" s="46" t="s">
        <v>40</v>
      </c>
      <c r="N44" s="3" t="s">
        <v>41</v>
      </c>
      <c r="O44" s="47" t="s">
        <v>90</v>
      </c>
      <c r="P44" s="46" t="s">
        <v>1378</v>
      </c>
      <c r="Q44" s="46" t="s">
        <v>51</v>
      </c>
      <c r="R44" s="23" t="s">
        <v>108</v>
      </c>
      <c r="S44" s="30">
        <v>278300</v>
      </c>
      <c r="T44" s="2" t="s">
        <v>43</v>
      </c>
      <c r="U44" s="31">
        <v>0</v>
      </c>
      <c r="V44" s="31">
        <v>-3</v>
      </c>
      <c r="W44" s="32">
        <v>0</v>
      </c>
      <c r="X44" s="33">
        <v>0</v>
      </c>
    </row>
    <row r="45" spans="1:24" x14ac:dyDescent="0.25">
      <c r="A45" s="22" t="s">
        <v>1121</v>
      </c>
      <c r="B45" s="2" t="s">
        <v>1151</v>
      </c>
      <c r="C45" s="46" t="s">
        <v>1159</v>
      </c>
      <c r="D45" s="2" t="s">
        <v>1189</v>
      </c>
      <c r="E45" s="46" t="s">
        <v>1266</v>
      </c>
      <c r="F45" s="24" t="str">
        <f>HYPERLINK("https://mapwv.gov/flood/map/?wkid=102100&amp;x=-8891060.268476209&amp;y=4698654.714416749&amp;l=13&amp;v=2","FT")</f>
        <v>FT</v>
      </c>
      <c r="G45" s="29" t="s">
        <v>37</v>
      </c>
      <c r="H45" s="29" t="s">
        <v>24</v>
      </c>
      <c r="I45" s="46" t="s">
        <v>1307</v>
      </c>
      <c r="J45" s="22" t="s">
        <v>38</v>
      </c>
      <c r="K45" s="47" t="s">
        <v>151</v>
      </c>
      <c r="L45" s="45" t="s">
        <v>26</v>
      </c>
      <c r="M45" s="46" t="s">
        <v>156</v>
      </c>
      <c r="N45" s="3" t="s">
        <v>41</v>
      </c>
      <c r="O45" s="47" t="s">
        <v>91</v>
      </c>
      <c r="P45" s="46" t="s">
        <v>1379</v>
      </c>
      <c r="Q45" s="46" t="s">
        <v>42</v>
      </c>
      <c r="R45" s="23" t="s">
        <v>93</v>
      </c>
      <c r="S45" s="30">
        <v>268700</v>
      </c>
      <c r="T45" s="2" t="s">
        <v>30</v>
      </c>
      <c r="U45" s="31">
        <v>0</v>
      </c>
      <c r="V45" s="31">
        <v>-4</v>
      </c>
      <c r="W45" s="32">
        <v>0</v>
      </c>
      <c r="X45" s="33">
        <v>0</v>
      </c>
    </row>
    <row r="46" spans="1:24" x14ac:dyDescent="0.25">
      <c r="A46" s="22" t="s">
        <v>1122</v>
      </c>
      <c r="B46" s="2" t="s">
        <v>1148</v>
      </c>
      <c r="C46" s="46" t="s">
        <v>1157</v>
      </c>
      <c r="D46" s="2" t="s">
        <v>1206</v>
      </c>
      <c r="E46" s="46" t="s">
        <v>1267</v>
      </c>
      <c r="F46" s="24" t="str">
        <f>HYPERLINK("https://mapwv.gov/flood/map/?wkid=102100&amp;x=-8892962.297118276&amp;y=4664336.415121295&amp;l=13&amp;v=2","FT")</f>
        <v>FT</v>
      </c>
      <c r="G46" s="29" t="s">
        <v>37</v>
      </c>
      <c r="H46" s="29" t="s">
        <v>24</v>
      </c>
      <c r="I46" s="46" t="s">
        <v>1322</v>
      </c>
      <c r="J46" s="22" t="s">
        <v>25</v>
      </c>
      <c r="K46" s="47" t="s">
        <v>109</v>
      </c>
      <c r="L46" s="45" t="s">
        <v>49</v>
      </c>
      <c r="M46" s="46" t="s">
        <v>40</v>
      </c>
      <c r="N46" s="3" t="s">
        <v>41</v>
      </c>
      <c r="O46" s="47" t="s">
        <v>91</v>
      </c>
      <c r="P46" s="46" t="s">
        <v>134</v>
      </c>
      <c r="Q46" s="46" t="s">
        <v>51</v>
      </c>
      <c r="R46" s="23" t="s">
        <v>93</v>
      </c>
      <c r="S46" s="30">
        <v>267000</v>
      </c>
      <c r="T46" s="2" t="s">
        <v>43</v>
      </c>
      <c r="U46" s="31">
        <v>5</v>
      </c>
      <c r="V46" s="31">
        <v>1</v>
      </c>
      <c r="W46" s="32">
        <v>0.12</v>
      </c>
      <c r="X46" s="33">
        <v>32040</v>
      </c>
    </row>
    <row r="47" spans="1:24" x14ac:dyDescent="0.25">
      <c r="A47" s="22" t="s">
        <v>1123</v>
      </c>
      <c r="B47" s="2" t="s">
        <v>1148</v>
      </c>
      <c r="C47" s="46" t="s">
        <v>1166</v>
      </c>
      <c r="D47" s="2" t="s">
        <v>1207</v>
      </c>
      <c r="E47" s="46" t="s">
        <v>1268</v>
      </c>
      <c r="F47" s="24" t="str">
        <f>HYPERLINK("https://mapwv.gov/flood/map/?wkid=102100&amp;x=-8855290.79135828&amp;y=4694593.664810434&amp;l=13&amp;v=2","FT")</f>
        <v>FT</v>
      </c>
      <c r="G47" s="29" t="s">
        <v>37</v>
      </c>
      <c r="H47" s="29" t="s">
        <v>24</v>
      </c>
      <c r="I47" s="46" t="s">
        <v>1323</v>
      </c>
      <c r="J47" s="22" t="s">
        <v>38</v>
      </c>
      <c r="K47" s="47" t="s">
        <v>132</v>
      </c>
      <c r="L47" s="45" t="s">
        <v>52</v>
      </c>
      <c r="M47" s="46" t="s">
        <v>57</v>
      </c>
      <c r="N47" s="3" t="s">
        <v>88</v>
      </c>
      <c r="O47" s="47" t="s">
        <v>90</v>
      </c>
      <c r="P47" s="46" t="s">
        <v>1380</v>
      </c>
      <c r="Q47" s="46" t="s">
        <v>29</v>
      </c>
      <c r="R47" s="23" t="s">
        <v>92</v>
      </c>
      <c r="S47" s="30">
        <v>266490</v>
      </c>
      <c r="T47" s="2" t="s">
        <v>30</v>
      </c>
      <c r="U47" s="31">
        <v>2</v>
      </c>
      <c r="V47" s="31">
        <v>1</v>
      </c>
      <c r="W47" s="32">
        <v>0.1</v>
      </c>
      <c r="X47" s="33">
        <v>26649</v>
      </c>
    </row>
    <row r="48" spans="1:24" x14ac:dyDescent="0.25">
      <c r="A48" s="22" t="s">
        <v>1124</v>
      </c>
      <c r="B48" s="2" t="s">
        <v>1148</v>
      </c>
      <c r="C48" s="46" t="s">
        <v>1153</v>
      </c>
      <c r="D48" s="2" t="s">
        <v>1208</v>
      </c>
      <c r="E48" s="46" t="s">
        <v>1269</v>
      </c>
      <c r="F48" s="24" t="str">
        <f>HYPERLINK("https://mapwv.gov/flood/map/?wkid=102100&amp;x=-8888789.07212002&amp;y=4706825.362977182&amp;l=13&amp;v=2","FT")</f>
        <v>FT</v>
      </c>
      <c r="G48" s="29" t="s">
        <v>37</v>
      </c>
      <c r="H48" s="29" t="s">
        <v>24</v>
      </c>
      <c r="I48" s="46" t="s">
        <v>1313</v>
      </c>
      <c r="J48" s="22" t="s">
        <v>25</v>
      </c>
      <c r="K48" s="47" t="s">
        <v>97</v>
      </c>
      <c r="L48" s="45" t="s">
        <v>52</v>
      </c>
      <c r="M48" s="46" t="s">
        <v>62</v>
      </c>
      <c r="N48" s="3" t="s">
        <v>34</v>
      </c>
      <c r="O48" s="47" t="s">
        <v>90</v>
      </c>
      <c r="P48" s="46" t="s">
        <v>178</v>
      </c>
      <c r="Q48" s="46" t="s">
        <v>29</v>
      </c>
      <c r="R48" s="23" t="s">
        <v>92</v>
      </c>
      <c r="S48" s="30">
        <v>263500</v>
      </c>
      <c r="T48" s="2" t="s">
        <v>30</v>
      </c>
      <c r="U48" s="31">
        <v>0</v>
      </c>
      <c r="V48" s="31">
        <v>-1</v>
      </c>
      <c r="W48" s="32">
        <v>0</v>
      </c>
      <c r="X48" s="33">
        <v>0</v>
      </c>
    </row>
    <row r="49" spans="1:24" x14ac:dyDescent="0.25">
      <c r="A49" s="22" t="s">
        <v>1125</v>
      </c>
      <c r="B49" s="2" t="s">
        <v>1149</v>
      </c>
      <c r="C49" s="46" t="s">
        <v>1155</v>
      </c>
      <c r="D49" s="2" t="s">
        <v>1209</v>
      </c>
      <c r="E49" s="46" t="s">
        <v>1270</v>
      </c>
      <c r="F49" s="24" t="str">
        <f>HYPERLINK("https://mapwv.gov/flood/map/?wkid=102100&amp;x=-8888245.228874076&amp;y=4709827.285056008&amp;l=13&amp;v=2","FT")</f>
        <v>FT</v>
      </c>
      <c r="G49" s="29" t="s">
        <v>37</v>
      </c>
      <c r="H49" s="29" t="s">
        <v>24</v>
      </c>
      <c r="I49" s="46" t="s">
        <v>172</v>
      </c>
      <c r="J49" s="22" t="s">
        <v>35</v>
      </c>
      <c r="K49" s="47" t="s">
        <v>75</v>
      </c>
      <c r="L49" s="45"/>
      <c r="M49" s="46" t="s">
        <v>46</v>
      </c>
      <c r="N49" s="3" t="s">
        <v>34</v>
      </c>
      <c r="O49" s="47" t="s">
        <v>90</v>
      </c>
      <c r="P49" s="46" t="s">
        <v>1381</v>
      </c>
      <c r="Q49" s="46" t="s">
        <v>29</v>
      </c>
      <c r="R49" s="23" t="s">
        <v>92</v>
      </c>
      <c r="S49" s="30">
        <v>260000</v>
      </c>
      <c r="T49" s="2" t="s">
        <v>94</v>
      </c>
      <c r="U49" s="31">
        <v>0</v>
      </c>
      <c r="V49" s="31">
        <v>-1</v>
      </c>
      <c r="W49" s="32">
        <v>0</v>
      </c>
      <c r="X49" s="33">
        <v>0</v>
      </c>
    </row>
    <row r="50" spans="1:24" x14ac:dyDescent="0.25">
      <c r="A50" s="22" t="s">
        <v>1126</v>
      </c>
      <c r="B50" s="2" t="s">
        <v>1148</v>
      </c>
      <c r="C50" s="46" t="s">
        <v>164</v>
      </c>
      <c r="D50" s="2" t="s">
        <v>1210</v>
      </c>
      <c r="E50" s="46" t="s">
        <v>1271</v>
      </c>
      <c r="F50" s="24" t="str">
        <f>HYPERLINK("https://mapwv.gov/flood/map/?wkid=102100&amp;x=-8893842.517363863&amp;y=4710635.411119217&amp;l=13&amp;v=2","FT")</f>
        <v>FT</v>
      </c>
      <c r="G50" s="29" t="s">
        <v>31</v>
      </c>
      <c r="H50" s="29" t="s">
        <v>24</v>
      </c>
      <c r="I50" s="46" t="s">
        <v>1324</v>
      </c>
      <c r="J50" s="22" t="s">
        <v>25</v>
      </c>
      <c r="K50" s="47" t="s">
        <v>74</v>
      </c>
      <c r="L50" s="45" t="s">
        <v>44</v>
      </c>
      <c r="M50" s="46" t="s">
        <v>40</v>
      </c>
      <c r="N50" s="3" t="s">
        <v>41</v>
      </c>
      <c r="O50" s="47" t="s">
        <v>90</v>
      </c>
      <c r="P50" s="46" t="s">
        <v>1382</v>
      </c>
      <c r="Q50" s="46" t="s">
        <v>51</v>
      </c>
      <c r="R50" s="23" t="s">
        <v>93</v>
      </c>
      <c r="S50" s="30">
        <v>254900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25">
      <c r="A51" s="22" t="s">
        <v>1127</v>
      </c>
      <c r="B51" s="2" t="s">
        <v>1148</v>
      </c>
      <c r="C51" s="46" t="s">
        <v>1157</v>
      </c>
      <c r="D51" s="2" t="s">
        <v>1211</v>
      </c>
      <c r="E51" s="46" t="s">
        <v>1272</v>
      </c>
      <c r="F51" s="24" t="str">
        <f>HYPERLINK("https://mapwv.gov/flood/map/?wkid=102100&amp;x=-8892674.82199171&amp;y=4664771.732500896&amp;l=13&amp;v=2","FT")</f>
        <v>FT</v>
      </c>
      <c r="G51" s="29" t="s">
        <v>37</v>
      </c>
      <c r="H51" s="29" t="s">
        <v>24</v>
      </c>
      <c r="I51" s="46" t="s">
        <v>1325</v>
      </c>
      <c r="J51" s="22" t="s">
        <v>38</v>
      </c>
      <c r="K51" s="47" t="s">
        <v>1344</v>
      </c>
      <c r="L51" s="45" t="s">
        <v>56</v>
      </c>
      <c r="M51" s="46" t="s">
        <v>465</v>
      </c>
      <c r="N51" s="3" t="s">
        <v>41</v>
      </c>
      <c r="O51" s="47" t="s">
        <v>91</v>
      </c>
      <c r="P51" s="46" t="s">
        <v>1383</v>
      </c>
      <c r="Q51" s="46" t="s">
        <v>29</v>
      </c>
      <c r="R51" s="23" t="s">
        <v>92</v>
      </c>
      <c r="S51" s="30">
        <v>253200</v>
      </c>
      <c r="T51" s="2" t="s">
        <v>43</v>
      </c>
      <c r="U51" s="31">
        <v>5</v>
      </c>
      <c r="V51" s="31">
        <v>4</v>
      </c>
      <c r="W51" s="32">
        <v>0.15</v>
      </c>
      <c r="X51" s="33">
        <v>37980</v>
      </c>
    </row>
    <row r="52" spans="1:24" x14ac:dyDescent="0.25">
      <c r="A52" s="22" t="s">
        <v>1128</v>
      </c>
      <c r="B52" s="2" t="s">
        <v>1148</v>
      </c>
      <c r="C52" s="46" t="s">
        <v>1167</v>
      </c>
      <c r="D52" s="2" t="s">
        <v>1212</v>
      </c>
      <c r="E52" s="46" t="s">
        <v>1273</v>
      </c>
      <c r="F52" s="24" t="str">
        <f>HYPERLINK("https://mapwv.gov/flood/map/?wkid=102100&amp;x=-8872707.974808892&amp;y=4690433.207217956&amp;l=13&amp;v=2","FT")</f>
        <v>FT</v>
      </c>
      <c r="G52" s="29" t="s">
        <v>37</v>
      </c>
      <c r="H52" s="29" t="s">
        <v>24</v>
      </c>
      <c r="I52" s="46" t="s">
        <v>1320</v>
      </c>
      <c r="J52" s="22" t="s">
        <v>35</v>
      </c>
      <c r="K52" s="47" t="s">
        <v>75</v>
      </c>
      <c r="L52" s="45"/>
      <c r="M52" s="46" t="s">
        <v>1345</v>
      </c>
      <c r="N52" s="3" t="s">
        <v>89</v>
      </c>
      <c r="O52" s="47" t="s">
        <v>90</v>
      </c>
      <c r="P52" s="46" t="s">
        <v>1384</v>
      </c>
      <c r="Q52" s="46" t="s">
        <v>29</v>
      </c>
      <c r="R52" s="23" t="s">
        <v>92</v>
      </c>
      <c r="S52" s="30">
        <v>250672</v>
      </c>
      <c r="T52" s="2" t="s">
        <v>94</v>
      </c>
      <c r="U52" s="31">
        <v>0</v>
      </c>
      <c r="V52" s="31">
        <v>-1</v>
      </c>
      <c r="W52" s="32">
        <v>0</v>
      </c>
      <c r="X52" s="33">
        <v>0</v>
      </c>
    </row>
    <row r="53" spans="1:24" x14ac:dyDescent="0.25">
      <c r="A53" s="22" t="s">
        <v>1129</v>
      </c>
      <c r="B53" s="2" t="s">
        <v>1148</v>
      </c>
      <c r="C53" s="46" t="s">
        <v>1168</v>
      </c>
      <c r="D53" s="2" t="s">
        <v>1213</v>
      </c>
      <c r="E53" s="46" t="s">
        <v>1274</v>
      </c>
      <c r="F53" s="24" t="str">
        <f>HYPERLINK("https://mapwv.gov/flood/map/?wkid=102100&amp;x=-8887484.082189737&amp;y=4723294.088869311&amp;l=13&amp;v=2","FT")</f>
        <v>FT</v>
      </c>
      <c r="G53" s="29" t="s">
        <v>37</v>
      </c>
      <c r="H53" s="29" t="s">
        <v>24</v>
      </c>
      <c r="I53" s="46" t="s">
        <v>1326</v>
      </c>
      <c r="J53" s="22" t="s">
        <v>25</v>
      </c>
      <c r="K53" s="47" t="s">
        <v>101</v>
      </c>
      <c r="L53" s="45" t="s">
        <v>56</v>
      </c>
      <c r="M53" s="46" t="s">
        <v>40</v>
      </c>
      <c r="N53" s="3" t="s">
        <v>41</v>
      </c>
      <c r="O53" s="47" t="s">
        <v>90</v>
      </c>
      <c r="P53" s="46" t="s">
        <v>141</v>
      </c>
      <c r="Q53" s="46" t="s">
        <v>51</v>
      </c>
      <c r="R53" s="23" t="s">
        <v>93</v>
      </c>
      <c r="S53" s="30">
        <v>245900</v>
      </c>
      <c r="T53" s="2" t="s">
        <v>43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25">
      <c r="A54" s="22" t="s">
        <v>1130</v>
      </c>
      <c r="B54" s="2" t="s">
        <v>1148</v>
      </c>
      <c r="C54" s="46" t="s">
        <v>1166</v>
      </c>
      <c r="D54" s="2" t="s">
        <v>1214</v>
      </c>
      <c r="E54" s="46" t="s">
        <v>1275</v>
      </c>
      <c r="F54" s="24" t="str">
        <f>HYPERLINK("https://mapwv.gov/flood/map/?wkid=102100&amp;x=-8855425.475585677&amp;y=4695369.209336625&amp;l=13&amp;v=2","FT")</f>
        <v>FT</v>
      </c>
      <c r="G54" s="29" t="s">
        <v>37</v>
      </c>
      <c r="H54" s="29" t="s">
        <v>24</v>
      </c>
      <c r="I54" s="46" t="s">
        <v>1327</v>
      </c>
      <c r="J54" s="22" t="s">
        <v>38</v>
      </c>
      <c r="K54" s="47" t="s">
        <v>106</v>
      </c>
      <c r="L54" s="45"/>
      <c r="M54" s="46" t="s">
        <v>63</v>
      </c>
      <c r="N54" s="3" t="s">
        <v>87</v>
      </c>
      <c r="O54" s="47" t="s">
        <v>90</v>
      </c>
      <c r="P54" s="46" t="s">
        <v>1385</v>
      </c>
      <c r="Q54" s="46" t="s">
        <v>29</v>
      </c>
      <c r="R54" s="23" t="s">
        <v>92</v>
      </c>
      <c r="S54" s="30">
        <v>244680</v>
      </c>
      <c r="T54" s="2" t="s">
        <v>30</v>
      </c>
      <c r="U54" s="31">
        <v>0</v>
      </c>
      <c r="V54" s="31">
        <v>-1</v>
      </c>
      <c r="W54" s="32">
        <v>0</v>
      </c>
      <c r="X54" s="33">
        <v>0</v>
      </c>
    </row>
    <row r="55" spans="1:24" x14ac:dyDescent="0.25">
      <c r="A55" s="22" t="s">
        <v>1131</v>
      </c>
      <c r="B55" s="2" t="s">
        <v>1148</v>
      </c>
      <c r="C55" s="46" t="s">
        <v>1153</v>
      </c>
      <c r="D55" s="2" t="s">
        <v>1215</v>
      </c>
      <c r="E55" s="46" t="s">
        <v>1276</v>
      </c>
      <c r="F55" s="24" t="str">
        <f>HYPERLINK("https://mapwv.gov/flood/map/?wkid=102100&amp;x=-8888504.129623191&amp;y=4706611.194297093&amp;l=13&amp;v=2","FT")</f>
        <v>FT</v>
      </c>
      <c r="G55" s="29" t="s">
        <v>37</v>
      </c>
      <c r="H55" s="29" t="s">
        <v>24</v>
      </c>
      <c r="I55" s="46" t="s">
        <v>1304</v>
      </c>
      <c r="J55" s="22" t="s">
        <v>38</v>
      </c>
      <c r="K55" s="47" t="s">
        <v>99</v>
      </c>
      <c r="L55" s="45" t="s">
        <v>49</v>
      </c>
      <c r="M55" s="46" t="s">
        <v>50</v>
      </c>
      <c r="N55" s="3" t="s">
        <v>34</v>
      </c>
      <c r="O55" s="47" t="s">
        <v>90</v>
      </c>
      <c r="P55" s="46" t="s">
        <v>1386</v>
      </c>
      <c r="Q55" s="46" t="s">
        <v>29</v>
      </c>
      <c r="R55" s="23" t="s">
        <v>92</v>
      </c>
      <c r="S55" s="30">
        <v>242400</v>
      </c>
      <c r="T55" s="2" t="s">
        <v>43</v>
      </c>
      <c r="U55" s="31">
        <v>4</v>
      </c>
      <c r="V55" s="31">
        <v>3</v>
      </c>
      <c r="W55" s="32">
        <v>0.12</v>
      </c>
      <c r="X55" s="33">
        <v>29088</v>
      </c>
    </row>
    <row r="56" spans="1:24" x14ac:dyDescent="0.25">
      <c r="A56" s="22" t="s">
        <v>1132</v>
      </c>
      <c r="B56" s="2" t="s">
        <v>1149</v>
      </c>
      <c r="C56" s="46" t="s">
        <v>164</v>
      </c>
      <c r="D56" s="2" t="s">
        <v>1216</v>
      </c>
      <c r="E56" s="46" t="s">
        <v>1277</v>
      </c>
      <c r="F56" s="24" t="str">
        <f>HYPERLINK("https://mapwv.gov/flood/map/?wkid=102100&amp;x=-8888695.781822642&amp;y=4710540.7096043825&amp;l=13&amp;v=2","FT")</f>
        <v>FT</v>
      </c>
      <c r="G56" s="29" t="s">
        <v>31</v>
      </c>
      <c r="H56" s="29" t="s">
        <v>24</v>
      </c>
      <c r="I56" s="46" t="s">
        <v>1328</v>
      </c>
      <c r="J56" s="22" t="s">
        <v>38</v>
      </c>
      <c r="K56" s="47" t="s">
        <v>132</v>
      </c>
      <c r="L56" s="45" t="s">
        <v>26</v>
      </c>
      <c r="M56" s="46" t="s">
        <v>27</v>
      </c>
      <c r="N56" s="3" t="s">
        <v>87</v>
      </c>
      <c r="O56" s="47" t="s">
        <v>90</v>
      </c>
      <c r="P56" s="46" t="s">
        <v>1387</v>
      </c>
      <c r="Q56" s="46" t="s">
        <v>29</v>
      </c>
      <c r="R56" s="23" t="s">
        <v>92</v>
      </c>
      <c r="S56" s="30">
        <v>238000</v>
      </c>
      <c r="T56" s="2" t="s">
        <v>43</v>
      </c>
      <c r="U56" s="31">
        <v>6.5612792999999998</v>
      </c>
      <c r="V56" s="31">
        <v>5.561279296875</v>
      </c>
      <c r="W56" s="32">
        <v>0.14561279296874902</v>
      </c>
      <c r="X56" s="33">
        <v>34655.8447265625</v>
      </c>
    </row>
    <row r="57" spans="1:24" x14ac:dyDescent="0.25">
      <c r="A57" s="22" t="s">
        <v>1133</v>
      </c>
      <c r="B57" s="2" t="s">
        <v>1148</v>
      </c>
      <c r="C57" s="46" t="s">
        <v>1169</v>
      </c>
      <c r="D57" s="2" t="s">
        <v>1217</v>
      </c>
      <c r="E57" s="46" t="s">
        <v>1278</v>
      </c>
      <c r="F57" s="24" t="str">
        <f>HYPERLINK("https://mapwv.gov/flood/map/?wkid=102100&amp;x=-8887229.54984008&amp;y=4695648.2757387655&amp;l=13&amp;v=2","FT")</f>
        <v>FT</v>
      </c>
      <c r="G57" s="29" t="s">
        <v>37</v>
      </c>
      <c r="H57" s="29" t="s">
        <v>24</v>
      </c>
      <c r="I57" s="46" t="s">
        <v>1329</v>
      </c>
      <c r="J57" s="22" t="s">
        <v>38</v>
      </c>
      <c r="K57" s="47" t="s">
        <v>77</v>
      </c>
      <c r="L57" s="45" t="s">
        <v>44</v>
      </c>
      <c r="M57" s="46" t="s">
        <v>40</v>
      </c>
      <c r="N57" s="3" t="s">
        <v>41</v>
      </c>
      <c r="O57" s="47" t="s">
        <v>90</v>
      </c>
      <c r="P57" s="46" t="s">
        <v>1388</v>
      </c>
      <c r="Q57" s="46" t="s">
        <v>51</v>
      </c>
      <c r="R57" s="23" t="s">
        <v>108</v>
      </c>
      <c r="S57" s="30">
        <v>236000</v>
      </c>
      <c r="T57" s="2" t="s">
        <v>43</v>
      </c>
      <c r="U57" s="31">
        <v>5</v>
      </c>
      <c r="V57" s="31">
        <v>2</v>
      </c>
      <c r="W57" s="32">
        <v>0.32</v>
      </c>
      <c r="X57" s="33">
        <v>75520</v>
      </c>
    </row>
    <row r="58" spans="1:24" x14ac:dyDescent="0.25">
      <c r="A58" s="22" t="s">
        <v>1134</v>
      </c>
      <c r="B58" s="2" t="s">
        <v>1149</v>
      </c>
      <c r="C58" s="46" t="s">
        <v>1156</v>
      </c>
      <c r="D58" s="2" t="s">
        <v>1218</v>
      </c>
      <c r="E58" s="46" t="s">
        <v>1279</v>
      </c>
      <c r="F58" s="24" t="str">
        <f>HYPERLINK("https://mapwv.gov/flood/map/?wkid=102100&amp;x=-8888017.32359002&amp;y=4710460.062879729&amp;l=13&amp;v=2","FT")</f>
        <v>FT</v>
      </c>
      <c r="G58" s="29" t="s">
        <v>37</v>
      </c>
      <c r="H58" s="29" t="s">
        <v>24</v>
      </c>
      <c r="I58" s="46" t="s">
        <v>1330</v>
      </c>
      <c r="J58" s="22" t="s">
        <v>38</v>
      </c>
      <c r="K58" s="47" t="s">
        <v>183</v>
      </c>
      <c r="L58" s="45" t="s">
        <v>47</v>
      </c>
      <c r="M58" s="46" t="s">
        <v>57</v>
      </c>
      <c r="N58" s="3" t="s">
        <v>88</v>
      </c>
      <c r="O58" s="47" t="s">
        <v>90</v>
      </c>
      <c r="P58" s="46" t="s">
        <v>135</v>
      </c>
      <c r="Q58" s="46" t="s">
        <v>29</v>
      </c>
      <c r="R58" s="23" t="s">
        <v>92</v>
      </c>
      <c r="S58" s="30">
        <v>219400</v>
      </c>
      <c r="T58" s="2" t="s">
        <v>43</v>
      </c>
      <c r="U58" s="31">
        <v>0</v>
      </c>
      <c r="V58" s="31">
        <v>-1</v>
      </c>
      <c r="W58" s="32">
        <v>0</v>
      </c>
      <c r="X58" s="33">
        <v>0</v>
      </c>
    </row>
    <row r="59" spans="1:24" x14ac:dyDescent="0.25">
      <c r="A59" s="22" t="s">
        <v>1135</v>
      </c>
      <c r="B59" s="2" t="s">
        <v>1151</v>
      </c>
      <c r="C59" s="46" t="s">
        <v>1159</v>
      </c>
      <c r="D59" s="2" t="s">
        <v>1219</v>
      </c>
      <c r="E59" s="46" t="s">
        <v>1280</v>
      </c>
      <c r="F59" s="24" t="str">
        <f>HYPERLINK("https://mapwv.gov/flood/map/?wkid=102100&amp;x=-8891779.426450498&amp;y=4698473.981555124&amp;l=13&amp;v=2","FT")</f>
        <v>FT</v>
      </c>
      <c r="G59" s="29" t="s">
        <v>31</v>
      </c>
      <c r="H59" s="29" t="s">
        <v>24</v>
      </c>
      <c r="I59" s="46" t="s">
        <v>1331</v>
      </c>
      <c r="J59" s="22" t="s">
        <v>38</v>
      </c>
      <c r="K59" s="47" t="s">
        <v>76</v>
      </c>
      <c r="L59" s="45" t="s">
        <v>26</v>
      </c>
      <c r="M59" s="46" t="s">
        <v>40</v>
      </c>
      <c r="N59" s="3" t="s">
        <v>41</v>
      </c>
      <c r="O59" s="47" t="s">
        <v>90</v>
      </c>
      <c r="P59" s="46" t="s">
        <v>1389</v>
      </c>
      <c r="Q59" s="46" t="s">
        <v>42</v>
      </c>
      <c r="R59" s="23" t="s">
        <v>93</v>
      </c>
      <c r="S59" s="30">
        <v>219000</v>
      </c>
      <c r="T59" s="2" t="s">
        <v>43</v>
      </c>
      <c r="U59" s="31">
        <v>3.0346679999999999</v>
      </c>
      <c r="V59" s="31">
        <v>-0.96533203125</v>
      </c>
      <c r="W59" s="32">
        <v>0.19242675781249999</v>
      </c>
      <c r="X59" s="33">
        <v>42141.4599609375</v>
      </c>
    </row>
    <row r="60" spans="1:24" x14ac:dyDescent="0.25">
      <c r="A60" s="22" t="s">
        <v>1136</v>
      </c>
      <c r="B60" s="2" t="s">
        <v>1148</v>
      </c>
      <c r="C60" s="46" t="s">
        <v>1157</v>
      </c>
      <c r="D60" s="2" t="s">
        <v>1220</v>
      </c>
      <c r="E60" s="46" t="s">
        <v>1281</v>
      </c>
      <c r="F60" s="24" t="str">
        <f>HYPERLINK("https://mapwv.gov/flood/map/?wkid=102100&amp;x=-8880636.973041382&amp;y=4709542.542071283&amp;l=13&amp;v=2","FT")</f>
        <v>FT</v>
      </c>
      <c r="G60" s="29" t="s">
        <v>37</v>
      </c>
      <c r="H60" s="29" t="s">
        <v>24</v>
      </c>
      <c r="I60" s="46" t="s">
        <v>1332</v>
      </c>
      <c r="J60" s="22" t="s">
        <v>38</v>
      </c>
      <c r="K60" s="47" t="s">
        <v>149</v>
      </c>
      <c r="L60" s="45" t="s">
        <v>44</v>
      </c>
      <c r="M60" s="46" t="s">
        <v>40</v>
      </c>
      <c r="N60" s="3" t="s">
        <v>41</v>
      </c>
      <c r="O60" s="47" t="s">
        <v>90</v>
      </c>
      <c r="P60" s="46" t="s">
        <v>1390</v>
      </c>
      <c r="Q60" s="46" t="s">
        <v>51</v>
      </c>
      <c r="R60" s="23" t="s">
        <v>108</v>
      </c>
      <c r="S60" s="30">
        <v>211300</v>
      </c>
      <c r="T60" s="2" t="s">
        <v>43</v>
      </c>
      <c r="U60" s="31">
        <v>3</v>
      </c>
      <c r="V60" s="31">
        <v>0</v>
      </c>
      <c r="W60" s="32">
        <v>0.13</v>
      </c>
      <c r="X60" s="33">
        <v>27469</v>
      </c>
    </row>
    <row r="61" spans="1:24" x14ac:dyDescent="0.25">
      <c r="A61" s="22" t="s">
        <v>1137</v>
      </c>
      <c r="B61" s="2" t="s">
        <v>1148</v>
      </c>
      <c r="C61" s="46" t="s">
        <v>164</v>
      </c>
      <c r="D61" s="2" t="s">
        <v>1221</v>
      </c>
      <c r="E61" s="46" t="s">
        <v>1282</v>
      </c>
      <c r="F61" s="24" t="str">
        <f>HYPERLINK("https://mapwv.gov/flood/map/?wkid=102100&amp;x=-8909805.155152055&amp;y=4657683.594815411&amp;l=13&amp;v=2","FT")</f>
        <v>FT</v>
      </c>
      <c r="G61" s="29" t="s">
        <v>37</v>
      </c>
      <c r="H61" s="29" t="s">
        <v>24</v>
      </c>
      <c r="I61" s="46" t="s">
        <v>1333</v>
      </c>
      <c r="J61" s="22" t="s">
        <v>35</v>
      </c>
      <c r="K61" s="47" t="s">
        <v>75</v>
      </c>
      <c r="L61" s="45"/>
      <c r="M61" s="46" t="s">
        <v>27</v>
      </c>
      <c r="N61" s="3" t="s">
        <v>87</v>
      </c>
      <c r="O61" s="47" t="s">
        <v>90</v>
      </c>
      <c r="P61" s="46" t="s">
        <v>1391</v>
      </c>
      <c r="Q61" s="46" t="s">
        <v>29</v>
      </c>
      <c r="R61" s="23" t="s">
        <v>92</v>
      </c>
      <c r="S61" s="30">
        <v>211287</v>
      </c>
      <c r="T61" s="2" t="s">
        <v>94</v>
      </c>
      <c r="U61" s="31">
        <v>0</v>
      </c>
      <c r="V61" s="31">
        <v>-1</v>
      </c>
      <c r="W61" s="32">
        <v>0</v>
      </c>
      <c r="X61" s="33">
        <v>0</v>
      </c>
    </row>
    <row r="62" spans="1:24" x14ac:dyDescent="0.25">
      <c r="A62" s="22" t="s">
        <v>1138</v>
      </c>
      <c r="B62" s="2" t="s">
        <v>1148</v>
      </c>
      <c r="C62" s="46" t="s">
        <v>164</v>
      </c>
      <c r="D62" s="2" t="s">
        <v>1222</v>
      </c>
      <c r="E62" s="46" t="s">
        <v>1283</v>
      </c>
      <c r="F62" s="24" t="str">
        <f>HYPERLINK("https://mapwv.gov/flood/map/?wkid=102100&amp;x=-8909460.873132741&amp;y=4656430.349540341&amp;l=13&amp;v=2","FT")</f>
        <v>FT</v>
      </c>
      <c r="G62" s="29" t="s">
        <v>37</v>
      </c>
      <c r="H62" s="29" t="s">
        <v>24</v>
      </c>
      <c r="I62" s="46" t="s">
        <v>1334</v>
      </c>
      <c r="J62" s="22" t="s">
        <v>38</v>
      </c>
      <c r="K62" s="47" t="s">
        <v>106</v>
      </c>
      <c r="L62" s="45"/>
      <c r="M62" s="46" t="s">
        <v>59</v>
      </c>
      <c r="N62" s="3" t="s">
        <v>86</v>
      </c>
      <c r="O62" s="47" t="s">
        <v>90</v>
      </c>
      <c r="P62" s="46" t="s">
        <v>1392</v>
      </c>
      <c r="Q62" s="46" t="s">
        <v>29</v>
      </c>
      <c r="R62" s="23" t="s">
        <v>92</v>
      </c>
      <c r="S62" s="30">
        <v>211000</v>
      </c>
      <c r="T62" s="2" t="s">
        <v>43</v>
      </c>
      <c r="U62" s="31">
        <v>0</v>
      </c>
      <c r="V62" s="31">
        <v>-1</v>
      </c>
      <c r="W62" s="32">
        <v>0</v>
      </c>
      <c r="X62" s="33">
        <v>0</v>
      </c>
    </row>
    <row r="63" spans="1:24" x14ac:dyDescent="0.25">
      <c r="A63" s="22" t="s">
        <v>1139</v>
      </c>
      <c r="B63" s="2" t="s">
        <v>1149</v>
      </c>
      <c r="C63" s="46" t="s">
        <v>541</v>
      </c>
      <c r="D63" s="2" t="s">
        <v>1223</v>
      </c>
      <c r="E63" s="46" t="s">
        <v>1284</v>
      </c>
      <c r="F63" s="24" t="str">
        <f>HYPERLINK("https://mapwv.gov/flood/map/?wkid=102100&amp;x=-8888892.173449408&amp;y=4712723.439168977&amp;l=13&amp;v=2","FT")</f>
        <v>FT</v>
      </c>
      <c r="G63" s="29" t="s">
        <v>31</v>
      </c>
      <c r="H63" s="29" t="s">
        <v>24</v>
      </c>
      <c r="I63" s="46" t="s">
        <v>1335</v>
      </c>
      <c r="J63" s="22" t="s">
        <v>25</v>
      </c>
      <c r="K63" s="47" t="s">
        <v>124</v>
      </c>
      <c r="L63" s="45" t="s">
        <v>26</v>
      </c>
      <c r="M63" s="46" t="s">
        <v>40</v>
      </c>
      <c r="N63" s="3" t="s">
        <v>41</v>
      </c>
      <c r="O63" s="47" t="s">
        <v>90</v>
      </c>
      <c r="P63" s="46" t="s">
        <v>1393</v>
      </c>
      <c r="Q63" s="46" t="s">
        <v>42</v>
      </c>
      <c r="R63" s="23" t="s">
        <v>93</v>
      </c>
      <c r="S63" s="30">
        <v>209400</v>
      </c>
      <c r="T63" s="2" t="s">
        <v>43</v>
      </c>
      <c r="U63" s="31">
        <v>0.10656738</v>
      </c>
      <c r="V63" s="31">
        <v>-3.8934326171875</v>
      </c>
      <c r="W63" s="32">
        <v>0</v>
      </c>
      <c r="X63" s="33">
        <v>0</v>
      </c>
    </row>
    <row r="64" spans="1:24" x14ac:dyDescent="0.25">
      <c r="A64" s="22" t="s">
        <v>1140</v>
      </c>
      <c r="B64" s="2" t="s">
        <v>1148</v>
      </c>
      <c r="C64" s="46" t="s">
        <v>1157</v>
      </c>
      <c r="D64" s="2" t="s">
        <v>1224</v>
      </c>
      <c r="E64" s="46" t="s">
        <v>1285</v>
      </c>
      <c r="F64" s="24" t="str">
        <f>HYPERLINK("https://mapwv.gov/flood/map/?wkid=102100&amp;x=-8872974.115443733&amp;y=4708821.173424139&amp;l=13&amp;v=2","FT")</f>
        <v>FT</v>
      </c>
      <c r="G64" s="29" t="s">
        <v>37</v>
      </c>
      <c r="H64" s="29" t="s">
        <v>24</v>
      </c>
      <c r="I64" s="46" t="s">
        <v>1336</v>
      </c>
      <c r="J64" s="22" t="s">
        <v>25</v>
      </c>
      <c r="K64" s="47" t="s">
        <v>72</v>
      </c>
      <c r="L64" s="45" t="s">
        <v>49</v>
      </c>
      <c r="M64" s="46" t="s">
        <v>40</v>
      </c>
      <c r="N64" s="3" t="s">
        <v>41</v>
      </c>
      <c r="O64" s="47" t="s">
        <v>90</v>
      </c>
      <c r="P64" s="46" t="s">
        <v>1394</v>
      </c>
      <c r="Q64" s="46" t="s">
        <v>42</v>
      </c>
      <c r="R64" s="23" t="s">
        <v>93</v>
      </c>
      <c r="S64" s="30">
        <v>209000</v>
      </c>
      <c r="T64" s="2" t="s">
        <v>43</v>
      </c>
      <c r="U64" s="31">
        <v>3</v>
      </c>
      <c r="V64" s="31">
        <v>-1</v>
      </c>
      <c r="W64" s="32">
        <v>0.19</v>
      </c>
      <c r="X64" s="33">
        <v>39710</v>
      </c>
    </row>
    <row r="65" spans="1:24" x14ac:dyDescent="0.25">
      <c r="A65" s="22" t="s">
        <v>1141</v>
      </c>
      <c r="B65" s="2" t="s">
        <v>1148</v>
      </c>
      <c r="C65" s="46" t="s">
        <v>164</v>
      </c>
      <c r="D65" s="2" t="s">
        <v>1225</v>
      </c>
      <c r="E65" s="46" t="s">
        <v>1286</v>
      </c>
      <c r="F65" s="24" t="str">
        <f>HYPERLINK("https://mapwv.gov/flood/map/?wkid=102100&amp;x=-8893927.979674652&amp;y=4708884.395451422&amp;l=13&amp;v=2","FT")</f>
        <v>FT</v>
      </c>
      <c r="G65" s="29" t="s">
        <v>31</v>
      </c>
      <c r="H65" s="29" t="s">
        <v>24</v>
      </c>
      <c r="I65" s="46" t="s">
        <v>1337</v>
      </c>
      <c r="J65" s="22" t="s">
        <v>38</v>
      </c>
      <c r="K65" s="47" t="s">
        <v>167</v>
      </c>
      <c r="L65" s="45" t="s">
        <v>44</v>
      </c>
      <c r="M65" s="46" t="s">
        <v>40</v>
      </c>
      <c r="N65" s="3" t="s">
        <v>41</v>
      </c>
      <c r="O65" s="47" t="s">
        <v>90</v>
      </c>
      <c r="P65" s="46" t="s">
        <v>1395</v>
      </c>
      <c r="Q65" s="46" t="s">
        <v>42</v>
      </c>
      <c r="R65" s="23" t="s">
        <v>93</v>
      </c>
      <c r="S65" s="30">
        <v>206800</v>
      </c>
      <c r="T65" s="2" t="s">
        <v>43</v>
      </c>
      <c r="U65" s="31">
        <v>7.0275879999999997</v>
      </c>
      <c r="V65" s="31">
        <v>3.027587890625</v>
      </c>
      <c r="W65" s="32">
        <v>0.46165527343750001</v>
      </c>
      <c r="X65" s="33">
        <v>95470.310546875</v>
      </c>
    </row>
    <row r="66" spans="1:24" x14ac:dyDescent="0.25">
      <c r="A66" s="22" t="s">
        <v>1142</v>
      </c>
      <c r="B66" s="2" t="s">
        <v>1148</v>
      </c>
      <c r="C66" s="46" t="s">
        <v>1155</v>
      </c>
      <c r="D66" s="2" t="s">
        <v>1190</v>
      </c>
      <c r="E66" s="46" t="s">
        <v>1287</v>
      </c>
      <c r="F66" s="24" t="str">
        <f>HYPERLINK("https://mapwv.gov/flood/map/?wkid=102100&amp;x=-8887738.905639859&amp;y=4709585.850960282&amp;l=13&amp;v=2","FT")</f>
        <v>FT</v>
      </c>
      <c r="G66" s="29" t="s">
        <v>37</v>
      </c>
      <c r="H66" s="29" t="s">
        <v>24</v>
      </c>
      <c r="I66" s="46" t="s">
        <v>1308</v>
      </c>
      <c r="J66" s="22" t="s">
        <v>25</v>
      </c>
      <c r="K66" s="47" t="s">
        <v>78</v>
      </c>
      <c r="L66" s="45" t="s">
        <v>52</v>
      </c>
      <c r="M66" s="46" t="s">
        <v>46</v>
      </c>
      <c r="N66" s="3" t="s">
        <v>34</v>
      </c>
      <c r="O66" s="47" t="s">
        <v>91</v>
      </c>
      <c r="P66" s="46" t="s">
        <v>1396</v>
      </c>
      <c r="Q66" s="46" t="s">
        <v>29</v>
      </c>
      <c r="R66" s="23" t="s">
        <v>92</v>
      </c>
      <c r="S66" s="30">
        <v>204700</v>
      </c>
      <c r="T66" s="2" t="s">
        <v>30</v>
      </c>
      <c r="U66" s="31">
        <v>0</v>
      </c>
      <c r="V66" s="31">
        <v>-1</v>
      </c>
      <c r="W66" s="32">
        <v>0</v>
      </c>
      <c r="X66" s="33">
        <v>0</v>
      </c>
    </row>
    <row r="67" spans="1:24" x14ac:dyDescent="0.25">
      <c r="A67" s="22" t="s">
        <v>1143</v>
      </c>
      <c r="B67" s="2" t="s">
        <v>1148</v>
      </c>
      <c r="C67" s="46" t="s">
        <v>1157</v>
      </c>
      <c r="D67" s="2" t="s">
        <v>1226</v>
      </c>
      <c r="E67" s="46" t="s">
        <v>1288</v>
      </c>
      <c r="F67" s="24" t="str">
        <f>HYPERLINK("https://mapwv.gov/flood/map/?wkid=102100&amp;x=-8875937.719032653&amp;y=4696819.665892337&amp;l=13&amp;v=2","FT")</f>
        <v>FT</v>
      </c>
      <c r="G67" s="29" t="s">
        <v>37</v>
      </c>
      <c r="H67" s="29" t="s">
        <v>24</v>
      </c>
      <c r="I67" s="46" t="s">
        <v>1338</v>
      </c>
      <c r="J67" s="22" t="s">
        <v>25</v>
      </c>
      <c r="K67" s="47" t="s">
        <v>79</v>
      </c>
      <c r="L67" s="45" t="s">
        <v>49</v>
      </c>
      <c r="M67" s="46" t="s">
        <v>40</v>
      </c>
      <c r="N67" s="3" t="s">
        <v>41</v>
      </c>
      <c r="O67" s="47" t="s">
        <v>90</v>
      </c>
      <c r="P67" s="46" t="s">
        <v>142</v>
      </c>
      <c r="Q67" s="46" t="s">
        <v>51</v>
      </c>
      <c r="R67" s="23" t="s">
        <v>93</v>
      </c>
      <c r="S67" s="30">
        <v>203800</v>
      </c>
      <c r="T67" s="2" t="s">
        <v>43</v>
      </c>
      <c r="U67" s="31">
        <v>0</v>
      </c>
      <c r="V67" s="31">
        <v>-4</v>
      </c>
      <c r="W67" s="32">
        <v>0</v>
      </c>
      <c r="X67" s="33">
        <v>0</v>
      </c>
    </row>
    <row r="68" spans="1:24" x14ac:dyDescent="0.25">
      <c r="A68" s="22" t="s">
        <v>1144</v>
      </c>
      <c r="B68" s="2" t="s">
        <v>1148</v>
      </c>
      <c r="C68" s="46" t="s">
        <v>1157</v>
      </c>
      <c r="D68" s="2" t="s">
        <v>1227</v>
      </c>
      <c r="E68" s="46" t="s">
        <v>1289</v>
      </c>
      <c r="F68" s="24" t="str">
        <f>HYPERLINK("https://mapwv.gov/flood/map/?wkid=102100&amp;x=-8873889.85039174&amp;y=4708877.530100321&amp;l=13&amp;v=2","FT")</f>
        <v>FT</v>
      </c>
      <c r="G68" s="29" t="s">
        <v>37</v>
      </c>
      <c r="H68" s="29" t="s">
        <v>24</v>
      </c>
      <c r="I68" s="46" t="s">
        <v>1339</v>
      </c>
      <c r="J68" s="22" t="s">
        <v>38</v>
      </c>
      <c r="K68" s="47" t="s">
        <v>96</v>
      </c>
      <c r="L68" s="45" t="s">
        <v>26</v>
      </c>
      <c r="M68" s="46" t="s">
        <v>27</v>
      </c>
      <c r="N68" s="3" t="s">
        <v>87</v>
      </c>
      <c r="O68" s="47" t="s">
        <v>90</v>
      </c>
      <c r="P68" s="46" t="s">
        <v>1397</v>
      </c>
      <c r="Q68" s="46" t="s">
        <v>29</v>
      </c>
      <c r="R68" s="23" t="s">
        <v>92</v>
      </c>
      <c r="S68" s="30">
        <v>203600</v>
      </c>
      <c r="T68" s="2" t="s">
        <v>30</v>
      </c>
      <c r="U68" s="31">
        <v>6</v>
      </c>
      <c r="V68" s="31">
        <v>5</v>
      </c>
      <c r="W68" s="32">
        <v>0.14000000000000001</v>
      </c>
      <c r="X68" s="33">
        <v>28504</v>
      </c>
    </row>
    <row r="69" spans="1:24" x14ac:dyDescent="0.25">
      <c r="A69" s="22" t="s">
        <v>1145</v>
      </c>
      <c r="B69" s="2" t="s">
        <v>1148</v>
      </c>
      <c r="C69" s="46" t="s">
        <v>1170</v>
      </c>
      <c r="D69" s="2" t="s">
        <v>1228</v>
      </c>
      <c r="E69" s="46" t="s">
        <v>1290</v>
      </c>
      <c r="F69" s="24" t="str">
        <f>HYPERLINK("https://mapwv.gov/flood/map/?wkid=102100&amp;x=-8894421.83434666&amp;y=4701221.98894487&amp;l=13&amp;v=2","FT")</f>
        <v>FT</v>
      </c>
      <c r="G69" s="29" t="s">
        <v>37</v>
      </c>
      <c r="H69" s="29" t="s">
        <v>24</v>
      </c>
      <c r="I69" s="46" t="s">
        <v>1340</v>
      </c>
      <c r="J69" s="22" t="s">
        <v>25</v>
      </c>
      <c r="K69" s="47" t="s">
        <v>74</v>
      </c>
      <c r="L69" s="45" t="s">
        <v>45</v>
      </c>
      <c r="M69" s="46" t="s">
        <v>40</v>
      </c>
      <c r="N69" s="3" t="s">
        <v>41</v>
      </c>
      <c r="O69" s="47" t="s">
        <v>91</v>
      </c>
      <c r="P69" s="46" t="s">
        <v>1398</v>
      </c>
      <c r="Q69" s="46" t="s">
        <v>51</v>
      </c>
      <c r="R69" s="23" t="s">
        <v>93</v>
      </c>
      <c r="S69" s="30">
        <v>200700</v>
      </c>
      <c r="T69" s="2" t="s">
        <v>43</v>
      </c>
      <c r="U69" s="31">
        <v>0</v>
      </c>
      <c r="V69" s="31">
        <v>-4</v>
      </c>
      <c r="W69" s="32">
        <v>0</v>
      </c>
      <c r="X69" s="33">
        <v>0</v>
      </c>
    </row>
    <row r="70" spans="1:24" x14ac:dyDescent="0.25">
      <c r="A70" s="22" t="s">
        <v>1146</v>
      </c>
      <c r="B70" s="2" t="s">
        <v>1148</v>
      </c>
      <c r="C70" s="46" t="s">
        <v>164</v>
      </c>
      <c r="D70" s="2" t="s">
        <v>1229</v>
      </c>
      <c r="E70" s="46" t="s">
        <v>1291</v>
      </c>
      <c r="F70" s="24" t="str">
        <f>HYPERLINK("https://mapwv.gov/flood/map/?wkid=102100&amp;x=-8892849.644910537&amp;y=4712609.638262909&amp;l=13&amp;v=2","FT")</f>
        <v>FT</v>
      </c>
      <c r="G70" s="29" t="s">
        <v>31</v>
      </c>
      <c r="H70" s="29" t="s">
        <v>24</v>
      </c>
      <c r="I70" s="46" t="s">
        <v>1341</v>
      </c>
      <c r="J70" s="22" t="s">
        <v>38</v>
      </c>
      <c r="K70" s="47" t="s">
        <v>173</v>
      </c>
      <c r="L70" s="45" t="s">
        <v>56</v>
      </c>
      <c r="M70" s="46" t="s">
        <v>46</v>
      </c>
      <c r="N70" s="3" t="s">
        <v>34</v>
      </c>
      <c r="O70" s="47" t="s">
        <v>91</v>
      </c>
      <c r="P70" s="46" t="s">
        <v>1399</v>
      </c>
      <c r="Q70" s="46" t="s">
        <v>29</v>
      </c>
      <c r="R70" s="23" t="s">
        <v>92</v>
      </c>
      <c r="S70" s="30">
        <v>200300</v>
      </c>
      <c r="T70" s="2" t="s">
        <v>43</v>
      </c>
      <c r="U70" s="31">
        <v>0</v>
      </c>
      <c r="V70" s="31">
        <v>-1</v>
      </c>
      <c r="W70" s="32">
        <v>0</v>
      </c>
      <c r="X70" s="33">
        <v>0</v>
      </c>
    </row>
  </sheetData>
  <conditionalFormatting sqref="A7:A70">
    <cfRule type="duplicateValues" dxfId="3" priority="1"/>
  </conditionalFormatting>
  <hyperlinks>
    <hyperlink ref="J3" r:id="rId1" xr:uid="{86CF1AB2-99CD-45A5-9E9D-524183138DBF}"/>
    <hyperlink ref="M3" r:id="rId2" xr:uid="{F4D69FF9-43AB-4DED-AA69-A1A1928A56D0}"/>
    <hyperlink ref="Q3" r:id="rId3" xr:uid="{A99EC9FD-685C-4A65-9FE2-D10D8C4AB0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834B-3CA7-44EB-8510-153E94A2231D}">
  <dimension ref="A1:X36"/>
  <sheetViews>
    <sheetView workbookViewId="0">
      <pane ySplit="6" topLeftCell="A7" activePane="bottomLeft" state="frozen"/>
      <selection pane="bottomLeft" activeCell="X7" sqref="X7"/>
    </sheetView>
  </sheetViews>
  <sheetFormatPr defaultRowHeight="15" x14ac:dyDescent="0.25"/>
  <cols>
    <col min="1" max="1" width="33.85546875" bestFit="1" customWidth="1"/>
    <col min="2" max="2" width="11" customWidth="1"/>
    <col min="7" max="7" width="10.7109375" customWidth="1"/>
    <col min="13" max="14" width="10.5703125" customWidth="1"/>
    <col min="17" max="17" width="10.285156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11">
        <v>44574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1409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60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1410</v>
      </c>
      <c r="B7" s="2" t="s">
        <v>1440</v>
      </c>
      <c r="C7" s="2" t="s">
        <v>1157</v>
      </c>
      <c r="D7" s="46" t="s">
        <v>1447</v>
      </c>
      <c r="E7" s="2" t="s">
        <v>1477</v>
      </c>
      <c r="F7" s="24" t="str">
        <f>HYPERLINK("https://mapwv.gov/flood/map/?wkid=102100&amp;x=-8871371.490368271&amp;y=4733085.7499361755&amp;l=13&amp;v=2","FT")</f>
        <v>FT</v>
      </c>
      <c r="G7" s="29" t="s">
        <v>31</v>
      </c>
      <c r="H7" s="29" t="s">
        <v>24</v>
      </c>
      <c r="I7" s="2" t="s">
        <v>1507</v>
      </c>
      <c r="J7" s="22" t="s">
        <v>25</v>
      </c>
      <c r="K7" s="47" t="s">
        <v>174</v>
      </c>
      <c r="L7" s="45" t="s">
        <v>36</v>
      </c>
      <c r="M7" s="46" t="s">
        <v>33</v>
      </c>
      <c r="N7" s="3" t="s">
        <v>89</v>
      </c>
      <c r="O7" s="47" t="s">
        <v>91</v>
      </c>
      <c r="P7" s="46" t="s">
        <v>1534</v>
      </c>
      <c r="Q7" s="46" t="s">
        <v>29</v>
      </c>
      <c r="R7" s="23" t="s">
        <v>92</v>
      </c>
      <c r="S7" s="30">
        <v>3661300</v>
      </c>
      <c r="T7" s="2" t="s">
        <v>43</v>
      </c>
      <c r="U7" s="31">
        <v>3.9063720000000002</v>
      </c>
      <c r="V7" s="31">
        <v>2.9063720703125</v>
      </c>
      <c r="W7" s="32">
        <v>0.16719116210937501</v>
      </c>
      <c r="X7" s="33">
        <v>612137.00183105399</v>
      </c>
    </row>
    <row r="8" spans="1:24" x14ac:dyDescent="0.25">
      <c r="A8" s="22" t="s">
        <v>1411</v>
      </c>
      <c r="B8" s="2" t="s">
        <v>1441</v>
      </c>
      <c r="C8" s="2" t="s">
        <v>1157</v>
      </c>
      <c r="D8" s="46" t="s">
        <v>1448</v>
      </c>
      <c r="E8" s="2" t="s">
        <v>1478</v>
      </c>
      <c r="F8" s="24" t="str">
        <f>HYPERLINK("https://mapwv.gov/flood/map/?wkid=102100&amp;x=-8869967.705614416&amp;y=4735566.693197648&amp;l=13&amp;v=2","FT")</f>
        <v>FT</v>
      </c>
      <c r="G8" s="29" t="s">
        <v>31</v>
      </c>
      <c r="H8" s="29" t="s">
        <v>24</v>
      </c>
      <c r="I8" s="2" t="s">
        <v>1508</v>
      </c>
      <c r="J8" s="22" t="s">
        <v>38</v>
      </c>
      <c r="K8" s="47" t="s">
        <v>107</v>
      </c>
      <c r="L8" s="45"/>
      <c r="M8" s="46" t="s">
        <v>63</v>
      </c>
      <c r="N8" s="3" t="s">
        <v>87</v>
      </c>
      <c r="O8" s="47" t="s">
        <v>90</v>
      </c>
      <c r="P8" s="46" t="s">
        <v>1535</v>
      </c>
      <c r="Q8" s="46" t="s">
        <v>29</v>
      </c>
      <c r="R8" s="23" t="s">
        <v>92</v>
      </c>
      <c r="S8" s="30">
        <v>1929780</v>
      </c>
      <c r="T8" s="2" t="s">
        <v>30</v>
      </c>
      <c r="U8" s="31">
        <v>3.8344727000000001</v>
      </c>
      <c r="V8" s="31">
        <v>2.83447265625</v>
      </c>
      <c r="W8" s="32">
        <v>0.10834472656249999</v>
      </c>
      <c r="X8" s="33">
        <v>209081.48642578101</v>
      </c>
    </row>
    <row r="9" spans="1:24" x14ac:dyDescent="0.25">
      <c r="A9" s="22" t="s">
        <v>1412</v>
      </c>
      <c r="B9" s="2" t="s">
        <v>1441</v>
      </c>
      <c r="C9" s="2" t="s">
        <v>1444</v>
      </c>
      <c r="D9" s="46" t="s">
        <v>1449</v>
      </c>
      <c r="E9" s="2" t="s">
        <v>1479</v>
      </c>
      <c r="F9" s="24" t="str">
        <f>HYPERLINK("https://mapwv.gov/flood/map/?wkid=102100&amp;x=-8869392.01330556&amp;y=4735939.062177896&amp;l=13&amp;v=2","FT")</f>
        <v>FT</v>
      </c>
      <c r="G9" s="29" t="s">
        <v>31</v>
      </c>
      <c r="H9" s="29" t="s">
        <v>24</v>
      </c>
      <c r="I9" s="2" t="s">
        <v>165</v>
      </c>
      <c r="J9" s="22" t="s">
        <v>25</v>
      </c>
      <c r="K9" s="47" t="s">
        <v>114</v>
      </c>
      <c r="L9" s="45" t="s">
        <v>56</v>
      </c>
      <c r="M9" s="46" t="s">
        <v>46</v>
      </c>
      <c r="N9" s="3" t="s">
        <v>34</v>
      </c>
      <c r="O9" s="47" t="s">
        <v>90</v>
      </c>
      <c r="P9" s="46" t="s">
        <v>1536</v>
      </c>
      <c r="Q9" s="46" t="s">
        <v>29</v>
      </c>
      <c r="R9" s="23" t="s">
        <v>92</v>
      </c>
      <c r="S9" s="30">
        <v>960400</v>
      </c>
      <c r="T9" s="2" t="s">
        <v>43</v>
      </c>
      <c r="U9" s="31">
        <v>1.0689697</v>
      </c>
      <c r="V9" s="31">
        <v>6.89697265625E-2</v>
      </c>
      <c r="W9" s="32">
        <v>1.5517578125000001E-2</v>
      </c>
      <c r="X9" s="33">
        <v>14903.08203125</v>
      </c>
    </row>
    <row r="10" spans="1:24" x14ac:dyDescent="0.25">
      <c r="A10" s="22" t="s">
        <v>1413</v>
      </c>
      <c r="B10" s="2" t="s">
        <v>1441</v>
      </c>
      <c r="C10" s="2" t="s">
        <v>1157</v>
      </c>
      <c r="D10" s="46" t="s">
        <v>1450</v>
      </c>
      <c r="E10" s="2" t="s">
        <v>1480</v>
      </c>
      <c r="F10" s="24" t="str">
        <f>HYPERLINK("https://mapwv.gov/flood/map/?wkid=102100&amp;x=-8869910.271770297&amp;y=4735767.487508457&amp;l=13&amp;v=2","FT")</f>
        <v>FT</v>
      </c>
      <c r="G10" s="29" t="s">
        <v>31</v>
      </c>
      <c r="H10" s="29" t="s">
        <v>146</v>
      </c>
      <c r="I10" s="2" t="s">
        <v>181</v>
      </c>
      <c r="J10" s="22" t="s">
        <v>25</v>
      </c>
      <c r="K10" s="47" t="s">
        <v>97</v>
      </c>
      <c r="L10" s="45" t="s">
        <v>44</v>
      </c>
      <c r="M10" s="46" t="s">
        <v>57</v>
      </c>
      <c r="N10" s="3" t="s">
        <v>88</v>
      </c>
      <c r="O10" s="47" t="s">
        <v>90</v>
      </c>
      <c r="P10" s="46" t="s">
        <v>1537</v>
      </c>
      <c r="Q10" s="46" t="s">
        <v>29</v>
      </c>
      <c r="R10" s="23" t="s">
        <v>92</v>
      </c>
      <c r="S10" s="30">
        <v>926400</v>
      </c>
      <c r="T10" s="2" t="s">
        <v>43</v>
      </c>
      <c r="U10" s="31">
        <v>4.1568604000000002</v>
      </c>
      <c r="V10" s="31">
        <v>3.1568603515625</v>
      </c>
      <c r="W10" s="32">
        <v>0.111568603515625</v>
      </c>
      <c r="X10" s="33">
        <v>103357.154296875</v>
      </c>
    </row>
    <row r="11" spans="1:24" x14ac:dyDescent="0.25">
      <c r="A11" s="22" t="s">
        <v>1414</v>
      </c>
      <c r="B11" s="2" t="s">
        <v>1440</v>
      </c>
      <c r="C11" s="2" t="s">
        <v>1445</v>
      </c>
      <c r="D11" s="46" t="s">
        <v>1451</v>
      </c>
      <c r="E11" s="2" t="s">
        <v>1481</v>
      </c>
      <c r="F11" s="24" t="str">
        <f>HYPERLINK("https://mapwv.gov/flood/map/?wkid=102100&amp;x=-8869225.041416453&amp;y=4742499.733142691&amp;l=13&amp;v=2","FT")</f>
        <v>FT</v>
      </c>
      <c r="G11" s="29" t="s">
        <v>31</v>
      </c>
      <c r="H11" s="29" t="s">
        <v>24</v>
      </c>
      <c r="I11" s="2" t="s">
        <v>1509</v>
      </c>
      <c r="J11" s="22" t="s">
        <v>25</v>
      </c>
      <c r="K11" s="47" t="s">
        <v>82</v>
      </c>
      <c r="L11" s="45" t="s">
        <v>39</v>
      </c>
      <c r="M11" s="46" t="s">
        <v>40</v>
      </c>
      <c r="N11" s="3" t="s">
        <v>41</v>
      </c>
      <c r="O11" s="47" t="s">
        <v>90</v>
      </c>
      <c r="P11" s="46" t="s">
        <v>1538</v>
      </c>
      <c r="Q11" s="46" t="s">
        <v>51</v>
      </c>
      <c r="R11" s="23" t="s">
        <v>93</v>
      </c>
      <c r="S11" s="30">
        <v>684800</v>
      </c>
      <c r="T11" s="2" t="s">
        <v>30</v>
      </c>
      <c r="U11" s="31">
        <v>0</v>
      </c>
      <c r="V11" s="31">
        <v>-4</v>
      </c>
      <c r="W11" s="32">
        <v>0</v>
      </c>
      <c r="X11" s="33">
        <v>0</v>
      </c>
    </row>
    <row r="12" spans="1:24" x14ac:dyDescent="0.25">
      <c r="A12" s="22" t="s">
        <v>1415</v>
      </c>
      <c r="B12" s="2" t="s">
        <v>1440</v>
      </c>
      <c r="C12" s="2" t="s">
        <v>1444</v>
      </c>
      <c r="D12" s="46" t="s">
        <v>1452</v>
      </c>
      <c r="E12" s="2" t="s">
        <v>1482</v>
      </c>
      <c r="F12" s="24" t="str">
        <f>HYPERLINK("https://mapwv.gov/flood/map/?wkid=102100&amp;x=-8868030.547769321&amp;y=4734566.33146286&amp;l=13&amp;v=2","FT")</f>
        <v>FT</v>
      </c>
      <c r="G12" s="29" t="s">
        <v>31</v>
      </c>
      <c r="H12" s="29" t="s">
        <v>146</v>
      </c>
      <c r="I12" s="2" t="s">
        <v>1510</v>
      </c>
      <c r="J12" s="22" t="s">
        <v>25</v>
      </c>
      <c r="K12" s="47" t="s">
        <v>168</v>
      </c>
      <c r="L12" s="45" t="s">
        <v>26</v>
      </c>
      <c r="M12" s="46" t="s">
        <v>27</v>
      </c>
      <c r="N12" s="3" t="s">
        <v>87</v>
      </c>
      <c r="O12" s="47" t="s">
        <v>90</v>
      </c>
      <c r="P12" s="46" t="s">
        <v>1539</v>
      </c>
      <c r="Q12" s="46" t="s">
        <v>29</v>
      </c>
      <c r="R12" s="23" t="s">
        <v>92</v>
      </c>
      <c r="S12" s="30">
        <v>656000</v>
      </c>
      <c r="T12" s="2" t="s">
        <v>43</v>
      </c>
      <c r="U12" s="31">
        <v>1.2514647999999999</v>
      </c>
      <c r="V12" s="31">
        <v>0.25146484375</v>
      </c>
      <c r="W12" s="32">
        <v>1.25732421875E-2</v>
      </c>
      <c r="X12" s="33">
        <v>8248.046875</v>
      </c>
    </row>
    <row r="13" spans="1:24" x14ac:dyDescent="0.25">
      <c r="A13" s="22" t="s">
        <v>1416</v>
      </c>
      <c r="B13" s="2" t="s">
        <v>1442</v>
      </c>
      <c r="C13" s="2" t="s">
        <v>1446</v>
      </c>
      <c r="D13" s="46" t="s">
        <v>1453</v>
      </c>
      <c r="E13" s="2" t="s">
        <v>1483</v>
      </c>
      <c r="F13" s="24" t="str">
        <f>HYPERLINK("https://mapwv.gov/flood/map/?wkid=102100&amp;x=-8863705.957206663&amp;y=4732911.716727877&amp;l=13&amp;v=2","FT")</f>
        <v>FT</v>
      </c>
      <c r="G13" s="29" t="s">
        <v>119</v>
      </c>
      <c r="H13" s="29" t="s">
        <v>24</v>
      </c>
      <c r="I13" s="2" t="s">
        <v>1511</v>
      </c>
      <c r="J13" s="22" t="s">
        <v>38</v>
      </c>
      <c r="K13" s="47" t="s">
        <v>120</v>
      </c>
      <c r="L13" s="45" t="s">
        <v>36</v>
      </c>
      <c r="M13" s="46" t="s">
        <v>33</v>
      </c>
      <c r="N13" s="3" t="s">
        <v>89</v>
      </c>
      <c r="O13" s="47" t="s">
        <v>91</v>
      </c>
      <c r="P13" s="46" t="s">
        <v>1540</v>
      </c>
      <c r="Q13" s="46" t="s">
        <v>29</v>
      </c>
      <c r="R13" s="23" t="s">
        <v>92</v>
      </c>
      <c r="S13" s="30">
        <v>635900</v>
      </c>
      <c r="T13" s="2" t="s">
        <v>30</v>
      </c>
      <c r="U13" s="31">
        <v>3.2213601999999999</v>
      </c>
      <c r="V13" s="31">
        <v>2.2213602066039999</v>
      </c>
      <c r="W13" s="32">
        <v>0.14664080619812001</v>
      </c>
      <c r="X13" s="33">
        <v>93248.888661384495</v>
      </c>
    </row>
    <row r="14" spans="1:24" x14ac:dyDescent="0.25">
      <c r="A14" s="22" t="s">
        <v>1417</v>
      </c>
      <c r="B14" s="2" t="s">
        <v>1441</v>
      </c>
      <c r="C14" s="2" t="s">
        <v>1157</v>
      </c>
      <c r="D14" s="46" t="s">
        <v>1454</v>
      </c>
      <c r="E14" s="2" t="s">
        <v>1484</v>
      </c>
      <c r="F14" s="24" t="str">
        <f>HYPERLINK("https://mapwv.gov/flood/map/?wkid=102100&amp;x=-8869776.130002782&amp;y=4735247.389722785&amp;l=13&amp;v=2","FT")</f>
        <v>FT</v>
      </c>
      <c r="G14" s="29" t="s">
        <v>31</v>
      </c>
      <c r="H14" s="29" t="s">
        <v>146</v>
      </c>
      <c r="I14" s="2" t="s">
        <v>1512</v>
      </c>
      <c r="J14" s="22" t="s">
        <v>38</v>
      </c>
      <c r="K14" s="47" t="s">
        <v>130</v>
      </c>
      <c r="L14" s="45" t="s">
        <v>26</v>
      </c>
      <c r="M14" s="46" t="s">
        <v>40</v>
      </c>
      <c r="N14" s="3" t="s">
        <v>41</v>
      </c>
      <c r="O14" s="47" t="s">
        <v>90</v>
      </c>
      <c r="P14" s="46" t="s">
        <v>1541</v>
      </c>
      <c r="Q14" s="46" t="s">
        <v>29</v>
      </c>
      <c r="R14" s="23" t="s">
        <v>92</v>
      </c>
      <c r="S14" s="30">
        <v>572200</v>
      </c>
      <c r="T14" s="2" t="s">
        <v>43</v>
      </c>
      <c r="U14" s="31">
        <v>4.4992675999999996</v>
      </c>
      <c r="V14" s="31">
        <v>3.499267578125</v>
      </c>
      <c r="W14" s="32">
        <v>0.43494873046874999</v>
      </c>
      <c r="X14" s="33">
        <v>248877.66357421799</v>
      </c>
    </row>
    <row r="15" spans="1:24" x14ac:dyDescent="0.25">
      <c r="A15" s="22" t="s">
        <v>1418</v>
      </c>
      <c r="B15" s="2" t="s">
        <v>1441</v>
      </c>
      <c r="C15" s="2" t="s">
        <v>1444</v>
      </c>
      <c r="D15" s="46" t="s">
        <v>1455</v>
      </c>
      <c r="E15" s="2" t="s">
        <v>1485</v>
      </c>
      <c r="F15" s="24" t="str">
        <f>HYPERLINK("https://mapwv.gov/flood/map/?wkid=102100&amp;x=-8869457.854331579&amp;y=4735875.273517716&amp;l=13&amp;v=2","FT")</f>
        <v>FT</v>
      </c>
      <c r="G15" s="29" t="s">
        <v>31</v>
      </c>
      <c r="H15" s="29" t="s">
        <v>24</v>
      </c>
      <c r="I15" s="2" t="s">
        <v>1513</v>
      </c>
      <c r="J15" s="22" t="s">
        <v>25</v>
      </c>
      <c r="K15" s="47" t="s">
        <v>103</v>
      </c>
      <c r="L15" s="45" t="s">
        <v>26</v>
      </c>
      <c r="M15" s="46" t="s">
        <v>46</v>
      </c>
      <c r="N15" s="3" t="s">
        <v>34</v>
      </c>
      <c r="O15" s="47" t="s">
        <v>90</v>
      </c>
      <c r="P15" s="46" t="s">
        <v>1542</v>
      </c>
      <c r="Q15" s="46" t="s">
        <v>29</v>
      </c>
      <c r="R15" s="23" t="s">
        <v>92</v>
      </c>
      <c r="S15" s="30">
        <v>466400</v>
      </c>
      <c r="T15" s="2" t="s">
        <v>43</v>
      </c>
      <c r="U15" s="31">
        <v>1</v>
      </c>
      <c r="V15" s="31">
        <v>0</v>
      </c>
      <c r="W15" s="32">
        <v>0.01</v>
      </c>
      <c r="X15" s="33">
        <v>4664</v>
      </c>
    </row>
    <row r="16" spans="1:24" x14ac:dyDescent="0.25">
      <c r="A16" s="22" t="s">
        <v>1419</v>
      </c>
      <c r="B16" s="2" t="s">
        <v>1441</v>
      </c>
      <c r="C16" s="2" t="s">
        <v>1157</v>
      </c>
      <c r="D16" s="46" t="s">
        <v>1456</v>
      </c>
      <c r="E16" s="2" t="s">
        <v>1486</v>
      </c>
      <c r="F16" s="24" t="str">
        <f>HYPERLINK("https://mapwv.gov/flood/map/?wkid=102100&amp;x=-8870000.908544976&amp;y=4735781.520637399&amp;l=13&amp;v=2","FT")</f>
        <v>FT</v>
      </c>
      <c r="G16" s="29" t="s">
        <v>31</v>
      </c>
      <c r="H16" s="29" t="s">
        <v>24</v>
      </c>
      <c r="I16" s="2" t="s">
        <v>1514</v>
      </c>
      <c r="J16" s="22" t="s">
        <v>38</v>
      </c>
      <c r="K16" s="47" t="s">
        <v>80</v>
      </c>
      <c r="L16" s="45" t="s">
        <v>47</v>
      </c>
      <c r="M16" s="46" t="s">
        <v>157</v>
      </c>
      <c r="N16" s="3" t="s">
        <v>34</v>
      </c>
      <c r="O16" s="47" t="s">
        <v>90</v>
      </c>
      <c r="P16" s="46" t="s">
        <v>1543</v>
      </c>
      <c r="Q16" s="46" t="s">
        <v>29</v>
      </c>
      <c r="R16" s="23" t="s">
        <v>92</v>
      </c>
      <c r="S16" s="30">
        <v>463300</v>
      </c>
      <c r="T16" s="2" t="s">
        <v>43</v>
      </c>
      <c r="U16" s="31">
        <v>4.7911377000000002</v>
      </c>
      <c r="V16" s="31">
        <v>3.7911376953125</v>
      </c>
      <c r="W16" s="32">
        <v>0.12791137695312402</v>
      </c>
      <c r="X16" s="33">
        <v>59261.340942382798</v>
      </c>
    </row>
    <row r="17" spans="1:24" x14ac:dyDescent="0.25">
      <c r="A17" s="22" t="s">
        <v>1420</v>
      </c>
      <c r="B17" s="2" t="s">
        <v>1443</v>
      </c>
      <c r="C17" s="2" t="s">
        <v>1446</v>
      </c>
      <c r="D17" s="46" t="s">
        <v>1457</v>
      </c>
      <c r="E17" s="2" t="s">
        <v>1487</v>
      </c>
      <c r="F17" s="24" t="str">
        <f>HYPERLINK("https://mapwv.gov/flood/map/?wkid=102100&amp;x=-8845606.490140444&amp;y=4740122.322176974&amp;l=13&amp;v=2","FT")</f>
        <v>FT</v>
      </c>
      <c r="G17" s="29" t="s">
        <v>31</v>
      </c>
      <c r="H17" s="29" t="s">
        <v>24</v>
      </c>
      <c r="I17" s="2" t="s">
        <v>165</v>
      </c>
      <c r="J17" s="22" t="s">
        <v>25</v>
      </c>
      <c r="K17" s="47" t="s">
        <v>121</v>
      </c>
      <c r="L17" s="45" t="s">
        <v>52</v>
      </c>
      <c r="M17" s="46" t="s">
        <v>46</v>
      </c>
      <c r="N17" s="3" t="s">
        <v>34</v>
      </c>
      <c r="O17" s="47" t="s">
        <v>90</v>
      </c>
      <c r="P17" s="46" t="s">
        <v>1544</v>
      </c>
      <c r="Q17" s="46" t="s">
        <v>29</v>
      </c>
      <c r="R17" s="23" t="s">
        <v>92</v>
      </c>
      <c r="S17" s="30">
        <v>458300</v>
      </c>
      <c r="T17" s="2" t="s">
        <v>43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25">
      <c r="A18" s="22" t="s">
        <v>1421</v>
      </c>
      <c r="B18" s="2" t="s">
        <v>1441</v>
      </c>
      <c r="C18" s="2" t="s">
        <v>1157</v>
      </c>
      <c r="D18" s="46" t="s">
        <v>1458</v>
      </c>
      <c r="E18" s="2" t="s">
        <v>1488</v>
      </c>
      <c r="F18" s="24" t="str">
        <f>HYPERLINK("https://mapwv.gov/flood/map/?wkid=102100&amp;x=-8869989.934892213&amp;y=4735285.178383732&amp;l=13&amp;v=2","FT")</f>
        <v>FT</v>
      </c>
      <c r="G18" s="29" t="s">
        <v>31</v>
      </c>
      <c r="H18" s="29" t="s">
        <v>24</v>
      </c>
      <c r="I18" s="2" t="s">
        <v>165</v>
      </c>
      <c r="J18" s="22" t="s">
        <v>25</v>
      </c>
      <c r="K18" s="47" t="s">
        <v>111</v>
      </c>
      <c r="L18" s="45" t="s">
        <v>26</v>
      </c>
      <c r="M18" s="46" t="s">
        <v>46</v>
      </c>
      <c r="N18" s="3" t="s">
        <v>34</v>
      </c>
      <c r="O18" s="47" t="s">
        <v>90</v>
      </c>
      <c r="P18" s="46" t="s">
        <v>1545</v>
      </c>
      <c r="Q18" s="46" t="s">
        <v>29</v>
      </c>
      <c r="R18" s="23" t="s">
        <v>92</v>
      </c>
      <c r="S18" s="30">
        <v>454500</v>
      </c>
      <c r="T18" s="2" t="s">
        <v>43</v>
      </c>
      <c r="U18" s="31">
        <v>3.0111083999999999</v>
      </c>
      <c r="V18" s="31">
        <v>2.0111083984375</v>
      </c>
      <c r="W18" s="32">
        <v>0.14022216796875001</v>
      </c>
      <c r="X18" s="33">
        <v>63730.975341796802</v>
      </c>
    </row>
    <row r="19" spans="1:24" x14ac:dyDescent="0.25">
      <c r="A19" s="22" t="s">
        <v>1422</v>
      </c>
      <c r="B19" s="2" t="s">
        <v>1441</v>
      </c>
      <c r="C19" s="2" t="s">
        <v>1157</v>
      </c>
      <c r="D19" s="46" t="s">
        <v>1459</v>
      </c>
      <c r="E19" s="2" t="s">
        <v>1489</v>
      </c>
      <c r="F19" s="24" t="str">
        <f>HYPERLINK("https://mapwv.gov/flood/map/?wkid=102100&amp;x=-8870103.70675139&amp;y=4735645.543604886&amp;l=13&amp;v=2","FT")</f>
        <v>FT</v>
      </c>
      <c r="G19" s="29" t="s">
        <v>31</v>
      </c>
      <c r="H19" s="29" t="s">
        <v>24</v>
      </c>
      <c r="I19" s="2" t="s">
        <v>1515</v>
      </c>
      <c r="J19" s="22" t="s">
        <v>25</v>
      </c>
      <c r="K19" s="47" t="s">
        <v>73</v>
      </c>
      <c r="L19" s="45" t="s">
        <v>26</v>
      </c>
      <c r="M19" s="46" t="s">
        <v>63</v>
      </c>
      <c r="N19" s="3" t="s">
        <v>87</v>
      </c>
      <c r="O19" s="47" t="s">
        <v>90</v>
      </c>
      <c r="P19" s="46" t="s">
        <v>1546</v>
      </c>
      <c r="Q19" s="46" t="s">
        <v>29</v>
      </c>
      <c r="R19" s="23" t="s">
        <v>92</v>
      </c>
      <c r="S19" s="30">
        <v>419300</v>
      </c>
      <c r="T19" s="2" t="s">
        <v>43</v>
      </c>
      <c r="U19" s="31">
        <v>2.7465819999999998E-2</v>
      </c>
      <c r="V19" s="31">
        <v>-0.9725341796875</v>
      </c>
      <c r="W19" s="32">
        <v>0</v>
      </c>
      <c r="X19" s="33">
        <v>0</v>
      </c>
    </row>
    <row r="20" spans="1:24" x14ac:dyDescent="0.25">
      <c r="A20" s="22" t="s">
        <v>1423</v>
      </c>
      <c r="B20" s="2" t="s">
        <v>1441</v>
      </c>
      <c r="C20" s="2" t="s">
        <v>1157</v>
      </c>
      <c r="D20" s="46" t="s">
        <v>1460</v>
      </c>
      <c r="E20" s="2" t="s">
        <v>1490</v>
      </c>
      <c r="F20" s="24" t="str">
        <f>HYPERLINK("https://mapwv.gov/flood/map/?wkid=102100&amp;x=-8870007.992583418&amp;y=4735849.102750409&amp;l=13&amp;v=2","FT")</f>
        <v>FT</v>
      </c>
      <c r="G20" s="29" t="s">
        <v>31</v>
      </c>
      <c r="H20" s="29" t="s">
        <v>146</v>
      </c>
      <c r="I20" s="2" t="s">
        <v>1516</v>
      </c>
      <c r="J20" s="22" t="s">
        <v>25</v>
      </c>
      <c r="K20" s="47" t="s">
        <v>125</v>
      </c>
      <c r="L20" s="45" t="s">
        <v>44</v>
      </c>
      <c r="M20" s="46" t="s">
        <v>57</v>
      </c>
      <c r="N20" s="3" t="s">
        <v>88</v>
      </c>
      <c r="O20" s="47" t="s">
        <v>90</v>
      </c>
      <c r="P20" s="46" t="s">
        <v>1547</v>
      </c>
      <c r="Q20" s="46" t="s">
        <v>29</v>
      </c>
      <c r="R20" s="23" t="s">
        <v>92</v>
      </c>
      <c r="S20" s="30">
        <v>417600</v>
      </c>
      <c r="T20" s="2" t="s">
        <v>43</v>
      </c>
      <c r="U20" s="31">
        <v>4.1645510000000003</v>
      </c>
      <c r="V20" s="31">
        <v>3.16455078125</v>
      </c>
      <c r="W20" s="32">
        <v>0.1116455078125</v>
      </c>
      <c r="X20" s="33">
        <v>46623.1640625</v>
      </c>
    </row>
    <row r="21" spans="1:24" x14ac:dyDescent="0.25">
      <c r="A21" s="22" t="s">
        <v>1424</v>
      </c>
      <c r="B21" s="2" t="s">
        <v>1441</v>
      </c>
      <c r="C21" s="2" t="s">
        <v>1157</v>
      </c>
      <c r="D21" s="46" t="s">
        <v>1461</v>
      </c>
      <c r="E21" s="2" t="s">
        <v>1491</v>
      </c>
      <c r="F21" s="24" t="str">
        <f>HYPERLINK("https://mapwv.gov/flood/map/?wkid=102100&amp;x=-8869998.268157974&amp;y=4735621.651528785&amp;l=13&amp;v=2","FT")</f>
        <v>FT</v>
      </c>
      <c r="G21" s="29" t="s">
        <v>31</v>
      </c>
      <c r="H21" s="29" t="s">
        <v>24</v>
      </c>
      <c r="I21" s="2" t="s">
        <v>1517</v>
      </c>
      <c r="J21" s="22" t="s">
        <v>38</v>
      </c>
      <c r="K21" s="47" t="s">
        <v>99</v>
      </c>
      <c r="L21" s="45" t="s">
        <v>44</v>
      </c>
      <c r="M21" s="46" t="s">
        <v>63</v>
      </c>
      <c r="N21" s="3" t="s">
        <v>87</v>
      </c>
      <c r="O21" s="47" t="s">
        <v>91</v>
      </c>
      <c r="P21" s="46" t="s">
        <v>1548</v>
      </c>
      <c r="Q21" s="46" t="s">
        <v>29</v>
      </c>
      <c r="R21" s="23" t="s">
        <v>92</v>
      </c>
      <c r="S21" s="30">
        <v>405600</v>
      </c>
      <c r="T21" s="2" t="s">
        <v>43</v>
      </c>
      <c r="U21" s="31">
        <v>4.7374267999999997</v>
      </c>
      <c r="V21" s="31">
        <v>3.7374267578125</v>
      </c>
      <c r="W21" s="32">
        <v>0.117374267578125</v>
      </c>
      <c r="X21" s="33">
        <v>47607.0029296875</v>
      </c>
    </row>
    <row r="22" spans="1:24" x14ac:dyDescent="0.25">
      <c r="A22" s="22" t="s">
        <v>1425</v>
      </c>
      <c r="B22" s="2" t="s">
        <v>1440</v>
      </c>
      <c r="C22" s="2" t="s">
        <v>1446</v>
      </c>
      <c r="D22" s="46" t="s">
        <v>1462</v>
      </c>
      <c r="E22" s="2" t="s">
        <v>1492</v>
      </c>
      <c r="F22" s="24" t="str">
        <f>HYPERLINK("https://mapwv.gov/flood/map/?wkid=102100&amp;x=-8843642.921968801&amp;y=4726744.390065825&amp;l=13&amp;v=2","FT")</f>
        <v>FT</v>
      </c>
      <c r="G22" s="29" t="s">
        <v>37</v>
      </c>
      <c r="H22" s="29" t="s">
        <v>24</v>
      </c>
      <c r="I22" s="2" t="s">
        <v>1518</v>
      </c>
      <c r="J22" s="22" t="s">
        <v>35</v>
      </c>
      <c r="K22" s="47" t="s">
        <v>75</v>
      </c>
      <c r="L22" s="45"/>
      <c r="M22" s="46" t="s">
        <v>46</v>
      </c>
      <c r="N22" s="3" t="s">
        <v>34</v>
      </c>
      <c r="O22" s="47" t="s">
        <v>90</v>
      </c>
      <c r="P22" s="46" t="s">
        <v>1549</v>
      </c>
      <c r="Q22" s="46" t="s">
        <v>29</v>
      </c>
      <c r="R22" s="23" t="s">
        <v>92</v>
      </c>
      <c r="S22" s="30">
        <v>399869</v>
      </c>
      <c r="T22" s="2" t="s">
        <v>94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25">
      <c r="A23" s="22" t="s">
        <v>1426</v>
      </c>
      <c r="B23" s="2" t="s">
        <v>1441</v>
      </c>
      <c r="C23" s="2" t="s">
        <v>1157</v>
      </c>
      <c r="D23" s="46" t="s">
        <v>1463</v>
      </c>
      <c r="E23" s="2" t="s">
        <v>1493</v>
      </c>
      <c r="F23" s="24" t="str">
        <f>HYPERLINK("https://mapwv.gov/flood/map/?wkid=102100&amp;x=-8870011.78022909&amp;y=4735673.893841254&amp;l=13&amp;v=2","FT")</f>
        <v>FT</v>
      </c>
      <c r="G23" s="29" t="s">
        <v>31</v>
      </c>
      <c r="H23" s="29" t="s">
        <v>24</v>
      </c>
      <c r="I23" s="2" t="s">
        <v>165</v>
      </c>
      <c r="J23" s="22" t="s">
        <v>38</v>
      </c>
      <c r="K23" s="47" t="s">
        <v>711</v>
      </c>
      <c r="L23" s="45" t="s">
        <v>36</v>
      </c>
      <c r="M23" s="46" t="s">
        <v>46</v>
      </c>
      <c r="N23" s="3" t="s">
        <v>34</v>
      </c>
      <c r="O23" s="47" t="s">
        <v>90</v>
      </c>
      <c r="P23" s="46" t="s">
        <v>1550</v>
      </c>
      <c r="Q23" s="46" t="s">
        <v>29</v>
      </c>
      <c r="R23" s="23" t="s">
        <v>92</v>
      </c>
      <c r="S23" s="30">
        <v>370400</v>
      </c>
      <c r="T23" s="2" t="s">
        <v>43</v>
      </c>
      <c r="U23" s="31">
        <v>5.0042724999999999</v>
      </c>
      <c r="V23" s="31">
        <v>4.0042724609375</v>
      </c>
      <c r="W23" s="32">
        <v>0.18008544921875</v>
      </c>
      <c r="X23" s="33">
        <v>66703.650390625</v>
      </c>
    </row>
    <row r="24" spans="1:24" x14ac:dyDescent="0.25">
      <c r="A24" s="22" t="s">
        <v>1427</v>
      </c>
      <c r="B24" s="2" t="s">
        <v>1441</v>
      </c>
      <c r="C24" s="2" t="s">
        <v>1157</v>
      </c>
      <c r="D24" s="46" t="s">
        <v>1464</v>
      </c>
      <c r="E24" s="2" t="s">
        <v>1494</v>
      </c>
      <c r="F24" s="24" t="str">
        <f>HYPERLINK("https://mapwv.gov/flood/map/?wkid=102100&amp;x=-8870013.682567867&amp;y=4735190.734606905&amp;l=13&amp;v=2","FT")</f>
        <v>FT</v>
      </c>
      <c r="G24" s="29" t="s">
        <v>31</v>
      </c>
      <c r="H24" s="29" t="s">
        <v>24</v>
      </c>
      <c r="I24" s="2" t="s">
        <v>1519</v>
      </c>
      <c r="J24" s="22" t="s">
        <v>25</v>
      </c>
      <c r="K24" s="47" t="s">
        <v>111</v>
      </c>
      <c r="L24" s="45" t="s">
        <v>26</v>
      </c>
      <c r="M24" s="46" t="s">
        <v>46</v>
      </c>
      <c r="N24" s="3" t="s">
        <v>34</v>
      </c>
      <c r="O24" s="47" t="s">
        <v>90</v>
      </c>
      <c r="P24" s="46" t="s">
        <v>1551</v>
      </c>
      <c r="Q24" s="46" t="s">
        <v>29</v>
      </c>
      <c r="R24" s="23" t="s">
        <v>92</v>
      </c>
      <c r="S24" s="30">
        <v>350400</v>
      </c>
      <c r="T24" s="2" t="s">
        <v>43</v>
      </c>
      <c r="U24" s="31">
        <v>2.4676513999999998</v>
      </c>
      <c r="V24" s="31">
        <v>1.4676513671875</v>
      </c>
      <c r="W24" s="32">
        <v>0.113382568359375</v>
      </c>
      <c r="X24" s="33">
        <v>39729.251953125</v>
      </c>
    </row>
    <row r="25" spans="1:24" x14ac:dyDescent="0.25">
      <c r="A25" s="22" t="s">
        <v>1428</v>
      </c>
      <c r="B25" s="2" t="s">
        <v>1441</v>
      </c>
      <c r="C25" s="2" t="s">
        <v>1157</v>
      </c>
      <c r="D25" s="46" t="s">
        <v>1465</v>
      </c>
      <c r="E25" s="2" t="s">
        <v>1495</v>
      </c>
      <c r="F25" s="24" t="str">
        <f>HYPERLINK("https://mapwv.gov/flood/map/?wkid=102100&amp;x=-8870056.123791652&amp;y=4735749.812581324&amp;l=13&amp;v=2","FT")</f>
        <v>FT</v>
      </c>
      <c r="G25" s="29" t="s">
        <v>31</v>
      </c>
      <c r="H25" s="29" t="s">
        <v>24</v>
      </c>
      <c r="I25" s="2" t="s">
        <v>1510</v>
      </c>
      <c r="J25" s="22" t="s">
        <v>38</v>
      </c>
      <c r="K25" s="47" t="s">
        <v>711</v>
      </c>
      <c r="L25" s="45" t="s">
        <v>26</v>
      </c>
      <c r="M25" s="46" t="s">
        <v>27</v>
      </c>
      <c r="N25" s="3" t="s">
        <v>87</v>
      </c>
      <c r="O25" s="47" t="s">
        <v>91</v>
      </c>
      <c r="P25" s="46" t="s">
        <v>1552</v>
      </c>
      <c r="Q25" s="46" t="s">
        <v>29</v>
      </c>
      <c r="R25" s="23" t="s">
        <v>92</v>
      </c>
      <c r="S25" s="30">
        <v>305200</v>
      </c>
      <c r="T25" s="2" t="s">
        <v>43</v>
      </c>
      <c r="U25" s="31">
        <v>3.1680907999999999</v>
      </c>
      <c r="V25" s="31">
        <v>2.1680908203125</v>
      </c>
      <c r="W25" s="32">
        <v>8.8404541015625004E-2</v>
      </c>
      <c r="X25" s="33">
        <v>26981.065917968699</v>
      </c>
    </row>
    <row r="26" spans="1:24" x14ac:dyDescent="0.25">
      <c r="A26" s="22" t="s">
        <v>1429</v>
      </c>
      <c r="B26" s="2" t="s">
        <v>1441</v>
      </c>
      <c r="C26" s="2" t="s">
        <v>1157</v>
      </c>
      <c r="D26" s="46" t="s">
        <v>1466</v>
      </c>
      <c r="E26" s="2" t="s">
        <v>1496</v>
      </c>
      <c r="F26" s="24" t="str">
        <f>HYPERLINK("https://mapwv.gov/flood/map/?wkid=102100&amp;x=-8869892.626183854&amp;y=4735741.4548665&amp;l=13&amp;v=2","FT")</f>
        <v>FT</v>
      </c>
      <c r="G26" s="29" t="s">
        <v>31</v>
      </c>
      <c r="H26" s="29" t="s">
        <v>146</v>
      </c>
      <c r="I26" s="2" t="s">
        <v>1520</v>
      </c>
      <c r="J26" s="22" t="s">
        <v>38</v>
      </c>
      <c r="K26" s="47" t="s">
        <v>346</v>
      </c>
      <c r="L26" s="45" t="s">
        <v>44</v>
      </c>
      <c r="M26" s="46" t="s">
        <v>57</v>
      </c>
      <c r="N26" s="3" t="s">
        <v>88</v>
      </c>
      <c r="O26" s="47" t="s">
        <v>91</v>
      </c>
      <c r="P26" s="46" t="s">
        <v>1553</v>
      </c>
      <c r="Q26" s="46" t="s">
        <v>29</v>
      </c>
      <c r="R26" s="23" t="s">
        <v>92</v>
      </c>
      <c r="S26" s="30">
        <v>300900</v>
      </c>
      <c r="T26" s="2" t="s">
        <v>43</v>
      </c>
      <c r="U26" s="31">
        <v>4.4964599999999999</v>
      </c>
      <c r="V26" s="31">
        <v>3.4964599609375</v>
      </c>
      <c r="W26" s="32">
        <v>0.114964599609375</v>
      </c>
      <c r="X26" s="33">
        <v>34592.848022460901</v>
      </c>
    </row>
    <row r="27" spans="1:24" x14ac:dyDescent="0.25">
      <c r="A27" s="22" t="s">
        <v>1430</v>
      </c>
      <c r="B27" s="2" t="s">
        <v>1440</v>
      </c>
      <c r="C27" s="2" t="s">
        <v>1446</v>
      </c>
      <c r="D27" s="46" t="s">
        <v>1467</v>
      </c>
      <c r="E27" s="2" t="s">
        <v>1497</v>
      </c>
      <c r="F27" s="24" t="str">
        <f>HYPERLINK("https://mapwv.gov/flood/map/?wkid=102100&amp;x=-8844277.700770939&amp;y=4740040.165297424&amp;l=13&amp;v=2","FT")</f>
        <v>FT</v>
      </c>
      <c r="G27" s="29" t="s">
        <v>37</v>
      </c>
      <c r="H27" s="29" t="s">
        <v>24</v>
      </c>
      <c r="I27" s="2" t="s">
        <v>1521</v>
      </c>
      <c r="J27" s="22" t="s">
        <v>25</v>
      </c>
      <c r="K27" s="47" t="s">
        <v>1531</v>
      </c>
      <c r="L27" s="45"/>
      <c r="M27" s="46" t="s">
        <v>27</v>
      </c>
      <c r="N27" s="3" t="s">
        <v>87</v>
      </c>
      <c r="O27" s="47" t="s">
        <v>90</v>
      </c>
      <c r="P27" s="46" t="s">
        <v>1554</v>
      </c>
      <c r="Q27" s="46" t="s">
        <v>29</v>
      </c>
      <c r="R27" s="23" t="s">
        <v>92</v>
      </c>
      <c r="S27" s="30">
        <v>288898</v>
      </c>
      <c r="T27" s="2" t="s">
        <v>94</v>
      </c>
      <c r="U27" s="31">
        <v>8.2777770000000004</v>
      </c>
      <c r="V27" s="31">
        <v>7.2777767181396396</v>
      </c>
      <c r="W27" s="32">
        <v>0.175555534362792</v>
      </c>
      <c r="X27" s="33">
        <v>50717.642766342098</v>
      </c>
    </row>
    <row r="28" spans="1:24" x14ac:dyDescent="0.25">
      <c r="A28" s="22" t="s">
        <v>1431</v>
      </c>
      <c r="B28" s="2" t="s">
        <v>1441</v>
      </c>
      <c r="C28" s="2" t="s">
        <v>1157</v>
      </c>
      <c r="D28" s="46" t="s">
        <v>1468</v>
      </c>
      <c r="E28" s="2" t="s">
        <v>1498</v>
      </c>
      <c r="F28" s="24" t="str">
        <f>HYPERLINK("https://mapwv.gov/flood/map/?wkid=102100&amp;x=-8870081.057465153&amp;y=4735799.233775365&amp;l=13&amp;v=2","FT")</f>
        <v>FT</v>
      </c>
      <c r="G28" s="29" t="s">
        <v>31</v>
      </c>
      <c r="H28" s="29" t="s">
        <v>24</v>
      </c>
      <c r="I28" s="2" t="s">
        <v>1522</v>
      </c>
      <c r="J28" s="22" t="s">
        <v>38</v>
      </c>
      <c r="K28" s="47" t="s">
        <v>153</v>
      </c>
      <c r="L28" s="45" t="s">
        <v>39</v>
      </c>
      <c r="M28" s="46" t="s">
        <v>59</v>
      </c>
      <c r="N28" s="3" t="s">
        <v>86</v>
      </c>
      <c r="O28" s="47" t="s">
        <v>91</v>
      </c>
      <c r="P28" s="46" t="s">
        <v>1555</v>
      </c>
      <c r="Q28" s="46" t="s">
        <v>29</v>
      </c>
      <c r="R28" s="23" t="s">
        <v>92</v>
      </c>
      <c r="S28" s="30">
        <v>282500</v>
      </c>
      <c r="T28" s="2" t="s">
        <v>43</v>
      </c>
      <c r="U28" s="31">
        <v>3.3532715</v>
      </c>
      <c r="V28" s="31">
        <v>2.353271484375</v>
      </c>
      <c r="W28" s="32">
        <v>7.7065429687500006E-2</v>
      </c>
      <c r="X28" s="33">
        <v>21770.983886718699</v>
      </c>
    </row>
    <row r="29" spans="1:24" x14ac:dyDescent="0.25">
      <c r="A29" s="22" t="s">
        <v>1432</v>
      </c>
      <c r="B29" s="2" t="s">
        <v>1442</v>
      </c>
      <c r="C29" s="2" t="s">
        <v>1444</v>
      </c>
      <c r="D29" s="46" t="s">
        <v>1469</v>
      </c>
      <c r="E29" s="2" t="s">
        <v>1499</v>
      </c>
      <c r="F29" s="24" t="str">
        <f>HYPERLINK("https://mapwv.gov/flood/map/?wkid=102100&amp;x=-8864051.02625478&amp;y=4732173.856838599&amp;l=13&amp;v=2","FT")</f>
        <v>FT</v>
      </c>
      <c r="G29" s="29" t="s">
        <v>31</v>
      </c>
      <c r="H29" s="29" t="s">
        <v>24</v>
      </c>
      <c r="I29" s="2" t="s">
        <v>1523</v>
      </c>
      <c r="J29" s="22" t="s">
        <v>25</v>
      </c>
      <c r="K29" s="47" t="s">
        <v>124</v>
      </c>
      <c r="L29" s="45" t="s">
        <v>47</v>
      </c>
      <c r="M29" s="46" t="s">
        <v>40</v>
      </c>
      <c r="N29" s="3" t="s">
        <v>41</v>
      </c>
      <c r="O29" s="47" t="s">
        <v>91</v>
      </c>
      <c r="P29" s="46" t="s">
        <v>1556</v>
      </c>
      <c r="Q29" s="46" t="s">
        <v>51</v>
      </c>
      <c r="R29" s="23" t="s">
        <v>93</v>
      </c>
      <c r="S29" s="30">
        <v>277400</v>
      </c>
      <c r="T29" s="2" t="s">
        <v>43</v>
      </c>
      <c r="U29" s="31">
        <v>8.9111330000000002E-2</v>
      </c>
      <c r="V29" s="31">
        <v>-3.910888671875</v>
      </c>
      <c r="W29" s="32">
        <v>0</v>
      </c>
      <c r="X29" s="33">
        <v>0</v>
      </c>
    </row>
    <row r="30" spans="1:24" x14ac:dyDescent="0.25">
      <c r="A30" s="22" t="s">
        <v>1433</v>
      </c>
      <c r="B30" s="2" t="s">
        <v>1440</v>
      </c>
      <c r="C30" s="2" t="s">
        <v>1157</v>
      </c>
      <c r="D30" s="46" t="s">
        <v>1470</v>
      </c>
      <c r="E30" s="2" t="s">
        <v>1500</v>
      </c>
      <c r="F30" s="24" t="str">
        <f>HYPERLINK("https://mapwv.gov/flood/map/?wkid=102100&amp;x=-8870572.055790352&amp;y=4736634.83406588&amp;l=13&amp;v=2","FT")</f>
        <v>FT</v>
      </c>
      <c r="G30" s="29" t="s">
        <v>31</v>
      </c>
      <c r="H30" s="29" t="s">
        <v>24</v>
      </c>
      <c r="I30" s="2" t="s">
        <v>1524</v>
      </c>
      <c r="J30" s="22" t="s">
        <v>38</v>
      </c>
      <c r="K30" s="47" t="s">
        <v>1532</v>
      </c>
      <c r="L30" s="45" t="s">
        <v>26</v>
      </c>
      <c r="M30" s="46" t="s">
        <v>57</v>
      </c>
      <c r="N30" s="3" t="s">
        <v>88</v>
      </c>
      <c r="O30" s="47" t="s">
        <v>91</v>
      </c>
      <c r="P30" s="46" t="s">
        <v>1557</v>
      </c>
      <c r="Q30" s="46" t="s">
        <v>29</v>
      </c>
      <c r="R30" s="23" t="s">
        <v>92</v>
      </c>
      <c r="S30" s="30">
        <v>256800</v>
      </c>
      <c r="T30" s="2" t="s">
        <v>43</v>
      </c>
      <c r="U30" s="31">
        <v>0.58374022999999997</v>
      </c>
      <c r="V30" s="31">
        <v>-0.416259765625</v>
      </c>
      <c r="W30" s="32">
        <v>0</v>
      </c>
      <c r="X30" s="33">
        <v>0</v>
      </c>
    </row>
    <row r="31" spans="1:24" x14ac:dyDescent="0.25">
      <c r="A31" s="22" t="s">
        <v>1434</v>
      </c>
      <c r="B31" s="2" t="s">
        <v>1442</v>
      </c>
      <c r="C31" s="2" t="s">
        <v>1444</v>
      </c>
      <c r="D31" s="46" t="s">
        <v>1471</v>
      </c>
      <c r="E31" s="2" t="s">
        <v>1501</v>
      </c>
      <c r="F31" s="24" t="str">
        <f>HYPERLINK("https://mapwv.gov/flood/map/?wkid=102100&amp;x=-8864411.51349765&amp;y=4732133.289724814&amp;l=13&amp;v=2","FT")</f>
        <v>FT</v>
      </c>
      <c r="G31" s="29" t="s">
        <v>31</v>
      </c>
      <c r="H31" s="29" t="s">
        <v>24</v>
      </c>
      <c r="I31" s="2" t="s">
        <v>1525</v>
      </c>
      <c r="J31" s="22" t="s">
        <v>25</v>
      </c>
      <c r="K31" s="47" t="s">
        <v>121</v>
      </c>
      <c r="L31" s="45" t="s">
        <v>48</v>
      </c>
      <c r="M31" s="46" t="s">
        <v>33</v>
      </c>
      <c r="N31" s="3" t="s">
        <v>89</v>
      </c>
      <c r="O31" s="47" t="s">
        <v>90</v>
      </c>
      <c r="P31" s="46" t="s">
        <v>1558</v>
      </c>
      <c r="Q31" s="46" t="s">
        <v>29</v>
      </c>
      <c r="R31" s="23" t="s">
        <v>92</v>
      </c>
      <c r="S31" s="30">
        <v>250900</v>
      </c>
      <c r="T31" s="2" t="s">
        <v>43</v>
      </c>
      <c r="U31" s="31">
        <v>5.0426025000000001</v>
      </c>
      <c r="V31" s="31">
        <v>4.0426025390625</v>
      </c>
      <c r="W31" s="32">
        <v>0.22170410156250001</v>
      </c>
      <c r="X31" s="33">
        <v>55625.559082031199</v>
      </c>
    </row>
    <row r="32" spans="1:24" x14ac:dyDescent="0.25">
      <c r="A32" s="22" t="s">
        <v>1435</v>
      </c>
      <c r="B32" s="2" t="s">
        <v>1440</v>
      </c>
      <c r="C32" s="2" t="s">
        <v>1157</v>
      </c>
      <c r="D32" s="46" t="s">
        <v>1472</v>
      </c>
      <c r="E32" s="2" t="s">
        <v>1502</v>
      </c>
      <c r="F32" s="24" t="str">
        <f>HYPERLINK("https://mapwv.gov/flood/map/?wkid=102100&amp;x=-8871889.673024438&amp;y=4731613.926024021&amp;l=13&amp;v=2","FT")</f>
        <v>FT</v>
      </c>
      <c r="G32" s="29" t="s">
        <v>31</v>
      </c>
      <c r="H32" s="29" t="s">
        <v>146</v>
      </c>
      <c r="I32" s="2" t="s">
        <v>1526</v>
      </c>
      <c r="J32" s="22" t="s">
        <v>38</v>
      </c>
      <c r="K32" s="47" t="s">
        <v>132</v>
      </c>
      <c r="L32" s="45" t="s">
        <v>26</v>
      </c>
      <c r="M32" s="46" t="s">
        <v>57</v>
      </c>
      <c r="N32" s="3" t="s">
        <v>88</v>
      </c>
      <c r="O32" s="47" t="s">
        <v>90</v>
      </c>
      <c r="P32" s="46" t="s">
        <v>1559</v>
      </c>
      <c r="Q32" s="46" t="s">
        <v>29</v>
      </c>
      <c r="R32" s="23" t="s">
        <v>92</v>
      </c>
      <c r="S32" s="30">
        <v>239800</v>
      </c>
      <c r="T32" s="2" t="s">
        <v>43</v>
      </c>
      <c r="U32" s="31">
        <v>0.8041992</v>
      </c>
      <c r="V32" s="31">
        <v>-0.19580078125</v>
      </c>
      <c r="W32" s="32">
        <v>0</v>
      </c>
      <c r="X32" s="33">
        <v>0</v>
      </c>
    </row>
    <row r="33" spans="1:24" x14ac:dyDescent="0.25">
      <c r="A33" s="22" t="s">
        <v>1436</v>
      </c>
      <c r="B33" s="2" t="s">
        <v>1441</v>
      </c>
      <c r="C33" s="2" t="s">
        <v>1444</v>
      </c>
      <c r="D33" s="46" t="s">
        <v>1473</v>
      </c>
      <c r="E33" s="2" t="s">
        <v>1503</v>
      </c>
      <c r="F33" s="24" t="str">
        <f>HYPERLINK("https://mapwv.gov/flood/map/?wkid=102100&amp;x=-8869259.46440863&amp;y=4735949.978515412&amp;l=13&amp;v=2","FT")</f>
        <v>FT</v>
      </c>
      <c r="G33" s="29" t="s">
        <v>31</v>
      </c>
      <c r="H33" s="29" t="s">
        <v>146</v>
      </c>
      <c r="I33" s="2" t="s">
        <v>1527</v>
      </c>
      <c r="J33" s="22" t="s">
        <v>38</v>
      </c>
      <c r="K33" s="47" t="s">
        <v>1533</v>
      </c>
      <c r="L33" s="45" t="s">
        <v>36</v>
      </c>
      <c r="M33" s="46" t="s">
        <v>46</v>
      </c>
      <c r="N33" s="3" t="s">
        <v>34</v>
      </c>
      <c r="O33" s="47" t="s">
        <v>90</v>
      </c>
      <c r="P33" s="46" t="s">
        <v>1560</v>
      </c>
      <c r="Q33" s="46" t="s">
        <v>29</v>
      </c>
      <c r="R33" s="23" t="s">
        <v>92</v>
      </c>
      <c r="S33" s="30">
        <v>232600</v>
      </c>
      <c r="T33" s="2" t="s">
        <v>43</v>
      </c>
      <c r="U33" s="31">
        <v>8.4586179999999995</v>
      </c>
      <c r="V33" s="31">
        <v>7.4586181640625</v>
      </c>
      <c r="W33" s="32">
        <v>0.27834472656249898</v>
      </c>
      <c r="X33" s="33">
        <v>64742.983398437398</v>
      </c>
    </row>
    <row r="34" spans="1:24" x14ac:dyDescent="0.25">
      <c r="A34" s="22" t="s">
        <v>1437</v>
      </c>
      <c r="B34" s="2" t="s">
        <v>1440</v>
      </c>
      <c r="C34" s="2" t="s">
        <v>1445</v>
      </c>
      <c r="D34" s="46" t="s">
        <v>1474</v>
      </c>
      <c r="E34" s="2" t="s">
        <v>1504</v>
      </c>
      <c r="F34" s="24" t="str">
        <f>HYPERLINK("https://mapwv.gov/flood/map/?wkid=102100&amp;x=-8867999.430186788&amp;y=4737962.455662405&amp;l=13&amp;v=2","FT")</f>
        <v>FT</v>
      </c>
      <c r="G34" s="29" t="s">
        <v>31</v>
      </c>
      <c r="H34" s="29" t="s">
        <v>24</v>
      </c>
      <c r="I34" s="2" t="s">
        <v>1528</v>
      </c>
      <c r="J34" s="22" t="s">
        <v>25</v>
      </c>
      <c r="K34" s="47" t="s">
        <v>82</v>
      </c>
      <c r="L34" s="45" t="s">
        <v>49</v>
      </c>
      <c r="M34" s="46" t="s">
        <v>40</v>
      </c>
      <c r="N34" s="3" t="s">
        <v>41</v>
      </c>
      <c r="O34" s="47" t="s">
        <v>91</v>
      </c>
      <c r="P34" s="46" t="s">
        <v>1561</v>
      </c>
      <c r="Q34" s="46" t="s">
        <v>51</v>
      </c>
      <c r="R34" s="23" t="s">
        <v>93</v>
      </c>
      <c r="S34" s="30">
        <v>231700</v>
      </c>
      <c r="T34" s="2" t="s">
        <v>43</v>
      </c>
      <c r="U34" s="31">
        <v>2.7629394999999999</v>
      </c>
      <c r="V34" s="31">
        <v>-1.237060546875</v>
      </c>
      <c r="W34" s="32">
        <v>0</v>
      </c>
      <c r="X34" s="33">
        <v>0</v>
      </c>
    </row>
    <row r="35" spans="1:24" x14ac:dyDescent="0.25">
      <c r="A35" s="22" t="s">
        <v>1438</v>
      </c>
      <c r="B35" s="2" t="s">
        <v>1441</v>
      </c>
      <c r="C35" s="2" t="s">
        <v>1157</v>
      </c>
      <c r="D35" s="46" t="s">
        <v>1475</v>
      </c>
      <c r="E35" s="2" t="s">
        <v>1505</v>
      </c>
      <c r="F35" s="24" t="str">
        <f>HYPERLINK("https://mapwv.gov/flood/map/?wkid=102100&amp;x=-8870183.986471968&amp;y=4735823.6512679225&amp;l=13&amp;v=2","FT")</f>
        <v>FT</v>
      </c>
      <c r="G35" s="29" t="s">
        <v>31</v>
      </c>
      <c r="H35" s="29" t="s">
        <v>24</v>
      </c>
      <c r="I35" s="2" t="s">
        <v>1529</v>
      </c>
      <c r="J35" s="22" t="s">
        <v>25</v>
      </c>
      <c r="K35" s="47" t="s">
        <v>76</v>
      </c>
      <c r="L35" s="45" t="s">
        <v>56</v>
      </c>
      <c r="M35" s="46" t="s">
        <v>55</v>
      </c>
      <c r="N35" s="3" t="s">
        <v>34</v>
      </c>
      <c r="O35" s="47" t="s">
        <v>91</v>
      </c>
      <c r="P35" s="46" t="s">
        <v>1562</v>
      </c>
      <c r="Q35" s="46" t="s">
        <v>29</v>
      </c>
      <c r="R35" s="23" t="s">
        <v>92</v>
      </c>
      <c r="S35" s="30">
        <v>218400</v>
      </c>
      <c r="T35" s="2" t="s">
        <v>43</v>
      </c>
      <c r="U35" s="31">
        <v>0.85070800000000002</v>
      </c>
      <c r="V35" s="31">
        <v>-0.1492919921875</v>
      </c>
      <c r="W35" s="32">
        <v>1.7014160156249999E-2</v>
      </c>
      <c r="X35" s="33">
        <v>3715.892578125</v>
      </c>
    </row>
    <row r="36" spans="1:24" x14ac:dyDescent="0.25">
      <c r="A36" s="22" t="s">
        <v>1439</v>
      </c>
      <c r="B36" s="2" t="s">
        <v>1440</v>
      </c>
      <c r="C36" s="2" t="s">
        <v>1445</v>
      </c>
      <c r="D36" s="46" t="s">
        <v>1476</v>
      </c>
      <c r="E36" s="2" t="s">
        <v>1506</v>
      </c>
      <c r="F36" s="24" t="str">
        <f>HYPERLINK("https://mapwv.gov/flood/map/?wkid=102100&amp;x=-8868244.52698508&amp;y=4738483.081230135&amp;l=13&amp;v=2","FT")</f>
        <v>FT</v>
      </c>
      <c r="G36" s="29" t="s">
        <v>31</v>
      </c>
      <c r="H36" s="29" t="s">
        <v>24</v>
      </c>
      <c r="I36" s="2" t="s">
        <v>1530</v>
      </c>
      <c r="J36" s="22" t="s">
        <v>25</v>
      </c>
      <c r="K36" s="47" t="s">
        <v>82</v>
      </c>
      <c r="L36" s="45" t="s">
        <v>49</v>
      </c>
      <c r="M36" s="46" t="s">
        <v>40</v>
      </c>
      <c r="N36" s="3" t="s">
        <v>41</v>
      </c>
      <c r="O36" s="47" t="s">
        <v>90</v>
      </c>
      <c r="P36" s="46" t="s">
        <v>1563</v>
      </c>
      <c r="Q36" s="46" t="s">
        <v>51</v>
      </c>
      <c r="R36" s="23" t="s">
        <v>93</v>
      </c>
      <c r="S36" s="30">
        <v>202700</v>
      </c>
      <c r="T36" s="2" t="s">
        <v>43</v>
      </c>
      <c r="U36" s="31">
        <v>0.75378420000000002</v>
      </c>
      <c r="V36" s="31">
        <v>-3.2462158203125</v>
      </c>
      <c r="W36" s="32">
        <v>0</v>
      </c>
      <c r="X36" s="33">
        <v>0</v>
      </c>
    </row>
  </sheetData>
  <conditionalFormatting sqref="A7:A36">
    <cfRule type="duplicateValues" dxfId="2" priority="1"/>
  </conditionalFormatting>
  <hyperlinks>
    <hyperlink ref="J3" r:id="rId1" xr:uid="{DC524C17-09B0-4474-AEB4-B95FAFB2FF7E}"/>
    <hyperlink ref="M3" r:id="rId2" xr:uid="{21E5A18A-31C3-496A-85A2-9A82CF9E334F}"/>
    <hyperlink ref="Q3" r:id="rId3" xr:uid="{4BDBE2A9-3F3A-417C-9877-5EC0C25D935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F515-C2FF-4E46-8A8B-65A2234757D3}">
  <dimension ref="A1:X69"/>
  <sheetViews>
    <sheetView workbookViewId="0">
      <pane ySplit="6" topLeftCell="A7" activePane="bottomLeft" state="frozen"/>
      <selection pane="bottomLeft" activeCell="D4" sqref="D4"/>
    </sheetView>
  </sheetViews>
  <sheetFormatPr defaultRowHeight="15" x14ac:dyDescent="0.25"/>
  <cols>
    <col min="1" max="1" width="33.85546875" bestFit="1" customWidth="1"/>
    <col min="2" max="2" width="10.7109375" customWidth="1"/>
    <col min="7" max="7" width="10.42578125" customWidth="1"/>
    <col min="13" max="13" width="10.85546875" customWidth="1"/>
    <col min="14" max="14" width="11" customWidth="1"/>
    <col min="17" max="17" width="11.1406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25">
      <c r="A2" s="11">
        <v>44574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25">
      <c r="A3" t="s">
        <v>70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25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25">
      <c r="A5" s="1" t="s">
        <v>1564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60" x14ac:dyDescent="0.25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25">
      <c r="A7" s="22" t="s">
        <v>1565</v>
      </c>
      <c r="B7" s="2" t="s">
        <v>1628</v>
      </c>
      <c r="C7" s="2" t="s">
        <v>1630</v>
      </c>
      <c r="D7" s="46" t="s">
        <v>1641</v>
      </c>
      <c r="E7" s="46" t="s">
        <v>1704</v>
      </c>
      <c r="F7" s="24" t="str">
        <f>HYPERLINK("https://mapwv.gov/flood/map/?wkid=102100&amp;x=-8931618.47576054&amp;y=4721391.270043736&amp;l=13&amp;v=2","FT")</f>
        <v>FT</v>
      </c>
      <c r="G7" s="29" t="s">
        <v>31</v>
      </c>
      <c r="H7" s="29" t="s">
        <v>24</v>
      </c>
      <c r="I7" s="2" t="s">
        <v>1767</v>
      </c>
      <c r="J7" s="22" t="s">
        <v>25</v>
      </c>
      <c r="K7" s="47" t="s">
        <v>121</v>
      </c>
      <c r="L7" s="47" t="s">
        <v>56</v>
      </c>
      <c r="M7" s="46" t="s">
        <v>46</v>
      </c>
      <c r="N7" s="3" t="s">
        <v>34</v>
      </c>
      <c r="O7" s="47" t="s">
        <v>90</v>
      </c>
      <c r="P7" s="46" t="s">
        <v>1831</v>
      </c>
      <c r="Q7" s="46" t="s">
        <v>29</v>
      </c>
      <c r="R7" s="29" t="s">
        <v>92</v>
      </c>
      <c r="S7" s="30">
        <v>6791400</v>
      </c>
      <c r="T7" s="2" t="s">
        <v>43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25">
      <c r="A8" s="22" t="s">
        <v>1566</v>
      </c>
      <c r="B8" s="2" t="s">
        <v>1628</v>
      </c>
      <c r="C8" s="2" t="s">
        <v>1631</v>
      </c>
      <c r="D8" s="46" t="s">
        <v>1642</v>
      </c>
      <c r="E8" s="46" t="s">
        <v>1705</v>
      </c>
      <c r="F8" s="24" t="str">
        <f>HYPERLINK("https://mapwv.gov/flood/map/?wkid=102100&amp;x=-8931619.299858728&amp;y=4722531.737853643&amp;l=13&amp;v=2","FT")</f>
        <v>FT</v>
      </c>
      <c r="G8" s="29" t="s">
        <v>37</v>
      </c>
      <c r="H8" s="29" t="s">
        <v>24</v>
      </c>
      <c r="I8" s="2" t="s">
        <v>1768</v>
      </c>
      <c r="J8" s="22" t="s">
        <v>25</v>
      </c>
      <c r="K8" s="47" t="s">
        <v>124</v>
      </c>
      <c r="L8" s="47" t="s">
        <v>44</v>
      </c>
      <c r="M8" s="46" t="s">
        <v>46</v>
      </c>
      <c r="N8" s="3" t="s">
        <v>34</v>
      </c>
      <c r="O8" s="47" t="s">
        <v>90</v>
      </c>
      <c r="P8" s="46" t="s">
        <v>1832</v>
      </c>
      <c r="Q8" s="46" t="s">
        <v>29</v>
      </c>
      <c r="R8" s="29" t="s">
        <v>92</v>
      </c>
      <c r="S8" s="30">
        <v>6226300</v>
      </c>
      <c r="T8" s="2" t="s">
        <v>43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25">
      <c r="A9" s="22" t="s">
        <v>1567</v>
      </c>
      <c r="B9" s="2" t="s">
        <v>1628</v>
      </c>
      <c r="C9" s="2" t="s">
        <v>1630</v>
      </c>
      <c r="D9" s="46" t="s">
        <v>1643</v>
      </c>
      <c r="E9" s="46" t="s">
        <v>1706</v>
      </c>
      <c r="F9" s="24" t="str">
        <f>HYPERLINK("https://mapwv.gov/flood/map/?wkid=102100&amp;x=-8930945.255221283&amp;y=4721182.167713608&amp;l=13&amp;v=2","FT")</f>
        <v>FT</v>
      </c>
      <c r="G9" s="29" t="s">
        <v>31</v>
      </c>
      <c r="H9" s="29" t="s">
        <v>24</v>
      </c>
      <c r="I9" s="2" t="s">
        <v>1769</v>
      </c>
      <c r="J9" s="22" t="s">
        <v>38</v>
      </c>
      <c r="K9" s="47" t="s">
        <v>151</v>
      </c>
      <c r="L9" s="47" t="s">
        <v>45</v>
      </c>
      <c r="M9" s="46" t="s">
        <v>154</v>
      </c>
      <c r="N9" s="3" t="s">
        <v>41</v>
      </c>
      <c r="O9" s="47" t="s">
        <v>349</v>
      </c>
      <c r="P9" s="46" t="s">
        <v>1833</v>
      </c>
      <c r="Q9" s="46" t="s">
        <v>29</v>
      </c>
      <c r="R9" s="29" t="s">
        <v>92</v>
      </c>
      <c r="S9" s="30">
        <v>4726600</v>
      </c>
      <c r="T9" s="2" t="s">
        <v>43</v>
      </c>
      <c r="U9" s="31">
        <v>6.4697265999999996E-3</v>
      </c>
      <c r="V9" s="31">
        <v>-0.9935302734375</v>
      </c>
      <c r="W9" s="32">
        <v>9.7045898437500002E-4</v>
      </c>
      <c r="X9" s="33">
        <v>4586.9714355468705</v>
      </c>
    </row>
    <row r="10" spans="1:24" x14ac:dyDescent="0.25">
      <c r="A10" s="22" t="s">
        <v>1568</v>
      </c>
      <c r="B10" s="2" t="s">
        <v>1628</v>
      </c>
      <c r="C10" s="2" t="s">
        <v>1631</v>
      </c>
      <c r="D10" s="46" t="s">
        <v>1644</v>
      </c>
      <c r="E10" s="46" t="s">
        <v>1707</v>
      </c>
      <c r="F10" s="24" t="str">
        <f>HYPERLINK("https://mapwv.gov/flood/map/?wkid=102100&amp;x=-8931632.446245313&amp;y=4722133.0712744435&amp;l=13&amp;v=2","FT")</f>
        <v>FT</v>
      </c>
      <c r="G10" s="29" t="s">
        <v>37</v>
      </c>
      <c r="H10" s="29" t="s">
        <v>24</v>
      </c>
      <c r="I10" s="2" t="s">
        <v>1770</v>
      </c>
      <c r="J10" s="22" t="s">
        <v>25</v>
      </c>
      <c r="K10" s="47" t="s">
        <v>122</v>
      </c>
      <c r="L10" s="47" t="s">
        <v>37</v>
      </c>
      <c r="M10" s="46" t="s">
        <v>50</v>
      </c>
      <c r="N10" s="3" t="s">
        <v>34</v>
      </c>
      <c r="O10" s="47" t="s">
        <v>90</v>
      </c>
      <c r="P10" s="46" t="s">
        <v>1834</v>
      </c>
      <c r="Q10" s="46" t="s">
        <v>29</v>
      </c>
      <c r="R10" s="29" t="s">
        <v>92</v>
      </c>
      <c r="S10" s="30">
        <v>3858200</v>
      </c>
      <c r="T10" s="2" t="s">
        <v>43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25">
      <c r="A11" s="22" t="s">
        <v>1569</v>
      </c>
      <c r="B11" s="2" t="s">
        <v>1629</v>
      </c>
      <c r="C11" s="2" t="s">
        <v>1632</v>
      </c>
      <c r="D11" s="46" t="s">
        <v>1645</v>
      </c>
      <c r="E11" s="46" t="s">
        <v>1708</v>
      </c>
      <c r="F11" s="24" t="str">
        <f>HYPERLINK("https://mapwv.gov/flood/map/?wkid=102100&amp;x=-8933867.087618435&amp;y=4721713.256921645&amp;l=13&amp;v=2","FT")</f>
        <v>FT</v>
      </c>
      <c r="G11" s="29" t="s">
        <v>31</v>
      </c>
      <c r="H11" s="29" t="s">
        <v>24</v>
      </c>
      <c r="I11" s="2" t="s">
        <v>1771</v>
      </c>
      <c r="J11" s="22" t="s">
        <v>25</v>
      </c>
      <c r="K11" s="47" t="s">
        <v>131</v>
      </c>
      <c r="L11" s="47" t="s">
        <v>37</v>
      </c>
      <c r="M11" s="46" t="s">
        <v>46</v>
      </c>
      <c r="N11" s="3" t="s">
        <v>34</v>
      </c>
      <c r="O11" s="47" t="s">
        <v>90</v>
      </c>
      <c r="P11" s="46" t="s">
        <v>1835</v>
      </c>
      <c r="Q11" s="46" t="s">
        <v>29</v>
      </c>
      <c r="R11" s="29" t="s">
        <v>92</v>
      </c>
      <c r="S11" s="30">
        <v>2797600</v>
      </c>
      <c r="T11" s="2" t="s">
        <v>43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25">
      <c r="A12" s="22" t="s">
        <v>1570</v>
      </c>
      <c r="B12" s="2" t="s">
        <v>1628</v>
      </c>
      <c r="C12" s="2" t="s">
        <v>1633</v>
      </c>
      <c r="D12" s="46" t="s">
        <v>1646</v>
      </c>
      <c r="E12" s="46" t="s">
        <v>1709</v>
      </c>
      <c r="F12" s="24" t="str">
        <f>HYPERLINK("https://mapwv.gov/flood/map/?wkid=102100&amp;x=-8930618.146682443&amp;y=4718223.338205133&amp;l=13&amp;v=2","FT")</f>
        <v>FT</v>
      </c>
      <c r="G12" s="29" t="s">
        <v>37</v>
      </c>
      <c r="H12" s="29" t="s">
        <v>24</v>
      </c>
      <c r="I12" s="2" t="s">
        <v>1772</v>
      </c>
      <c r="J12" s="22" t="s">
        <v>25</v>
      </c>
      <c r="K12" s="47" t="s">
        <v>115</v>
      </c>
      <c r="L12" s="47" t="s">
        <v>52</v>
      </c>
      <c r="M12" s="46" t="s">
        <v>33</v>
      </c>
      <c r="N12" s="3" t="s">
        <v>89</v>
      </c>
      <c r="O12" s="47" t="s">
        <v>90</v>
      </c>
      <c r="P12" s="46" t="s">
        <v>1836</v>
      </c>
      <c r="Q12" s="46" t="s">
        <v>29</v>
      </c>
      <c r="R12" s="29" t="s">
        <v>92</v>
      </c>
      <c r="S12" s="30">
        <v>2725800</v>
      </c>
      <c r="T12" s="2" t="s">
        <v>43</v>
      </c>
      <c r="U12" s="31">
        <v>9</v>
      </c>
      <c r="V12" s="31">
        <v>8</v>
      </c>
      <c r="W12" s="32">
        <v>0.35</v>
      </c>
      <c r="X12" s="33">
        <v>954029.99999999895</v>
      </c>
    </row>
    <row r="13" spans="1:24" x14ac:dyDescent="0.25">
      <c r="A13" s="22" t="s">
        <v>1571</v>
      </c>
      <c r="B13" s="2" t="s">
        <v>1628</v>
      </c>
      <c r="C13" s="2" t="s">
        <v>1631</v>
      </c>
      <c r="D13" s="46" t="s">
        <v>1647</v>
      </c>
      <c r="E13" s="46" t="s">
        <v>1710</v>
      </c>
      <c r="F13" s="24" t="str">
        <f>HYPERLINK("https://mapwv.gov/flood/map/?wkid=102100&amp;x=-8931627.214229247&amp;y=4722249.058364799&amp;l=13&amp;v=2","FT")</f>
        <v>FT</v>
      </c>
      <c r="G13" s="29" t="s">
        <v>37</v>
      </c>
      <c r="H13" s="29" t="s">
        <v>24</v>
      </c>
      <c r="I13" s="2" t="s">
        <v>1773</v>
      </c>
      <c r="J13" s="22" t="s">
        <v>25</v>
      </c>
      <c r="K13" s="47" t="s">
        <v>127</v>
      </c>
      <c r="L13" s="47" t="s">
        <v>49</v>
      </c>
      <c r="M13" s="46" t="s">
        <v>50</v>
      </c>
      <c r="N13" s="3" t="s">
        <v>34</v>
      </c>
      <c r="O13" s="47" t="s">
        <v>159</v>
      </c>
      <c r="P13" s="46" t="s">
        <v>1837</v>
      </c>
      <c r="Q13" s="46" t="s">
        <v>29</v>
      </c>
      <c r="R13" s="29" t="s">
        <v>92</v>
      </c>
      <c r="S13" s="30">
        <v>2073700</v>
      </c>
      <c r="T13" s="2" t="s">
        <v>43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25">
      <c r="A14" s="22" t="s">
        <v>1572</v>
      </c>
      <c r="B14" s="2" t="s">
        <v>1629</v>
      </c>
      <c r="C14" s="2" t="s">
        <v>118</v>
      </c>
      <c r="D14" s="46" t="s">
        <v>1648</v>
      </c>
      <c r="E14" s="46" t="s">
        <v>1711</v>
      </c>
      <c r="F14" s="24" t="str">
        <f>HYPERLINK("https://mapwv.gov/flood/map/?wkid=102100&amp;x=-8933787.09510214&amp;y=4721104.269498725&amp;l=13&amp;v=2","FT")</f>
        <v>FT</v>
      </c>
      <c r="G14" s="29" t="s">
        <v>31</v>
      </c>
      <c r="H14" s="29" t="s">
        <v>24</v>
      </c>
      <c r="I14" s="2" t="s">
        <v>1774</v>
      </c>
      <c r="J14" s="22" t="s">
        <v>25</v>
      </c>
      <c r="K14" s="47" t="s">
        <v>124</v>
      </c>
      <c r="L14" s="47" t="s">
        <v>45</v>
      </c>
      <c r="M14" s="46" t="s">
        <v>1830</v>
      </c>
      <c r="N14" s="3" t="s">
        <v>34</v>
      </c>
      <c r="O14" s="47" t="s">
        <v>90</v>
      </c>
      <c r="P14" s="46" t="s">
        <v>1838</v>
      </c>
      <c r="Q14" s="46" t="s">
        <v>29</v>
      </c>
      <c r="R14" s="29" t="s">
        <v>92</v>
      </c>
      <c r="S14" s="30">
        <v>2046500</v>
      </c>
      <c r="T14" s="2" t="s">
        <v>43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25">
      <c r="A15" s="22" t="s">
        <v>1573</v>
      </c>
      <c r="B15" s="2" t="s">
        <v>1629</v>
      </c>
      <c r="C15" s="2" t="s">
        <v>1634</v>
      </c>
      <c r="D15" s="46" t="s">
        <v>1649</v>
      </c>
      <c r="E15" s="46" t="s">
        <v>1712</v>
      </c>
      <c r="F15" s="24" t="str">
        <f>HYPERLINK("https://mapwv.gov/flood/map/?wkid=102100&amp;x=-8931576.032533007&amp;y=4717041.570082998&amp;l=13&amp;v=2","FT")</f>
        <v>FT</v>
      </c>
      <c r="G15" s="29" t="s">
        <v>37</v>
      </c>
      <c r="H15" s="29" t="s">
        <v>24</v>
      </c>
      <c r="I15" s="2" t="s">
        <v>1775</v>
      </c>
      <c r="J15" s="22" t="s">
        <v>38</v>
      </c>
      <c r="K15" s="47" t="s">
        <v>167</v>
      </c>
      <c r="L15" s="47" t="s">
        <v>26</v>
      </c>
      <c r="M15" s="46" t="s">
        <v>46</v>
      </c>
      <c r="N15" s="3" t="s">
        <v>34</v>
      </c>
      <c r="O15" s="47" t="s">
        <v>90</v>
      </c>
      <c r="P15" s="46" t="s">
        <v>1839</v>
      </c>
      <c r="Q15" s="46" t="s">
        <v>29</v>
      </c>
      <c r="R15" s="29" t="s">
        <v>92</v>
      </c>
      <c r="S15" s="30">
        <v>1627900</v>
      </c>
      <c r="T15" s="2" t="s">
        <v>43</v>
      </c>
      <c r="U15" s="31">
        <v>3</v>
      </c>
      <c r="V15" s="31">
        <v>2</v>
      </c>
      <c r="W15" s="32">
        <v>0.14000000000000001</v>
      </c>
      <c r="X15" s="33">
        <v>227906</v>
      </c>
    </row>
    <row r="16" spans="1:24" x14ac:dyDescent="0.25">
      <c r="A16" s="22" t="s">
        <v>1574</v>
      </c>
      <c r="B16" s="2" t="s">
        <v>1628</v>
      </c>
      <c r="C16" s="2" t="s">
        <v>1630</v>
      </c>
      <c r="D16" s="46" t="s">
        <v>1650</v>
      </c>
      <c r="E16" s="46" t="s">
        <v>1713</v>
      </c>
      <c r="F16" s="24" t="str">
        <f>HYPERLINK("https://mapwv.gov/flood/map/?wkid=102100&amp;x=-8930808.770957718&amp;y=4720709.659846689&amp;l=13&amp;v=2","FT")</f>
        <v>FT</v>
      </c>
      <c r="G16" s="29" t="s">
        <v>31</v>
      </c>
      <c r="H16" s="29" t="s">
        <v>24</v>
      </c>
      <c r="I16" s="2" t="s">
        <v>1776</v>
      </c>
      <c r="J16" s="22" t="s">
        <v>25</v>
      </c>
      <c r="K16" s="47" t="s">
        <v>168</v>
      </c>
      <c r="L16" s="47" t="s">
        <v>26</v>
      </c>
      <c r="M16" s="46" t="s">
        <v>63</v>
      </c>
      <c r="N16" s="3" t="s">
        <v>87</v>
      </c>
      <c r="O16" s="47" t="s">
        <v>90</v>
      </c>
      <c r="P16" s="46" t="s">
        <v>1840</v>
      </c>
      <c r="Q16" s="46" t="s">
        <v>29</v>
      </c>
      <c r="R16" s="29" t="s">
        <v>92</v>
      </c>
      <c r="S16" s="30">
        <v>1544600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25">
      <c r="A17" s="22" t="s">
        <v>1575</v>
      </c>
      <c r="B17" s="2" t="s">
        <v>1628</v>
      </c>
      <c r="C17" s="2" t="s">
        <v>1630</v>
      </c>
      <c r="D17" s="46" t="s">
        <v>1651</v>
      </c>
      <c r="E17" s="46" t="s">
        <v>1714</v>
      </c>
      <c r="F17" s="24" t="str">
        <f>HYPERLINK("https://mapwv.gov/flood/map/?wkid=102100&amp;x=-8929806.190331604&amp;y=4721466.872345259&amp;l=13&amp;v=2","FT")</f>
        <v>FT</v>
      </c>
      <c r="G17" s="29" t="s">
        <v>31</v>
      </c>
      <c r="H17" s="29" t="s">
        <v>24</v>
      </c>
      <c r="I17" s="2" t="s">
        <v>1777</v>
      </c>
      <c r="J17" s="22" t="s">
        <v>25</v>
      </c>
      <c r="K17" s="47" t="s">
        <v>79</v>
      </c>
      <c r="L17" s="47" t="s">
        <v>32</v>
      </c>
      <c r="M17" s="46" t="s">
        <v>33</v>
      </c>
      <c r="N17" s="3" t="s">
        <v>89</v>
      </c>
      <c r="O17" s="47" t="s">
        <v>91</v>
      </c>
      <c r="P17" s="46" t="s">
        <v>1841</v>
      </c>
      <c r="Q17" s="46" t="s">
        <v>29</v>
      </c>
      <c r="R17" s="29" t="s">
        <v>92</v>
      </c>
      <c r="S17" s="30">
        <v>1513900</v>
      </c>
      <c r="T17" s="2" t="s">
        <v>43</v>
      </c>
      <c r="U17" s="31">
        <v>4.2149660000000004</v>
      </c>
      <c r="V17" s="31">
        <v>3.2149658203125</v>
      </c>
      <c r="W17" s="32">
        <v>0.18074829101562501</v>
      </c>
      <c r="X17" s="33">
        <v>273634.83776855399</v>
      </c>
    </row>
    <row r="18" spans="1:24" x14ac:dyDescent="0.25">
      <c r="A18" s="22" t="s">
        <v>1576</v>
      </c>
      <c r="B18" s="2" t="s">
        <v>1629</v>
      </c>
      <c r="C18" s="2" t="s">
        <v>1635</v>
      </c>
      <c r="D18" s="46" t="s">
        <v>1652</v>
      </c>
      <c r="E18" s="46" t="s">
        <v>1715</v>
      </c>
      <c r="F18" s="24" t="str">
        <f>HYPERLINK("https://mapwv.gov/flood/map/?wkid=102100&amp;x=-8933817.132329028&amp;y=4722379.875730233&amp;l=13&amp;v=2","FT")</f>
        <v>FT</v>
      </c>
      <c r="G18" s="29" t="s">
        <v>37</v>
      </c>
      <c r="H18" s="29" t="s">
        <v>24</v>
      </c>
      <c r="I18" s="2" t="s">
        <v>1778</v>
      </c>
      <c r="J18" s="22" t="s">
        <v>25</v>
      </c>
      <c r="K18" s="47" t="s">
        <v>1824</v>
      </c>
      <c r="L18" s="47" t="s">
        <v>52</v>
      </c>
      <c r="M18" s="46" t="s">
        <v>33</v>
      </c>
      <c r="N18" s="3" t="s">
        <v>89</v>
      </c>
      <c r="O18" s="47" t="s">
        <v>90</v>
      </c>
      <c r="P18" s="46" t="s">
        <v>1842</v>
      </c>
      <c r="Q18" s="46" t="s">
        <v>29</v>
      </c>
      <c r="R18" s="29" t="s">
        <v>92</v>
      </c>
      <c r="S18" s="30">
        <v>1414700</v>
      </c>
      <c r="T18" s="2" t="s">
        <v>43</v>
      </c>
      <c r="U18" s="31">
        <v>1</v>
      </c>
      <c r="V18" s="31">
        <v>0</v>
      </c>
      <c r="W18" s="32">
        <v>0.01</v>
      </c>
      <c r="X18" s="33">
        <v>14147</v>
      </c>
    </row>
    <row r="19" spans="1:24" x14ac:dyDescent="0.25">
      <c r="A19" s="22" t="s">
        <v>1577</v>
      </c>
      <c r="B19" s="2" t="s">
        <v>1629</v>
      </c>
      <c r="C19" s="2" t="s">
        <v>1630</v>
      </c>
      <c r="D19" s="46" t="s">
        <v>1653</v>
      </c>
      <c r="E19" s="46" t="s">
        <v>1716</v>
      </c>
      <c r="F19" s="24" t="str">
        <f>HYPERLINK("https://mapwv.gov/flood/map/?wkid=102100&amp;x=-8929340.52565085&amp;y=4722481.210866853&amp;l=13&amp;v=2","FT")</f>
        <v>FT</v>
      </c>
      <c r="G19" s="29" t="s">
        <v>37</v>
      </c>
      <c r="H19" s="29" t="s">
        <v>24</v>
      </c>
      <c r="I19" s="2" t="s">
        <v>1779</v>
      </c>
      <c r="J19" s="22" t="s">
        <v>25</v>
      </c>
      <c r="K19" s="47" t="s">
        <v>73</v>
      </c>
      <c r="L19" s="47" t="s">
        <v>36</v>
      </c>
      <c r="M19" s="46" t="s">
        <v>62</v>
      </c>
      <c r="N19" s="3" t="s">
        <v>34</v>
      </c>
      <c r="O19" s="47" t="s">
        <v>90</v>
      </c>
      <c r="P19" s="46" t="s">
        <v>1843</v>
      </c>
      <c r="Q19" s="46" t="s">
        <v>29</v>
      </c>
      <c r="R19" s="29" t="s">
        <v>92</v>
      </c>
      <c r="S19" s="30">
        <v>1377100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25">
      <c r="A20" s="22" t="s">
        <v>1578</v>
      </c>
      <c r="B20" s="2" t="s">
        <v>1628</v>
      </c>
      <c r="C20" s="2" t="s">
        <v>1630</v>
      </c>
      <c r="D20" s="46" t="s">
        <v>1654</v>
      </c>
      <c r="E20" s="46" t="s">
        <v>1717</v>
      </c>
      <c r="F20" s="24" t="str">
        <f>HYPERLINK("https://mapwv.gov/flood/map/?wkid=102100&amp;x=-8931791.474820832&amp;y=4720620.183526938&amp;l=13&amp;v=2","FT")</f>
        <v>FT</v>
      </c>
      <c r="G20" s="29" t="s">
        <v>31</v>
      </c>
      <c r="H20" s="29" t="s">
        <v>24</v>
      </c>
      <c r="I20" s="2" t="s">
        <v>1780</v>
      </c>
      <c r="J20" s="22" t="s">
        <v>25</v>
      </c>
      <c r="K20" s="47" t="s">
        <v>97</v>
      </c>
      <c r="L20" s="47" t="s">
        <v>49</v>
      </c>
      <c r="M20" s="46" t="s">
        <v>55</v>
      </c>
      <c r="N20" s="3" t="s">
        <v>34</v>
      </c>
      <c r="O20" s="47" t="s">
        <v>91</v>
      </c>
      <c r="P20" s="46" t="s">
        <v>1844</v>
      </c>
      <c r="Q20" s="46" t="s">
        <v>29</v>
      </c>
      <c r="R20" s="29" t="s">
        <v>92</v>
      </c>
      <c r="S20" s="30">
        <v>1287500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25">
      <c r="A21" s="22" t="s">
        <v>1579</v>
      </c>
      <c r="B21" s="2" t="s">
        <v>1629</v>
      </c>
      <c r="C21" s="2" t="s">
        <v>1634</v>
      </c>
      <c r="D21" s="46" t="s">
        <v>1655</v>
      </c>
      <c r="E21" s="46" t="s">
        <v>1718</v>
      </c>
      <c r="F21" s="24" t="str">
        <f>HYPERLINK("https://mapwv.gov/flood/map/?wkid=102100&amp;x=-8931632.567360923&amp;y=4717046.774675827&amp;l=13&amp;v=2","FT")</f>
        <v>FT</v>
      </c>
      <c r="G21" s="29" t="s">
        <v>37</v>
      </c>
      <c r="H21" s="29" t="s">
        <v>24</v>
      </c>
      <c r="I21" s="2" t="s">
        <v>1781</v>
      </c>
      <c r="J21" s="22" t="s">
        <v>25</v>
      </c>
      <c r="K21" s="47" t="s">
        <v>114</v>
      </c>
      <c r="L21" s="47" t="s">
        <v>26</v>
      </c>
      <c r="M21" s="46" t="s">
        <v>62</v>
      </c>
      <c r="N21" s="3" t="s">
        <v>34</v>
      </c>
      <c r="O21" s="47" t="s">
        <v>90</v>
      </c>
      <c r="P21" s="46" t="s">
        <v>1845</v>
      </c>
      <c r="Q21" s="46" t="s">
        <v>29</v>
      </c>
      <c r="R21" s="29" t="s">
        <v>92</v>
      </c>
      <c r="S21" s="30">
        <v>1229400</v>
      </c>
      <c r="T21" s="2" t="s">
        <v>43</v>
      </c>
      <c r="U21" s="31">
        <v>2</v>
      </c>
      <c r="V21" s="31">
        <v>1</v>
      </c>
      <c r="W21" s="32">
        <v>0.05</v>
      </c>
      <c r="X21" s="33">
        <v>61470</v>
      </c>
    </row>
    <row r="22" spans="1:24" x14ac:dyDescent="0.25">
      <c r="A22" s="22" t="s">
        <v>1580</v>
      </c>
      <c r="B22" s="2" t="s">
        <v>1629</v>
      </c>
      <c r="C22" s="2" t="s">
        <v>1632</v>
      </c>
      <c r="D22" s="46" t="s">
        <v>1656</v>
      </c>
      <c r="E22" s="46" t="s">
        <v>1719</v>
      </c>
      <c r="F22" s="24" t="str">
        <f>HYPERLINK("https://mapwv.gov/flood/map/?wkid=102100&amp;x=-8933774.55184456&amp;y=4721462.1121004205&amp;l=13&amp;v=2","FT")</f>
        <v>FT</v>
      </c>
      <c r="G22" s="29" t="s">
        <v>31</v>
      </c>
      <c r="H22" s="29" t="s">
        <v>24</v>
      </c>
      <c r="I22" s="2" t="s">
        <v>1782</v>
      </c>
      <c r="J22" s="22" t="s">
        <v>25</v>
      </c>
      <c r="K22" s="47" t="s">
        <v>131</v>
      </c>
      <c r="L22" s="47" t="s">
        <v>45</v>
      </c>
      <c r="M22" s="46" t="s">
        <v>46</v>
      </c>
      <c r="N22" s="3" t="s">
        <v>34</v>
      </c>
      <c r="O22" s="47" t="s">
        <v>90</v>
      </c>
      <c r="P22" s="46" t="s">
        <v>1846</v>
      </c>
      <c r="Q22" s="46" t="s">
        <v>29</v>
      </c>
      <c r="R22" s="29" t="s">
        <v>92</v>
      </c>
      <c r="S22" s="30">
        <v>1185100</v>
      </c>
      <c r="T22" s="2" t="s">
        <v>43</v>
      </c>
      <c r="U22" s="31">
        <v>2</v>
      </c>
      <c r="V22" s="31">
        <v>1</v>
      </c>
      <c r="W22" s="32">
        <v>0.09</v>
      </c>
      <c r="X22" s="33">
        <v>106659</v>
      </c>
    </row>
    <row r="23" spans="1:24" x14ac:dyDescent="0.25">
      <c r="A23" s="22" t="s">
        <v>1581</v>
      </c>
      <c r="B23" s="2" t="s">
        <v>1628</v>
      </c>
      <c r="C23" s="2" t="s">
        <v>1630</v>
      </c>
      <c r="D23" s="46" t="s">
        <v>1657</v>
      </c>
      <c r="E23" s="46" t="s">
        <v>1720</v>
      </c>
      <c r="F23" s="24" t="str">
        <f>HYPERLINK("https://mapwv.gov/flood/map/?wkid=102100&amp;x=-8930601.076840408&amp;y=4717881.018051191&amp;l=13&amp;v=2","FT")</f>
        <v>FT</v>
      </c>
      <c r="G23" s="29" t="s">
        <v>37</v>
      </c>
      <c r="H23" s="29" t="s">
        <v>24</v>
      </c>
      <c r="I23" s="2" t="s">
        <v>1783</v>
      </c>
      <c r="J23" s="22" t="s">
        <v>38</v>
      </c>
      <c r="K23" s="47" t="s">
        <v>84</v>
      </c>
      <c r="L23" s="47"/>
      <c r="M23" s="46" t="s">
        <v>27</v>
      </c>
      <c r="N23" s="3" t="s">
        <v>87</v>
      </c>
      <c r="O23" s="47" t="s">
        <v>90</v>
      </c>
      <c r="P23" s="46" t="s">
        <v>1847</v>
      </c>
      <c r="Q23" s="46" t="s">
        <v>29</v>
      </c>
      <c r="R23" s="29" t="s">
        <v>92</v>
      </c>
      <c r="S23" s="30">
        <v>1098430</v>
      </c>
      <c r="T23" s="2" t="s">
        <v>30</v>
      </c>
      <c r="U23" s="31">
        <v>7</v>
      </c>
      <c r="V23" s="31">
        <v>6</v>
      </c>
      <c r="W23" s="32">
        <v>0.15</v>
      </c>
      <c r="X23" s="33">
        <v>164764.5</v>
      </c>
    </row>
    <row r="24" spans="1:24" x14ac:dyDescent="0.25">
      <c r="A24" s="22" t="s">
        <v>1582</v>
      </c>
      <c r="B24" s="2" t="s">
        <v>1628</v>
      </c>
      <c r="C24" s="2" t="s">
        <v>1630</v>
      </c>
      <c r="D24" s="46" t="s">
        <v>1658</v>
      </c>
      <c r="E24" s="46" t="s">
        <v>1721</v>
      </c>
      <c r="F24" s="24" t="str">
        <f>HYPERLINK("https://mapwv.gov/flood/map/?wkid=102100&amp;x=-8930689.294419916&amp;y=4720839.932836989&amp;l=13&amp;v=2","FT")</f>
        <v>FT</v>
      </c>
      <c r="G24" s="29" t="s">
        <v>31</v>
      </c>
      <c r="H24" s="29" t="s">
        <v>24</v>
      </c>
      <c r="I24" s="2" t="s">
        <v>1784</v>
      </c>
      <c r="J24" s="22" t="s">
        <v>38</v>
      </c>
      <c r="K24" s="47" t="s">
        <v>77</v>
      </c>
      <c r="L24" s="47" t="s">
        <v>26</v>
      </c>
      <c r="M24" s="46" t="s">
        <v>61</v>
      </c>
      <c r="N24" s="3" t="s">
        <v>41</v>
      </c>
      <c r="O24" s="47" t="s">
        <v>91</v>
      </c>
      <c r="P24" s="46" t="s">
        <v>1848</v>
      </c>
      <c r="Q24" s="46" t="s">
        <v>29</v>
      </c>
      <c r="R24" s="29" t="s">
        <v>1892</v>
      </c>
      <c r="S24" s="30">
        <v>1073100</v>
      </c>
      <c r="T24" s="2" t="s">
        <v>43</v>
      </c>
      <c r="U24" s="31">
        <v>0</v>
      </c>
      <c r="V24" s="31">
        <v>-7</v>
      </c>
      <c r="W24" s="32">
        <v>0</v>
      </c>
      <c r="X24" s="33">
        <v>0</v>
      </c>
    </row>
    <row r="25" spans="1:24" x14ac:dyDescent="0.25">
      <c r="A25" s="22" t="s">
        <v>1583</v>
      </c>
      <c r="B25" s="2" t="s">
        <v>1628</v>
      </c>
      <c r="C25" s="2" t="s">
        <v>1630</v>
      </c>
      <c r="D25" s="46" t="s">
        <v>1659</v>
      </c>
      <c r="E25" s="46" t="s">
        <v>1722</v>
      </c>
      <c r="F25" s="24" t="str">
        <f>HYPERLINK("https://mapwv.gov/flood/map/?wkid=102100&amp;x=-8931959.139117172&amp;y=4721362.635340691&amp;l=13&amp;v=2","FT")</f>
        <v>FT</v>
      </c>
      <c r="G25" s="29" t="s">
        <v>31</v>
      </c>
      <c r="H25" s="29" t="s">
        <v>24</v>
      </c>
      <c r="I25" s="2" t="s">
        <v>1785</v>
      </c>
      <c r="J25" s="22" t="s">
        <v>25</v>
      </c>
      <c r="K25" s="47" t="s">
        <v>127</v>
      </c>
      <c r="L25" s="47" t="s">
        <v>44</v>
      </c>
      <c r="M25" s="46" t="s">
        <v>62</v>
      </c>
      <c r="N25" s="3" t="s">
        <v>34</v>
      </c>
      <c r="O25" s="47" t="s">
        <v>90</v>
      </c>
      <c r="P25" s="46" t="s">
        <v>1849</v>
      </c>
      <c r="Q25" s="46" t="s">
        <v>29</v>
      </c>
      <c r="R25" s="29" t="s">
        <v>92</v>
      </c>
      <c r="S25" s="30">
        <v>1047800</v>
      </c>
      <c r="T25" s="2" t="s">
        <v>43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25">
      <c r="A26" s="22" t="s">
        <v>1584</v>
      </c>
      <c r="B26" s="2" t="s">
        <v>1629</v>
      </c>
      <c r="C26" s="2" t="s">
        <v>1630</v>
      </c>
      <c r="D26" s="46" t="s">
        <v>1660</v>
      </c>
      <c r="E26" s="46" t="s">
        <v>1723</v>
      </c>
      <c r="F26" s="24" t="str">
        <f>HYPERLINK("https://mapwv.gov/flood/map/?wkid=102100&amp;x=-8931842.285711851&amp;y=4720659.063597539&amp;l=13&amp;v=2","FT")</f>
        <v>FT</v>
      </c>
      <c r="G26" s="29" t="s">
        <v>31</v>
      </c>
      <c r="H26" s="29" t="s">
        <v>24</v>
      </c>
      <c r="I26" s="2" t="s">
        <v>1786</v>
      </c>
      <c r="J26" s="22" t="s">
        <v>25</v>
      </c>
      <c r="K26" s="47" t="s">
        <v>124</v>
      </c>
      <c r="L26" s="47" t="s">
        <v>49</v>
      </c>
      <c r="M26" s="46" t="s">
        <v>55</v>
      </c>
      <c r="N26" s="3" t="s">
        <v>34</v>
      </c>
      <c r="O26" s="47" t="s">
        <v>91</v>
      </c>
      <c r="P26" s="46" t="s">
        <v>1850</v>
      </c>
      <c r="Q26" s="46" t="s">
        <v>29</v>
      </c>
      <c r="R26" s="29" t="s">
        <v>92</v>
      </c>
      <c r="S26" s="30">
        <v>1045400</v>
      </c>
      <c r="T26" s="2" t="s">
        <v>43</v>
      </c>
      <c r="U26" s="31">
        <v>0.10498047000000001</v>
      </c>
      <c r="V26" s="31">
        <v>-0.89501953125</v>
      </c>
      <c r="W26" s="32">
        <v>2.0996093749999999E-3</v>
      </c>
      <c r="X26" s="33">
        <v>2194.931640625</v>
      </c>
    </row>
    <row r="27" spans="1:24" x14ac:dyDescent="0.25">
      <c r="A27" s="22" t="s">
        <v>1585</v>
      </c>
      <c r="B27" s="2" t="s">
        <v>1628</v>
      </c>
      <c r="C27" s="2" t="s">
        <v>1631</v>
      </c>
      <c r="D27" s="46" t="s">
        <v>1661</v>
      </c>
      <c r="E27" s="46" t="s">
        <v>1724</v>
      </c>
      <c r="F27" s="24" t="str">
        <f>HYPERLINK("https://mapwv.gov/flood/map/?wkid=102100&amp;x=-8931542.716056565&amp;y=4722165.177343422&amp;l=13&amp;v=2","FT")</f>
        <v>FT</v>
      </c>
      <c r="G27" s="29" t="s">
        <v>37</v>
      </c>
      <c r="H27" s="29" t="s">
        <v>24</v>
      </c>
      <c r="I27" s="2" t="s">
        <v>1787</v>
      </c>
      <c r="J27" s="22" t="s">
        <v>25</v>
      </c>
      <c r="K27" s="47" t="s">
        <v>114</v>
      </c>
      <c r="L27" s="47" t="s">
        <v>56</v>
      </c>
      <c r="M27" s="46" t="s">
        <v>46</v>
      </c>
      <c r="N27" s="3" t="s">
        <v>34</v>
      </c>
      <c r="O27" s="47" t="s">
        <v>90</v>
      </c>
      <c r="P27" s="46" t="s">
        <v>1851</v>
      </c>
      <c r="Q27" s="46" t="s">
        <v>29</v>
      </c>
      <c r="R27" s="29" t="s">
        <v>92</v>
      </c>
      <c r="S27" s="30">
        <v>811100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25">
      <c r="A28" s="22" t="s">
        <v>1586</v>
      </c>
      <c r="B28" s="2" t="s">
        <v>1628</v>
      </c>
      <c r="C28" s="2" t="s">
        <v>1630</v>
      </c>
      <c r="D28" s="46" t="s">
        <v>1662</v>
      </c>
      <c r="E28" s="46" t="s">
        <v>1725</v>
      </c>
      <c r="F28" s="24" t="str">
        <f>HYPERLINK("https://mapwv.gov/flood/map/?wkid=102100&amp;x=-8929494.010515725&amp;y=4720327.500119588&amp;l=13&amp;v=2","FT")</f>
        <v>FT</v>
      </c>
      <c r="G28" s="29" t="s">
        <v>31</v>
      </c>
      <c r="H28" s="29" t="s">
        <v>24</v>
      </c>
      <c r="I28" s="2" t="s">
        <v>1788</v>
      </c>
      <c r="J28" s="22" t="s">
        <v>25</v>
      </c>
      <c r="K28" s="47" t="s">
        <v>109</v>
      </c>
      <c r="L28" s="47" t="s">
        <v>49</v>
      </c>
      <c r="M28" s="46" t="s">
        <v>176</v>
      </c>
      <c r="N28" s="3" t="s">
        <v>86</v>
      </c>
      <c r="O28" s="47" t="s">
        <v>90</v>
      </c>
      <c r="P28" s="46" t="s">
        <v>1852</v>
      </c>
      <c r="Q28" s="46" t="s">
        <v>29</v>
      </c>
      <c r="R28" s="29" t="s">
        <v>92</v>
      </c>
      <c r="S28" s="30">
        <v>592500</v>
      </c>
      <c r="T28" s="2" t="s">
        <v>43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25">
      <c r="A29" s="22" t="s">
        <v>1587</v>
      </c>
      <c r="B29" s="2" t="s">
        <v>1628</v>
      </c>
      <c r="C29" s="2" t="s">
        <v>1631</v>
      </c>
      <c r="D29" s="46" t="s">
        <v>1663</v>
      </c>
      <c r="E29" s="46" t="s">
        <v>1726</v>
      </c>
      <c r="F29" s="24" t="str">
        <f>HYPERLINK("https://mapwv.gov/flood/map/?wkid=102100&amp;x=-8931552.401520181&amp;y=4722235.521001832&amp;l=13&amp;v=2","FT")</f>
        <v>FT</v>
      </c>
      <c r="G29" s="29" t="s">
        <v>37</v>
      </c>
      <c r="H29" s="29" t="s">
        <v>24</v>
      </c>
      <c r="I29" s="2" t="s">
        <v>1789</v>
      </c>
      <c r="J29" s="22" t="s">
        <v>25</v>
      </c>
      <c r="K29" s="47" t="s">
        <v>127</v>
      </c>
      <c r="L29" s="47" t="s">
        <v>44</v>
      </c>
      <c r="M29" s="46" t="s">
        <v>46</v>
      </c>
      <c r="N29" s="3" t="s">
        <v>34</v>
      </c>
      <c r="O29" s="47" t="s">
        <v>90</v>
      </c>
      <c r="P29" s="46" t="s">
        <v>1853</v>
      </c>
      <c r="Q29" s="46" t="s">
        <v>29</v>
      </c>
      <c r="R29" s="29" t="s">
        <v>92</v>
      </c>
      <c r="S29" s="30">
        <v>562500</v>
      </c>
      <c r="T29" s="2" t="s">
        <v>43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25">
      <c r="A30" s="22" t="s">
        <v>1588</v>
      </c>
      <c r="B30" s="2" t="s">
        <v>1628</v>
      </c>
      <c r="C30" s="2" t="s">
        <v>1630</v>
      </c>
      <c r="D30" s="46" t="s">
        <v>1664</v>
      </c>
      <c r="E30" s="46" t="s">
        <v>1727</v>
      </c>
      <c r="F30" s="24" t="str">
        <f>HYPERLINK("https://mapwv.gov/flood/map/?wkid=102100&amp;x=-8931213.134443926&amp;y=4720448.631353763&amp;l=13&amp;v=2","FT")</f>
        <v>FT</v>
      </c>
      <c r="G30" s="29" t="s">
        <v>31</v>
      </c>
      <c r="H30" s="29" t="s">
        <v>24</v>
      </c>
      <c r="I30" s="2" t="s">
        <v>1790</v>
      </c>
      <c r="J30" s="22" t="s">
        <v>25</v>
      </c>
      <c r="K30" s="47" t="s">
        <v>166</v>
      </c>
      <c r="L30" s="47" t="s">
        <v>49</v>
      </c>
      <c r="M30" s="46" t="s">
        <v>46</v>
      </c>
      <c r="N30" s="3" t="s">
        <v>34</v>
      </c>
      <c r="O30" s="47" t="s">
        <v>90</v>
      </c>
      <c r="P30" s="46" t="s">
        <v>1854</v>
      </c>
      <c r="Q30" s="46" t="s">
        <v>29</v>
      </c>
      <c r="R30" s="29" t="s">
        <v>92</v>
      </c>
      <c r="S30" s="30">
        <v>549200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25">
      <c r="A31" s="22" t="s">
        <v>1589</v>
      </c>
      <c r="B31" s="2" t="s">
        <v>1628</v>
      </c>
      <c r="C31" s="2" t="s">
        <v>1630</v>
      </c>
      <c r="D31" s="46" t="s">
        <v>1665</v>
      </c>
      <c r="E31" s="46" t="s">
        <v>1728</v>
      </c>
      <c r="F31" s="24" t="str">
        <f>HYPERLINK("https://mapwv.gov/flood/map/?wkid=102100&amp;x=-8930468.716296066&amp;y=4721628.581337536&amp;l=13&amp;v=2","FT")</f>
        <v>FT</v>
      </c>
      <c r="G31" s="29" t="s">
        <v>31</v>
      </c>
      <c r="H31" s="29" t="s">
        <v>24</v>
      </c>
      <c r="I31" s="2" t="s">
        <v>1791</v>
      </c>
      <c r="J31" s="22" t="s">
        <v>38</v>
      </c>
      <c r="K31" s="47" t="s">
        <v>81</v>
      </c>
      <c r="L31" s="47" t="s">
        <v>26</v>
      </c>
      <c r="M31" s="46" t="s">
        <v>57</v>
      </c>
      <c r="N31" s="3" t="s">
        <v>88</v>
      </c>
      <c r="O31" s="47" t="s">
        <v>90</v>
      </c>
      <c r="P31" s="46" t="s">
        <v>1855</v>
      </c>
      <c r="Q31" s="46" t="s">
        <v>29</v>
      </c>
      <c r="R31" s="29" t="s">
        <v>92</v>
      </c>
      <c r="S31" s="30">
        <v>537600</v>
      </c>
      <c r="T31" s="2" t="s">
        <v>43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25">
      <c r="A32" s="22" t="s">
        <v>1590</v>
      </c>
      <c r="B32" s="2" t="s">
        <v>1629</v>
      </c>
      <c r="C32" s="2" t="s">
        <v>1630</v>
      </c>
      <c r="D32" s="46" t="s">
        <v>1666</v>
      </c>
      <c r="E32" s="46" t="s">
        <v>1729</v>
      </c>
      <c r="F32" s="24" t="str">
        <f>HYPERLINK("https://mapwv.gov/flood/map/?wkid=102100&amp;x=-8928991.259412648&amp;y=4719770.322760619&amp;l=13&amp;v=2","FT")</f>
        <v>FT</v>
      </c>
      <c r="G32" s="29" t="s">
        <v>31</v>
      </c>
      <c r="H32" s="29" t="s">
        <v>24</v>
      </c>
      <c r="I32" s="2" t="s">
        <v>1792</v>
      </c>
      <c r="J32" s="22" t="s">
        <v>38</v>
      </c>
      <c r="K32" s="47" t="s">
        <v>126</v>
      </c>
      <c r="L32" s="47" t="s">
        <v>56</v>
      </c>
      <c r="M32" s="46" t="s">
        <v>156</v>
      </c>
      <c r="N32" s="3" t="s">
        <v>41</v>
      </c>
      <c r="O32" s="47" t="s">
        <v>91</v>
      </c>
      <c r="P32" s="46" t="s">
        <v>1856</v>
      </c>
      <c r="Q32" s="46" t="s">
        <v>29</v>
      </c>
      <c r="R32" s="29" t="s">
        <v>92</v>
      </c>
      <c r="S32" s="30">
        <v>532100</v>
      </c>
      <c r="T32" s="2" t="s">
        <v>43</v>
      </c>
      <c r="U32" s="31">
        <v>0</v>
      </c>
      <c r="V32" s="31">
        <v>-1</v>
      </c>
      <c r="W32" s="32">
        <v>0</v>
      </c>
      <c r="X32" s="33">
        <v>0</v>
      </c>
    </row>
    <row r="33" spans="1:24" x14ac:dyDescent="0.25">
      <c r="A33" s="22" t="s">
        <v>1591</v>
      </c>
      <c r="B33" s="2" t="s">
        <v>1629</v>
      </c>
      <c r="C33" s="2" t="s">
        <v>1630</v>
      </c>
      <c r="D33" s="46" t="s">
        <v>1667</v>
      </c>
      <c r="E33" s="46" t="s">
        <v>1730</v>
      </c>
      <c r="F33" s="24" t="str">
        <f>HYPERLINK("https://mapwv.gov/flood/map/?wkid=102100&amp;x=-8929070.471134031&amp;y=4722440.077896049&amp;l=13&amp;v=2","FT")</f>
        <v>FT</v>
      </c>
      <c r="G33" s="29" t="s">
        <v>37</v>
      </c>
      <c r="H33" s="29" t="s">
        <v>24</v>
      </c>
      <c r="I33" s="2" t="s">
        <v>1793</v>
      </c>
      <c r="J33" s="22" t="s">
        <v>25</v>
      </c>
      <c r="K33" s="47" t="s">
        <v>98</v>
      </c>
      <c r="L33" s="47" t="s">
        <v>52</v>
      </c>
      <c r="M33" s="46" t="s">
        <v>62</v>
      </c>
      <c r="N33" s="3" t="s">
        <v>34</v>
      </c>
      <c r="O33" s="47" t="s">
        <v>90</v>
      </c>
      <c r="P33" s="46" t="s">
        <v>1857</v>
      </c>
      <c r="Q33" s="46" t="s">
        <v>29</v>
      </c>
      <c r="R33" s="29" t="s">
        <v>92</v>
      </c>
      <c r="S33" s="30">
        <v>513700</v>
      </c>
      <c r="T33" s="2" t="s">
        <v>43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25">
      <c r="A34" s="22" t="s">
        <v>1592</v>
      </c>
      <c r="B34" s="2" t="s">
        <v>1629</v>
      </c>
      <c r="C34" s="2" t="s">
        <v>1632</v>
      </c>
      <c r="D34" s="46" t="s">
        <v>1668</v>
      </c>
      <c r="E34" s="46" t="s">
        <v>1731</v>
      </c>
      <c r="F34" s="24" t="str">
        <f>HYPERLINK("https://mapwv.gov/flood/map/?wkid=102100&amp;x=-8934662.130419808&amp;y=4721989.654024866&amp;l=13&amp;v=2","FT")</f>
        <v>FT</v>
      </c>
      <c r="G34" s="29" t="s">
        <v>31</v>
      </c>
      <c r="H34" s="29" t="s">
        <v>24</v>
      </c>
      <c r="I34" s="2" t="s">
        <v>1794</v>
      </c>
      <c r="J34" s="22" t="s">
        <v>25</v>
      </c>
      <c r="K34" s="47" t="s">
        <v>101</v>
      </c>
      <c r="L34" s="47" t="s">
        <v>44</v>
      </c>
      <c r="M34" s="46" t="s">
        <v>46</v>
      </c>
      <c r="N34" s="3" t="s">
        <v>34</v>
      </c>
      <c r="O34" s="47" t="s">
        <v>90</v>
      </c>
      <c r="P34" s="46" t="s">
        <v>1858</v>
      </c>
      <c r="Q34" s="46" t="s">
        <v>29</v>
      </c>
      <c r="R34" s="29" t="s">
        <v>92</v>
      </c>
      <c r="S34" s="30">
        <v>506100</v>
      </c>
      <c r="T34" s="2" t="s">
        <v>43</v>
      </c>
      <c r="U34" s="31">
        <v>5</v>
      </c>
      <c r="V34" s="31">
        <v>4</v>
      </c>
      <c r="W34" s="32">
        <v>0.18</v>
      </c>
      <c r="X34" s="33">
        <v>91098</v>
      </c>
    </row>
    <row r="35" spans="1:24" x14ac:dyDescent="0.25">
      <c r="A35" s="22" t="s">
        <v>1593</v>
      </c>
      <c r="B35" s="2" t="s">
        <v>1628</v>
      </c>
      <c r="C35" s="2" t="s">
        <v>1630</v>
      </c>
      <c r="D35" s="46" t="s">
        <v>1669</v>
      </c>
      <c r="E35" s="46" t="s">
        <v>1732</v>
      </c>
      <c r="F35" s="24" t="str">
        <f>HYPERLINK("https://mapwv.gov/flood/map/?wkid=102100&amp;x=-8931076.055177683&amp;y=4720574.549068963&amp;l=13&amp;v=2","FT")</f>
        <v>FT</v>
      </c>
      <c r="G35" s="29" t="s">
        <v>31</v>
      </c>
      <c r="H35" s="29" t="s">
        <v>24</v>
      </c>
      <c r="I35" s="2" t="s">
        <v>1795</v>
      </c>
      <c r="J35" s="22" t="s">
        <v>25</v>
      </c>
      <c r="K35" s="47" t="s">
        <v>78</v>
      </c>
      <c r="L35" s="47" t="s">
        <v>56</v>
      </c>
      <c r="M35" s="46" t="s">
        <v>62</v>
      </c>
      <c r="N35" s="3" t="s">
        <v>34</v>
      </c>
      <c r="O35" s="47" t="s">
        <v>90</v>
      </c>
      <c r="P35" s="46" t="s">
        <v>1859</v>
      </c>
      <c r="Q35" s="46" t="s">
        <v>29</v>
      </c>
      <c r="R35" s="29" t="s">
        <v>92</v>
      </c>
      <c r="S35" s="30">
        <v>505600</v>
      </c>
      <c r="T35" s="2" t="s">
        <v>43</v>
      </c>
      <c r="U35" s="31">
        <v>3.2760009999999999</v>
      </c>
      <c r="V35" s="31">
        <v>2.2760009765625</v>
      </c>
      <c r="W35" s="32">
        <v>8.8280029296875007E-2</v>
      </c>
      <c r="X35" s="33">
        <v>44634.3828125</v>
      </c>
    </row>
    <row r="36" spans="1:24" x14ac:dyDescent="0.25">
      <c r="A36" s="22" t="s">
        <v>1594</v>
      </c>
      <c r="B36" s="2" t="s">
        <v>1629</v>
      </c>
      <c r="C36" s="2" t="s">
        <v>1636</v>
      </c>
      <c r="D36" s="46" t="s">
        <v>1670</v>
      </c>
      <c r="E36" s="46" t="s">
        <v>1733</v>
      </c>
      <c r="F36" s="24" t="str">
        <f>HYPERLINK("https://mapwv.gov/flood/map/?wkid=102100&amp;x=-8925567.328244632&amp;y=4730816.927499124&amp;l=13&amp;v=2","FT")</f>
        <v>FT</v>
      </c>
      <c r="G36" s="29" t="s">
        <v>37</v>
      </c>
      <c r="H36" s="29" t="s">
        <v>24</v>
      </c>
      <c r="I36" s="2" t="s">
        <v>1796</v>
      </c>
      <c r="J36" s="22" t="s">
        <v>38</v>
      </c>
      <c r="K36" s="47" t="s">
        <v>81</v>
      </c>
      <c r="L36" s="47"/>
      <c r="M36" s="46" t="s">
        <v>59</v>
      </c>
      <c r="N36" s="3" t="s">
        <v>86</v>
      </c>
      <c r="O36" s="47" t="s">
        <v>90</v>
      </c>
      <c r="P36" s="46" t="s">
        <v>1860</v>
      </c>
      <c r="Q36" s="46" t="s">
        <v>29</v>
      </c>
      <c r="R36" s="29" t="s">
        <v>92</v>
      </c>
      <c r="S36" s="30">
        <v>493300</v>
      </c>
      <c r="T36" s="2" t="s">
        <v>43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25">
      <c r="A37" s="22" t="s">
        <v>1595</v>
      </c>
      <c r="B37" s="2" t="s">
        <v>1629</v>
      </c>
      <c r="C37" s="2" t="s">
        <v>1634</v>
      </c>
      <c r="D37" s="46" t="s">
        <v>1671</v>
      </c>
      <c r="E37" s="46" t="s">
        <v>1734</v>
      </c>
      <c r="F37" s="24" t="str">
        <f>HYPERLINK("https://mapwv.gov/flood/map/?wkid=102100&amp;x=-8931915.71739131&amp;y=4716987.651998583&amp;l=13&amp;v=2","FT")</f>
        <v>FT</v>
      </c>
      <c r="G37" s="29" t="s">
        <v>37</v>
      </c>
      <c r="H37" s="29" t="s">
        <v>24</v>
      </c>
      <c r="I37" s="2" t="s">
        <v>976</v>
      </c>
      <c r="J37" s="22" t="s">
        <v>25</v>
      </c>
      <c r="K37" s="47" t="s">
        <v>102</v>
      </c>
      <c r="L37" s="47" t="s">
        <v>26</v>
      </c>
      <c r="M37" s="46" t="s">
        <v>62</v>
      </c>
      <c r="N37" s="3" t="s">
        <v>34</v>
      </c>
      <c r="O37" s="47" t="s">
        <v>90</v>
      </c>
      <c r="P37" s="46" t="s">
        <v>1861</v>
      </c>
      <c r="Q37" s="46" t="s">
        <v>29</v>
      </c>
      <c r="R37" s="29" t="s">
        <v>92</v>
      </c>
      <c r="S37" s="30">
        <v>474700</v>
      </c>
      <c r="T37" s="2" t="s">
        <v>43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25">
      <c r="A38" s="22" t="s">
        <v>1596</v>
      </c>
      <c r="B38" s="2" t="s">
        <v>1628</v>
      </c>
      <c r="C38" s="2" t="s">
        <v>1630</v>
      </c>
      <c r="D38" s="46" t="s">
        <v>1672</v>
      </c>
      <c r="E38" s="46" t="s">
        <v>1735</v>
      </c>
      <c r="F38" s="24" t="str">
        <f>HYPERLINK("https://mapwv.gov/flood/map/?wkid=102100&amp;x=-8931578.798711034&amp;y=4720957.287884598&amp;l=13&amp;v=2","FT")</f>
        <v>FT</v>
      </c>
      <c r="G38" s="29" t="s">
        <v>31</v>
      </c>
      <c r="H38" s="29" t="s">
        <v>24</v>
      </c>
      <c r="I38" s="2" t="s">
        <v>1797</v>
      </c>
      <c r="J38" s="22" t="s">
        <v>38</v>
      </c>
      <c r="K38" s="47" t="s">
        <v>711</v>
      </c>
      <c r="L38" s="47" t="s">
        <v>48</v>
      </c>
      <c r="M38" s="46" t="s">
        <v>61</v>
      </c>
      <c r="N38" s="3" t="s">
        <v>41</v>
      </c>
      <c r="O38" s="47" t="s">
        <v>91</v>
      </c>
      <c r="P38" s="46" t="s">
        <v>1862</v>
      </c>
      <c r="Q38" s="46" t="s">
        <v>29</v>
      </c>
      <c r="R38" s="29" t="s">
        <v>92</v>
      </c>
      <c r="S38" s="30">
        <v>471500</v>
      </c>
      <c r="T38" s="2" t="s">
        <v>43</v>
      </c>
      <c r="U38" s="31">
        <v>6.4697265999999996E-3</v>
      </c>
      <c r="V38" s="31">
        <v>-0.9935302734375</v>
      </c>
      <c r="W38" s="32">
        <v>0</v>
      </c>
      <c r="X38" s="33">
        <v>0</v>
      </c>
    </row>
    <row r="39" spans="1:24" x14ac:dyDescent="0.25">
      <c r="A39" s="22" t="s">
        <v>1597</v>
      </c>
      <c r="B39" s="2" t="s">
        <v>1628</v>
      </c>
      <c r="C39" s="2" t="s">
        <v>1630</v>
      </c>
      <c r="D39" s="46" t="s">
        <v>1673</v>
      </c>
      <c r="E39" s="46" t="s">
        <v>1736</v>
      </c>
      <c r="F39" s="24" t="str">
        <f>HYPERLINK("https://mapwv.gov/flood/map/?wkid=102100&amp;x=-8931519.905913662&amp;y=4721351.490071687&amp;l=13&amp;v=2","FT")</f>
        <v>FT</v>
      </c>
      <c r="G39" s="29" t="s">
        <v>31</v>
      </c>
      <c r="H39" s="29" t="s">
        <v>24</v>
      </c>
      <c r="I39" s="2" t="s">
        <v>1798</v>
      </c>
      <c r="J39" s="22" t="s">
        <v>25</v>
      </c>
      <c r="K39" s="47" t="s">
        <v>109</v>
      </c>
      <c r="L39" s="47" t="s">
        <v>44</v>
      </c>
      <c r="M39" s="46" t="s">
        <v>50</v>
      </c>
      <c r="N39" s="3" t="s">
        <v>34</v>
      </c>
      <c r="O39" s="47" t="s">
        <v>90</v>
      </c>
      <c r="P39" s="46" t="s">
        <v>1863</v>
      </c>
      <c r="Q39" s="46" t="s">
        <v>29</v>
      </c>
      <c r="R39" s="29" t="s">
        <v>92</v>
      </c>
      <c r="S39" s="30">
        <v>455700</v>
      </c>
      <c r="T39" s="2" t="s">
        <v>43</v>
      </c>
      <c r="U39" s="31">
        <v>0</v>
      </c>
      <c r="V39" s="31">
        <v>-1</v>
      </c>
      <c r="W39" s="32">
        <v>0</v>
      </c>
      <c r="X39" s="33">
        <v>0</v>
      </c>
    </row>
    <row r="40" spans="1:24" x14ac:dyDescent="0.25">
      <c r="A40" s="22" t="s">
        <v>1598</v>
      </c>
      <c r="B40" s="2" t="s">
        <v>1628</v>
      </c>
      <c r="C40" s="2" t="s">
        <v>1630</v>
      </c>
      <c r="D40" s="46" t="s">
        <v>1674</v>
      </c>
      <c r="E40" s="46" t="s">
        <v>1737</v>
      </c>
      <c r="F40" s="24" t="str">
        <f>HYPERLINK("https://mapwv.gov/flood/map/?wkid=102100&amp;x=-8931763.475408552&amp;y=4720882.089139608&amp;l=13&amp;v=2","FT")</f>
        <v>FT</v>
      </c>
      <c r="G40" s="29" t="s">
        <v>31</v>
      </c>
      <c r="H40" s="29" t="s">
        <v>24</v>
      </c>
      <c r="I40" s="2" t="s">
        <v>1799</v>
      </c>
      <c r="J40" s="22" t="s">
        <v>38</v>
      </c>
      <c r="K40" s="47" t="s">
        <v>711</v>
      </c>
      <c r="L40" s="47" t="s">
        <v>26</v>
      </c>
      <c r="M40" s="46" t="s">
        <v>55</v>
      </c>
      <c r="N40" s="3" t="s">
        <v>34</v>
      </c>
      <c r="O40" s="47" t="s">
        <v>90</v>
      </c>
      <c r="P40" s="46" t="s">
        <v>1864</v>
      </c>
      <c r="Q40" s="46" t="s">
        <v>29</v>
      </c>
      <c r="R40" s="29" t="s">
        <v>92</v>
      </c>
      <c r="S40" s="30">
        <v>455000</v>
      </c>
      <c r="T40" s="2" t="s">
        <v>43</v>
      </c>
      <c r="U40" s="31">
        <v>0</v>
      </c>
      <c r="V40" s="31">
        <v>-1</v>
      </c>
      <c r="W40" s="32">
        <v>0</v>
      </c>
      <c r="X40" s="33">
        <v>0</v>
      </c>
    </row>
    <row r="41" spans="1:24" x14ac:dyDescent="0.25">
      <c r="A41" s="22" t="s">
        <v>1599</v>
      </c>
      <c r="B41" s="2" t="s">
        <v>1628</v>
      </c>
      <c r="C41" s="2" t="s">
        <v>1630</v>
      </c>
      <c r="D41" s="46" t="s">
        <v>1675</v>
      </c>
      <c r="E41" s="46" t="s">
        <v>1738</v>
      </c>
      <c r="F41" s="24" t="str">
        <f>HYPERLINK("https://mapwv.gov/flood/map/?wkid=102100&amp;x=-8931935.432852367&amp;y=4721445.280592759&amp;l=13&amp;v=2","FT")</f>
        <v>FT</v>
      </c>
      <c r="G41" s="29" t="s">
        <v>31</v>
      </c>
      <c r="H41" s="29" t="s">
        <v>24</v>
      </c>
      <c r="I41" s="2" t="s">
        <v>1785</v>
      </c>
      <c r="J41" s="22" t="s">
        <v>25</v>
      </c>
      <c r="K41" s="47" t="s">
        <v>79</v>
      </c>
      <c r="L41" s="47" t="s">
        <v>44</v>
      </c>
      <c r="M41" s="46" t="s">
        <v>46</v>
      </c>
      <c r="N41" s="3" t="s">
        <v>34</v>
      </c>
      <c r="O41" s="47" t="s">
        <v>90</v>
      </c>
      <c r="P41" s="46" t="s">
        <v>1865</v>
      </c>
      <c r="Q41" s="46" t="s">
        <v>29</v>
      </c>
      <c r="R41" s="29" t="s">
        <v>92</v>
      </c>
      <c r="S41" s="30">
        <v>420700</v>
      </c>
      <c r="T41" s="2" t="s">
        <v>43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25">
      <c r="A42" s="22" t="s">
        <v>1600</v>
      </c>
      <c r="B42" s="2" t="s">
        <v>1629</v>
      </c>
      <c r="C42" s="2" t="s">
        <v>118</v>
      </c>
      <c r="D42" s="46" t="s">
        <v>1676</v>
      </c>
      <c r="E42" s="46" t="s">
        <v>1739</v>
      </c>
      <c r="F42" s="24" t="str">
        <f>HYPERLINK("https://mapwv.gov/flood/map/?wkid=102100&amp;x=-8933846.378408281&amp;y=4721214.539908888&amp;l=13&amp;v=2","FT")</f>
        <v>FT</v>
      </c>
      <c r="G42" s="29" t="s">
        <v>31</v>
      </c>
      <c r="H42" s="29" t="s">
        <v>24</v>
      </c>
      <c r="I42" s="2" t="s">
        <v>165</v>
      </c>
      <c r="J42" s="22" t="s">
        <v>25</v>
      </c>
      <c r="K42" s="47" t="s">
        <v>140</v>
      </c>
      <c r="L42" s="47" t="s">
        <v>45</v>
      </c>
      <c r="M42" s="46" t="s">
        <v>54</v>
      </c>
      <c r="N42" s="3" t="s">
        <v>34</v>
      </c>
      <c r="O42" s="47" t="s">
        <v>90</v>
      </c>
      <c r="P42" s="46" t="s">
        <v>1866</v>
      </c>
      <c r="Q42" s="46" t="s">
        <v>29</v>
      </c>
      <c r="R42" s="29" t="s">
        <v>92</v>
      </c>
      <c r="S42" s="30">
        <v>419700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25">
      <c r="A43" s="22" t="s">
        <v>1601</v>
      </c>
      <c r="B43" s="2" t="s">
        <v>1628</v>
      </c>
      <c r="C43" s="2" t="s">
        <v>1630</v>
      </c>
      <c r="D43" s="46" t="s">
        <v>1677</v>
      </c>
      <c r="E43" s="46" t="s">
        <v>1740</v>
      </c>
      <c r="F43" s="24" t="str">
        <f>HYPERLINK("https://mapwv.gov/flood/map/?wkid=102100&amp;x=-8931779.455989374&amp;y=4720805.354532994&amp;l=13&amp;v=2","FT")</f>
        <v>FT</v>
      </c>
      <c r="G43" s="29" t="s">
        <v>31</v>
      </c>
      <c r="H43" s="29" t="s">
        <v>24</v>
      </c>
      <c r="I43" s="2" t="s">
        <v>1800</v>
      </c>
      <c r="J43" s="22" t="s">
        <v>25</v>
      </c>
      <c r="K43" s="47" t="s">
        <v>131</v>
      </c>
      <c r="L43" s="47" t="s">
        <v>48</v>
      </c>
      <c r="M43" s="46" t="s">
        <v>50</v>
      </c>
      <c r="N43" s="3" t="s">
        <v>34</v>
      </c>
      <c r="O43" s="47" t="s">
        <v>90</v>
      </c>
      <c r="P43" s="46" t="s">
        <v>1867</v>
      </c>
      <c r="Q43" s="46" t="s">
        <v>29</v>
      </c>
      <c r="R43" s="29" t="s">
        <v>92</v>
      </c>
      <c r="S43" s="30">
        <v>403300</v>
      </c>
      <c r="T43" s="2" t="s">
        <v>43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25">
      <c r="A44" s="22" t="s">
        <v>1602</v>
      </c>
      <c r="B44" s="2" t="s">
        <v>1628</v>
      </c>
      <c r="C44" s="2" t="s">
        <v>1630</v>
      </c>
      <c r="D44" s="46" t="s">
        <v>1678</v>
      </c>
      <c r="E44" s="46" t="s">
        <v>1741</v>
      </c>
      <c r="F44" s="24" t="str">
        <f>HYPERLINK("https://mapwv.gov/flood/map/?wkid=102100&amp;x=-8930968.773690099&amp;y=4720752.9084404325&amp;l=13&amp;v=2","FT")</f>
        <v>FT</v>
      </c>
      <c r="G44" s="29" t="s">
        <v>31</v>
      </c>
      <c r="H44" s="29" t="s">
        <v>24</v>
      </c>
      <c r="I44" s="2" t="s">
        <v>1801</v>
      </c>
      <c r="J44" s="22" t="s">
        <v>38</v>
      </c>
      <c r="K44" s="47" t="s">
        <v>148</v>
      </c>
      <c r="L44" s="47" t="s">
        <v>26</v>
      </c>
      <c r="M44" s="46" t="s">
        <v>55</v>
      </c>
      <c r="N44" s="3" t="s">
        <v>34</v>
      </c>
      <c r="O44" s="47" t="s">
        <v>91</v>
      </c>
      <c r="P44" s="46" t="s">
        <v>1868</v>
      </c>
      <c r="Q44" s="46" t="s">
        <v>29</v>
      </c>
      <c r="R44" s="29" t="s">
        <v>92</v>
      </c>
      <c r="S44" s="30">
        <v>396800</v>
      </c>
      <c r="T44" s="2" t="s">
        <v>43</v>
      </c>
      <c r="U44" s="31">
        <v>0</v>
      </c>
      <c r="V44" s="31">
        <v>-1</v>
      </c>
      <c r="W44" s="32">
        <v>0</v>
      </c>
      <c r="X44" s="33">
        <v>0</v>
      </c>
    </row>
    <row r="45" spans="1:24" x14ac:dyDescent="0.25">
      <c r="A45" s="22" t="s">
        <v>1603</v>
      </c>
      <c r="B45" s="2" t="s">
        <v>1628</v>
      </c>
      <c r="C45" s="2" t="s">
        <v>1630</v>
      </c>
      <c r="D45" s="46" t="s">
        <v>1679</v>
      </c>
      <c r="E45" s="46" t="s">
        <v>1742</v>
      </c>
      <c r="F45" s="24" t="str">
        <f>HYPERLINK("https://mapwv.gov/flood/map/?wkid=102100&amp;x=-8930961.680078188&amp;y=4720985.615786&amp;l=13&amp;v=2","FT")</f>
        <v>FT</v>
      </c>
      <c r="G45" s="29" t="s">
        <v>31</v>
      </c>
      <c r="H45" s="29" t="s">
        <v>146</v>
      </c>
      <c r="I45" s="2" t="s">
        <v>1802</v>
      </c>
      <c r="J45" s="22" t="s">
        <v>25</v>
      </c>
      <c r="K45" s="47" t="s">
        <v>97</v>
      </c>
      <c r="L45" s="47" t="s">
        <v>26</v>
      </c>
      <c r="M45" s="46" t="s">
        <v>46</v>
      </c>
      <c r="N45" s="3" t="s">
        <v>34</v>
      </c>
      <c r="O45" s="47" t="s">
        <v>90</v>
      </c>
      <c r="P45" s="46" t="s">
        <v>1869</v>
      </c>
      <c r="Q45" s="46" t="s">
        <v>29</v>
      </c>
      <c r="R45" s="29" t="s">
        <v>92</v>
      </c>
      <c r="S45" s="30">
        <v>343400</v>
      </c>
      <c r="T45" s="2" t="s">
        <v>43</v>
      </c>
      <c r="U45" s="31">
        <v>1</v>
      </c>
      <c r="V45" s="31">
        <v>0</v>
      </c>
      <c r="W45" s="32">
        <v>0.01</v>
      </c>
      <c r="X45" s="33">
        <v>3434</v>
      </c>
    </row>
    <row r="46" spans="1:24" x14ac:dyDescent="0.25">
      <c r="A46" s="22" t="s">
        <v>1604</v>
      </c>
      <c r="B46" s="2" t="s">
        <v>1629</v>
      </c>
      <c r="C46" s="2" t="s">
        <v>1632</v>
      </c>
      <c r="D46" s="46" t="s">
        <v>1680</v>
      </c>
      <c r="E46" s="46" t="s">
        <v>1743</v>
      </c>
      <c r="F46" s="24" t="str">
        <f>HYPERLINK("https://mapwv.gov/flood/map/?wkid=102100&amp;x=-8938700.52547345&amp;y=4723035.936235342&amp;l=13&amp;v=2","FT")</f>
        <v>FT</v>
      </c>
      <c r="G46" s="29" t="s">
        <v>37</v>
      </c>
      <c r="H46" s="29" t="s">
        <v>24</v>
      </c>
      <c r="I46" s="2" t="s">
        <v>1803</v>
      </c>
      <c r="J46" s="22" t="s">
        <v>38</v>
      </c>
      <c r="K46" s="47" t="s">
        <v>125</v>
      </c>
      <c r="L46" s="47" t="s">
        <v>26</v>
      </c>
      <c r="M46" s="46" t="s">
        <v>62</v>
      </c>
      <c r="N46" s="3" t="s">
        <v>34</v>
      </c>
      <c r="O46" s="47" t="s">
        <v>90</v>
      </c>
      <c r="P46" s="46" t="s">
        <v>1870</v>
      </c>
      <c r="Q46" s="46" t="s">
        <v>29</v>
      </c>
      <c r="R46" s="29" t="s">
        <v>92</v>
      </c>
      <c r="S46" s="30">
        <v>304100</v>
      </c>
      <c r="T46" s="2" t="s">
        <v>43</v>
      </c>
      <c r="U46" s="31">
        <v>0</v>
      </c>
      <c r="V46" s="31">
        <v>-1</v>
      </c>
      <c r="W46" s="32">
        <v>0</v>
      </c>
      <c r="X46" s="33">
        <v>0</v>
      </c>
    </row>
    <row r="47" spans="1:24" x14ac:dyDescent="0.25">
      <c r="A47" s="22" t="s">
        <v>1605</v>
      </c>
      <c r="B47" s="2" t="s">
        <v>1629</v>
      </c>
      <c r="C47" s="2" t="s">
        <v>1637</v>
      </c>
      <c r="D47" s="46" t="s">
        <v>1681</v>
      </c>
      <c r="E47" s="46" t="s">
        <v>1744</v>
      </c>
      <c r="F47" s="24" t="str">
        <f>HYPERLINK("https://mapwv.gov/flood/map/?wkid=102100&amp;x=-8939613.001877325&amp;y=4723135.577411495&amp;l=13&amp;v=2","FT")</f>
        <v>FT</v>
      </c>
      <c r="G47" s="29" t="s">
        <v>37</v>
      </c>
      <c r="H47" s="29" t="s">
        <v>24</v>
      </c>
      <c r="I47" s="2" t="s">
        <v>1804</v>
      </c>
      <c r="J47" s="22" t="s">
        <v>25</v>
      </c>
      <c r="K47" s="47" t="s">
        <v>1825</v>
      </c>
      <c r="L47" s="47" t="s">
        <v>52</v>
      </c>
      <c r="M47" s="46" t="s">
        <v>55</v>
      </c>
      <c r="N47" s="3" t="s">
        <v>34</v>
      </c>
      <c r="O47" s="47" t="s">
        <v>90</v>
      </c>
      <c r="P47" s="46" t="s">
        <v>1871</v>
      </c>
      <c r="Q47" s="46" t="s">
        <v>29</v>
      </c>
      <c r="R47" s="29" t="s">
        <v>92</v>
      </c>
      <c r="S47" s="30">
        <v>298300</v>
      </c>
      <c r="T47" s="2" t="s">
        <v>43</v>
      </c>
      <c r="U47" s="31">
        <v>0</v>
      </c>
      <c r="V47" s="31">
        <v>-1</v>
      </c>
      <c r="W47" s="32">
        <v>0</v>
      </c>
      <c r="X47" s="33">
        <v>0</v>
      </c>
    </row>
    <row r="48" spans="1:24" x14ac:dyDescent="0.25">
      <c r="A48" s="22" t="s">
        <v>1606</v>
      </c>
      <c r="B48" s="2" t="s">
        <v>1629</v>
      </c>
      <c r="C48" s="2" t="s">
        <v>1638</v>
      </c>
      <c r="D48" s="46" t="s">
        <v>1682</v>
      </c>
      <c r="E48" s="46" t="s">
        <v>1745</v>
      </c>
      <c r="F48" s="24" t="str">
        <f>HYPERLINK("https://mapwv.gov/flood/map/?wkid=102100&amp;x=-8931621.413259262&amp;y=4686913.307343804&amp;l=13&amp;v=2","FT")</f>
        <v>FT</v>
      </c>
      <c r="G48" s="29" t="s">
        <v>37</v>
      </c>
      <c r="H48" s="29" t="s">
        <v>24</v>
      </c>
      <c r="I48" s="2" t="s">
        <v>1805</v>
      </c>
      <c r="J48" s="22" t="s">
        <v>25</v>
      </c>
      <c r="K48" s="47" t="s">
        <v>1826</v>
      </c>
      <c r="L48" s="47"/>
      <c r="M48" s="46" t="s">
        <v>63</v>
      </c>
      <c r="N48" s="3" t="s">
        <v>87</v>
      </c>
      <c r="O48" s="47" t="s">
        <v>90</v>
      </c>
      <c r="P48" s="46" t="s">
        <v>1872</v>
      </c>
      <c r="Q48" s="46" t="s">
        <v>29</v>
      </c>
      <c r="R48" s="29" t="s">
        <v>92</v>
      </c>
      <c r="S48" s="30">
        <v>294100</v>
      </c>
      <c r="T48" s="2" t="s">
        <v>43</v>
      </c>
      <c r="U48" s="31">
        <v>0</v>
      </c>
      <c r="V48" s="31">
        <v>-1</v>
      </c>
      <c r="W48" s="32">
        <v>0</v>
      </c>
      <c r="X48" s="33">
        <v>0</v>
      </c>
    </row>
    <row r="49" spans="1:24" x14ac:dyDescent="0.25">
      <c r="A49" s="22" t="s">
        <v>1607</v>
      </c>
      <c r="B49" s="2" t="s">
        <v>1628</v>
      </c>
      <c r="C49" s="2" t="s">
        <v>1630</v>
      </c>
      <c r="D49" s="46" t="s">
        <v>1683</v>
      </c>
      <c r="E49" s="46" t="s">
        <v>1746</v>
      </c>
      <c r="F49" s="24" t="str">
        <f>HYPERLINK("https://mapwv.gov/flood/map/?wkid=102100&amp;x=-8931007.851952063&amp;y=4720679.405305202&amp;l=13&amp;v=2","FT")</f>
        <v>FT</v>
      </c>
      <c r="G49" s="29" t="s">
        <v>31</v>
      </c>
      <c r="H49" s="29" t="s">
        <v>24</v>
      </c>
      <c r="I49" s="2" t="s">
        <v>1304</v>
      </c>
      <c r="J49" s="22" t="s">
        <v>25</v>
      </c>
      <c r="K49" s="47" t="s">
        <v>121</v>
      </c>
      <c r="L49" s="47" t="s">
        <v>48</v>
      </c>
      <c r="M49" s="46" t="s">
        <v>46</v>
      </c>
      <c r="N49" s="3" t="s">
        <v>34</v>
      </c>
      <c r="O49" s="47" t="s">
        <v>90</v>
      </c>
      <c r="P49" s="46" t="s">
        <v>1873</v>
      </c>
      <c r="Q49" s="46" t="s">
        <v>29</v>
      </c>
      <c r="R49" s="29" t="s">
        <v>92</v>
      </c>
      <c r="S49" s="30">
        <v>286500</v>
      </c>
      <c r="T49" s="2" t="s">
        <v>43</v>
      </c>
      <c r="U49" s="31">
        <v>0.41308593999999998</v>
      </c>
      <c r="V49" s="31">
        <v>-0.5869140625</v>
      </c>
      <c r="W49" s="32">
        <v>4.1308593750000004E-3</v>
      </c>
      <c r="X49" s="33">
        <v>1183.4912109375</v>
      </c>
    </row>
    <row r="50" spans="1:24" x14ac:dyDescent="0.25">
      <c r="A50" s="22" t="s">
        <v>1608</v>
      </c>
      <c r="B50" s="2" t="s">
        <v>1628</v>
      </c>
      <c r="C50" s="2" t="s">
        <v>1630</v>
      </c>
      <c r="D50" s="46" t="s">
        <v>1684</v>
      </c>
      <c r="E50" s="46" t="s">
        <v>1747</v>
      </c>
      <c r="F50" s="24" t="str">
        <f>HYPERLINK("https://mapwv.gov/flood/map/?wkid=102100&amp;x=-8931150.497860765&amp;y=4720512.34123114&amp;l=13&amp;v=2","FT")</f>
        <v>FT</v>
      </c>
      <c r="G50" s="29" t="s">
        <v>31</v>
      </c>
      <c r="H50" s="29" t="s">
        <v>24</v>
      </c>
      <c r="I50" s="2" t="s">
        <v>1806</v>
      </c>
      <c r="J50" s="22" t="s">
        <v>25</v>
      </c>
      <c r="K50" s="47" t="s">
        <v>149</v>
      </c>
      <c r="L50" s="47" t="s">
        <v>44</v>
      </c>
      <c r="M50" s="46" t="s">
        <v>50</v>
      </c>
      <c r="N50" s="3" t="s">
        <v>34</v>
      </c>
      <c r="O50" s="47" t="s">
        <v>90</v>
      </c>
      <c r="P50" s="46" t="s">
        <v>1874</v>
      </c>
      <c r="Q50" s="46" t="s">
        <v>29</v>
      </c>
      <c r="R50" s="29" t="s">
        <v>92</v>
      </c>
      <c r="S50" s="30">
        <v>281600</v>
      </c>
      <c r="T50" s="2" t="s">
        <v>43</v>
      </c>
      <c r="U50" s="31">
        <v>0.56469727000000003</v>
      </c>
      <c r="V50" s="31">
        <v>-0.435302734375</v>
      </c>
      <c r="W50" s="32">
        <v>5.6469726562499998E-3</v>
      </c>
      <c r="X50" s="33">
        <v>1590.1875</v>
      </c>
    </row>
    <row r="51" spans="1:24" x14ac:dyDescent="0.25">
      <c r="A51" s="22" t="s">
        <v>1609</v>
      </c>
      <c r="B51" s="2" t="s">
        <v>1629</v>
      </c>
      <c r="C51" s="2" t="s">
        <v>1630</v>
      </c>
      <c r="D51" s="46" t="s">
        <v>1685</v>
      </c>
      <c r="E51" s="46" t="s">
        <v>1748</v>
      </c>
      <c r="F51" s="24" t="str">
        <f>HYPERLINK("https://mapwv.gov/flood/map/?wkid=102100&amp;x=-8928918.58559628&amp;y=4722313.383504534&amp;l=13&amp;v=2","FT")</f>
        <v>FT</v>
      </c>
      <c r="G51" s="29" t="s">
        <v>37</v>
      </c>
      <c r="H51" s="29" t="s">
        <v>24</v>
      </c>
      <c r="I51" s="2" t="s">
        <v>1807</v>
      </c>
      <c r="J51" s="22" t="s">
        <v>25</v>
      </c>
      <c r="K51" s="47" t="s">
        <v>131</v>
      </c>
      <c r="L51" s="47" t="s">
        <v>32</v>
      </c>
      <c r="M51" s="46" t="s">
        <v>62</v>
      </c>
      <c r="N51" s="3" t="s">
        <v>34</v>
      </c>
      <c r="O51" s="47" t="s">
        <v>90</v>
      </c>
      <c r="P51" s="46" t="s">
        <v>1875</v>
      </c>
      <c r="Q51" s="46" t="s">
        <v>29</v>
      </c>
      <c r="R51" s="29" t="s">
        <v>92</v>
      </c>
      <c r="S51" s="30">
        <v>281200</v>
      </c>
      <c r="T51" s="2" t="s">
        <v>43</v>
      </c>
      <c r="U51" s="31">
        <v>0</v>
      </c>
      <c r="V51" s="31">
        <v>-1</v>
      </c>
      <c r="W51" s="32">
        <v>0</v>
      </c>
      <c r="X51" s="33">
        <v>0</v>
      </c>
    </row>
    <row r="52" spans="1:24" x14ac:dyDescent="0.25">
      <c r="A52" s="22" t="s">
        <v>1610</v>
      </c>
      <c r="B52" s="2" t="s">
        <v>1629</v>
      </c>
      <c r="C52" s="2" t="s">
        <v>1630</v>
      </c>
      <c r="D52" s="46" t="s">
        <v>1686</v>
      </c>
      <c r="E52" s="46" t="s">
        <v>1749</v>
      </c>
      <c r="F52" s="24" t="str">
        <f>HYPERLINK("https://mapwv.gov/flood/map/?wkid=102100&amp;x=-8929428.844419772&amp;y=4719404.495943811&amp;l=13&amp;v=2","FT")</f>
        <v>FT</v>
      </c>
      <c r="G52" s="29" t="s">
        <v>31</v>
      </c>
      <c r="H52" s="29" t="s">
        <v>24</v>
      </c>
      <c r="I52" s="2" t="s">
        <v>1808</v>
      </c>
      <c r="J52" s="22" t="s">
        <v>38</v>
      </c>
      <c r="K52" s="47" t="s">
        <v>1827</v>
      </c>
      <c r="L52" s="47" t="s">
        <v>44</v>
      </c>
      <c r="M52" s="46" t="s">
        <v>57</v>
      </c>
      <c r="N52" s="3" t="s">
        <v>88</v>
      </c>
      <c r="O52" s="47" t="s">
        <v>90</v>
      </c>
      <c r="P52" s="46" t="s">
        <v>1876</v>
      </c>
      <c r="Q52" s="46" t="s">
        <v>29</v>
      </c>
      <c r="R52" s="29" t="s">
        <v>92</v>
      </c>
      <c r="S52" s="30">
        <v>273370</v>
      </c>
      <c r="T52" s="2" t="s">
        <v>30</v>
      </c>
      <c r="U52" s="31">
        <v>0</v>
      </c>
      <c r="V52" s="31">
        <v>-1</v>
      </c>
      <c r="W52" s="32">
        <v>0</v>
      </c>
      <c r="X52" s="33">
        <v>0</v>
      </c>
    </row>
    <row r="53" spans="1:24" x14ac:dyDescent="0.25">
      <c r="A53" s="22" t="s">
        <v>1611</v>
      </c>
      <c r="B53" s="2" t="s">
        <v>1628</v>
      </c>
      <c r="C53" s="2" t="s">
        <v>1630</v>
      </c>
      <c r="D53" s="46" t="s">
        <v>1687</v>
      </c>
      <c r="E53" s="46" t="s">
        <v>1750</v>
      </c>
      <c r="F53" s="24" t="str">
        <f>HYPERLINK("https://mapwv.gov/flood/map/?wkid=102100&amp;x=-8930495.879587652&amp;y=4720751.2163398145&amp;l=13&amp;v=2","FT")</f>
        <v>FT</v>
      </c>
      <c r="G53" s="29" t="s">
        <v>31</v>
      </c>
      <c r="H53" s="29" t="s">
        <v>24</v>
      </c>
      <c r="I53" s="2" t="s">
        <v>1809</v>
      </c>
      <c r="J53" s="22" t="s">
        <v>38</v>
      </c>
      <c r="K53" s="47" t="s">
        <v>1828</v>
      </c>
      <c r="L53" s="47" t="s">
        <v>56</v>
      </c>
      <c r="M53" s="46" t="s">
        <v>40</v>
      </c>
      <c r="N53" s="3" t="s">
        <v>41</v>
      </c>
      <c r="O53" s="47" t="s">
        <v>91</v>
      </c>
      <c r="P53" s="46" t="s">
        <v>1877</v>
      </c>
      <c r="Q53" s="46" t="s">
        <v>42</v>
      </c>
      <c r="R53" s="29" t="s">
        <v>93</v>
      </c>
      <c r="S53" s="30">
        <v>268700</v>
      </c>
      <c r="T53" s="2" t="s">
        <v>43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25">
      <c r="A54" s="22" t="s">
        <v>1612</v>
      </c>
      <c r="B54" s="2" t="s">
        <v>1629</v>
      </c>
      <c r="C54" s="2" t="s">
        <v>1635</v>
      </c>
      <c r="D54" s="46" t="s">
        <v>1688</v>
      </c>
      <c r="E54" s="46" t="s">
        <v>1751</v>
      </c>
      <c r="F54" s="24" t="str">
        <f>HYPERLINK("https://mapwv.gov/flood/map/?wkid=102100&amp;x=-8933728.43897001&amp;y=4722917.830648686&amp;l=13&amp;v=2","FT")</f>
        <v>FT</v>
      </c>
      <c r="G54" s="29" t="s">
        <v>37</v>
      </c>
      <c r="H54" s="29" t="s">
        <v>24</v>
      </c>
      <c r="I54" s="2" t="s">
        <v>1810</v>
      </c>
      <c r="J54" s="22" t="s">
        <v>25</v>
      </c>
      <c r="K54" s="47" t="s">
        <v>73</v>
      </c>
      <c r="L54" s="47" t="s">
        <v>26</v>
      </c>
      <c r="M54" s="46" t="s">
        <v>62</v>
      </c>
      <c r="N54" s="3" t="s">
        <v>34</v>
      </c>
      <c r="O54" s="47" t="s">
        <v>90</v>
      </c>
      <c r="P54" s="46" t="s">
        <v>1878</v>
      </c>
      <c r="Q54" s="46" t="s">
        <v>29</v>
      </c>
      <c r="R54" s="29" t="s">
        <v>1893</v>
      </c>
      <c r="S54" s="30">
        <v>258600</v>
      </c>
      <c r="T54" s="2" t="s">
        <v>30</v>
      </c>
      <c r="U54" s="31">
        <v>0</v>
      </c>
      <c r="V54" s="31">
        <v>-0.8</v>
      </c>
      <c r="W54" s="32">
        <v>0</v>
      </c>
      <c r="X54" s="33">
        <v>0</v>
      </c>
    </row>
    <row r="55" spans="1:24" x14ac:dyDescent="0.25">
      <c r="A55" s="22" t="s">
        <v>1613</v>
      </c>
      <c r="B55" s="2" t="s">
        <v>1628</v>
      </c>
      <c r="C55" s="2" t="s">
        <v>1630</v>
      </c>
      <c r="D55" s="46" t="s">
        <v>1689</v>
      </c>
      <c r="E55" s="46" t="s">
        <v>1752</v>
      </c>
      <c r="F55" s="24" t="str">
        <f>HYPERLINK("https://mapwv.gov/flood/map/?wkid=102100&amp;x=-8930023.474845683&amp;y=4718852.429335005&amp;l=13&amp;v=2","FT")</f>
        <v>FT</v>
      </c>
      <c r="G55" s="29" t="s">
        <v>31</v>
      </c>
      <c r="H55" s="29" t="s">
        <v>24</v>
      </c>
      <c r="I55" s="2" t="s">
        <v>1811</v>
      </c>
      <c r="J55" s="22" t="s">
        <v>38</v>
      </c>
      <c r="K55" s="47" t="s">
        <v>120</v>
      </c>
      <c r="L55" s="47"/>
      <c r="M55" s="46" t="s">
        <v>27</v>
      </c>
      <c r="N55" s="3" t="s">
        <v>87</v>
      </c>
      <c r="O55" s="47" t="s">
        <v>90</v>
      </c>
      <c r="P55" s="46" t="s">
        <v>1879</v>
      </c>
      <c r="Q55" s="46" t="s">
        <v>29</v>
      </c>
      <c r="R55" s="29" t="s">
        <v>92</v>
      </c>
      <c r="S55" s="30">
        <v>245343</v>
      </c>
      <c r="T55" s="2" t="s">
        <v>94</v>
      </c>
      <c r="U55" s="31">
        <v>0</v>
      </c>
      <c r="V55" s="31">
        <v>-1</v>
      </c>
      <c r="W55" s="32">
        <v>0</v>
      </c>
      <c r="X55" s="33">
        <v>0</v>
      </c>
    </row>
    <row r="56" spans="1:24" x14ac:dyDescent="0.25">
      <c r="A56" s="22" t="s">
        <v>1614</v>
      </c>
      <c r="B56" s="2" t="s">
        <v>1629</v>
      </c>
      <c r="C56" s="2" t="s">
        <v>1634</v>
      </c>
      <c r="D56" s="46" t="s">
        <v>1690</v>
      </c>
      <c r="E56" s="46" t="s">
        <v>1753</v>
      </c>
      <c r="F56" s="24" t="str">
        <f>HYPERLINK("https://mapwv.gov/flood/map/?wkid=102100&amp;x=-8932243.805652983&amp;y=4716771.113042455&amp;l=13&amp;v=2","FT")</f>
        <v>FT</v>
      </c>
      <c r="G56" s="29" t="s">
        <v>37</v>
      </c>
      <c r="H56" s="29" t="s">
        <v>24</v>
      </c>
      <c r="I56" s="2" t="s">
        <v>1812</v>
      </c>
      <c r="J56" s="22" t="s">
        <v>25</v>
      </c>
      <c r="K56" s="47" t="s">
        <v>128</v>
      </c>
      <c r="L56" s="47" t="s">
        <v>52</v>
      </c>
      <c r="M56" s="46" t="s">
        <v>46</v>
      </c>
      <c r="N56" s="3" t="s">
        <v>34</v>
      </c>
      <c r="O56" s="47" t="s">
        <v>90</v>
      </c>
      <c r="P56" s="46" t="s">
        <v>1880</v>
      </c>
      <c r="Q56" s="46" t="s">
        <v>29</v>
      </c>
      <c r="R56" s="29" t="s">
        <v>92</v>
      </c>
      <c r="S56" s="30">
        <v>241200</v>
      </c>
      <c r="T56" s="2" t="s">
        <v>43</v>
      </c>
      <c r="U56" s="31">
        <v>0</v>
      </c>
      <c r="V56" s="31">
        <v>-1</v>
      </c>
      <c r="W56" s="32">
        <v>0</v>
      </c>
      <c r="X56" s="33">
        <v>0</v>
      </c>
    </row>
    <row r="57" spans="1:24" x14ac:dyDescent="0.25">
      <c r="A57" s="22" t="s">
        <v>1615</v>
      </c>
      <c r="B57" s="2" t="s">
        <v>1629</v>
      </c>
      <c r="C57" s="2" t="s">
        <v>836</v>
      </c>
      <c r="D57" s="46" t="s">
        <v>1691</v>
      </c>
      <c r="E57" s="46" t="s">
        <v>1754</v>
      </c>
      <c r="F57" s="24" t="str">
        <f>HYPERLINK("https://mapwv.gov/flood/map/?wkid=102100&amp;x=-8938896.461580861&amp;y=4716737.831000693&amp;l=13&amp;v=2","FT")</f>
        <v>FT</v>
      </c>
      <c r="G57" s="29" t="s">
        <v>37</v>
      </c>
      <c r="H57" s="29" t="s">
        <v>24</v>
      </c>
      <c r="I57" s="2" t="s">
        <v>1813</v>
      </c>
      <c r="J57" s="22" t="s">
        <v>25</v>
      </c>
      <c r="K57" s="47" t="s">
        <v>166</v>
      </c>
      <c r="L57" s="47" t="s">
        <v>48</v>
      </c>
      <c r="M57" s="46" t="s">
        <v>40</v>
      </c>
      <c r="N57" s="3" t="s">
        <v>41</v>
      </c>
      <c r="O57" s="47" t="s">
        <v>90</v>
      </c>
      <c r="P57" s="46" t="s">
        <v>1380</v>
      </c>
      <c r="Q57" s="46" t="s">
        <v>29</v>
      </c>
      <c r="R57" s="29" t="s">
        <v>92</v>
      </c>
      <c r="S57" s="30">
        <v>235700</v>
      </c>
      <c r="T57" s="2" t="s">
        <v>43</v>
      </c>
      <c r="U57" s="31">
        <v>0</v>
      </c>
      <c r="V57" s="31">
        <v>-1</v>
      </c>
      <c r="W57" s="32">
        <v>0</v>
      </c>
      <c r="X57" s="33">
        <v>0</v>
      </c>
    </row>
    <row r="58" spans="1:24" x14ac:dyDescent="0.25">
      <c r="A58" s="22" t="s">
        <v>1616</v>
      </c>
      <c r="B58" s="2" t="s">
        <v>1629</v>
      </c>
      <c r="C58" s="2" t="s">
        <v>1634</v>
      </c>
      <c r="D58" s="46" t="s">
        <v>1692</v>
      </c>
      <c r="E58" s="46" t="s">
        <v>1755</v>
      </c>
      <c r="F58" s="24" t="str">
        <f>HYPERLINK("https://mapwv.gov/flood/map/?wkid=102100&amp;x=-8932169.516256846&amp;y=4716892.78050708&amp;l=13&amp;v=2","FT")</f>
        <v>FT</v>
      </c>
      <c r="G58" s="29" t="s">
        <v>37</v>
      </c>
      <c r="H58" s="29" t="s">
        <v>24</v>
      </c>
      <c r="I58" s="2" t="s">
        <v>1814</v>
      </c>
      <c r="J58" s="22" t="s">
        <v>38</v>
      </c>
      <c r="K58" s="47" t="s">
        <v>126</v>
      </c>
      <c r="L58" s="47" t="s">
        <v>49</v>
      </c>
      <c r="M58" s="46" t="s">
        <v>50</v>
      </c>
      <c r="N58" s="3" t="s">
        <v>34</v>
      </c>
      <c r="O58" s="47" t="s">
        <v>90</v>
      </c>
      <c r="P58" s="46" t="s">
        <v>1881</v>
      </c>
      <c r="Q58" s="46" t="s">
        <v>29</v>
      </c>
      <c r="R58" s="29" t="s">
        <v>92</v>
      </c>
      <c r="S58" s="30">
        <v>233900</v>
      </c>
      <c r="T58" s="2" t="s">
        <v>43</v>
      </c>
      <c r="U58" s="31">
        <v>0</v>
      </c>
      <c r="V58" s="31">
        <v>-1</v>
      </c>
      <c r="W58" s="32">
        <v>0</v>
      </c>
      <c r="X58" s="33">
        <v>0</v>
      </c>
    </row>
    <row r="59" spans="1:24" x14ac:dyDescent="0.25">
      <c r="A59" s="22" t="s">
        <v>1617</v>
      </c>
      <c r="B59" s="2" t="s">
        <v>1629</v>
      </c>
      <c r="C59" s="2" t="s">
        <v>1639</v>
      </c>
      <c r="D59" s="46" t="s">
        <v>1693</v>
      </c>
      <c r="E59" s="46" t="s">
        <v>1756</v>
      </c>
      <c r="F59" s="24" t="str">
        <f>HYPERLINK("https://mapwv.gov/flood/map/?wkid=102100&amp;x=-8927143.998512901&amp;y=4730407.954435049&amp;l=13&amp;v=2","FT")</f>
        <v>FT</v>
      </c>
      <c r="G59" s="29" t="s">
        <v>37</v>
      </c>
      <c r="H59" s="29" t="s">
        <v>24</v>
      </c>
      <c r="I59" s="2" t="s">
        <v>1815</v>
      </c>
      <c r="J59" s="22" t="s">
        <v>25</v>
      </c>
      <c r="K59" s="47" t="s">
        <v>100</v>
      </c>
      <c r="L59" s="47" t="s">
        <v>56</v>
      </c>
      <c r="M59" s="46" t="s">
        <v>40</v>
      </c>
      <c r="N59" s="3" t="s">
        <v>41</v>
      </c>
      <c r="O59" s="47" t="s">
        <v>91</v>
      </c>
      <c r="P59" s="46" t="s">
        <v>1882</v>
      </c>
      <c r="Q59" s="46" t="s">
        <v>29</v>
      </c>
      <c r="R59" s="29" t="s">
        <v>92</v>
      </c>
      <c r="S59" s="30">
        <v>231500</v>
      </c>
      <c r="T59" s="2" t="s">
        <v>43</v>
      </c>
      <c r="U59" s="31">
        <v>0</v>
      </c>
      <c r="V59" s="31">
        <v>-1</v>
      </c>
      <c r="W59" s="32">
        <v>0</v>
      </c>
      <c r="X59" s="33">
        <v>0</v>
      </c>
    </row>
    <row r="60" spans="1:24" x14ac:dyDescent="0.25">
      <c r="A60" s="22" t="s">
        <v>1618</v>
      </c>
      <c r="B60" s="2" t="s">
        <v>1628</v>
      </c>
      <c r="C60" s="2" t="s">
        <v>1630</v>
      </c>
      <c r="D60" s="46" t="s">
        <v>1694</v>
      </c>
      <c r="E60" s="46" t="s">
        <v>1757</v>
      </c>
      <c r="F60" s="24" t="str">
        <f>HYPERLINK("https://mapwv.gov/flood/map/?wkid=102100&amp;x=-8931303.783241112&amp;y=4721111.718784251&amp;l=13&amp;v=2","FT")</f>
        <v>FT</v>
      </c>
      <c r="G60" s="29" t="s">
        <v>31</v>
      </c>
      <c r="H60" s="29" t="s">
        <v>24</v>
      </c>
      <c r="I60" s="2" t="s">
        <v>1816</v>
      </c>
      <c r="J60" s="22" t="s">
        <v>38</v>
      </c>
      <c r="K60" s="47" t="s">
        <v>1828</v>
      </c>
      <c r="L60" s="47" t="s">
        <v>48</v>
      </c>
      <c r="M60" s="46" t="s">
        <v>46</v>
      </c>
      <c r="N60" s="3" t="s">
        <v>34</v>
      </c>
      <c r="O60" s="47" t="s">
        <v>90</v>
      </c>
      <c r="P60" s="46" t="s">
        <v>1883</v>
      </c>
      <c r="Q60" s="46" t="s">
        <v>29</v>
      </c>
      <c r="R60" s="29" t="s">
        <v>92</v>
      </c>
      <c r="S60" s="30">
        <v>230300</v>
      </c>
      <c r="T60" s="2" t="s">
        <v>43</v>
      </c>
      <c r="U60" s="31">
        <v>0</v>
      </c>
      <c r="V60" s="31">
        <v>-1</v>
      </c>
      <c r="W60" s="32">
        <v>0</v>
      </c>
      <c r="X60" s="33">
        <v>0</v>
      </c>
    </row>
    <row r="61" spans="1:24" x14ac:dyDescent="0.25">
      <c r="A61" s="22" t="s">
        <v>1619</v>
      </c>
      <c r="B61" s="2" t="s">
        <v>1628</v>
      </c>
      <c r="C61" s="2" t="s">
        <v>1630</v>
      </c>
      <c r="D61" s="46" t="s">
        <v>1695</v>
      </c>
      <c r="E61" s="46" t="s">
        <v>1758</v>
      </c>
      <c r="F61" s="24" t="str">
        <f>HYPERLINK("https://mapwv.gov/flood/map/?wkid=102100&amp;x=-8931104.026092177&amp;y=4720426.894249649&amp;l=13&amp;v=2","FT")</f>
        <v>FT</v>
      </c>
      <c r="G61" s="29" t="s">
        <v>31</v>
      </c>
      <c r="H61" s="29" t="s">
        <v>24</v>
      </c>
      <c r="I61" s="2" t="s">
        <v>1817</v>
      </c>
      <c r="J61" s="22" t="s">
        <v>38</v>
      </c>
      <c r="K61" s="47" t="s">
        <v>1829</v>
      </c>
      <c r="L61" s="47" t="s">
        <v>47</v>
      </c>
      <c r="M61" s="46" t="s">
        <v>40</v>
      </c>
      <c r="N61" s="3" t="s">
        <v>41</v>
      </c>
      <c r="O61" s="47" t="s">
        <v>91</v>
      </c>
      <c r="P61" s="46" t="s">
        <v>1884</v>
      </c>
      <c r="Q61" s="46" t="s">
        <v>42</v>
      </c>
      <c r="R61" s="29" t="s">
        <v>93</v>
      </c>
      <c r="S61" s="30">
        <v>227800</v>
      </c>
      <c r="T61" s="2" t="s">
        <v>43</v>
      </c>
      <c r="U61" s="31">
        <v>7.421875E-2</v>
      </c>
      <c r="V61" s="31">
        <v>-3.92578125</v>
      </c>
      <c r="W61" s="32">
        <v>0.04</v>
      </c>
      <c r="X61" s="33">
        <v>9112</v>
      </c>
    </row>
    <row r="62" spans="1:24" x14ac:dyDescent="0.25">
      <c r="A62" s="22" t="s">
        <v>1620</v>
      </c>
      <c r="B62" s="2" t="s">
        <v>1628</v>
      </c>
      <c r="C62" s="2" t="s">
        <v>1630</v>
      </c>
      <c r="D62" s="46" t="s">
        <v>1696</v>
      </c>
      <c r="E62" s="46" t="s">
        <v>1759</v>
      </c>
      <c r="F62" s="24" t="str">
        <f>HYPERLINK("https://mapwv.gov/flood/map/?wkid=102100&amp;x=-8930449.839293411&amp;y=4720872.542130953&amp;l=13&amp;v=2","FT")</f>
        <v>FT</v>
      </c>
      <c r="G62" s="29" t="s">
        <v>31</v>
      </c>
      <c r="H62" s="29" t="s">
        <v>24</v>
      </c>
      <c r="I62" s="2" t="s">
        <v>1811</v>
      </c>
      <c r="J62" s="22" t="s">
        <v>38</v>
      </c>
      <c r="K62" s="47" t="s">
        <v>132</v>
      </c>
      <c r="L62" s="47" t="s">
        <v>48</v>
      </c>
      <c r="M62" s="46" t="s">
        <v>46</v>
      </c>
      <c r="N62" s="3" t="s">
        <v>34</v>
      </c>
      <c r="O62" s="47" t="s">
        <v>90</v>
      </c>
      <c r="P62" s="46" t="s">
        <v>1885</v>
      </c>
      <c r="Q62" s="46" t="s">
        <v>29</v>
      </c>
      <c r="R62" s="29" t="s">
        <v>92</v>
      </c>
      <c r="S62" s="30">
        <v>227200</v>
      </c>
      <c r="T62" s="2" t="s">
        <v>43</v>
      </c>
      <c r="U62" s="31">
        <v>0.6176758</v>
      </c>
      <c r="V62" s="31">
        <v>-0.38232421875</v>
      </c>
      <c r="W62" s="32">
        <v>6.1767578125000002E-3</v>
      </c>
      <c r="X62" s="33">
        <v>1403.359375</v>
      </c>
    </row>
    <row r="63" spans="1:24" x14ac:dyDescent="0.25">
      <c r="A63" s="22" t="s">
        <v>1621</v>
      </c>
      <c r="B63" s="2" t="s">
        <v>1628</v>
      </c>
      <c r="C63" s="2" t="s">
        <v>1630</v>
      </c>
      <c r="D63" s="46" t="s">
        <v>1697</v>
      </c>
      <c r="E63" s="46" t="s">
        <v>1760</v>
      </c>
      <c r="F63" s="24" t="str">
        <f>HYPERLINK("https://mapwv.gov/flood/map/?wkid=102100&amp;x=-8930623.271497842&amp;y=4721527.10002749&amp;l=13&amp;v=2","FT")</f>
        <v>FT</v>
      </c>
      <c r="G63" s="29" t="s">
        <v>31</v>
      </c>
      <c r="H63" s="29" t="s">
        <v>24</v>
      </c>
      <c r="I63" s="2" t="s">
        <v>1818</v>
      </c>
      <c r="J63" s="22" t="s">
        <v>25</v>
      </c>
      <c r="K63" s="47" t="s">
        <v>98</v>
      </c>
      <c r="L63" s="47" t="s">
        <v>56</v>
      </c>
      <c r="M63" s="46" t="s">
        <v>105</v>
      </c>
      <c r="N63" s="3" t="s">
        <v>34</v>
      </c>
      <c r="O63" s="47" t="s">
        <v>90</v>
      </c>
      <c r="P63" s="46" t="s">
        <v>1886</v>
      </c>
      <c r="Q63" s="46" t="s">
        <v>29</v>
      </c>
      <c r="R63" s="29" t="s">
        <v>92</v>
      </c>
      <c r="S63" s="30">
        <v>220900</v>
      </c>
      <c r="T63" s="2" t="s">
        <v>30</v>
      </c>
      <c r="U63" s="31">
        <v>1.2218017999999999</v>
      </c>
      <c r="V63" s="31">
        <v>0.2218017578125</v>
      </c>
      <c r="W63" s="32">
        <v>1.9962158203125E-2</v>
      </c>
      <c r="X63" s="33">
        <v>4409.6407470703098</v>
      </c>
    </row>
    <row r="64" spans="1:24" x14ac:dyDescent="0.25">
      <c r="A64" s="22" t="s">
        <v>1622</v>
      </c>
      <c r="B64" s="2" t="s">
        <v>1629</v>
      </c>
      <c r="C64" s="2" t="s">
        <v>1640</v>
      </c>
      <c r="D64" s="46" t="s">
        <v>1698</v>
      </c>
      <c r="E64" s="46" t="s">
        <v>1761</v>
      </c>
      <c r="F64" s="24" t="str">
        <f>HYPERLINK("https://mapwv.gov/flood/map/?wkid=102100&amp;x=-8924023.839867542&amp;y=4714836.180551272&amp;l=13&amp;v=2","FT")</f>
        <v>FT</v>
      </c>
      <c r="G64" s="29" t="s">
        <v>37</v>
      </c>
      <c r="H64" s="29" t="s">
        <v>24</v>
      </c>
      <c r="I64" s="2" t="s">
        <v>1819</v>
      </c>
      <c r="J64" s="22" t="s">
        <v>25</v>
      </c>
      <c r="K64" s="47" t="s">
        <v>83</v>
      </c>
      <c r="L64" s="47" t="s">
        <v>49</v>
      </c>
      <c r="M64" s="46" t="s">
        <v>717</v>
      </c>
      <c r="N64" s="3" t="s">
        <v>41</v>
      </c>
      <c r="O64" s="47" t="s">
        <v>90</v>
      </c>
      <c r="P64" s="46" t="s">
        <v>1887</v>
      </c>
      <c r="Q64" s="46" t="s">
        <v>51</v>
      </c>
      <c r="R64" s="29" t="s">
        <v>93</v>
      </c>
      <c r="S64" s="30">
        <v>214400</v>
      </c>
      <c r="T64" s="2" t="s">
        <v>43</v>
      </c>
      <c r="U64" s="31">
        <v>0</v>
      </c>
      <c r="V64" s="31">
        <v>-4</v>
      </c>
      <c r="W64" s="32">
        <v>0</v>
      </c>
      <c r="X64" s="33">
        <v>0</v>
      </c>
    </row>
    <row r="65" spans="1:24" x14ac:dyDescent="0.25">
      <c r="A65" s="22" t="s">
        <v>1623</v>
      </c>
      <c r="B65" s="2" t="s">
        <v>1629</v>
      </c>
      <c r="C65" s="2" t="s">
        <v>1633</v>
      </c>
      <c r="D65" s="46" t="s">
        <v>1699</v>
      </c>
      <c r="E65" s="46" t="s">
        <v>1762</v>
      </c>
      <c r="F65" s="24" t="str">
        <f>HYPERLINK("https://mapwv.gov/flood/map/?wkid=102100&amp;x=-8930694.45318776&amp;y=4718392.7927229535&amp;l=13&amp;v=2","FT")</f>
        <v>FT</v>
      </c>
      <c r="G65" s="29" t="s">
        <v>37</v>
      </c>
      <c r="H65" s="29" t="s">
        <v>24</v>
      </c>
      <c r="I65" s="2" t="s">
        <v>1820</v>
      </c>
      <c r="J65" s="22" t="s">
        <v>25</v>
      </c>
      <c r="K65" s="47" t="s">
        <v>83</v>
      </c>
      <c r="L65" s="47" t="s">
        <v>26</v>
      </c>
      <c r="M65" s="46" t="s">
        <v>46</v>
      </c>
      <c r="N65" s="3" t="s">
        <v>34</v>
      </c>
      <c r="O65" s="47" t="s">
        <v>90</v>
      </c>
      <c r="P65" s="46" t="s">
        <v>1865</v>
      </c>
      <c r="Q65" s="46" t="s">
        <v>29</v>
      </c>
      <c r="R65" s="29" t="s">
        <v>92</v>
      </c>
      <c r="S65" s="30">
        <v>213300</v>
      </c>
      <c r="T65" s="2" t="s">
        <v>43</v>
      </c>
      <c r="U65" s="31">
        <v>8</v>
      </c>
      <c r="V65" s="31">
        <v>7</v>
      </c>
      <c r="W65" s="32">
        <v>0.26</v>
      </c>
      <c r="X65" s="33">
        <v>55458</v>
      </c>
    </row>
    <row r="66" spans="1:24" x14ac:dyDescent="0.25">
      <c r="A66" s="22" t="s">
        <v>1624</v>
      </c>
      <c r="B66" s="2" t="s">
        <v>1628</v>
      </c>
      <c r="C66" s="2" t="s">
        <v>1630</v>
      </c>
      <c r="D66" s="46" t="s">
        <v>1700</v>
      </c>
      <c r="E66" s="46" t="s">
        <v>1763</v>
      </c>
      <c r="F66" s="24" t="str">
        <f>HYPERLINK("https://mapwv.gov/flood/map/?wkid=102100&amp;x=-8929852.834422765&amp;y=4721560.827800466&amp;l=13&amp;v=2","FT")</f>
        <v>FT</v>
      </c>
      <c r="G66" s="29" t="s">
        <v>31</v>
      </c>
      <c r="H66" s="29" t="s">
        <v>24</v>
      </c>
      <c r="I66" s="2" t="s">
        <v>165</v>
      </c>
      <c r="J66" s="22" t="s">
        <v>25</v>
      </c>
      <c r="K66" s="47" t="s">
        <v>96</v>
      </c>
      <c r="L66" s="47" t="s">
        <v>36</v>
      </c>
      <c r="M66" s="46" t="s">
        <v>50</v>
      </c>
      <c r="N66" s="3" t="s">
        <v>34</v>
      </c>
      <c r="O66" s="47" t="s">
        <v>90</v>
      </c>
      <c r="P66" s="46" t="s">
        <v>1888</v>
      </c>
      <c r="Q66" s="46" t="s">
        <v>29</v>
      </c>
      <c r="R66" s="29" t="s">
        <v>92</v>
      </c>
      <c r="S66" s="30">
        <v>209600</v>
      </c>
      <c r="T66" s="2" t="s">
        <v>43</v>
      </c>
      <c r="U66" s="31">
        <v>0.71948239999999997</v>
      </c>
      <c r="V66" s="31">
        <v>-0.280517578125</v>
      </c>
      <c r="W66" s="32">
        <v>7.1948242187499997E-3</v>
      </c>
      <c r="X66" s="33">
        <v>1508.03515625</v>
      </c>
    </row>
    <row r="67" spans="1:24" x14ac:dyDescent="0.25">
      <c r="A67" s="22" t="s">
        <v>1625</v>
      </c>
      <c r="B67" s="2" t="s">
        <v>1629</v>
      </c>
      <c r="C67" s="2" t="s">
        <v>1631</v>
      </c>
      <c r="D67" s="46" t="s">
        <v>1701</v>
      </c>
      <c r="E67" s="46" t="s">
        <v>1764</v>
      </c>
      <c r="F67" s="24" t="str">
        <f>HYPERLINK("https://mapwv.gov/flood/map/?wkid=102100&amp;x=-8931612.91457274&amp;y=4722823.692564808&amp;l=13&amp;v=2","FT")</f>
        <v>FT</v>
      </c>
      <c r="G67" s="29" t="s">
        <v>37</v>
      </c>
      <c r="H67" s="29" t="s">
        <v>24</v>
      </c>
      <c r="I67" s="2" t="s">
        <v>1821</v>
      </c>
      <c r="J67" s="22" t="s">
        <v>25</v>
      </c>
      <c r="K67" s="47" t="s">
        <v>149</v>
      </c>
      <c r="L67" s="47" t="s">
        <v>26</v>
      </c>
      <c r="M67" s="46" t="s">
        <v>55</v>
      </c>
      <c r="N67" s="3" t="s">
        <v>34</v>
      </c>
      <c r="O67" s="47" t="s">
        <v>90</v>
      </c>
      <c r="P67" s="46" t="s">
        <v>1889</v>
      </c>
      <c r="Q67" s="46" t="s">
        <v>29</v>
      </c>
      <c r="R67" s="29" t="s">
        <v>92</v>
      </c>
      <c r="S67" s="30">
        <v>208900</v>
      </c>
      <c r="T67" s="2" t="s">
        <v>43</v>
      </c>
      <c r="U67" s="31">
        <v>0</v>
      </c>
      <c r="V67" s="31">
        <v>-1</v>
      </c>
      <c r="W67" s="32">
        <v>0</v>
      </c>
      <c r="X67" s="33">
        <v>0</v>
      </c>
    </row>
    <row r="68" spans="1:24" x14ac:dyDescent="0.25">
      <c r="A68" s="22" t="s">
        <v>1626</v>
      </c>
      <c r="B68" s="2" t="s">
        <v>1628</v>
      </c>
      <c r="C68" s="2" t="s">
        <v>1630</v>
      </c>
      <c r="D68" s="46" t="s">
        <v>1702</v>
      </c>
      <c r="E68" s="46" t="s">
        <v>1765</v>
      </c>
      <c r="F68" s="24" t="str">
        <f>HYPERLINK("https://mapwv.gov/flood/map/?wkid=102100&amp;x=-8931350.081573932&amp;y=4721687.846107625&amp;l=13&amp;v=2","FT")</f>
        <v>FT</v>
      </c>
      <c r="G68" s="29" t="s">
        <v>31</v>
      </c>
      <c r="H68" s="29" t="s">
        <v>24</v>
      </c>
      <c r="I68" s="2" t="s">
        <v>1822</v>
      </c>
      <c r="J68" s="22" t="s">
        <v>38</v>
      </c>
      <c r="K68" s="47" t="s">
        <v>186</v>
      </c>
      <c r="L68" s="47" t="s">
        <v>56</v>
      </c>
      <c r="M68" s="46" t="s">
        <v>46</v>
      </c>
      <c r="N68" s="3" t="s">
        <v>34</v>
      </c>
      <c r="O68" s="47" t="s">
        <v>90</v>
      </c>
      <c r="P68" s="46" t="s">
        <v>1890</v>
      </c>
      <c r="Q68" s="46" t="s">
        <v>29</v>
      </c>
      <c r="R68" s="29" t="s">
        <v>92</v>
      </c>
      <c r="S68" s="30">
        <v>207700</v>
      </c>
      <c r="T68" s="2" t="s">
        <v>43</v>
      </c>
      <c r="U68" s="31">
        <v>0</v>
      </c>
      <c r="V68" s="31">
        <v>-1</v>
      </c>
      <c r="W68" s="32">
        <v>0</v>
      </c>
      <c r="X68" s="33">
        <v>0</v>
      </c>
    </row>
    <row r="69" spans="1:24" x14ac:dyDescent="0.25">
      <c r="A69" s="22" t="s">
        <v>1627</v>
      </c>
      <c r="B69" s="2" t="s">
        <v>1628</v>
      </c>
      <c r="C69" s="2" t="s">
        <v>1630</v>
      </c>
      <c r="D69" s="46" t="s">
        <v>1703</v>
      </c>
      <c r="E69" s="46" t="s">
        <v>1766</v>
      </c>
      <c r="F69" s="24" t="str">
        <f>HYPERLINK("https://mapwv.gov/flood/map/?wkid=102100&amp;x=-8931256.09296938&amp;y=4721665.148920691&amp;l=13&amp;v=2","FT")</f>
        <v>FT</v>
      </c>
      <c r="G69" s="29" t="s">
        <v>31</v>
      </c>
      <c r="H69" s="29" t="s">
        <v>24</v>
      </c>
      <c r="I69" s="2" t="s">
        <v>1823</v>
      </c>
      <c r="J69" s="22" t="s">
        <v>38</v>
      </c>
      <c r="K69" s="47" t="s">
        <v>99</v>
      </c>
      <c r="L69" s="47" t="s">
        <v>36</v>
      </c>
      <c r="M69" s="46" t="s">
        <v>33</v>
      </c>
      <c r="N69" s="3" t="s">
        <v>89</v>
      </c>
      <c r="O69" s="47" t="s">
        <v>91</v>
      </c>
      <c r="P69" s="46" t="s">
        <v>1891</v>
      </c>
      <c r="Q69" s="46" t="s">
        <v>29</v>
      </c>
      <c r="R69" s="29" t="s">
        <v>92</v>
      </c>
      <c r="S69" s="30">
        <v>206100</v>
      </c>
      <c r="T69" s="2" t="s">
        <v>30</v>
      </c>
      <c r="U69" s="31">
        <v>0</v>
      </c>
      <c r="V69" s="31">
        <v>-1</v>
      </c>
      <c r="W69" s="32">
        <v>0</v>
      </c>
      <c r="X69" s="33">
        <v>0</v>
      </c>
    </row>
  </sheetData>
  <conditionalFormatting sqref="A7:A69">
    <cfRule type="duplicateValues" dxfId="1" priority="1"/>
    <cfRule type="duplicateValues" dxfId="0" priority="2"/>
  </conditionalFormatting>
  <hyperlinks>
    <hyperlink ref="J3" r:id="rId1" xr:uid="{4C537BF0-AC07-42DB-B7EA-F64FB9492A50}"/>
    <hyperlink ref="M3" r:id="rId2" xr:uid="{04726FF7-DFF9-487F-93C6-DBF798EF9F86}"/>
    <hyperlink ref="Q3" r:id="rId3" xr:uid="{CE023987-0632-4952-8369-7641E9A8BC3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A534-FBC7-4108-93AD-5080BF02B5A5}">
  <sheetPr filterMode="1"/>
  <dimension ref="B1:G38"/>
  <sheetViews>
    <sheetView zoomScale="110" zoomScaleNormal="110" workbookViewId="0">
      <selection activeCell="D1" sqref="D1"/>
    </sheetView>
  </sheetViews>
  <sheetFormatPr defaultRowHeight="15" x14ac:dyDescent="0.25"/>
  <cols>
    <col min="2" max="2" width="17.85546875" style="51" bestFit="1" customWidth="1"/>
    <col min="3" max="3" width="8.85546875" style="51"/>
    <col min="4" max="4" width="52.5703125" style="51" bestFit="1" customWidth="1"/>
    <col min="5" max="5" width="8.85546875" style="51"/>
    <col min="6" max="6" width="12.7109375" style="51" bestFit="1" customWidth="1"/>
    <col min="7" max="7" width="21.7109375" style="51" bestFit="1" customWidth="1"/>
  </cols>
  <sheetData>
    <row r="1" spans="2:7" x14ac:dyDescent="0.25">
      <c r="B1" s="41" t="s">
        <v>117</v>
      </c>
      <c r="G1" s="54" t="s">
        <v>1899</v>
      </c>
    </row>
    <row r="2" spans="2:7" ht="36" x14ac:dyDescent="0.25">
      <c r="B2" s="37" t="s">
        <v>1</v>
      </c>
      <c r="C2" s="37" t="s">
        <v>5</v>
      </c>
      <c r="D2" s="37" t="s">
        <v>116</v>
      </c>
      <c r="E2" s="38" t="s">
        <v>12</v>
      </c>
      <c r="F2" s="35" t="s">
        <v>13</v>
      </c>
      <c r="G2" s="36" t="s">
        <v>18</v>
      </c>
    </row>
    <row r="3" spans="2:7" x14ac:dyDescent="0.25">
      <c r="B3" s="49" t="s">
        <v>1897</v>
      </c>
      <c r="C3" s="42" t="str">
        <f>HYPERLINK("https://mapwv.gov/flood/map/?wkid=102100&amp;x=-8902114.269978292&amp;y=4706849.878545119&amp;l=13&amp;v=2","FT")</f>
        <v>FT</v>
      </c>
      <c r="D3" s="50" t="s">
        <v>58</v>
      </c>
      <c r="E3" s="50" t="s">
        <v>59</v>
      </c>
      <c r="F3" s="43" t="s">
        <v>28</v>
      </c>
      <c r="G3" s="44">
        <v>5521655</v>
      </c>
    </row>
    <row r="4" spans="2:7" x14ac:dyDescent="0.25">
      <c r="B4" s="49" t="s">
        <v>1895</v>
      </c>
      <c r="C4" s="42" t="str">
        <f>HYPERLINK("https://www.mapwv.gov/flood/map/?wkid=102100&amp;x=-8901554&amp;y=4683012&amp;l=13&amp;v=2","FT")</f>
        <v>FT</v>
      </c>
      <c r="D4" s="50" t="s">
        <v>1403</v>
      </c>
      <c r="E4" s="50" t="s">
        <v>27</v>
      </c>
      <c r="F4" s="43" t="s">
        <v>28</v>
      </c>
      <c r="G4" s="44">
        <v>4000000</v>
      </c>
    </row>
    <row r="5" spans="2:7" x14ac:dyDescent="0.25">
      <c r="B5" s="49" t="s">
        <v>1895</v>
      </c>
      <c r="C5" s="42" t="str">
        <f>HYPERLINK("https://mapwv.gov/flood/map/?wkid=102100&amp;x=-8891807.78364363&amp;y=4697997.936046031&amp;l=13&amp;v=2","FT")</f>
        <v>FT</v>
      </c>
      <c r="D5" s="50" t="s">
        <v>1086</v>
      </c>
      <c r="E5" s="50" t="s">
        <v>33</v>
      </c>
      <c r="F5" s="43" t="s">
        <v>34</v>
      </c>
      <c r="G5" s="44">
        <v>2549900</v>
      </c>
    </row>
    <row r="6" spans="2:7" x14ac:dyDescent="0.25">
      <c r="B6" s="49" t="s">
        <v>1894</v>
      </c>
      <c r="C6" s="42" t="str">
        <f>HYPERLINK("https://mapwv.gov/flood/map/?wkid=102100&amp;x=-8889791.375226647&amp;y=4710455.996885699&amp;l=13&amp;v=2","FT")</f>
        <v>FT</v>
      </c>
      <c r="D6" s="50" t="s">
        <v>1292</v>
      </c>
      <c r="E6" s="50" t="s">
        <v>33</v>
      </c>
      <c r="F6" s="43" t="s">
        <v>34</v>
      </c>
      <c r="G6" s="44">
        <v>2249700</v>
      </c>
    </row>
    <row r="7" spans="2:7" x14ac:dyDescent="0.25">
      <c r="B7" s="49" t="s">
        <v>1895</v>
      </c>
      <c r="C7" s="42" t="str">
        <f>HYPERLINK("https://mapwv.gov/flood/map/?wkid=102100&amp;x=-8888625.353097757&amp;y=4706666.952718607&amp;l=13&amp;v=2","FT")</f>
        <v>FT</v>
      </c>
      <c r="D7" s="50" t="s">
        <v>1293</v>
      </c>
      <c r="E7" s="50" t="s">
        <v>46</v>
      </c>
      <c r="F7" s="43" t="s">
        <v>34</v>
      </c>
      <c r="G7" s="44">
        <v>2137800</v>
      </c>
    </row>
    <row r="8" spans="2:7" x14ac:dyDescent="0.25">
      <c r="B8" s="49" t="s">
        <v>1895</v>
      </c>
      <c r="C8" s="42" t="str">
        <f>HYPERLINK("https://www.mapwv.gov/flood/map/?wkid=102100&amp;x=-8903284&amp;y=4678519&amp;l=13&amp;v=2","FT")</f>
        <v>FT</v>
      </c>
      <c r="D8" s="50" t="s">
        <v>1408</v>
      </c>
      <c r="E8" s="50" t="s">
        <v>27</v>
      </c>
      <c r="F8" s="43" t="s">
        <v>28</v>
      </c>
      <c r="G8" s="44">
        <v>1950000</v>
      </c>
    </row>
    <row r="9" spans="2:7" x14ac:dyDescent="0.25">
      <c r="B9" s="49" t="s">
        <v>1898</v>
      </c>
      <c r="C9" s="42" t="str">
        <f>HYPERLINK("https://mapwv.gov/flood/map/?wkid=102100&amp;x=-8852349.163016077&amp;y=4710257.110998205&amp;l=13&amp;v=2","FT")</f>
        <v>FT</v>
      </c>
      <c r="D9" s="50" t="s">
        <v>58</v>
      </c>
      <c r="E9" s="50" t="s">
        <v>59</v>
      </c>
      <c r="F9" s="43" t="s">
        <v>28</v>
      </c>
      <c r="G9" s="44">
        <v>1793230</v>
      </c>
    </row>
    <row r="10" spans="2:7" x14ac:dyDescent="0.25">
      <c r="B10" s="49" t="s">
        <v>1895</v>
      </c>
      <c r="C10" s="42" t="str">
        <f>HYPERLINK("https://mapwv.gov/flood/map/?wkid=102100&amp;x=-8891906.804557078&amp;y=4696395.929815691&amp;l=13&amp;v=2","FT")</f>
        <v>FT</v>
      </c>
      <c r="D10" s="50" t="s">
        <v>1294</v>
      </c>
      <c r="E10" s="50" t="s">
        <v>62</v>
      </c>
      <c r="F10" s="43" t="s">
        <v>34</v>
      </c>
      <c r="G10" s="44">
        <v>1240100</v>
      </c>
    </row>
    <row r="11" spans="2:7" hidden="1" x14ac:dyDescent="0.25">
      <c r="B11" s="49" t="s">
        <v>1895</v>
      </c>
      <c r="C11" s="42" t="str">
        <f>HYPERLINK("https://mapwv.gov/flood/map/?wkid=102100&amp;x=-8887534.779868828&amp;y=4709263.902839891&amp;l=13&amp;v=2","FT")</f>
        <v>FT</v>
      </c>
      <c r="D11" s="50" t="s">
        <v>1295</v>
      </c>
      <c r="E11" s="50" t="s">
        <v>61</v>
      </c>
      <c r="F11" s="43" t="s">
        <v>41</v>
      </c>
      <c r="G11" s="44">
        <v>1078000</v>
      </c>
    </row>
    <row r="12" spans="2:7" hidden="1" x14ac:dyDescent="0.25">
      <c r="B12" s="49" t="s">
        <v>1895</v>
      </c>
      <c r="C12" s="42" t="str">
        <f>HYPERLINK("https://mapwv.gov/flood/map/?wkid=102100&amp;x=-8921999.162304832&amp;y=4655176.881135621&amp;l=13&amp;v=2","FT")</f>
        <v>FT</v>
      </c>
      <c r="D12" s="50" t="s">
        <v>1296</v>
      </c>
      <c r="E12" s="50" t="s">
        <v>61</v>
      </c>
      <c r="F12" s="43" t="s">
        <v>41</v>
      </c>
      <c r="G12" s="44">
        <v>822200</v>
      </c>
    </row>
    <row r="13" spans="2:7" x14ac:dyDescent="0.25">
      <c r="B13" s="49" t="s">
        <v>1894</v>
      </c>
      <c r="C13" s="42" t="str">
        <f>HYPERLINK("https://mapwv.gov/flood/map/?wkid=102100&amp;x=-8888167.518629987&amp;y=4710010.85071321&amp;l=13&amp;v=2","FT")</f>
        <v>FT</v>
      </c>
      <c r="D13" s="50" t="s">
        <v>1297</v>
      </c>
      <c r="E13" s="50" t="s">
        <v>46</v>
      </c>
      <c r="F13" s="43" t="s">
        <v>34</v>
      </c>
      <c r="G13" s="44">
        <v>807700</v>
      </c>
    </row>
    <row r="14" spans="2:7" hidden="1" x14ac:dyDescent="0.25">
      <c r="B14" s="49" t="s">
        <v>1895</v>
      </c>
      <c r="C14" s="42" t="str">
        <f>HYPERLINK("https://mapwv.gov/flood/map/?wkid=102100&amp;x=-8893735.308679227&amp;y=4664437.87097561&amp;l=13&amp;v=2","FT")</f>
        <v>FT</v>
      </c>
      <c r="D14" s="50" t="s">
        <v>1298</v>
      </c>
      <c r="E14" s="50" t="s">
        <v>40</v>
      </c>
      <c r="F14" s="43" t="s">
        <v>41</v>
      </c>
      <c r="G14" s="44">
        <v>658400</v>
      </c>
    </row>
    <row r="15" spans="2:7" hidden="1" x14ac:dyDescent="0.25">
      <c r="B15" s="49" t="s">
        <v>1895</v>
      </c>
      <c r="C15" s="42" t="str">
        <f>HYPERLINK("https://mapwv.gov/flood/map/?wkid=102100&amp;x=-8893614.342352679&amp;y=4664339.631773317&amp;l=13&amp;v=2","FT")</f>
        <v>FT</v>
      </c>
      <c r="D15" s="50" t="s">
        <v>1299</v>
      </c>
      <c r="E15" s="50" t="s">
        <v>40</v>
      </c>
      <c r="F15" s="43" t="s">
        <v>41</v>
      </c>
      <c r="G15" s="44">
        <v>564800</v>
      </c>
    </row>
    <row r="16" spans="2:7" x14ac:dyDescent="0.25">
      <c r="B16" s="49" t="s">
        <v>1895</v>
      </c>
      <c r="C16" s="42" t="str">
        <f>HYPERLINK("https://mapwv.gov/flood/map/?wkid=102100&amp;x=-8888503.482968269&amp;y=4707005.599460438&amp;l=13&amp;v=2","FT")</f>
        <v>FT</v>
      </c>
      <c r="D16" s="50" t="s">
        <v>1300</v>
      </c>
      <c r="E16" s="50" t="s">
        <v>46</v>
      </c>
      <c r="F16" s="43" t="s">
        <v>34</v>
      </c>
      <c r="G16" s="44">
        <v>553000</v>
      </c>
    </row>
    <row r="17" spans="2:7" x14ac:dyDescent="0.25">
      <c r="B17" s="49" t="s">
        <v>1898</v>
      </c>
      <c r="C17" s="42" t="str">
        <f>HYPERLINK("https://mapwv.gov/flood/map/?wkid=102100&amp;x=-8852271.151541444&amp;y=4710299.782362098&amp;l=13&amp;v=2","FT")</f>
        <v>FT</v>
      </c>
      <c r="D17" s="50" t="s">
        <v>58</v>
      </c>
      <c r="E17" s="50" t="s">
        <v>27</v>
      </c>
      <c r="F17" s="43" t="s">
        <v>28</v>
      </c>
      <c r="G17" s="44">
        <v>493501</v>
      </c>
    </row>
    <row r="18" spans="2:7" hidden="1" x14ac:dyDescent="0.25">
      <c r="B18" s="49" t="s">
        <v>1895</v>
      </c>
      <c r="C18" s="42" t="str">
        <f>HYPERLINK("https://mapwv.gov/flood/map/?wkid=102100&amp;x=-8889576.65696079&amp;y=4698137.967520639&amp;l=13&amp;v=2","FT")</f>
        <v>FT</v>
      </c>
      <c r="D18" s="50" t="s">
        <v>1301</v>
      </c>
      <c r="E18" s="50" t="s">
        <v>40</v>
      </c>
      <c r="F18" s="43" t="s">
        <v>41</v>
      </c>
      <c r="G18" s="44">
        <v>489100</v>
      </c>
    </row>
    <row r="19" spans="2:7" x14ac:dyDescent="0.25">
      <c r="B19" s="49" t="s">
        <v>1894</v>
      </c>
      <c r="C19" s="42" t="str">
        <f>HYPERLINK("https://mapwv.gov/flood/map/?wkid=102100&amp;x=-8890150.984604014&amp;y=4709968.589618697&amp;l=13&amp;v=2","FT")</f>
        <v>FT</v>
      </c>
      <c r="D19" s="50" t="s">
        <v>1302</v>
      </c>
      <c r="E19" s="50" t="s">
        <v>33</v>
      </c>
      <c r="F19" s="43" t="s">
        <v>34</v>
      </c>
      <c r="G19" s="44">
        <v>468200</v>
      </c>
    </row>
    <row r="20" spans="2:7" hidden="1" x14ac:dyDescent="0.25">
      <c r="B20" s="49" t="s">
        <v>1895</v>
      </c>
      <c r="C20" s="42" t="str">
        <f>HYPERLINK("https://mapwv.gov/flood/map/?wkid=102100&amp;x=-8902676.192511424&amp;y=4676069.02456888&amp;l=13&amp;v=2","FT")</f>
        <v>FT</v>
      </c>
      <c r="D20" s="50" t="s">
        <v>1303</v>
      </c>
      <c r="E20" s="50" t="s">
        <v>40</v>
      </c>
      <c r="F20" s="43" t="s">
        <v>41</v>
      </c>
      <c r="G20" s="44">
        <v>464600</v>
      </c>
    </row>
    <row r="21" spans="2:7" x14ac:dyDescent="0.25">
      <c r="B21" s="49" t="s">
        <v>1894</v>
      </c>
      <c r="C21" s="42" t="str">
        <f>HYPERLINK("https://mapwv.gov/flood/map/?wkid=102100&amp;x=-8888226.881418245&amp;y=4710835.308899178&amp;l=13&amp;v=2","FT")</f>
        <v>FT</v>
      </c>
      <c r="D21" s="50" t="s">
        <v>1304</v>
      </c>
      <c r="E21" s="50" t="s">
        <v>46</v>
      </c>
      <c r="F21" s="43" t="s">
        <v>34</v>
      </c>
      <c r="G21" s="44">
        <v>461000</v>
      </c>
    </row>
    <row r="22" spans="2:7" hidden="1" x14ac:dyDescent="0.25">
      <c r="B22" s="49" t="s">
        <v>1895</v>
      </c>
      <c r="C22" s="42" t="str">
        <f>HYPERLINK("https://mapwv.gov/flood/map/?wkid=102100&amp;x=-8891864.908687482&amp;y=4696760.464213343&amp;l=13&amp;v=2","FT")</f>
        <v>FT</v>
      </c>
      <c r="D22" s="50" t="s">
        <v>1305</v>
      </c>
      <c r="E22" s="50" t="s">
        <v>717</v>
      </c>
      <c r="F22" s="43" t="s">
        <v>41</v>
      </c>
      <c r="G22" s="44">
        <v>458000</v>
      </c>
    </row>
    <row r="23" spans="2:7" x14ac:dyDescent="0.25">
      <c r="B23" s="49" t="s">
        <v>1895</v>
      </c>
      <c r="C23" s="42" t="str">
        <f>HYPERLINK("https://mapwv.gov/flood/map/?wkid=102100&amp;x=-8895296.47036131&amp;y=4712235.72066188&amp;l=13&amp;v=2","FT")</f>
        <v>FT</v>
      </c>
      <c r="D23" s="50" t="s">
        <v>1306</v>
      </c>
      <c r="E23" s="50" t="s">
        <v>33</v>
      </c>
      <c r="F23" s="43" t="s">
        <v>34</v>
      </c>
      <c r="G23" s="44">
        <v>455530</v>
      </c>
    </row>
    <row r="24" spans="2:7" hidden="1" x14ac:dyDescent="0.25">
      <c r="B24" s="49" t="s">
        <v>1896</v>
      </c>
      <c r="C24" s="42" t="str">
        <f>HYPERLINK("https://mapwv.gov/flood/map/?wkid=102100&amp;x=-8891087.830291573&amp;y=4698576.791625934&amp;l=13&amp;v=2","FT")</f>
        <v>FT</v>
      </c>
      <c r="D24" s="50" t="s">
        <v>1307</v>
      </c>
      <c r="E24" s="50" t="s">
        <v>156</v>
      </c>
      <c r="F24" s="43" t="s">
        <v>41</v>
      </c>
      <c r="G24" s="44">
        <v>441200</v>
      </c>
    </row>
    <row r="25" spans="2:7" x14ac:dyDescent="0.25">
      <c r="B25" s="49" t="s">
        <v>1895</v>
      </c>
      <c r="C25" s="42" t="str">
        <f>HYPERLINK("https://mapwv.gov/flood/map/?wkid=102100&amp;x=-8887710.909121886&amp;y=4709560.670233231&amp;l=13&amp;v=2","FT")</f>
        <v>FT</v>
      </c>
      <c r="D25" s="50" t="s">
        <v>1308</v>
      </c>
      <c r="E25" s="50" t="s">
        <v>46</v>
      </c>
      <c r="F25" s="43" t="s">
        <v>34</v>
      </c>
      <c r="G25" s="44">
        <v>425000</v>
      </c>
    </row>
    <row r="26" spans="2:7" x14ac:dyDescent="0.25">
      <c r="B26" s="49" t="s">
        <v>1895</v>
      </c>
      <c r="C26" s="42" t="str">
        <f>HYPERLINK("https://mapwv.gov/flood/map/?wkid=102100&amp;x=-8920315.101455878&amp;y=4681134.230803356&amp;l=13&amp;v=2","FT")</f>
        <v>FT</v>
      </c>
      <c r="D26" s="50" t="s">
        <v>1309</v>
      </c>
      <c r="E26" s="50" t="s">
        <v>1345</v>
      </c>
      <c r="F26" s="43" t="s">
        <v>34</v>
      </c>
      <c r="G26" s="44">
        <v>403113</v>
      </c>
    </row>
    <row r="27" spans="2:7" hidden="1" x14ac:dyDescent="0.25">
      <c r="B27" s="49" t="s">
        <v>1895</v>
      </c>
      <c r="C27" s="42" t="str">
        <f>HYPERLINK("https://mapwv.gov/flood/map/?wkid=102100&amp;x=-8894008.462887261&amp;y=4664515.216672765&amp;l=13&amp;v=2","FT")</f>
        <v>FT</v>
      </c>
      <c r="D27" s="50" t="s">
        <v>1310</v>
      </c>
      <c r="E27" s="50" t="s">
        <v>40</v>
      </c>
      <c r="F27" s="43" t="s">
        <v>41</v>
      </c>
      <c r="G27" s="44">
        <v>402300</v>
      </c>
    </row>
    <row r="28" spans="2:7" hidden="1" x14ac:dyDescent="0.25">
      <c r="B28" s="49" t="s">
        <v>1895</v>
      </c>
      <c r="C28" s="42" t="str">
        <f>HYPERLINK("https://mapwv.gov/flood/map/?wkid=102100&amp;x=-8893887.033805586&amp;y=4664529.079021839&amp;l=13&amp;v=2","FT")</f>
        <v>FT</v>
      </c>
      <c r="D28" s="50" t="s">
        <v>1311</v>
      </c>
      <c r="E28" s="50" t="s">
        <v>40</v>
      </c>
      <c r="F28" s="43" t="s">
        <v>41</v>
      </c>
      <c r="G28" s="44">
        <v>399100</v>
      </c>
    </row>
    <row r="29" spans="2:7" x14ac:dyDescent="0.25">
      <c r="B29" s="49" t="s">
        <v>1895</v>
      </c>
      <c r="C29" s="42" t="str">
        <f>HYPERLINK("https://mapwv.gov/flood/map/?wkid=102100&amp;x=-8909470.153950004&amp;y=4656221.403807518&amp;l=13&amp;v=2","FT")</f>
        <v>FT</v>
      </c>
      <c r="D29" s="50" t="s">
        <v>1312</v>
      </c>
      <c r="E29" s="50" t="s">
        <v>46</v>
      </c>
      <c r="F29" s="43" t="s">
        <v>34</v>
      </c>
      <c r="G29" s="44">
        <v>368362</v>
      </c>
    </row>
    <row r="30" spans="2:7" hidden="1" x14ac:dyDescent="0.25">
      <c r="B30" s="49" t="s">
        <v>1895</v>
      </c>
      <c r="C30" s="42" t="str">
        <f>HYPERLINK("https://mapwv.gov/flood/map/?wkid=102100&amp;x=-8889392.323572583&amp;y=4706873.876537016&amp;l=13&amp;v=2","FT")</f>
        <v>FT</v>
      </c>
      <c r="D30" s="50" t="s">
        <v>1313</v>
      </c>
      <c r="E30" s="50" t="s">
        <v>40</v>
      </c>
      <c r="F30" s="43" t="s">
        <v>41</v>
      </c>
      <c r="G30" s="44">
        <v>358900</v>
      </c>
    </row>
    <row r="31" spans="2:7" hidden="1" x14ac:dyDescent="0.25">
      <c r="B31" s="49" t="s">
        <v>1895</v>
      </c>
      <c r="C31" s="42" t="str">
        <f>HYPERLINK("https://mapwv.gov/flood/map/?wkid=102100&amp;x=-8873362.520613017&amp;y=4723261.035114281&amp;l=13&amp;v=2","FT")</f>
        <v>FT</v>
      </c>
      <c r="D31" s="50" t="s">
        <v>1314</v>
      </c>
      <c r="E31" s="50" t="s">
        <v>40</v>
      </c>
      <c r="F31" s="43" t="s">
        <v>41</v>
      </c>
      <c r="G31" s="44">
        <v>356600</v>
      </c>
    </row>
    <row r="32" spans="2:7" x14ac:dyDescent="0.25">
      <c r="B32" s="49" t="s">
        <v>1895</v>
      </c>
      <c r="C32" s="42" t="str">
        <f>HYPERLINK("https://mapwv.gov/flood/map/?wkid=102100&amp;x=-8888526.759762475&amp;y=4706530.809190493&amp;l=13&amp;v=2","FT")</f>
        <v>FT</v>
      </c>
      <c r="D32" s="50" t="s">
        <v>1313</v>
      </c>
      <c r="E32" s="50" t="s">
        <v>46</v>
      </c>
      <c r="F32" s="43" t="s">
        <v>34</v>
      </c>
      <c r="G32" s="44">
        <v>353500</v>
      </c>
    </row>
    <row r="33" spans="2:7" x14ac:dyDescent="0.25">
      <c r="B33" s="49" t="s">
        <v>1894</v>
      </c>
      <c r="C33" s="42" t="str">
        <f>HYPERLINK("https://mapwv.gov/flood/map/?wkid=102100&amp;x=-8888376.37158319&amp;y=4709763.894197077&amp;l=13&amp;v=2","FT")</f>
        <v>FT</v>
      </c>
      <c r="D33" s="50" t="s">
        <v>1315</v>
      </c>
      <c r="E33" s="50" t="s">
        <v>55</v>
      </c>
      <c r="F33" s="43" t="s">
        <v>34</v>
      </c>
      <c r="G33" s="44">
        <v>335729</v>
      </c>
    </row>
    <row r="34" spans="2:7" x14ac:dyDescent="0.25">
      <c r="B34" s="49" t="s">
        <v>1895</v>
      </c>
      <c r="C34" s="42" t="str">
        <f>HYPERLINK("https://mapwv.gov/flood/map/?wkid=102100&amp;x=-8890787.671867505&amp;y=4701238.2781815585&amp;l=13&amp;v=2","FT")</f>
        <v>FT</v>
      </c>
      <c r="D34" s="50" t="s">
        <v>1316</v>
      </c>
      <c r="E34" s="50" t="s">
        <v>62</v>
      </c>
      <c r="F34" s="43" t="s">
        <v>34</v>
      </c>
      <c r="G34" s="44">
        <v>328000</v>
      </c>
    </row>
    <row r="35" spans="2:7" hidden="1" x14ac:dyDescent="0.25">
      <c r="B35" s="49" t="s">
        <v>1895</v>
      </c>
      <c r="C35" s="42" t="str">
        <f>HYPERLINK("https://mapwv.gov/flood/map/?wkid=102100&amp;x=-8911185.798587525&amp;y=4650550.827548266&amp;l=13&amp;v=2","FT")</f>
        <v>FT</v>
      </c>
      <c r="D35" s="50" t="s">
        <v>1317</v>
      </c>
      <c r="E35" s="50" t="s">
        <v>61</v>
      </c>
      <c r="F35" s="43" t="s">
        <v>41</v>
      </c>
      <c r="G35" s="44">
        <v>323800</v>
      </c>
    </row>
    <row r="36" spans="2:7" hidden="1" x14ac:dyDescent="0.25">
      <c r="B36" s="49" t="s">
        <v>1895</v>
      </c>
      <c r="C36" s="42" t="str">
        <f>HYPERLINK("https://mapwv.gov/flood/map/?wkid=102100&amp;x=-8883050.905252412&amp;y=4730022.790825539&amp;l=13&amp;v=2","FT")</f>
        <v>FT</v>
      </c>
      <c r="D36" s="50" t="s">
        <v>1318</v>
      </c>
      <c r="E36" s="50" t="s">
        <v>40</v>
      </c>
      <c r="F36" s="43" t="s">
        <v>41</v>
      </c>
      <c r="G36" s="44">
        <v>304200</v>
      </c>
    </row>
    <row r="37" spans="2:7" x14ac:dyDescent="0.25">
      <c r="B37" s="49" t="s">
        <v>1895</v>
      </c>
      <c r="C37" s="42" t="str">
        <f>HYPERLINK("https://mapwv.gov/flood/map/?wkid=102100&amp;x=-8906270.276745625&amp;y=4672855.990858825&amp;l=13&amp;v=2","FT")</f>
        <v>FT</v>
      </c>
      <c r="D37" s="50" t="s">
        <v>1319</v>
      </c>
      <c r="E37" s="50" t="s">
        <v>59</v>
      </c>
      <c r="F37" s="43" t="s">
        <v>28</v>
      </c>
      <c r="G37" s="44">
        <v>302600</v>
      </c>
    </row>
    <row r="38" spans="2:7" x14ac:dyDescent="0.25">
      <c r="B38" s="39" t="s">
        <v>189</v>
      </c>
    </row>
  </sheetData>
  <autoFilter ref="B2:G37" xr:uid="{DB945D49-7AEB-4A88-9D71-982AD9A89B8D}">
    <filterColumn colId="4">
      <filters>
        <filter val="Commercial"/>
        <filter val="Other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9BF8-E349-42FD-9F16-AB1C850EF0FE}">
  <sheetPr filterMode="1"/>
  <dimension ref="B2:G38"/>
  <sheetViews>
    <sheetView zoomScale="110" zoomScaleNormal="110" workbookViewId="0">
      <selection activeCell="K9" sqref="K9"/>
    </sheetView>
  </sheetViews>
  <sheetFormatPr defaultRowHeight="15" x14ac:dyDescent="0.25"/>
  <cols>
    <col min="2" max="2" width="14.140625" style="51" bestFit="1" customWidth="1"/>
    <col min="3" max="5" width="8.85546875" style="51"/>
    <col min="6" max="6" width="9.42578125" style="51" bestFit="1" customWidth="1"/>
    <col min="7" max="7" width="11.7109375" style="51" bestFit="1" customWidth="1"/>
  </cols>
  <sheetData>
    <row r="2" spans="2:7" ht="48" x14ac:dyDescent="0.25">
      <c r="B2" s="37" t="s">
        <v>1</v>
      </c>
      <c r="C2" s="37" t="s">
        <v>5</v>
      </c>
      <c r="D2" s="37" t="s">
        <v>116</v>
      </c>
      <c r="E2" s="38" t="s">
        <v>12</v>
      </c>
      <c r="F2" s="35" t="s">
        <v>13</v>
      </c>
      <c r="G2" s="36" t="s">
        <v>18</v>
      </c>
    </row>
    <row r="3" spans="2:7" x14ac:dyDescent="0.25">
      <c r="B3" s="49" t="s">
        <v>1900</v>
      </c>
      <c r="C3" s="42" t="str">
        <f>HYPERLINK("https://mapwv.gov/flood/map/?wkid=102100&amp;x=-8931618.47576054&amp;y=4721391.270043736&amp;l=13&amp;v=2","FT")</f>
        <v>FT</v>
      </c>
      <c r="D3" s="49" t="s">
        <v>1767</v>
      </c>
      <c r="E3" s="50" t="s">
        <v>46</v>
      </c>
      <c r="F3" s="43" t="s">
        <v>34</v>
      </c>
      <c r="G3" s="44">
        <v>6791400</v>
      </c>
    </row>
    <row r="4" spans="2:7" x14ac:dyDescent="0.25">
      <c r="B4" s="49" t="s">
        <v>1900</v>
      </c>
      <c r="C4" s="42" t="str">
        <f>HYPERLINK("https://mapwv.gov/flood/map/?wkid=102100&amp;x=-8931619.299858728&amp;y=4722531.737853643&amp;l=13&amp;v=2","FT")</f>
        <v>FT</v>
      </c>
      <c r="D4" s="49" t="s">
        <v>1768</v>
      </c>
      <c r="E4" s="50" t="s">
        <v>46</v>
      </c>
      <c r="F4" s="43" t="s">
        <v>34</v>
      </c>
      <c r="G4" s="44">
        <v>6226300</v>
      </c>
    </row>
    <row r="5" spans="2:7" hidden="1" x14ac:dyDescent="0.25">
      <c r="B5" s="49" t="s">
        <v>1900</v>
      </c>
      <c r="C5" s="42" t="str">
        <f>HYPERLINK("https://mapwv.gov/flood/map/?wkid=102100&amp;x=-8930945.255221283&amp;y=4721182.167713608&amp;l=13&amp;v=2","FT")</f>
        <v>FT</v>
      </c>
      <c r="D5" s="49" t="s">
        <v>1769</v>
      </c>
      <c r="E5" s="50" t="s">
        <v>154</v>
      </c>
      <c r="F5" s="43" t="s">
        <v>41</v>
      </c>
      <c r="G5" s="44">
        <v>4726600</v>
      </c>
    </row>
    <row r="6" spans="2:7" x14ac:dyDescent="0.25">
      <c r="B6" s="49" t="s">
        <v>1900</v>
      </c>
      <c r="C6" s="42" t="str">
        <f>HYPERLINK("https://mapwv.gov/flood/map/?wkid=102100&amp;x=-8931632.446245313&amp;y=4722133.0712744435&amp;l=13&amp;v=2","FT")</f>
        <v>FT</v>
      </c>
      <c r="D6" s="49" t="s">
        <v>1770</v>
      </c>
      <c r="E6" s="50" t="s">
        <v>50</v>
      </c>
      <c r="F6" s="43" t="s">
        <v>34</v>
      </c>
      <c r="G6" s="44">
        <v>3858200</v>
      </c>
    </row>
    <row r="7" spans="2:7" x14ac:dyDescent="0.25">
      <c r="B7" s="49" t="s">
        <v>1901</v>
      </c>
      <c r="C7" s="42" t="str">
        <f>HYPERLINK("https://mapwv.gov/flood/map/?wkid=102100&amp;x=-8933867.087618435&amp;y=4721713.256921645&amp;l=13&amp;v=2","FT")</f>
        <v>FT</v>
      </c>
      <c r="D7" s="49" t="s">
        <v>1771</v>
      </c>
      <c r="E7" s="50" t="s">
        <v>46</v>
      </c>
      <c r="F7" s="43" t="s">
        <v>34</v>
      </c>
      <c r="G7" s="44">
        <v>2797600</v>
      </c>
    </row>
    <row r="8" spans="2:7" x14ac:dyDescent="0.25">
      <c r="B8" s="49" t="s">
        <v>1900</v>
      </c>
      <c r="C8" s="42" t="str">
        <f>HYPERLINK("https://mapwv.gov/flood/map/?wkid=102100&amp;x=-8930618.146682443&amp;y=4718223.338205133&amp;l=13&amp;v=2","FT")</f>
        <v>FT</v>
      </c>
      <c r="D8" s="49" t="s">
        <v>1772</v>
      </c>
      <c r="E8" s="50" t="s">
        <v>33</v>
      </c>
      <c r="F8" s="43" t="s">
        <v>34</v>
      </c>
      <c r="G8" s="44">
        <v>2725800</v>
      </c>
    </row>
    <row r="9" spans="2:7" x14ac:dyDescent="0.25">
      <c r="B9" s="49" t="s">
        <v>1900</v>
      </c>
      <c r="C9" s="42" t="str">
        <f>HYPERLINK("https://mapwv.gov/flood/map/?wkid=102100&amp;x=-8931627.214229247&amp;y=4722249.058364799&amp;l=13&amp;v=2","FT")</f>
        <v>FT</v>
      </c>
      <c r="D9" s="49" t="s">
        <v>1773</v>
      </c>
      <c r="E9" s="50" t="s">
        <v>50</v>
      </c>
      <c r="F9" s="43" t="s">
        <v>34</v>
      </c>
      <c r="G9" s="44">
        <v>2073700</v>
      </c>
    </row>
    <row r="10" spans="2:7" x14ac:dyDescent="0.25">
      <c r="B10" s="49" t="s">
        <v>1901</v>
      </c>
      <c r="C10" s="42" t="str">
        <f>HYPERLINK("https://mapwv.gov/flood/map/?wkid=102100&amp;x=-8933787.09510214&amp;y=4721104.269498725&amp;l=13&amp;v=2","FT")</f>
        <v>FT</v>
      </c>
      <c r="D10" s="49" t="s">
        <v>1774</v>
      </c>
      <c r="E10" s="50" t="s">
        <v>1830</v>
      </c>
      <c r="F10" s="43" t="s">
        <v>34</v>
      </c>
      <c r="G10" s="44">
        <v>2046500</v>
      </c>
    </row>
    <row r="11" spans="2:7" x14ac:dyDescent="0.25">
      <c r="B11" s="49" t="s">
        <v>1901</v>
      </c>
      <c r="C11" s="42" t="str">
        <f>HYPERLINK("https://mapwv.gov/flood/map/?wkid=102100&amp;x=-8931576.032533007&amp;y=4717041.570082998&amp;l=13&amp;v=2","FT")</f>
        <v>FT</v>
      </c>
      <c r="D11" s="49" t="s">
        <v>1775</v>
      </c>
      <c r="E11" s="50" t="s">
        <v>46</v>
      </c>
      <c r="F11" s="43" t="s">
        <v>34</v>
      </c>
      <c r="G11" s="44">
        <v>1627900</v>
      </c>
    </row>
    <row r="12" spans="2:7" x14ac:dyDescent="0.25">
      <c r="B12" s="49" t="s">
        <v>1900</v>
      </c>
      <c r="C12" s="42" t="str">
        <f>HYPERLINK("https://mapwv.gov/flood/map/?wkid=102100&amp;x=-8930808.770957718&amp;y=4720709.659846689&amp;l=13&amp;v=2","FT")</f>
        <v>FT</v>
      </c>
      <c r="D12" s="49" t="s">
        <v>1776</v>
      </c>
      <c r="E12" s="50" t="s">
        <v>63</v>
      </c>
      <c r="F12" s="43" t="s">
        <v>28</v>
      </c>
      <c r="G12" s="44">
        <v>1544600</v>
      </c>
    </row>
    <row r="13" spans="2:7" x14ac:dyDescent="0.25">
      <c r="B13" s="49" t="s">
        <v>1900</v>
      </c>
      <c r="C13" s="42" t="str">
        <f>HYPERLINK("https://mapwv.gov/flood/map/?wkid=102100&amp;x=-8929806.190331604&amp;y=4721466.872345259&amp;l=13&amp;v=2","FT")</f>
        <v>FT</v>
      </c>
      <c r="D13" s="49" t="s">
        <v>1777</v>
      </c>
      <c r="E13" s="50" t="s">
        <v>33</v>
      </c>
      <c r="F13" s="43" t="s">
        <v>34</v>
      </c>
      <c r="G13" s="44">
        <v>1513900</v>
      </c>
    </row>
    <row r="14" spans="2:7" x14ac:dyDescent="0.25">
      <c r="B14" s="49" t="s">
        <v>1901</v>
      </c>
      <c r="C14" s="42" t="str">
        <f>HYPERLINK("https://mapwv.gov/flood/map/?wkid=102100&amp;x=-8933817.132329028&amp;y=4722379.875730233&amp;l=13&amp;v=2","FT")</f>
        <v>FT</v>
      </c>
      <c r="D14" s="49" t="s">
        <v>1778</v>
      </c>
      <c r="E14" s="50" t="s">
        <v>33</v>
      </c>
      <c r="F14" s="43" t="s">
        <v>34</v>
      </c>
      <c r="G14" s="44">
        <v>1414700</v>
      </c>
    </row>
    <row r="15" spans="2:7" x14ac:dyDescent="0.25">
      <c r="B15" s="49" t="s">
        <v>1901</v>
      </c>
      <c r="C15" s="42" t="str">
        <f>HYPERLINK("https://mapwv.gov/flood/map/?wkid=102100&amp;x=-8929340.52565085&amp;y=4722481.210866853&amp;l=13&amp;v=2","FT")</f>
        <v>FT</v>
      </c>
      <c r="D15" s="49" t="s">
        <v>1779</v>
      </c>
      <c r="E15" s="50" t="s">
        <v>62</v>
      </c>
      <c r="F15" s="43" t="s">
        <v>34</v>
      </c>
      <c r="G15" s="44">
        <v>1377100</v>
      </c>
    </row>
    <row r="16" spans="2:7" x14ac:dyDescent="0.25">
      <c r="B16" s="49" t="s">
        <v>1900</v>
      </c>
      <c r="C16" s="42" t="str">
        <f>HYPERLINK("https://mapwv.gov/flood/map/?wkid=102100&amp;x=-8931791.474820832&amp;y=4720620.183526938&amp;l=13&amp;v=2","FT")</f>
        <v>FT</v>
      </c>
      <c r="D16" s="49" t="s">
        <v>1780</v>
      </c>
      <c r="E16" s="50" t="s">
        <v>55</v>
      </c>
      <c r="F16" s="43" t="s">
        <v>34</v>
      </c>
      <c r="G16" s="44">
        <v>1287500</v>
      </c>
    </row>
    <row r="17" spans="2:7" x14ac:dyDescent="0.25">
      <c r="B17" s="49" t="s">
        <v>1901</v>
      </c>
      <c r="C17" s="42" t="str">
        <f>HYPERLINK("https://mapwv.gov/flood/map/?wkid=102100&amp;x=-8931632.567360923&amp;y=4717046.774675827&amp;l=13&amp;v=2","FT")</f>
        <v>FT</v>
      </c>
      <c r="D17" s="49" t="s">
        <v>1781</v>
      </c>
      <c r="E17" s="50" t="s">
        <v>62</v>
      </c>
      <c r="F17" s="43" t="s">
        <v>34</v>
      </c>
      <c r="G17" s="44">
        <v>1229400</v>
      </c>
    </row>
    <row r="18" spans="2:7" x14ac:dyDescent="0.25">
      <c r="B18" s="49" t="s">
        <v>1901</v>
      </c>
      <c r="C18" s="42" t="str">
        <f>HYPERLINK("https://mapwv.gov/flood/map/?wkid=102100&amp;x=-8933774.55184456&amp;y=4721462.1121004205&amp;l=13&amp;v=2","FT")</f>
        <v>FT</v>
      </c>
      <c r="D18" s="49" t="s">
        <v>1782</v>
      </c>
      <c r="E18" s="50" t="s">
        <v>46</v>
      </c>
      <c r="F18" s="43" t="s">
        <v>34</v>
      </c>
      <c r="G18" s="44">
        <v>1185100</v>
      </c>
    </row>
    <row r="19" spans="2:7" x14ac:dyDescent="0.25">
      <c r="B19" s="49" t="s">
        <v>1900</v>
      </c>
      <c r="C19" s="42" t="str">
        <f>HYPERLINK("https://mapwv.gov/flood/map/?wkid=102100&amp;x=-8930601.076840408&amp;y=4717881.018051191&amp;l=13&amp;v=2","FT")</f>
        <v>FT</v>
      </c>
      <c r="D19" s="49" t="s">
        <v>1783</v>
      </c>
      <c r="E19" s="50" t="s">
        <v>27</v>
      </c>
      <c r="F19" s="43" t="s">
        <v>28</v>
      </c>
      <c r="G19" s="44">
        <v>1098430</v>
      </c>
    </row>
    <row r="20" spans="2:7" hidden="1" x14ac:dyDescent="0.25">
      <c r="B20" s="49" t="s">
        <v>1900</v>
      </c>
      <c r="C20" s="42" t="str">
        <f>HYPERLINK("https://mapwv.gov/flood/map/?wkid=102100&amp;x=-8930689.294419916&amp;y=4720839.932836989&amp;l=13&amp;v=2","FT")</f>
        <v>FT</v>
      </c>
      <c r="D20" s="49" t="s">
        <v>1784</v>
      </c>
      <c r="E20" s="50" t="s">
        <v>61</v>
      </c>
      <c r="F20" s="43" t="s">
        <v>41</v>
      </c>
      <c r="G20" s="44">
        <v>1073100</v>
      </c>
    </row>
    <row r="21" spans="2:7" x14ac:dyDescent="0.25">
      <c r="B21" s="49" t="s">
        <v>1900</v>
      </c>
      <c r="C21" s="42" t="str">
        <f>HYPERLINK("https://mapwv.gov/flood/map/?wkid=102100&amp;x=-8931959.139117172&amp;y=4721362.635340691&amp;l=13&amp;v=2","FT")</f>
        <v>FT</v>
      </c>
      <c r="D21" s="49" t="s">
        <v>1785</v>
      </c>
      <c r="E21" s="50" t="s">
        <v>62</v>
      </c>
      <c r="F21" s="43" t="s">
        <v>34</v>
      </c>
      <c r="G21" s="44">
        <v>1047800</v>
      </c>
    </row>
    <row r="22" spans="2:7" x14ac:dyDescent="0.25">
      <c r="B22" s="49" t="s">
        <v>1901</v>
      </c>
      <c r="C22" s="42" t="str">
        <f>HYPERLINK("https://mapwv.gov/flood/map/?wkid=102100&amp;x=-8931842.285711851&amp;y=4720659.063597539&amp;l=13&amp;v=2","FT")</f>
        <v>FT</v>
      </c>
      <c r="D22" s="49" t="s">
        <v>1786</v>
      </c>
      <c r="E22" s="50" t="s">
        <v>55</v>
      </c>
      <c r="F22" s="43" t="s">
        <v>34</v>
      </c>
      <c r="G22" s="44">
        <v>1045400</v>
      </c>
    </row>
    <row r="23" spans="2:7" x14ac:dyDescent="0.25">
      <c r="B23" s="49" t="s">
        <v>1900</v>
      </c>
      <c r="C23" s="42" t="str">
        <f>HYPERLINK("https://mapwv.gov/flood/map/?wkid=102100&amp;x=-8931542.716056565&amp;y=4722165.177343422&amp;l=13&amp;v=2","FT")</f>
        <v>FT</v>
      </c>
      <c r="D23" s="49" t="s">
        <v>1787</v>
      </c>
      <c r="E23" s="50" t="s">
        <v>46</v>
      </c>
      <c r="F23" s="43" t="s">
        <v>34</v>
      </c>
      <c r="G23" s="44">
        <v>811100</v>
      </c>
    </row>
    <row r="24" spans="2:7" x14ac:dyDescent="0.25">
      <c r="B24" s="49" t="s">
        <v>1900</v>
      </c>
      <c r="C24" s="42" t="str">
        <f>HYPERLINK("https://mapwv.gov/flood/map/?wkid=102100&amp;x=-8929494.010515725&amp;y=4720327.500119588&amp;l=13&amp;v=2","FT")</f>
        <v>FT</v>
      </c>
      <c r="D24" s="49" t="s">
        <v>1788</v>
      </c>
      <c r="E24" s="50" t="s">
        <v>176</v>
      </c>
      <c r="F24" s="43" t="s">
        <v>28</v>
      </c>
      <c r="G24" s="44">
        <v>592500</v>
      </c>
    </row>
    <row r="25" spans="2:7" x14ac:dyDescent="0.25">
      <c r="B25" s="49" t="s">
        <v>1900</v>
      </c>
      <c r="C25" s="42" t="str">
        <f>HYPERLINK("https://mapwv.gov/flood/map/?wkid=102100&amp;x=-8931552.401520181&amp;y=4722235.521001832&amp;l=13&amp;v=2","FT")</f>
        <v>FT</v>
      </c>
      <c r="D25" s="49" t="s">
        <v>1789</v>
      </c>
      <c r="E25" s="50" t="s">
        <v>46</v>
      </c>
      <c r="F25" s="43" t="s">
        <v>34</v>
      </c>
      <c r="G25" s="44">
        <v>562500</v>
      </c>
    </row>
    <row r="26" spans="2:7" x14ac:dyDescent="0.25">
      <c r="B26" s="49" t="s">
        <v>1900</v>
      </c>
      <c r="C26" s="42" t="str">
        <f>HYPERLINK("https://mapwv.gov/flood/map/?wkid=102100&amp;x=-8931213.134443926&amp;y=4720448.631353763&amp;l=13&amp;v=2","FT")</f>
        <v>FT</v>
      </c>
      <c r="D26" s="49" t="s">
        <v>1790</v>
      </c>
      <c r="E26" s="50" t="s">
        <v>46</v>
      </c>
      <c r="F26" s="43" t="s">
        <v>34</v>
      </c>
      <c r="G26" s="44">
        <v>549200</v>
      </c>
    </row>
    <row r="27" spans="2:7" x14ac:dyDescent="0.25">
      <c r="B27" s="49" t="s">
        <v>1900</v>
      </c>
      <c r="C27" s="42" t="str">
        <f>HYPERLINK("https://mapwv.gov/flood/map/?wkid=102100&amp;x=-8930468.716296066&amp;y=4721628.581337536&amp;l=13&amp;v=2","FT")</f>
        <v>FT</v>
      </c>
      <c r="D27" s="49" t="s">
        <v>1791</v>
      </c>
      <c r="E27" s="50" t="s">
        <v>57</v>
      </c>
      <c r="F27" s="43" t="s">
        <v>28</v>
      </c>
      <c r="G27" s="44">
        <v>537600</v>
      </c>
    </row>
    <row r="28" spans="2:7" hidden="1" x14ac:dyDescent="0.25">
      <c r="B28" s="49" t="s">
        <v>1901</v>
      </c>
      <c r="C28" s="42" t="str">
        <f>HYPERLINK("https://mapwv.gov/flood/map/?wkid=102100&amp;x=-8928991.259412648&amp;y=4719770.322760619&amp;l=13&amp;v=2","FT")</f>
        <v>FT</v>
      </c>
      <c r="D28" s="49" t="s">
        <v>1792</v>
      </c>
      <c r="E28" s="50" t="s">
        <v>156</v>
      </c>
      <c r="F28" s="43" t="s">
        <v>41</v>
      </c>
      <c r="G28" s="44">
        <v>532100</v>
      </c>
    </row>
    <row r="29" spans="2:7" x14ac:dyDescent="0.25">
      <c r="B29" s="49" t="s">
        <v>1901</v>
      </c>
      <c r="C29" s="42" t="str">
        <f>HYPERLINK("https://mapwv.gov/flood/map/?wkid=102100&amp;x=-8929070.471134031&amp;y=4722440.077896049&amp;l=13&amp;v=2","FT")</f>
        <v>FT</v>
      </c>
      <c r="D29" s="49" t="s">
        <v>1793</v>
      </c>
      <c r="E29" s="50" t="s">
        <v>62</v>
      </c>
      <c r="F29" s="43" t="s">
        <v>34</v>
      </c>
      <c r="G29" s="44">
        <v>513700</v>
      </c>
    </row>
    <row r="30" spans="2:7" x14ac:dyDescent="0.25">
      <c r="B30" s="49" t="s">
        <v>1901</v>
      </c>
      <c r="C30" s="42" t="str">
        <f>HYPERLINK("https://mapwv.gov/flood/map/?wkid=102100&amp;x=-8934662.130419808&amp;y=4721989.654024866&amp;l=13&amp;v=2","FT")</f>
        <v>FT</v>
      </c>
      <c r="D30" s="49" t="s">
        <v>1794</v>
      </c>
      <c r="E30" s="50" t="s">
        <v>46</v>
      </c>
      <c r="F30" s="43" t="s">
        <v>34</v>
      </c>
      <c r="G30" s="44">
        <v>506100</v>
      </c>
    </row>
    <row r="31" spans="2:7" x14ac:dyDescent="0.25">
      <c r="B31" s="49" t="s">
        <v>1900</v>
      </c>
      <c r="C31" s="42" t="str">
        <f>HYPERLINK("https://mapwv.gov/flood/map/?wkid=102100&amp;x=-8931076.055177683&amp;y=4720574.549068963&amp;l=13&amp;v=2","FT")</f>
        <v>FT</v>
      </c>
      <c r="D31" s="49" t="s">
        <v>1795</v>
      </c>
      <c r="E31" s="50" t="s">
        <v>62</v>
      </c>
      <c r="F31" s="43" t="s">
        <v>34</v>
      </c>
      <c r="G31" s="44">
        <v>505600</v>
      </c>
    </row>
    <row r="32" spans="2:7" hidden="1" x14ac:dyDescent="0.25">
      <c r="B32" s="49" t="s">
        <v>1900</v>
      </c>
      <c r="C32" s="42" t="str">
        <f>HYPERLINK("https://mapwv.gov/flood/map/?wkid=102100&amp;x=-8931578.798711034&amp;y=4720957.287884598&amp;l=13&amp;v=2","FT")</f>
        <v>FT</v>
      </c>
      <c r="D32" s="49" t="s">
        <v>1797</v>
      </c>
      <c r="E32" s="50" t="s">
        <v>61</v>
      </c>
      <c r="F32" s="43" t="s">
        <v>41</v>
      </c>
      <c r="G32" s="44">
        <v>471500</v>
      </c>
    </row>
    <row r="33" spans="2:7" hidden="1" x14ac:dyDescent="0.25">
      <c r="B33" s="49" t="s">
        <v>1900</v>
      </c>
      <c r="C33" s="42" t="str">
        <f>HYPERLINK("https://mapwv.gov/flood/map/?wkid=102100&amp;x=-8930495.879587652&amp;y=4720751.2163398145&amp;l=13&amp;v=2","FT")</f>
        <v>FT</v>
      </c>
      <c r="D33" s="49" t="s">
        <v>1809</v>
      </c>
      <c r="E33" s="50" t="s">
        <v>40</v>
      </c>
      <c r="F33" s="43" t="s">
        <v>41</v>
      </c>
      <c r="G33" s="44">
        <v>268700</v>
      </c>
    </row>
    <row r="34" spans="2:7" hidden="1" x14ac:dyDescent="0.25">
      <c r="B34" s="49" t="s">
        <v>1901</v>
      </c>
      <c r="C34" s="42" t="str">
        <f>HYPERLINK("https://mapwv.gov/flood/map/?wkid=102100&amp;x=-8938896.461580861&amp;y=4716737.831000693&amp;l=13&amp;v=2","FT")</f>
        <v>FT</v>
      </c>
      <c r="D34" s="49" t="s">
        <v>1813</v>
      </c>
      <c r="E34" s="50" t="s">
        <v>40</v>
      </c>
      <c r="F34" s="43" t="s">
        <v>41</v>
      </c>
      <c r="G34" s="44">
        <v>235700</v>
      </c>
    </row>
    <row r="35" spans="2:7" hidden="1" x14ac:dyDescent="0.25">
      <c r="B35" s="49" t="s">
        <v>1901</v>
      </c>
      <c r="C35" s="42" t="str">
        <f>HYPERLINK("https://mapwv.gov/flood/map/?wkid=102100&amp;x=-8927143.998512901&amp;y=4730407.954435049&amp;l=13&amp;v=2","FT")</f>
        <v>FT</v>
      </c>
      <c r="D35" s="49" t="s">
        <v>1815</v>
      </c>
      <c r="E35" s="50" t="s">
        <v>40</v>
      </c>
      <c r="F35" s="43" t="s">
        <v>41</v>
      </c>
      <c r="G35" s="44">
        <v>231500</v>
      </c>
    </row>
    <row r="36" spans="2:7" hidden="1" x14ac:dyDescent="0.25">
      <c r="B36" s="49" t="s">
        <v>1900</v>
      </c>
      <c r="C36" s="42" t="str">
        <f>HYPERLINK("https://mapwv.gov/flood/map/?wkid=102100&amp;x=-8931104.026092177&amp;y=4720426.894249649&amp;l=13&amp;v=2","FT")</f>
        <v>FT</v>
      </c>
      <c r="D36" s="49" t="s">
        <v>1817</v>
      </c>
      <c r="E36" s="50" t="s">
        <v>40</v>
      </c>
      <c r="F36" s="43" t="s">
        <v>41</v>
      </c>
      <c r="G36" s="44">
        <v>227800</v>
      </c>
    </row>
    <row r="37" spans="2:7" hidden="1" x14ac:dyDescent="0.25">
      <c r="B37" s="49" t="s">
        <v>1901</v>
      </c>
      <c r="C37" s="42" t="str">
        <f>HYPERLINK("https://mapwv.gov/flood/map/?wkid=102100&amp;x=-8924023.839867542&amp;y=4714836.180551272&amp;l=13&amp;v=2","FT")</f>
        <v>FT</v>
      </c>
      <c r="D37" s="49" t="s">
        <v>1819</v>
      </c>
      <c r="E37" s="50" t="s">
        <v>717</v>
      </c>
      <c r="F37" s="43" t="s">
        <v>41</v>
      </c>
      <c r="G37" s="44">
        <v>214400</v>
      </c>
    </row>
    <row r="38" spans="2:7" x14ac:dyDescent="0.25">
      <c r="B38" s="39" t="s">
        <v>189</v>
      </c>
    </row>
  </sheetData>
  <autoFilter ref="B2:G38" xr:uid="{412C4B8B-B661-4985-9C02-9DFD81A37807}">
    <filterColumn colId="4">
      <filters blank="1">
        <filter val="Commercial"/>
        <filter val="Othe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BARBOUR</vt:lpstr>
      <vt:lpstr>BRAXTON</vt:lpstr>
      <vt:lpstr>GILMER</vt:lpstr>
      <vt:lpstr>LEWIS</vt:lpstr>
      <vt:lpstr>RANDOLPH</vt:lpstr>
      <vt:lpstr>TUCKER</vt:lpstr>
      <vt:lpstr>UPSHUR</vt:lpstr>
      <vt:lpstr>RANDOLPH (NON_RES &gt; 300K)</vt:lpstr>
      <vt:lpstr>UPSHUR (NON_RES &gt; 500K)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2022-03-10T19:38:48Z</dcterms:modified>
</cp:coreProperties>
</file>